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4.xml" ContentType="application/vnd.openxmlformats-officedocument.drawing+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6.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7.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8.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drawings/drawing10.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11.xml" ContentType="application/vnd.openxmlformats-officedocument.drawing+xml"/>
  <Override PartName="/xl/tables/table55.xml" ContentType="application/vnd.openxmlformats-officedocument.spreadsheetml.tab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12.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drawings/drawing13.xml" ContentType="application/vnd.openxmlformats-officedocument.drawing+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drawings/drawing14.xml" ContentType="application/vnd.openxmlformats-officedocument.drawing+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drawings/drawing15.xml" ContentType="application/vnd.openxmlformats-officedocument.drawing+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18.xml" ContentType="application/vnd.openxmlformats-officedocument.drawing+xml"/>
  <Override PartName="/xl/tables/table68.xml" ContentType="application/vnd.openxmlformats-officedocument.spreadsheetml.table+xml"/>
  <Override PartName="/xl/tables/table69.xml" ContentType="application/vnd.openxmlformats-officedocument.spreadsheetml.table+xml"/>
  <Override PartName="/xl/drawings/drawing19.xml" ContentType="application/vnd.openxmlformats-officedocument.drawing+xml"/>
  <Override PartName="/xl/drawings/drawing20.xml" ContentType="application/vnd.openxmlformats-officedocument.drawing+xml"/>
  <Override PartName="/xl/tables/table70.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sammy\Desktop\"/>
    </mc:Choice>
  </mc:AlternateContent>
  <xr:revisionPtr revIDLastSave="0" documentId="13_ncr:1_{BA0AF78C-BD31-42F8-8B80-EA12AB0B4632}" xr6:coauthVersionLast="47" xr6:coauthVersionMax="47" xr10:uidLastSave="{00000000-0000-0000-0000-000000000000}"/>
  <bookViews>
    <workbookView xWindow="28680" yWindow="-120" windowWidth="29040" windowHeight="17520" firstSheet="1" activeTab="2" xr2:uid="{EFD7AFFD-26D8-1644-92BD-3E4053B3882C}"/>
  </bookViews>
  <sheets>
    <sheet name="Welcome Page" sheetId="4" r:id="rId1"/>
    <sheet name="Logs" sheetId="1" r:id="rId2"/>
    <sheet name="SQL_Data" sheetId="27" r:id="rId3"/>
    <sheet name="Keywords" sheetId="5" r:id="rId4"/>
    <sheet name="Race Locations" sheetId="6" r:id="rId5"/>
    <sheet name="Challenges" sheetId="9" r:id="rId6"/>
    <sheet name="Route Info" sheetId="8" r:id="rId7"/>
    <sheet name="Road Block" sheetId="10" r:id="rId8"/>
    <sheet name="Detour" sheetId="11" r:id="rId9"/>
    <sheet name="Fast Forward" sheetId="12" r:id="rId10"/>
    <sheet name="Speed Bump" sheetId="13" r:id="rId11"/>
    <sheet name="Leg-by-Leg" sheetId="16" r:id="rId12"/>
    <sheet name="Challenge-by-Challenge" sheetId="17" r:id="rId13"/>
    <sheet name="Leg-by-Challenge" sheetId="24" r:id="rId14"/>
    <sheet name="Leg Outcomes" sheetId="14" r:id="rId15"/>
    <sheet name="Finishing Positions" sheetId="26" r:id="rId16"/>
    <sheet name="Winner's Corner" sheetId="7" r:id="rId17"/>
    <sheet name="Final Leg" sheetId="20" r:id="rId18"/>
    <sheet name="Twists" sheetId="15" r:id="rId19"/>
    <sheet name="Equalizers" sheetId="25" r:id="rId20"/>
    <sheet name="Season 38" sheetId="22" r:id="rId21"/>
    <sheet name="Presentation" sheetId="23" r:id="rId22"/>
    <sheet name="COVID Seasons" sheetId="18" r:id="rId23"/>
    <sheet name="Season 35" sheetId="19" r:id="rId24"/>
    <sheet name="Season 37" sheetId="21" r:id="rId25"/>
  </sheets>
  <definedNames>
    <definedName name="_xlnm._FilterDatabase" localSheetId="17" hidden="1">'Final Leg'!$F$19:$F$178</definedName>
    <definedName name="_xlnm._FilterDatabase" localSheetId="15" hidden="1">'Finishing Positions'!$C$21:$O$563</definedName>
    <definedName name="_xlnm._FilterDatabase" localSheetId="3" hidden="1">Keywords!$Q$241:$Q$299</definedName>
    <definedName name="_xlnm._FilterDatabase" localSheetId="14" hidden="1">'Leg Outcomes'!$R$112:$AJ$149</definedName>
    <definedName name="_xlnm._FilterDatabase" localSheetId="4" hidden="1">'Race Locations'!$C$55:$N$86</definedName>
    <definedName name="_xlnm._FilterDatabase" localSheetId="16" hidden="1">'Winner''s Corner'!$K$10:$K$47</definedName>
    <definedName name="_xlnm.Extract" localSheetId="17">'Final Leg'!$B$19:$B$72</definedName>
    <definedName name="_xlnm.Extract" localSheetId="3">Keywords!$P$241:$P$295</definedName>
    <definedName name="_xlnm.Extract" localSheetId="4">'Race Locations'!$AV$72:$AV$87</definedName>
    <definedName name="_xlnm.Extract" localSheetId="16">'Winner''s Corner'!$I$53:$I$84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7" i="27" l="1" a="1"/>
  <c r="AN7" i="27" s="1"/>
  <c r="P7" i="27" a="1"/>
  <c r="P7" i="27" s="1"/>
  <c r="F1381" i="27" a="1"/>
  <c r="BS57" i="6" a="1"/>
  <c r="BS57" i="6" s="1"/>
  <c r="E71" i="5"/>
  <c r="S228" i="10"/>
  <c r="S14" i="8" a="1"/>
  <c r="S14" i="8" s="1"/>
  <c r="M54" i="6"/>
  <c r="AC67" i="6" s="1"/>
  <c r="AD67" i="6" s="1"/>
  <c r="M55" i="6"/>
  <c r="M59" i="6"/>
  <c r="G55" i="6"/>
  <c r="E59" i="6"/>
  <c r="D59" i="6"/>
  <c r="D58" i="6"/>
  <c r="D57" i="6"/>
  <c r="D56" i="6"/>
  <c r="D55" i="6"/>
  <c r="AA56" i="6"/>
  <c r="AA57" i="6"/>
  <c r="AA58" i="6"/>
  <c r="AA59" i="6"/>
  <c r="AA60" i="6"/>
  <c r="AA61" i="6"/>
  <c r="AA62" i="6"/>
  <c r="AA63" i="6"/>
  <c r="AA64" i="6"/>
  <c r="AA65" i="6"/>
  <c r="AA66" i="6"/>
  <c r="AA67" i="6"/>
  <c r="AA68" i="6"/>
  <c r="AA70" i="6"/>
  <c r="AA55" i="6"/>
  <c r="AY56" i="6"/>
  <c r="AY57" i="6"/>
  <c r="AY58" i="6"/>
  <c r="AY59" i="6"/>
  <c r="AY55" i="6"/>
  <c r="AV56" i="6"/>
  <c r="AV57" i="6"/>
  <c r="AV58" i="6"/>
  <c r="AV59" i="6"/>
  <c r="AV60" i="6"/>
  <c r="AV61" i="6"/>
  <c r="AV62" i="6"/>
  <c r="AV55" i="6"/>
  <c r="AS66" i="6"/>
  <c r="AS55" i="6"/>
  <c r="AP73" i="6"/>
  <c r="AP74" i="6"/>
  <c r="AP75" i="6"/>
  <c r="AP76" i="6"/>
  <c r="AP77" i="6"/>
  <c r="AP78" i="6"/>
  <c r="AP79" i="6"/>
  <c r="AP80" i="6"/>
  <c r="AP81" i="6"/>
  <c r="AP82" i="6"/>
  <c r="AP83" i="6"/>
  <c r="AP84" i="6"/>
  <c r="AP85" i="6"/>
  <c r="AP86" i="6"/>
  <c r="AP87" i="6"/>
  <c r="AP88" i="6"/>
  <c r="AP89" i="6"/>
  <c r="AP90" i="6"/>
  <c r="AP91" i="6"/>
  <c r="AP92" i="6"/>
  <c r="AP93" i="6"/>
  <c r="AP94" i="6"/>
  <c r="AP95" i="6"/>
  <c r="AP96" i="6"/>
  <c r="AP97" i="6"/>
  <c r="AP98" i="6"/>
  <c r="AP72" i="6"/>
  <c r="AP56" i="6"/>
  <c r="AP57" i="6"/>
  <c r="AP58" i="6"/>
  <c r="AP59" i="6"/>
  <c r="AP60" i="6"/>
  <c r="AP61" i="6"/>
  <c r="AP62" i="6"/>
  <c r="AP63" i="6"/>
  <c r="AP64" i="6"/>
  <c r="AP65" i="6"/>
  <c r="AP66" i="6"/>
  <c r="AP55" i="6"/>
  <c r="R72" i="6"/>
  <c r="R73" i="6"/>
  <c r="R74" i="6"/>
  <c r="R75" i="6"/>
  <c r="R76" i="6"/>
  <c r="R77" i="6"/>
  <c r="R78" i="6"/>
  <c r="R79" i="6"/>
  <c r="R80" i="6"/>
  <c r="R81" i="6"/>
  <c r="R82" i="6"/>
  <c r="R83" i="6"/>
  <c r="R84" i="6"/>
  <c r="R85" i="6"/>
  <c r="R86" i="6"/>
  <c r="R87" i="6"/>
  <c r="R88" i="6"/>
  <c r="R89" i="6"/>
  <c r="R90" i="6"/>
  <c r="R91" i="6"/>
  <c r="R92" i="6"/>
  <c r="R93" i="6"/>
  <c r="R94" i="6"/>
  <c r="R95" i="6"/>
  <c r="U72" i="6"/>
  <c r="U73" i="6"/>
  <c r="U74" i="6"/>
  <c r="U75" i="6"/>
  <c r="U76" i="6"/>
  <c r="U77" i="6"/>
  <c r="U78" i="6"/>
  <c r="U79" i="6"/>
  <c r="U80" i="6"/>
  <c r="U81" i="6"/>
  <c r="U82" i="6"/>
  <c r="U83" i="6"/>
  <c r="U84" i="6"/>
  <c r="U85" i="6"/>
  <c r="U86" i="6"/>
  <c r="U87" i="6"/>
  <c r="U88" i="6"/>
  <c r="U89" i="6"/>
  <c r="U90" i="6"/>
  <c r="U91" i="6"/>
  <c r="U92" i="6"/>
  <c r="U93" i="6"/>
  <c r="U94" i="6"/>
  <c r="U95" i="6"/>
  <c r="X73" i="6"/>
  <c r="X74" i="6"/>
  <c r="X75" i="6"/>
  <c r="X76" i="6"/>
  <c r="X77" i="6"/>
  <c r="X78" i="6"/>
  <c r="X79" i="6"/>
  <c r="X80" i="6"/>
  <c r="X81" i="6"/>
  <c r="X82" i="6"/>
  <c r="X83" i="6"/>
  <c r="X84" i="6"/>
  <c r="X85" i="6"/>
  <c r="X86" i="6"/>
  <c r="X87" i="6"/>
  <c r="X88" i="6"/>
  <c r="X89" i="6"/>
  <c r="X90" i="6"/>
  <c r="X91" i="6"/>
  <c r="X92" i="6"/>
  <c r="X93" i="6"/>
  <c r="X94" i="6"/>
  <c r="X95" i="6"/>
  <c r="X96" i="6"/>
  <c r="X97" i="6"/>
  <c r="X98" i="6"/>
  <c r="X99" i="6"/>
  <c r="X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72" i="6"/>
  <c r="AG73" i="6"/>
  <c r="AG74" i="6"/>
  <c r="AG75" i="6"/>
  <c r="AG76" i="6"/>
  <c r="AG77" i="6"/>
  <c r="AG78" i="6"/>
  <c r="AG79" i="6"/>
  <c r="AG80" i="6"/>
  <c r="AG81" i="6"/>
  <c r="AG82" i="6"/>
  <c r="AG83" i="6"/>
  <c r="AG84" i="6"/>
  <c r="AG85" i="6"/>
  <c r="AG86" i="6"/>
  <c r="AG87" i="6"/>
  <c r="AG88" i="6"/>
  <c r="AG89" i="6"/>
  <c r="AG90" i="6"/>
  <c r="AG91" i="6"/>
  <c r="AG92" i="6"/>
  <c r="AG93" i="6"/>
  <c r="AG94" i="6"/>
  <c r="AG95" i="6"/>
  <c r="AG96" i="6"/>
  <c r="AG72" i="6"/>
  <c r="AM56" i="6"/>
  <c r="AM57" i="6"/>
  <c r="AM58" i="6"/>
  <c r="AM59" i="6"/>
  <c r="AM60" i="6"/>
  <c r="AM61" i="6"/>
  <c r="AM62" i="6"/>
  <c r="AM63" i="6"/>
  <c r="AM64" i="6"/>
  <c r="AM65" i="6"/>
  <c r="AM66" i="6"/>
  <c r="AM67" i="6"/>
  <c r="AM68" i="6"/>
  <c r="AM55" i="6"/>
  <c r="AI62" i="6"/>
  <c r="AJ67" i="6"/>
  <c r="X56" i="6"/>
  <c r="X57" i="6"/>
  <c r="X58" i="6"/>
  <c r="X59" i="6"/>
  <c r="X60" i="6"/>
  <c r="X61" i="6"/>
  <c r="X62" i="6"/>
  <c r="X63" i="6"/>
  <c r="X64" i="6"/>
  <c r="X65" i="6"/>
  <c r="X66" i="6"/>
  <c r="X67" i="6"/>
  <c r="X55" i="6"/>
  <c r="U55" i="6"/>
  <c r="AD55" i="6"/>
  <c r="AG56" i="6"/>
  <c r="AG57" i="6"/>
  <c r="AG58" i="6"/>
  <c r="AG59" i="6"/>
  <c r="AG60" i="6"/>
  <c r="AG61" i="6"/>
  <c r="AG62" i="6"/>
  <c r="AG63" i="6"/>
  <c r="AG64" i="6"/>
  <c r="AG65" i="6"/>
  <c r="AG66" i="6"/>
  <c r="AG67" i="6"/>
  <c r="AG55" i="6"/>
  <c r="AD56" i="6"/>
  <c r="AD57" i="6"/>
  <c r="AD58" i="6"/>
  <c r="AD59" i="6"/>
  <c r="AD60" i="6"/>
  <c r="AD61" i="6"/>
  <c r="AD62" i="6"/>
  <c r="AD63" i="6"/>
  <c r="AD64" i="6"/>
  <c r="AD65" i="6"/>
  <c r="AD66" i="6"/>
  <c r="AD68" i="6"/>
  <c r="R109" i="14"/>
  <c r="N110" i="14" s="1"/>
  <c r="M25" i="22"/>
  <c r="L25" i="22"/>
  <c r="K25" i="22"/>
  <c r="M24" i="22"/>
  <c r="K24" i="22"/>
  <c r="L24" i="22"/>
  <c r="J24" i="22"/>
  <c r="J23" i="22"/>
  <c r="K23" i="22"/>
  <c r="L23" i="22"/>
  <c r="M23" i="22"/>
  <c r="L100" i="8"/>
  <c r="J100" i="8"/>
  <c r="C100" i="8"/>
  <c r="P551" i="26"/>
  <c r="P534" i="26"/>
  <c r="P445" i="26"/>
  <c r="P459" i="26"/>
  <c r="P460" i="26"/>
  <c r="P461" i="26"/>
  <c r="P462" i="26"/>
  <c r="P463" i="26"/>
  <c r="P464" i="26"/>
  <c r="P465" i="26"/>
  <c r="P466" i="26"/>
  <c r="P467" i="26"/>
  <c r="P468" i="26"/>
  <c r="P469" i="26"/>
  <c r="P474" i="26"/>
  <c r="P475" i="26"/>
  <c r="P476" i="26"/>
  <c r="P477" i="26"/>
  <c r="P478" i="26"/>
  <c r="P479" i="26"/>
  <c r="P480" i="26"/>
  <c r="P481" i="26"/>
  <c r="P482" i="26"/>
  <c r="P483" i="26"/>
  <c r="P473" i="26"/>
  <c r="P487" i="26"/>
  <c r="P502" i="26"/>
  <c r="P519" i="26"/>
  <c r="P520" i="26"/>
  <c r="P521" i="26"/>
  <c r="P522" i="26"/>
  <c r="P523" i="26"/>
  <c r="P524" i="26"/>
  <c r="P525" i="26"/>
  <c r="P526" i="26"/>
  <c r="P527" i="26"/>
  <c r="P528" i="26"/>
  <c r="P529" i="26"/>
  <c r="P530" i="26"/>
  <c r="P518" i="26"/>
  <c r="P192" i="26"/>
  <c r="P149" i="26"/>
  <c r="P286" i="26"/>
  <c r="P94" i="26"/>
  <c r="P50" i="26"/>
  <c r="P563" i="26"/>
  <c r="P562" i="26"/>
  <c r="P561" i="26"/>
  <c r="P560" i="26"/>
  <c r="P559" i="26"/>
  <c r="P558" i="26"/>
  <c r="P557" i="26"/>
  <c r="P555" i="26"/>
  <c r="P554" i="26"/>
  <c r="P553" i="26"/>
  <c r="P552" i="26"/>
  <c r="P549" i="26"/>
  <c r="P547" i="26"/>
  <c r="P546" i="26"/>
  <c r="P545" i="26"/>
  <c r="P544" i="26"/>
  <c r="P543" i="26"/>
  <c r="P538" i="26"/>
  <c r="P536" i="26"/>
  <c r="P535" i="26"/>
  <c r="P532" i="26"/>
  <c r="P531" i="26"/>
  <c r="P516" i="26"/>
  <c r="P515" i="26"/>
  <c r="P514" i="26"/>
  <c r="P513" i="26"/>
  <c r="P512" i="26"/>
  <c r="P511" i="26"/>
  <c r="P510" i="26"/>
  <c r="P509" i="26"/>
  <c r="P508" i="26"/>
  <c r="P505" i="26"/>
  <c r="P504" i="26"/>
  <c r="P503" i="26"/>
  <c r="P496" i="26"/>
  <c r="P495" i="26"/>
  <c r="P494" i="26"/>
  <c r="P493" i="26"/>
  <c r="P490" i="26"/>
  <c r="P489" i="26"/>
  <c r="P488" i="26"/>
  <c r="P457" i="26"/>
  <c r="P455" i="26"/>
  <c r="P454" i="26"/>
  <c r="P453" i="26"/>
  <c r="P452" i="26"/>
  <c r="P451" i="26"/>
  <c r="P447" i="26"/>
  <c r="P446" i="26"/>
  <c r="P441" i="26"/>
  <c r="P440" i="26"/>
  <c r="P439" i="26"/>
  <c r="P438" i="26"/>
  <c r="P437" i="26"/>
  <c r="P433" i="26"/>
  <c r="P431" i="26"/>
  <c r="P427" i="26"/>
  <c r="P426" i="26"/>
  <c r="P425" i="26"/>
  <c r="P424" i="26"/>
  <c r="P423" i="26"/>
  <c r="P419" i="26"/>
  <c r="P418" i="26"/>
  <c r="P413" i="26"/>
  <c r="P412" i="26"/>
  <c r="P411" i="26"/>
  <c r="P410" i="26"/>
  <c r="P409" i="26"/>
  <c r="P404" i="26"/>
  <c r="P403" i="26"/>
  <c r="P399" i="26"/>
  <c r="P398" i="26"/>
  <c r="P397" i="26"/>
  <c r="P396" i="26"/>
  <c r="P395" i="26"/>
  <c r="P392" i="26"/>
  <c r="P391" i="26"/>
  <c r="P389" i="26"/>
  <c r="P385" i="26"/>
  <c r="P384" i="26"/>
  <c r="P383" i="26"/>
  <c r="P382" i="26"/>
  <c r="P381" i="26"/>
  <c r="P378" i="26"/>
  <c r="P377" i="26"/>
  <c r="P376" i="26"/>
  <c r="P371" i="26"/>
  <c r="P370" i="26"/>
  <c r="P369" i="26"/>
  <c r="P368" i="26"/>
  <c r="P367" i="26"/>
  <c r="P363" i="26"/>
  <c r="P362" i="26"/>
  <c r="P357" i="26"/>
  <c r="P356" i="26"/>
  <c r="P355" i="26"/>
  <c r="P354" i="26"/>
  <c r="P353" i="26"/>
  <c r="P349" i="26"/>
  <c r="P348" i="26"/>
  <c r="P347" i="26"/>
  <c r="P343" i="26"/>
  <c r="P342" i="26"/>
  <c r="P341" i="26"/>
  <c r="P340" i="26"/>
  <c r="P339" i="26"/>
  <c r="P335" i="26"/>
  <c r="P334" i="26"/>
  <c r="P333" i="26"/>
  <c r="P329" i="26"/>
  <c r="P328" i="26"/>
  <c r="P327" i="26"/>
  <c r="P326" i="26"/>
  <c r="P325" i="26"/>
  <c r="P322" i="26"/>
  <c r="P321" i="26"/>
  <c r="P315" i="26"/>
  <c r="P314" i="26"/>
  <c r="P313" i="26"/>
  <c r="P312" i="26"/>
  <c r="P311" i="26"/>
  <c r="P307" i="26"/>
  <c r="P305" i="26"/>
  <c r="P303" i="26"/>
  <c r="P301" i="26"/>
  <c r="P300" i="26"/>
  <c r="P299" i="26"/>
  <c r="P298" i="26"/>
  <c r="P297" i="26"/>
  <c r="P293" i="26"/>
  <c r="P292" i="26"/>
  <c r="P291" i="26"/>
  <c r="P289" i="26"/>
  <c r="P287" i="26"/>
  <c r="P285" i="26"/>
  <c r="P284" i="26"/>
  <c r="P283" i="26"/>
  <c r="P279" i="26"/>
  <c r="P278" i="26"/>
  <c r="P277" i="26"/>
  <c r="P273" i="26"/>
  <c r="P272" i="26"/>
  <c r="P271" i="26"/>
  <c r="P270" i="26"/>
  <c r="P269" i="26"/>
  <c r="P265" i="26"/>
  <c r="P264" i="26"/>
  <c r="P263" i="26"/>
  <c r="P259" i="26"/>
  <c r="P258" i="26"/>
  <c r="P257" i="26"/>
  <c r="P256" i="26"/>
  <c r="P255" i="26"/>
  <c r="P254" i="26"/>
  <c r="P253" i="26"/>
  <c r="P251" i="26"/>
  <c r="P250" i="26"/>
  <c r="P247" i="26"/>
  <c r="P246" i="26"/>
  <c r="P245" i="26"/>
  <c r="P244" i="26"/>
  <c r="P243" i="26"/>
  <c r="P242" i="26"/>
  <c r="P241" i="26"/>
  <c r="P239" i="26"/>
  <c r="P237" i="26"/>
  <c r="P236" i="26"/>
  <c r="P235" i="26"/>
  <c r="P231" i="26"/>
  <c r="P230" i="26"/>
  <c r="P229" i="26"/>
  <c r="P228" i="26"/>
  <c r="P227" i="26"/>
  <c r="P226" i="26"/>
  <c r="P225" i="26"/>
  <c r="P222" i="26"/>
  <c r="P221" i="26"/>
  <c r="P220" i="26"/>
  <c r="P216" i="26"/>
  <c r="P215" i="26"/>
  <c r="P214" i="26"/>
  <c r="P213" i="26"/>
  <c r="P212" i="26"/>
  <c r="P211" i="26"/>
  <c r="P208" i="26"/>
  <c r="P207" i="26"/>
  <c r="P206" i="26"/>
  <c r="P204" i="26"/>
  <c r="P203" i="26"/>
  <c r="P202" i="26"/>
  <c r="P201" i="26"/>
  <c r="P200" i="26"/>
  <c r="P199" i="26"/>
  <c r="P198" i="26"/>
  <c r="P197" i="26"/>
  <c r="P194" i="26"/>
  <c r="P193" i="26"/>
  <c r="P188" i="26"/>
  <c r="P187" i="26"/>
  <c r="P186" i="26"/>
  <c r="P185" i="26"/>
  <c r="P184" i="26"/>
  <c r="P183" i="26"/>
  <c r="P181" i="26"/>
  <c r="P180" i="26"/>
  <c r="P179" i="26"/>
  <c r="P151" i="26"/>
  <c r="P150" i="26"/>
  <c r="P124" i="26"/>
  <c r="P123" i="26"/>
  <c r="P122" i="26"/>
  <c r="P104" i="26"/>
  <c r="P103" i="26"/>
  <c r="P102" i="26"/>
  <c r="P101" i="26"/>
  <c r="P100" i="26"/>
  <c r="P96" i="26"/>
  <c r="P95" i="26"/>
  <c r="BS58" i="6" a="1"/>
  <c r="BS58" i="6" s="1"/>
  <c r="BS59" i="6" a="1"/>
  <c r="BS59" i="6" s="1"/>
  <c r="BS56" i="6" a="1"/>
  <c r="BS56" i="6" s="1"/>
  <c r="BS55" i="6" a="1"/>
  <c r="BS55" i="6" s="1"/>
  <c r="BS53" i="6" a="1"/>
  <c r="BS53" i="6" s="1"/>
  <c r="BS54" i="6" a="1"/>
  <c r="BS54" i="6" s="1"/>
  <c r="BS60" i="6" a="1"/>
  <c r="BS60" i="6" s="1"/>
  <c r="BS61" i="6" a="1"/>
  <c r="BS61" i="6" s="1"/>
  <c r="BS52" i="6" a="1"/>
  <c r="BS52" i="6" s="1"/>
  <c r="BS49" i="6" a="1"/>
  <c r="BS49" i="6" s="1"/>
  <c r="BS50" i="6" a="1"/>
  <c r="BS50" i="6" s="1"/>
  <c r="BS47" i="6" a="1"/>
  <c r="BS47" i="6" s="1"/>
  <c r="BS45" i="6" a="1"/>
  <c r="BS45" i="6" s="1"/>
  <c r="BS43" i="6" a="1"/>
  <c r="BS43" i="6" s="1"/>
  <c r="BS42" i="6" a="1"/>
  <c r="BS42" i="6" s="1"/>
  <c r="BS40" i="6" a="1"/>
  <c r="BS40" i="6" s="1"/>
  <c r="BS39" i="6" a="1"/>
  <c r="BS39" i="6" s="1"/>
  <c r="BS37" i="6" a="1"/>
  <c r="BS37" i="6" s="1"/>
  <c r="BS35" i="6" a="1"/>
  <c r="BS35" i="6" s="1"/>
  <c r="BS20" i="6" a="1"/>
  <c r="BS20" i="6" s="1"/>
  <c r="BS33" i="6" a="1"/>
  <c r="BS33" i="6"/>
  <c r="BS31" i="6" a="1"/>
  <c r="BS31" i="6" s="1"/>
  <c r="BS32" i="6" a="1"/>
  <c r="BS32" i="6" s="1"/>
  <c r="BS30" i="6" a="1"/>
  <c r="BS30" i="6" s="1"/>
  <c r="BS28" i="6" a="1"/>
  <c r="BS28" i="6" s="1"/>
  <c r="BS27" i="6" a="1"/>
  <c r="BS27" i="6" s="1"/>
  <c r="BS26" i="6" a="1"/>
  <c r="BS26" i="6" s="1"/>
  <c r="BS25" i="6" a="1"/>
  <c r="BS25" i="6" s="1"/>
  <c r="BS23" i="6" a="1"/>
  <c r="BS23" i="6" s="1"/>
  <c r="BS22" i="6" a="1"/>
  <c r="BS22" i="6" s="1"/>
  <c r="BS18" i="6" a="1"/>
  <c r="BS18" i="6" s="1"/>
  <c r="BS16" i="6" a="1"/>
  <c r="BS16" i="6" s="1"/>
  <c r="BS14" i="6" a="1"/>
  <c r="BS14" i="6" s="1"/>
  <c r="BS13" i="6" a="1"/>
  <c r="BS13" i="6" s="1"/>
  <c r="BS11" i="6" a="1"/>
  <c r="BS11" i="6" s="1"/>
  <c r="BS10" i="6" a="1"/>
  <c r="BS10" i="6" s="1"/>
  <c r="BS9" i="6" a="1"/>
  <c r="BS9" i="6" s="1"/>
  <c r="J118" i="24"/>
  <c r="J117" i="24"/>
  <c r="J116" i="24"/>
  <c r="J115" i="24"/>
  <c r="J114" i="24"/>
  <c r="J113" i="24"/>
  <c r="J112" i="24"/>
  <c r="J111" i="24"/>
  <c r="J110" i="24"/>
  <c r="J109" i="24"/>
  <c r="J108" i="24"/>
  <c r="J107" i="24"/>
  <c r="J106" i="24"/>
  <c r="H118" i="24"/>
  <c r="H117" i="24"/>
  <c r="H116" i="24"/>
  <c r="H115" i="24"/>
  <c r="H114" i="24"/>
  <c r="H113" i="24"/>
  <c r="H112" i="24"/>
  <c r="H111" i="24"/>
  <c r="H110" i="24"/>
  <c r="H109" i="24"/>
  <c r="H108" i="24"/>
  <c r="H107" i="24"/>
  <c r="H106" i="24"/>
  <c r="F118" i="24"/>
  <c r="F117" i="24"/>
  <c r="F116" i="24"/>
  <c r="F115" i="24"/>
  <c r="F114" i="24"/>
  <c r="F113" i="24"/>
  <c r="F112" i="24"/>
  <c r="F111" i="24"/>
  <c r="F110" i="24"/>
  <c r="F109" i="24"/>
  <c r="F108" i="24"/>
  <c r="F107" i="24"/>
  <c r="F106" i="24"/>
  <c r="D118" i="24"/>
  <c r="D117" i="24"/>
  <c r="D116" i="24"/>
  <c r="D115" i="24"/>
  <c r="D114" i="24"/>
  <c r="D113" i="24"/>
  <c r="D112" i="24"/>
  <c r="D111" i="24"/>
  <c r="D110" i="24"/>
  <c r="D109" i="24"/>
  <c r="D108" i="24"/>
  <c r="D107" i="24"/>
  <c r="D106" i="24"/>
  <c r="C107" i="24"/>
  <c r="E107" i="24"/>
  <c r="G107" i="24"/>
  <c r="I107" i="24"/>
  <c r="K107" i="24"/>
  <c r="L107" i="24"/>
  <c r="C108" i="24"/>
  <c r="E108" i="24"/>
  <c r="G108" i="24"/>
  <c r="I108" i="24"/>
  <c r="K108" i="24"/>
  <c r="L108" i="24"/>
  <c r="C109" i="24"/>
  <c r="E109" i="24"/>
  <c r="G109" i="24"/>
  <c r="I109" i="24"/>
  <c r="K109" i="24"/>
  <c r="L109" i="24"/>
  <c r="C110" i="24"/>
  <c r="E110" i="24"/>
  <c r="G110" i="24"/>
  <c r="I110" i="24"/>
  <c r="K110" i="24"/>
  <c r="L110" i="24"/>
  <c r="C111" i="24"/>
  <c r="E111" i="24"/>
  <c r="G111" i="24"/>
  <c r="I111" i="24"/>
  <c r="K111" i="24"/>
  <c r="L111" i="24"/>
  <c r="C112" i="24"/>
  <c r="E112" i="24"/>
  <c r="G112" i="24"/>
  <c r="I112" i="24"/>
  <c r="K112" i="24"/>
  <c r="L112" i="24"/>
  <c r="C113" i="24"/>
  <c r="E113" i="24"/>
  <c r="G113" i="24"/>
  <c r="I113" i="24"/>
  <c r="K113" i="24"/>
  <c r="L113" i="24"/>
  <c r="C114" i="24"/>
  <c r="E114" i="24"/>
  <c r="G114" i="24"/>
  <c r="I114" i="24"/>
  <c r="K114" i="24"/>
  <c r="L114" i="24"/>
  <c r="C115" i="24"/>
  <c r="E115" i="24"/>
  <c r="G115" i="24"/>
  <c r="I115" i="24"/>
  <c r="K115" i="24"/>
  <c r="L115" i="24"/>
  <c r="C116" i="24"/>
  <c r="E116" i="24"/>
  <c r="G116" i="24"/>
  <c r="I116" i="24"/>
  <c r="K116" i="24"/>
  <c r="L116" i="24"/>
  <c r="C117" i="24"/>
  <c r="E117" i="24"/>
  <c r="G117" i="24"/>
  <c r="I117" i="24"/>
  <c r="K117" i="24"/>
  <c r="L117" i="24"/>
  <c r="C118" i="24"/>
  <c r="E118" i="24"/>
  <c r="G118" i="24"/>
  <c r="I118" i="24"/>
  <c r="K118" i="24"/>
  <c r="L118" i="24"/>
  <c r="E106" i="24"/>
  <c r="G106" i="24"/>
  <c r="I106" i="24"/>
  <c r="K106" i="24"/>
  <c r="L106" i="24"/>
  <c r="C106" i="24"/>
  <c r="X102" i="24"/>
  <c r="X101" i="24"/>
  <c r="X100" i="24"/>
  <c r="X99" i="24"/>
  <c r="X98" i="24"/>
  <c r="X97" i="24"/>
  <c r="X96" i="24"/>
  <c r="X95" i="24"/>
  <c r="X94" i="24"/>
  <c r="X93" i="24"/>
  <c r="X92" i="24"/>
  <c r="X91" i="24"/>
  <c r="X90" i="24"/>
  <c r="V102" i="24"/>
  <c r="V101" i="24"/>
  <c r="V100" i="24"/>
  <c r="V99" i="24"/>
  <c r="V98" i="24"/>
  <c r="V97" i="24"/>
  <c r="V96" i="24"/>
  <c r="V95" i="24"/>
  <c r="V94" i="24"/>
  <c r="V93" i="24"/>
  <c r="V92" i="24"/>
  <c r="V91" i="24"/>
  <c r="V90" i="24"/>
  <c r="T102" i="24"/>
  <c r="T101" i="24"/>
  <c r="T100" i="24"/>
  <c r="T99" i="24"/>
  <c r="T98" i="24"/>
  <c r="T97" i="24"/>
  <c r="T96" i="24"/>
  <c r="T95" i="24"/>
  <c r="T94" i="24"/>
  <c r="T93" i="24"/>
  <c r="T92" i="24"/>
  <c r="T91" i="24"/>
  <c r="T90" i="24"/>
  <c r="R102" i="24"/>
  <c r="R101" i="24"/>
  <c r="R100" i="24"/>
  <c r="R99" i="24"/>
  <c r="R98" i="24"/>
  <c r="R97" i="24"/>
  <c r="R96" i="24"/>
  <c r="R95" i="24"/>
  <c r="R94" i="24"/>
  <c r="R93" i="24"/>
  <c r="R92" i="24"/>
  <c r="R91" i="24"/>
  <c r="R90" i="24"/>
  <c r="P102" i="24"/>
  <c r="P101" i="24"/>
  <c r="P100" i="24"/>
  <c r="P99" i="24"/>
  <c r="P98" i="24"/>
  <c r="P97" i="24"/>
  <c r="P96" i="24"/>
  <c r="P95" i="24"/>
  <c r="P94" i="24"/>
  <c r="P93" i="24"/>
  <c r="P92" i="24"/>
  <c r="P91" i="24"/>
  <c r="P90" i="24"/>
  <c r="Q90" i="24"/>
  <c r="S90" i="24"/>
  <c r="U90" i="24"/>
  <c r="W90" i="24"/>
  <c r="Q91" i="24"/>
  <c r="S91" i="24"/>
  <c r="U91" i="24"/>
  <c r="W91" i="24"/>
  <c r="Q92" i="24"/>
  <c r="S92" i="24"/>
  <c r="U92" i="24"/>
  <c r="W92" i="24"/>
  <c r="Q93" i="24"/>
  <c r="S93" i="24"/>
  <c r="U93" i="24"/>
  <c r="W93" i="24"/>
  <c r="Q94" i="24"/>
  <c r="S94" i="24"/>
  <c r="U94" i="24"/>
  <c r="W94" i="24"/>
  <c r="Q95" i="24"/>
  <c r="S95" i="24"/>
  <c r="U95" i="24"/>
  <c r="W95" i="24"/>
  <c r="Q96" i="24"/>
  <c r="S96" i="24"/>
  <c r="U96" i="24"/>
  <c r="W96" i="24"/>
  <c r="Q97" i="24"/>
  <c r="S97" i="24"/>
  <c r="U97" i="24"/>
  <c r="W97" i="24"/>
  <c r="Q98" i="24"/>
  <c r="S98" i="24"/>
  <c r="U98" i="24"/>
  <c r="W98" i="24"/>
  <c r="Q99" i="24"/>
  <c r="S99" i="24"/>
  <c r="U99" i="24"/>
  <c r="W99" i="24"/>
  <c r="Q100" i="24"/>
  <c r="S100" i="24"/>
  <c r="U100" i="24"/>
  <c r="W100" i="24"/>
  <c r="Q101" i="24"/>
  <c r="S101" i="24"/>
  <c r="U101" i="24"/>
  <c r="W101" i="24"/>
  <c r="Q102" i="24"/>
  <c r="S102" i="24"/>
  <c r="U102" i="24"/>
  <c r="W102" i="24"/>
  <c r="O91" i="24"/>
  <c r="O92" i="24"/>
  <c r="O93" i="24"/>
  <c r="O94" i="24"/>
  <c r="O95" i="24"/>
  <c r="O96" i="24"/>
  <c r="O97" i="24"/>
  <c r="O98" i="24"/>
  <c r="O99" i="24"/>
  <c r="O100" i="24"/>
  <c r="O101" i="24"/>
  <c r="O102" i="24"/>
  <c r="O90" i="24"/>
  <c r="L102" i="24"/>
  <c r="L101" i="24"/>
  <c r="L100" i="24"/>
  <c r="L99" i="24"/>
  <c r="L98" i="24"/>
  <c r="L97" i="24"/>
  <c r="L96" i="24"/>
  <c r="L95" i="24"/>
  <c r="L94" i="24"/>
  <c r="L93" i="24"/>
  <c r="L92" i="24"/>
  <c r="L91" i="24"/>
  <c r="L90" i="24"/>
  <c r="J93" i="24"/>
  <c r="J102" i="24"/>
  <c r="J101" i="24"/>
  <c r="J100" i="24"/>
  <c r="J99" i="24"/>
  <c r="J98" i="24"/>
  <c r="J97" i="24"/>
  <c r="J96" i="24"/>
  <c r="J95" i="24"/>
  <c r="J94" i="24"/>
  <c r="J92" i="24"/>
  <c r="J91" i="24"/>
  <c r="J90" i="24"/>
  <c r="H102" i="24"/>
  <c r="H101" i="24"/>
  <c r="H100" i="24"/>
  <c r="H99" i="24"/>
  <c r="H98" i="24"/>
  <c r="H97" i="24"/>
  <c r="H96" i="24"/>
  <c r="H95" i="24"/>
  <c r="H94" i="24"/>
  <c r="H93" i="24"/>
  <c r="H92" i="24"/>
  <c r="H91" i="24"/>
  <c r="H90" i="24"/>
  <c r="F102" i="24"/>
  <c r="F101" i="24"/>
  <c r="F100" i="24"/>
  <c r="F99" i="24"/>
  <c r="F98" i="24"/>
  <c r="F97" i="24"/>
  <c r="F96" i="24"/>
  <c r="F95" i="24"/>
  <c r="F94" i="24"/>
  <c r="F93" i="24"/>
  <c r="F92" i="24"/>
  <c r="F91" i="24"/>
  <c r="F90" i="24"/>
  <c r="D90" i="24"/>
  <c r="D91" i="24"/>
  <c r="D92" i="24"/>
  <c r="D93" i="24"/>
  <c r="D94" i="24"/>
  <c r="D95" i="24"/>
  <c r="D96" i="24"/>
  <c r="D97" i="24"/>
  <c r="D98" i="24"/>
  <c r="D99" i="24"/>
  <c r="D100" i="24"/>
  <c r="D101" i="24"/>
  <c r="D102" i="24"/>
  <c r="E90" i="24"/>
  <c r="G90" i="24"/>
  <c r="I90" i="24"/>
  <c r="K90" i="24"/>
  <c r="E91" i="24"/>
  <c r="G91" i="24"/>
  <c r="I91" i="24"/>
  <c r="K91" i="24"/>
  <c r="E92" i="24"/>
  <c r="G92" i="24"/>
  <c r="I92" i="24"/>
  <c r="K92" i="24"/>
  <c r="E93" i="24"/>
  <c r="G93" i="24"/>
  <c r="I93" i="24"/>
  <c r="K93" i="24"/>
  <c r="E94" i="24"/>
  <c r="G94" i="24"/>
  <c r="I94" i="24"/>
  <c r="K94" i="24"/>
  <c r="E95" i="24"/>
  <c r="G95" i="24"/>
  <c r="I95" i="24"/>
  <c r="K95" i="24"/>
  <c r="E96" i="24"/>
  <c r="G96" i="24"/>
  <c r="I96" i="24"/>
  <c r="K96" i="24"/>
  <c r="E97" i="24"/>
  <c r="G97" i="24"/>
  <c r="I97" i="24"/>
  <c r="K97" i="24"/>
  <c r="E98" i="24"/>
  <c r="G98" i="24"/>
  <c r="I98" i="24"/>
  <c r="K98" i="24"/>
  <c r="E99" i="24"/>
  <c r="G99" i="24"/>
  <c r="I99" i="24"/>
  <c r="K99" i="24"/>
  <c r="E100" i="24"/>
  <c r="G100" i="24"/>
  <c r="I100" i="24"/>
  <c r="K100" i="24"/>
  <c r="E101" i="24"/>
  <c r="G101" i="24"/>
  <c r="I101" i="24"/>
  <c r="K101" i="24"/>
  <c r="E102" i="24"/>
  <c r="G102" i="24"/>
  <c r="I102" i="24"/>
  <c r="K102" i="24"/>
  <c r="C102" i="24"/>
  <c r="C91" i="24"/>
  <c r="C92" i="24"/>
  <c r="C93" i="24"/>
  <c r="C94" i="24"/>
  <c r="C95" i="24"/>
  <c r="C96" i="24"/>
  <c r="C97" i="24"/>
  <c r="C98" i="24"/>
  <c r="C99" i="24"/>
  <c r="C100" i="24"/>
  <c r="C101" i="24"/>
  <c r="C90" i="24"/>
  <c r="X75" i="24"/>
  <c r="X76" i="24"/>
  <c r="X77" i="24"/>
  <c r="X78" i="24"/>
  <c r="X79" i="24"/>
  <c r="X80" i="24"/>
  <c r="X81" i="24"/>
  <c r="X82" i="24"/>
  <c r="X83" i="24"/>
  <c r="X84" i="24"/>
  <c r="X85" i="24"/>
  <c r="X74" i="24"/>
  <c r="V75" i="24"/>
  <c r="V76" i="24"/>
  <c r="V77" i="24"/>
  <c r="V78" i="24"/>
  <c r="V79" i="24"/>
  <c r="V80" i="24"/>
  <c r="V81" i="24"/>
  <c r="V82" i="24"/>
  <c r="V83" i="24"/>
  <c r="V84" i="24"/>
  <c r="V85" i="24"/>
  <c r="V74" i="24"/>
  <c r="T75" i="24"/>
  <c r="T76" i="24"/>
  <c r="T77" i="24"/>
  <c r="T78" i="24"/>
  <c r="T79" i="24"/>
  <c r="T80" i="24"/>
  <c r="T81" i="24"/>
  <c r="T82" i="24"/>
  <c r="T83" i="24"/>
  <c r="T84" i="24"/>
  <c r="T85" i="24"/>
  <c r="T74" i="24"/>
  <c r="R75" i="24"/>
  <c r="R76" i="24"/>
  <c r="R77" i="24"/>
  <c r="R78" i="24"/>
  <c r="R79" i="24"/>
  <c r="R80" i="24"/>
  <c r="R81" i="24"/>
  <c r="R82" i="24"/>
  <c r="R83" i="24"/>
  <c r="R84" i="24"/>
  <c r="R85" i="24"/>
  <c r="R74" i="24"/>
  <c r="P75" i="24"/>
  <c r="P76" i="24"/>
  <c r="P77" i="24"/>
  <c r="P78" i="24"/>
  <c r="P79" i="24"/>
  <c r="P80" i="24"/>
  <c r="P81" i="24"/>
  <c r="P82" i="24"/>
  <c r="P83" i="24"/>
  <c r="P84" i="24"/>
  <c r="P85" i="24"/>
  <c r="P74" i="24"/>
  <c r="Q74" i="24"/>
  <c r="S74" i="24"/>
  <c r="U74" i="24"/>
  <c r="W74" i="24"/>
  <c r="Q75" i="24"/>
  <c r="S75" i="24"/>
  <c r="U75" i="24"/>
  <c r="W75" i="24"/>
  <c r="Q76" i="24"/>
  <c r="S76" i="24"/>
  <c r="U76" i="24"/>
  <c r="W76" i="24"/>
  <c r="Q77" i="24"/>
  <c r="S77" i="24"/>
  <c r="U77" i="24"/>
  <c r="W77" i="24"/>
  <c r="Q78" i="24"/>
  <c r="S78" i="24"/>
  <c r="U78" i="24"/>
  <c r="W78" i="24"/>
  <c r="Q79" i="24"/>
  <c r="S79" i="24"/>
  <c r="U79" i="24"/>
  <c r="W79" i="24"/>
  <c r="Q80" i="24"/>
  <c r="S80" i="24"/>
  <c r="U80" i="24"/>
  <c r="W80" i="24"/>
  <c r="Q81" i="24"/>
  <c r="S81" i="24"/>
  <c r="U81" i="24"/>
  <c r="W81" i="24"/>
  <c r="Q82" i="24"/>
  <c r="S82" i="24"/>
  <c r="U82" i="24"/>
  <c r="W82" i="24"/>
  <c r="Q83" i="24"/>
  <c r="S83" i="24"/>
  <c r="U83" i="24"/>
  <c r="W83" i="24"/>
  <c r="Q84" i="24"/>
  <c r="S84" i="24"/>
  <c r="U84" i="24"/>
  <c r="W84" i="24"/>
  <c r="Q85" i="24"/>
  <c r="S85" i="24"/>
  <c r="U85" i="24"/>
  <c r="W85" i="24"/>
  <c r="Q86" i="24"/>
  <c r="R86" i="24" s="1"/>
  <c r="S86" i="24"/>
  <c r="T86" i="24" s="1"/>
  <c r="U86" i="24"/>
  <c r="V86" i="24" s="1"/>
  <c r="W86" i="24"/>
  <c r="X86" i="24" s="1"/>
  <c r="O75" i="24"/>
  <c r="O76" i="24"/>
  <c r="O77" i="24"/>
  <c r="O78" i="24"/>
  <c r="O79" i="24"/>
  <c r="O80" i="24"/>
  <c r="O81" i="24"/>
  <c r="O82" i="24"/>
  <c r="O83" i="24"/>
  <c r="O84" i="24"/>
  <c r="O85" i="24"/>
  <c r="O86" i="24"/>
  <c r="P86" i="24" s="1"/>
  <c r="O74" i="24"/>
  <c r="L75" i="24"/>
  <c r="L76" i="24"/>
  <c r="L77" i="24"/>
  <c r="L78" i="24"/>
  <c r="L79" i="24"/>
  <c r="L80" i="24"/>
  <c r="L81" i="24"/>
  <c r="L82" i="24"/>
  <c r="L83" i="24"/>
  <c r="L84" i="24"/>
  <c r="L85" i="24"/>
  <c r="L86" i="24"/>
  <c r="L74" i="24"/>
  <c r="J75" i="24"/>
  <c r="J76" i="24"/>
  <c r="J77" i="24"/>
  <c r="J78" i="24"/>
  <c r="J79" i="24"/>
  <c r="J80" i="24"/>
  <c r="J81" i="24"/>
  <c r="J82" i="24"/>
  <c r="J83" i="24"/>
  <c r="J84" i="24"/>
  <c r="J85" i="24"/>
  <c r="J86" i="24"/>
  <c r="J74" i="24"/>
  <c r="H75" i="24"/>
  <c r="H76" i="24"/>
  <c r="H77" i="24"/>
  <c r="H78" i="24"/>
  <c r="H79" i="24"/>
  <c r="H80" i="24"/>
  <c r="H81" i="24"/>
  <c r="H82" i="24"/>
  <c r="H83" i="24"/>
  <c r="H84" i="24"/>
  <c r="H85" i="24"/>
  <c r="H86" i="24"/>
  <c r="H74" i="24"/>
  <c r="F75" i="24"/>
  <c r="F76" i="24"/>
  <c r="F77" i="24"/>
  <c r="F78" i="24"/>
  <c r="F79" i="24"/>
  <c r="F80" i="24"/>
  <c r="F81" i="24"/>
  <c r="F82" i="24"/>
  <c r="F83" i="24"/>
  <c r="F84" i="24"/>
  <c r="F85" i="24"/>
  <c r="F86" i="24"/>
  <c r="F74" i="24"/>
  <c r="D75" i="24"/>
  <c r="D76" i="24"/>
  <c r="D77" i="24"/>
  <c r="D78" i="24"/>
  <c r="D79" i="24"/>
  <c r="D80" i="24"/>
  <c r="D81" i="24"/>
  <c r="D82" i="24"/>
  <c r="D83" i="24"/>
  <c r="D84" i="24"/>
  <c r="D85" i="24"/>
  <c r="D86" i="24"/>
  <c r="D74" i="24"/>
  <c r="E74" i="24"/>
  <c r="G74" i="24"/>
  <c r="I74" i="24"/>
  <c r="K74" i="24"/>
  <c r="E75" i="24"/>
  <c r="G75" i="24"/>
  <c r="I75" i="24"/>
  <c r="K75" i="24"/>
  <c r="E76" i="24"/>
  <c r="G76" i="24"/>
  <c r="I76" i="24"/>
  <c r="K76" i="24"/>
  <c r="E77" i="24"/>
  <c r="G77" i="24"/>
  <c r="I77" i="24"/>
  <c r="K77" i="24"/>
  <c r="E78" i="24"/>
  <c r="G78" i="24"/>
  <c r="I78" i="24"/>
  <c r="K78" i="24"/>
  <c r="E79" i="24"/>
  <c r="G79" i="24"/>
  <c r="I79" i="24"/>
  <c r="K79" i="24"/>
  <c r="E80" i="24"/>
  <c r="G80" i="24"/>
  <c r="I80" i="24"/>
  <c r="K80" i="24"/>
  <c r="E81" i="24"/>
  <c r="G81" i="24"/>
  <c r="I81" i="24"/>
  <c r="K81" i="24"/>
  <c r="E82" i="24"/>
  <c r="G82" i="24"/>
  <c r="I82" i="24"/>
  <c r="K82" i="24"/>
  <c r="E83" i="24"/>
  <c r="G83" i="24"/>
  <c r="I83" i="24"/>
  <c r="K83" i="24"/>
  <c r="E84" i="24"/>
  <c r="G84" i="24"/>
  <c r="I84" i="24"/>
  <c r="K84" i="24"/>
  <c r="E85" i="24"/>
  <c r="G85" i="24"/>
  <c r="I85" i="24"/>
  <c r="K85" i="24"/>
  <c r="E86" i="24"/>
  <c r="G86" i="24"/>
  <c r="I86" i="24"/>
  <c r="K86" i="24"/>
  <c r="C75" i="24"/>
  <c r="C76" i="24"/>
  <c r="C77" i="24"/>
  <c r="C78" i="24"/>
  <c r="C79" i="24"/>
  <c r="C80" i="24"/>
  <c r="C81" i="24"/>
  <c r="C82" i="24"/>
  <c r="C83" i="24"/>
  <c r="C84" i="24"/>
  <c r="C85" i="24"/>
  <c r="C86" i="24"/>
  <c r="C74" i="24"/>
  <c r="X59" i="24"/>
  <c r="X60" i="24"/>
  <c r="X61" i="24"/>
  <c r="X62" i="24"/>
  <c r="X63" i="24"/>
  <c r="X64" i="24"/>
  <c r="X65" i="24"/>
  <c r="X66" i="24"/>
  <c r="X67" i="24"/>
  <c r="X68" i="24"/>
  <c r="X69" i="24"/>
  <c r="X70" i="24"/>
  <c r="X58" i="24"/>
  <c r="V59" i="24"/>
  <c r="V60" i="24"/>
  <c r="V61" i="24"/>
  <c r="V62" i="24"/>
  <c r="V63" i="24"/>
  <c r="V64" i="24"/>
  <c r="V65" i="24"/>
  <c r="V66" i="24"/>
  <c r="V67" i="24"/>
  <c r="V68" i="24"/>
  <c r="V69" i="24"/>
  <c r="V70" i="24"/>
  <c r="V58" i="24"/>
  <c r="T59" i="24"/>
  <c r="T60" i="24"/>
  <c r="T61" i="24"/>
  <c r="T62" i="24"/>
  <c r="T63" i="24"/>
  <c r="T64" i="24"/>
  <c r="T65" i="24"/>
  <c r="T66" i="24"/>
  <c r="T67" i="24"/>
  <c r="T68" i="24"/>
  <c r="T69" i="24"/>
  <c r="T70" i="24"/>
  <c r="T58" i="24"/>
  <c r="R59" i="24"/>
  <c r="R60" i="24"/>
  <c r="R61" i="24"/>
  <c r="R62" i="24"/>
  <c r="R63" i="24"/>
  <c r="R64" i="24"/>
  <c r="R65" i="24"/>
  <c r="R66" i="24"/>
  <c r="R67" i="24"/>
  <c r="R68" i="24"/>
  <c r="R69" i="24"/>
  <c r="R70" i="24"/>
  <c r="R58" i="24"/>
  <c r="P59" i="24"/>
  <c r="P60" i="24"/>
  <c r="P61" i="24"/>
  <c r="P62" i="24"/>
  <c r="P63" i="24"/>
  <c r="P64" i="24"/>
  <c r="P65" i="24"/>
  <c r="P66" i="24"/>
  <c r="P67" i="24"/>
  <c r="P68" i="24"/>
  <c r="P69" i="24"/>
  <c r="P70" i="24"/>
  <c r="P58" i="24"/>
  <c r="Q58" i="24"/>
  <c r="S58" i="24"/>
  <c r="U58" i="24"/>
  <c r="W58" i="24"/>
  <c r="Q59" i="24"/>
  <c r="S59" i="24"/>
  <c r="U59" i="24"/>
  <c r="W59" i="24"/>
  <c r="Q60" i="24"/>
  <c r="S60" i="24"/>
  <c r="U60" i="24"/>
  <c r="W60" i="24"/>
  <c r="Q61" i="24"/>
  <c r="S61" i="24"/>
  <c r="U61" i="24"/>
  <c r="W61" i="24"/>
  <c r="Q62" i="24"/>
  <c r="S62" i="24"/>
  <c r="U62" i="24"/>
  <c r="W62" i="24"/>
  <c r="Q63" i="24"/>
  <c r="S63" i="24"/>
  <c r="U63" i="24"/>
  <c r="W63" i="24"/>
  <c r="Q64" i="24"/>
  <c r="S64" i="24"/>
  <c r="U64" i="24"/>
  <c r="W64" i="24"/>
  <c r="Q65" i="24"/>
  <c r="S65" i="24"/>
  <c r="U65" i="24"/>
  <c r="W65" i="24"/>
  <c r="Q66" i="24"/>
  <c r="S66" i="24"/>
  <c r="U66" i="24"/>
  <c r="W66" i="24"/>
  <c r="Q67" i="24"/>
  <c r="S67" i="24"/>
  <c r="U67" i="24"/>
  <c r="W67" i="24"/>
  <c r="Q68" i="24"/>
  <c r="S68" i="24"/>
  <c r="U68" i="24"/>
  <c r="W68" i="24"/>
  <c r="Q69" i="24"/>
  <c r="S69" i="24"/>
  <c r="U69" i="24"/>
  <c r="W69" i="24"/>
  <c r="Q70" i="24"/>
  <c r="S70" i="24"/>
  <c r="U70" i="24"/>
  <c r="W70" i="24"/>
  <c r="O59" i="24"/>
  <c r="O60" i="24"/>
  <c r="O61" i="24"/>
  <c r="O62" i="24"/>
  <c r="O63" i="24"/>
  <c r="O64" i="24"/>
  <c r="O65" i="24"/>
  <c r="O66" i="24"/>
  <c r="O67" i="24"/>
  <c r="O68" i="24"/>
  <c r="O69" i="24"/>
  <c r="O70" i="24"/>
  <c r="O58" i="24"/>
  <c r="L59" i="24"/>
  <c r="L60" i="24"/>
  <c r="L61" i="24"/>
  <c r="L62" i="24"/>
  <c r="L63" i="24"/>
  <c r="L64" i="24"/>
  <c r="L65" i="24"/>
  <c r="L66" i="24"/>
  <c r="L67" i="24"/>
  <c r="L68" i="24"/>
  <c r="L69" i="24"/>
  <c r="L70" i="24"/>
  <c r="L58" i="24"/>
  <c r="J59" i="24"/>
  <c r="J60" i="24"/>
  <c r="J61" i="24"/>
  <c r="J62" i="24"/>
  <c r="J63" i="24"/>
  <c r="J64" i="24"/>
  <c r="J65" i="24"/>
  <c r="J66" i="24"/>
  <c r="J67" i="24"/>
  <c r="J68" i="24"/>
  <c r="J69" i="24"/>
  <c r="J70" i="24"/>
  <c r="J58" i="24"/>
  <c r="H59" i="24"/>
  <c r="H60" i="24"/>
  <c r="H61" i="24"/>
  <c r="H62" i="24"/>
  <c r="H63" i="24"/>
  <c r="H64" i="24"/>
  <c r="H65" i="24"/>
  <c r="H66" i="24"/>
  <c r="H67" i="24"/>
  <c r="H68" i="24"/>
  <c r="H69" i="24"/>
  <c r="H70" i="24"/>
  <c r="H58" i="24"/>
  <c r="F59" i="24"/>
  <c r="F60" i="24"/>
  <c r="F61" i="24"/>
  <c r="F62" i="24"/>
  <c r="F63" i="24"/>
  <c r="F64" i="24"/>
  <c r="F65" i="24"/>
  <c r="F66" i="24"/>
  <c r="F67" i="24"/>
  <c r="F68" i="24"/>
  <c r="F69" i="24"/>
  <c r="F70" i="24"/>
  <c r="F58" i="24"/>
  <c r="D59" i="24"/>
  <c r="D60" i="24"/>
  <c r="D61" i="24"/>
  <c r="D62" i="24"/>
  <c r="D63" i="24"/>
  <c r="D64" i="24"/>
  <c r="D65" i="24"/>
  <c r="D66" i="24"/>
  <c r="D67" i="24"/>
  <c r="D68" i="24"/>
  <c r="D69" i="24"/>
  <c r="D70" i="24"/>
  <c r="D58" i="24"/>
  <c r="E58" i="24"/>
  <c r="G58" i="24"/>
  <c r="I58" i="24"/>
  <c r="K58" i="24"/>
  <c r="E59" i="24"/>
  <c r="G59" i="24"/>
  <c r="I59" i="24"/>
  <c r="K59" i="24"/>
  <c r="E60" i="24"/>
  <c r="G60" i="24"/>
  <c r="I60" i="24"/>
  <c r="K60" i="24"/>
  <c r="E61" i="24"/>
  <c r="G61" i="24"/>
  <c r="I61" i="24"/>
  <c r="K61" i="24"/>
  <c r="E62" i="24"/>
  <c r="G62" i="24"/>
  <c r="I62" i="24"/>
  <c r="K62" i="24"/>
  <c r="E63" i="24"/>
  <c r="G63" i="24"/>
  <c r="I63" i="24"/>
  <c r="K63" i="24"/>
  <c r="E64" i="24"/>
  <c r="G64" i="24"/>
  <c r="I64" i="24"/>
  <c r="K64" i="24"/>
  <c r="E65" i="24"/>
  <c r="G65" i="24"/>
  <c r="I65" i="24"/>
  <c r="K65" i="24"/>
  <c r="E66" i="24"/>
  <c r="G66" i="24"/>
  <c r="I66" i="24"/>
  <c r="K66" i="24"/>
  <c r="E67" i="24"/>
  <c r="G67" i="24"/>
  <c r="I67" i="24"/>
  <c r="K67" i="24"/>
  <c r="E68" i="24"/>
  <c r="G68" i="24"/>
  <c r="I68" i="24"/>
  <c r="K68" i="24"/>
  <c r="E69" i="24"/>
  <c r="G69" i="24"/>
  <c r="I69" i="24"/>
  <c r="K69" i="24"/>
  <c r="E70" i="24"/>
  <c r="G70" i="24"/>
  <c r="I70" i="24"/>
  <c r="K70" i="24"/>
  <c r="C59" i="24"/>
  <c r="C60" i="24"/>
  <c r="C61" i="24"/>
  <c r="C62" i="24"/>
  <c r="C63" i="24"/>
  <c r="C64" i="24"/>
  <c r="C65" i="24"/>
  <c r="C66" i="24"/>
  <c r="C67" i="24"/>
  <c r="C68" i="24"/>
  <c r="C69" i="24"/>
  <c r="C70" i="24"/>
  <c r="C58" i="24"/>
  <c r="X43" i="24"/>
  <c r="X44" i="24"/>
  <c r="X45" i="24"/>
  <c r="X46" i="24"/>
  <c r="X47" i="24"/>
  <c r="X48" i="24"/>
  <c r="X49" i="24"/>
  <c r="X50" i="24"/>
  <c r="X51" i="24"/>
  <c r="X52" i="24"/>
  <c r="X53" i="24"/>
  <c r="X54" i="24"/>
  <c r="X42" i="24"/>
  <c r="V43" i="24"/>
  <c r="V44" i="24"/>
  <c r="V45" i="24"/>
  <c r="V46" i="24"/>
  <c r="V47" i="24"/>
  <c r="V48" i="24"/>
  <c r="V49" i="24"/>
  <c r="V50" i="24"/>
  <c r="V51" i="24"/>
  <c r="V52" i="24"/>
  <c r="V53" i="24"/>
  <c r="V54" i="24"/>
  <c r="V42" i="24"/>
  <c r="T43" i="24"/>
  <c r="T44" i="24"/>
  <c r="T45" i="24"/>
  <c r="T46" i="24"/>
  <c r="T47" i="24"/>
  <c r="T48" i="24"/>
  <c r="T49" i="24"/>
  <c r="T50" i="24"/>
  <c r="T51" i="24"/>
  <c r="T52" i="24"/>
  <c r="T53" i="24"/>
  <c r="T54" i="24"/>
  <c r="T42" i="24"/>
  <c r="R43" i="24"/>
  <c r="R44" i="24"/>
  <c r="R45" i="24"/>
  <c r="R46" i="24"/>
  <c r="R47" i="24"/>
  <c r="R48" i="24"/>
  <c r="R49" i="24"/>
  <c r="R50" i="24"/>
  <c r="R51" i="24"/>
  <c r="R52" i="24"/>
  <c r="R53" i="24"/>
  <c r="R54" i="24"/>
  <c r="R42" i="24"/>
  <c r="P43" i="24"/>
  <c r="P44" i="24"/>
  <c r="P45" i="24"/>
  <c r="P46" i="24"/>
  <c r="P47" i="24"/>
  <c r="P48" i="24"/>
  <c r="P49" i="24"/>
  <c r="P50" i="24"/>
  <c r="P51" i="24"/>
  <c r="P52" i="24"/>
  <c r="P53" i="24"/>
  <c r="P54" i="24"/>
  <c r="Q42" i="24"/>
  <c r="P42" i="24" s="1"/>
  <c r="Q43" i="24"/>
  <c r="Q44" i="24"/>
  <c r="Q45" i="24"/>
  <c r="Q46" i="24"/>
  <c r="Q47" i="24"/>
  <c r="Q48" i="24"/>
  <c r="Q49" i="24"/>
  <c r="Q50" i="24"/>
  <c r="Q51" i="24"/>
  <c r="Q52" i="24"/>
  <c r="Q53" i="24"/>
  <c r="Q54" i="24"/>
  <c r="S42" i="24"/>
  <c r="U42" i="24"/>
  <c r="W42" i="24"/>
  <c r="S43" i="24"/>
  <c r="U43" i="24"/>
  <c r="W43" i="24"/>
  <c r="S44" i="24"/>
  <c r="U44" i="24"/>
  <c r="W44" i="24"/>
  <c r="S45" i="24"/>
  <c r="U45" i="24"/>
  <c r="W45" i="24"/>
  <c r="S46" i="24"/>
  <c r="U46" i="24"/>
  <c r="W46" i="24"/>
  <c r="S47" i="24"/>
  <c r="U47" i="24"/>
  <c r="W47" i="24"/>
  <c r="S48" i="24"/>
  <c r="U48" i="24"/>
  <c r="W48" i="24"/>
  <c r="S49" i="24"/>
  <c r="U49" i="24"/>
  <c r="W49" i="24"/>
  <c r="S50" i="24"/>
  <c r="U50" i="24"/>
  <c r="W50" i="24"/>
  <c r="S51" i="24"/>
  <c r="U51" i="24"/>
  <c r="W51" i="24"/>
  <c r="S52" i="24"/>
  <c r="U52" i="24"/>
  <c r="W52" i="24"/>
  <c r="S53" i="24"/>
  <c r="U53" i="24"/>
  <c r="W53" i="24"/>
  <c r="S54" i="24"/>
  <c r="U54" i="24"/>
  <c r="W54" i="24"/>
  <c r="O43" i="24"/>
  <c r="O44" i="24"/>
  <c r="O45" i="24"/>
  <c r="O46" i="24"/>
  <c r="O47" i="24"/>
  <c r="O48" i="24"/>
  <c r="O49" i="24"/>
  <c r="O50" i="24"/>
  <c r="O51" i="24"/>
  <c r="O52" i="24"/>
  <c r="O53" i="24"/>
  <c r="O54" i="24"/>
  <c r="O42" i="24"/>
  <c r="L43" i="24"/>
  <c r="L44" i="24"/>
  <c r="L45" i="24"/>
  <c r="L46" i="24"/>
  <c r="L47" i="24"/>
  <c r="L48" i="24"/>
  <c r="L49" i="24"/>
  <c r="L50" i="24"/>
  <c r="L51" i="24"/>
  <c r="L52" i="24"/>
  <c r="L53" i="24"/>
  <c r="L42" i="24"/>
  <c r="J43" i="24"/>
  <c r="J44" i="24"/>
  <c r="J45" i="24"/>
  <c r="J46" i="24"/>
  <c r="J47" i="24"/>
  <c r="J48" i="24"/>
  <c r="J49" i="24"/>
  <c r="J50" i="24"/>
  <c r="J51" i="24"/>
  <c r="J52" i="24"/>
  <c r="J53" i="24"/>
  <c r="J42" i="24"/>
  <c r="H43" i="24"/>
  <c r="H44" i="24"/>
  <c r="H45" i="24"/>
  <c r="H46" i="24"/>
  <c r="H47" i="24"/>
  <c r="H48" i="24"/>
  <c r="H49" i="24"/>
  <c r="H50" i="24"/>
  <c r="H51" i="24"/>
  <c r="H52" i="24"/>
  <c r="H53" i="24"/>
  <c r="H54" i="24"/>
  <c r="H42" i="24"/>
  <c r="F43" i="24"/>
  <c r="F44" i="24"/>
  <c r="F45" i="24"/>
  <c r="F46" i="24"/>
  <c r="F47" i="24"/>
  <c r="F48" i="24"/>
  <c r="F49" i="24"/>
  <c r="F50" i="24"/>
  <c r="F51" i="24"/>
  <c r="F52" i="24"/>
  <c r="F53" i="24"/>
  <c r="F42" i="24"/>
  <c r="D43" i="24"/>
  <c r="D44" i="24"/>
  <c r="D45" i="24"/>
  <c r="D46" i="24"/>
  <c r="D47" i="24"/>
  <c r="D48" i="24"/>
  <c r="D49" i="24"/>
  <c r="D50" i="24"/>
  <c r="D51" i="24"/>
  <c r="D52" i="24"/>
  <c r="D53" i="24"/>
  <c r="D42" i="24"/>
  <c r="C43" i="24"/>
  <c r="E43" i="24"/>
  <c r="G43" i="24"/>
  <c r="I43" i="24"/>
  <c r="K43" i="24"/>
  <c r="C44" i="24"/>
  <c r="E44" i="24"/>
  <c r="G44" i="24"/>
  <c r="I44" i="24"/>
  <c r="K44" i="24"/>
  <c r="C45" i="24"/>
  <c r="E45" i="24"/>
  <c r="G45" i="24"/>
  <c r="I45" i="24"/>
  <c r="K45" i="24"/>
  <c r="C46" i="24"/>
  <c r="E46" i="24"/>
  <c r="G46" i="24"/>
  <c r="I46" i="24"/>
  <c r="K46" i="24"/>
  <c r="C47" i="24"/>
  <c r="E47" i="24"/>
  <c r="G47" i="24"/>
  <c r="I47" i="24"/>
  <c r="K47" i="24"/>
  <c r="C48" i="24"/>
  <c r="E48" i="24"/>
  <c r="G48" i="24"/>
  <c r="I48" i="24"/>
  <c r="K48" i="24"/>
  <c r="C49" i="24"/>
  <c r="E49" i="24"/>
  <c r="G49" i="24"/>
  <c r="I49" i="24"/>
  <c r="K49" i="24"/>
  <c r="C50" i="24"/>
  <c r="E50" i="24"/>
  <c r="G50" i="24"/>
  <c r="I50" i="24"/>
  <c r="K50" i="24"/>
  <c r="C51" i="24"/>
  <c r="E51" i="24"/>
  <c r="G51" i="24"/>
  <c r="I51" i="24"/>
  <c r="K51" i="24"/>
  <c r="C52" i="24"/>
  <c r="E52" i="24"/>
  <c r="G52" i="24"/>
  <c r="I52" i="24"/>
  <c r="K52" i="24"/>
  <c r="C53" i="24"/>
  <c r="E53" i="24"/>
  <c r="G53" i="24"/>
  <c r="I53" i="24"/>
  <c r="K53" i="24"/>
  <c r="C54" i="24"/>
  <c r="D54" i="24" s="1"/>
  <c r="E54" i="24"/>
  <c r="F54" i="24" s="1"/>
  <c r="G54" i="24"/>
  <c r="I54" i="24"/>
  <c r="J54" i="24" s="1"/>
  <c r="K54" i="24"/>
  <c r="L54" i="24" s="1"/>
  <c r="E42" i="24"/>
  <c r="G42" i="24"/>
  <c r="I42" i="24"/>
  <c r="K42" i="24"/>
  <c r="C42" i="24"/>
  <c r="X27" i="24"/>
  <c r="X28" i="24"/>
  <c r="X29" i="24"/>
  <c r="X30" i="24"/>
  <c r="X31" i="24"/>
  <c r="X32" i="24"/>
  <c r="X33" i="24"/>
  <c r="X34" i="24"/>
  <c r="X35" i="24"/>
  <c r="X36" i="24"/>
  <c r="X37" i="24"/>
  <c r="X38" i="24"/>
  <c r="X26" i="24"/>
  <c r="V27" i="24"/>
  <c r="V28" i="24"/>
  <c r="V29" i="24"/>
  <c r="V30" i="24"/>
  <c r="V31" i="24"/>
  <c r="V32" i="24"/>
  <c r="V33" i="24"/>
  <c r="V34" i="24"/>
  <c r="V35" i="24"/>
  <c r="V36" i="24"/>
  <c r="V37" i="24"/>
  <c r="V38" i="24"/>
  <c r="V26" i="24"/>
  <c r="T27" i="24"/>
  <c r="T28" i="24"/>
  <c r="T29" i="24"/>
  <c r="T30" i="24"/>
  <c r="T31" i="24"/>
  <c r="T32" i="24"/>
  <c r="T33" i="24"/>
  <c r="T34" i="24"/>
  <c r="T35" i="24"/>
  <c r="T36" i="24"/>
  <c r="T37" i="24"/>
  <c r="T38" i="24"/>
  <c r="T26" i="24"/>
  <c r="R27" i="24"/>
  <c r="R28" i="24"/>
  <c r="R29" i="24"/>
  <c r="R30" i="24"/>
  <c r="R31" i="24"/>
  <c r="R32" i="24"/>
  <c r="R33" i="24"/>
  <c r="R34" i="24"/>
  <c r="R35" i="24"/>
  <c r="R36" i="24"/>
  <c r="R37" i="24"/>
  <c r="R38" i="24"/>
  <c r="R26" i="24"/>
  <c r="P27" i="24"/>
  <c r="P28" i="24"/>
  <c r="P29" i="24"/>
  <c r="P30" i="24"/>
  <c r="P31" i="24"/>
  <c r="P32" i="24"/>
  <c r="P33" i="24"/>
  <c r="P34" i="24"/>
  <c r="P35" i="24"/>
  <c r="P36" i="24"/>
  <c r="P37" i="24"/>
  <c r="P38" i="24"/>
  <c r="P26" i="24"/>
  <c r="O27" i="24"/>
  <c r="Q27" i="24"/>
  <c r="S27" i="24"/>
  <c r="U27" i="24"/>
  <c r="W27" i="24"/>
  <c r="O28" i="24"/>
  <c r="Q28" i="24"/>
  <c r="S28" i="24"/>
  <c r="U28" i="24"/>
  <c r="W28" i="24"/>
  <c r="O29" i="24"/>
  <c r="Q29" i="24"/>
  <c r="S29" i="24"/>
  <c r="U29" i="24"/>
  <c r="W29" i="24"/>
  <c r="O30" i="24"/>
  <c r="Q30" i="24"/>
  <c r="S30" i="24"/>
  <c r="U30" i="24"/>
  <c r="W30" i="24"/>
  <c r="O31" i="24"/>
  <c r="Q31" i="24"/>
  <c r="S31" i="24"/>
  <c r="U31" i="24"/>
  <c r="W31" i="24"/>
  <c r="O32" i="24"/>
  <c r="Q32" i="24"/>
  <c r="S32" i="24"/>
  <c r="U32" i="24"/>
  <c r="W32" i="24"/>
  <c r="O33" i="24"/>
  <c r="Q33" i="24"/>
  <c r="S33" i="24"/>
  <c r="U33" i="24"/>
  <c r="W33" i="24"/>
  <c r="O34" i="24"/>
  <c r="Q34" i="24"/>
  <c r="S34" i="24"/>
  <c r="U34" i="24"/>
  <c r="W34" i="24"/>
  <c r="O35" i="24"/>
  <c r="Q35" i="24"/>
  <c r="S35" i="24"/>
  <c r="U35" i="24"/>
  <c r="W35" i="24"/>
  <c r="O36" i="24"/>
  <c r="Q36" i="24"/>
  <c r="S36" i="24"/>
  <c r="U36" i="24"/>
  <c r="W36" i="24"/>
  <c r="O37" i="24"/>
  <c r="Q37" i="24"/>
  <c r="S37" i="24"/>
  <c r="U37" i="24"/>
  <c r="W37" i="24"/>
  <c r="O38" i="24"/>
  <c r="Q38" i="24"/>
  <c r="S38" i="24"/>
  <c r="U38" i="24"/>
  <c r="W38" i="24"/>
  <c r="Q26" i="24"/>
  <c r="S26" i="24"/>
  <c r="U26" i="24"/>
  <c r="W26" i="24"/>
  <c r="O26" i="24"/>
  <c r="L27" i="24"/>
  <c r="L28" i="24"/>
  <c r="L29" i="24"/>
  <c r="L30" i="24"/>
  <c r="L31" i="24"/>
  <c r="L32" i="24"/>
  <c r="L33" i="24"/>
  <c r="L34" i="24"/>
  <c r="L35" i="24"/>
  <c r="L36" i="24"/>
  <c r="L37" i="24"/>
  <c r="L38" i="24"/>
  <c r="L26" i="24"/>
  <c r="J27" i="24"/>
  <c r="J28" i="24"/>
  <c r="J29" i="24"/>
  <c r="J30" i="24"/>
  <c r="J31" i="24"/>
  <c r="J32" i="24"/>
  <c r="J33" i="24"/>
  <c r="J34" i="24"/>
  <c r="J35" i="24"/>
  <c r="J36" i="24"/>
  <c r="J37" i="24"/>
  <c r="J38" i="24"/>
  <c r="J26" i="24"/>
  <c r="H27" i="24"/>
  <c r="H28" i="24"/>
  <c r="H29" i="24"/>
  <c r="H30" i="24"/>
  <c r="H31" i="24"/>
  <c r="H32" i="24"/>
  <c r="H33" i="24"/>
  <c r="H34" i="24"/>
  <c r="H35" i="24"/>
  <c r="H36" i="24"/>
  <c r="H37" i="24"/>
  <c r="H38" i="24"/>
  <c r="H26" i="24"/>
  <c r="F27" i="24"/>
  <c r="F28" i="24"/>
  <c r="F29" i="24"/>
  <c r="F30" i="24"/>
  <c r="F31" i="24"/>
  <c r="F32" i="24"/>
  <c r="F33" i="24"/>
  <c r="F34" i="24"/>
  <c r="F35" i="24"/>
  <c r="F36" i="24"/>
  <c r="F37" i="24"/>
  <c r="F38" i="24"/>
  <c r="F26" i="24"/>
  <c r="D27" i="24"/>
  <c r="D28" i="24"/>
  <c r="D29" i="24"/>
  <c r="D30" i="24"/>
  <c r="D31" i="24"/>
  <c r="D32" i="24"/>
  <c r="D33" i="24"/>
  <c r="D34" i="24"/>
  <c r="D35" i="24"/>
  <c r="D36" i="24"/>
  <c r="D37" i="24"/>
  <c r="D38" i="24"/>
  <c r="D26" i="24"/>
  <c r="C27" i="24"/>
  <c r="E27" i="24"/>
  <c r="G27" i="24"/>
  <c r="I27" i="24"/>
  <c r="K27" i="24"/>
  <c r="C28" i="24"/>
  <c r="E28" i="24"/>
  <c r="G28" i="24"/>
  <c r="I28" i="24"/>
  <c r="K28" i="24"/>
  <c r="C29" i="24"/>
  <c r="E29" i="24"/>
  <c r="G29" i="24"/>
  <c r="I29" i="24"/>
  <c r="K29" i="24"/>
  <c r="C30" i="24"/>
  <c r="E30" i="24"/>
  <c r="G30" i="24"/>
  <c r="I30" i="24"/>
  <c r="K30" i="24"/>
  <c r="C31" i="24"/>
  <c r="E31" i="24"/>
  <c r="G31" i="24"/>
  <c r="I31" i="24"/>
  <c r="K31" i="24"/>
  <c r="C32" i="24"/>
  <c r="E32" i="24"/>
  <c r="G32" i="24"/>
  <c r="I32" i="24"/>
  <c r="K32" i="24"/>
  <c r="C33" i="24"/>
  <c r="E33" i="24"/>
  <c r="G33" i="24"/>
  <c r="I33" i="24"/>
  <c r="K33" i="24"/>
  <c r="C34" i="24"/>
  <c r="E34" i="24"/>
  <c r="G34" i="24"/>
  <c r="I34" i="24"/>
  <c r="K34" i="24"/>
  <c r="C35" i="24"/>
  <c r="E35" i="24"/>
  <c r="G35" i="24"/>
  <c r="I35" i="24"/>
  <c r="K35" i="24"/>
  <c r="C36" i="24"/>
  <c r="E36" i="24"/>
  <c r="G36" i="24"/>
  <c r="I36" i="24"/>
  <c r="K36" i="24"/>
  <c r="C37" i="24"/>
  <c r="E37" i="24"/>
  <c r="G37" i="24"/>
  <c r="I37" i="24"/>
  <c r="K37" i="24"/>
  <c r="C38" i="24"/>
  <c r="E38" i="24"/>
  <c r="G38" i="24"/>
  <c r="I38" i="24"/>
  <c r="K38" i="24"/>
  <c r="E26" i="24"/>
  <c r="G26" i="24"/>
  <c r="I26" i="24"/>
  <c r="K26" i="24"/>
  <c r="C26" i="24"/>
  <c r="X11" i="24"/>
  <c r="X12" i="24"/>
  <c r="X13" i="24"/>
  <c r="X14" i="24"/>
  <c r="X15" i="24"/>
  <c r="X16" i="24"/>
  <c r="X17" i="24"/>
  <c r="X18" i="24"/>
  <c r="X19" i="24"/>
  <c r="X20" i="24"/>
  <c r="X21" i="24"/>
  <c r="X22" i="24"/>
  <c r="X10" i="24"/>
  <c r="V11" i="24"/>
  <c r="V12" i="24"/>
  <c r="V13" i="24"/>
  <c r="V14" i="24"/>
  <c r="V15" i="24"/>
  <c r="V16" i="24"/>
  <c r="V17" i="24"/>
  <c r="V18" i="24"/>
  <c r="V19" i="24"/>
  <c r="V20" i="24"/>
  <c r="V21" i="24"/>
  <c r="V22" i="24"/>
  <c r="V10" i="24"/>
  <c r="T11" i="24"/>
  <c r="T12" i="24"/>
  <c r="T13" i="24"/>
  <c r="T14" i="24"/>
  <c r="T15" i="24"/>
  <c r="T16" i="24"/>
  <c r="T17" i="24"/>
  <c r="T18" i="24"/>
  <c r="T19" i="24"/>
  <c r="T20" i="24"/>
  <c r="T21" i="24"/>
  <c r="T22" i="24"/>
  <c r="T10" i="24"/>
  <c r="R11" i="24"/>
  <c r="R12" i="24"/>
  <c r="R13" i="24"/>
  <c r="R14" i="24"/>
  <c r="R15" i="24"/>
  <c r="R16" i="24"/>
  <c r="R17" i="24"/>
  <c r="R18" i="24"/>
  <c r="R19" i="24"/>
  <c r="R20" i="24"/>
  <c r="R21" i="24"/>
  <c r="R22" i="24"/>
  <c r="R10" i="24"/>
  <c r="P11" i="24"/>
  <c r="P12" i="24"/>
  <c r="P13" i="24"/>
  <c r="P14" i="24"/>
  <c r="P15" i="24"/>
  <c r="P16" i="24"/>
  <c r="P17" i="24"/>
  <c r="P18" i="24"/>
  <c r="P19" i="24"/>
  <c r="P20" i="24"/>
  <c r="P21" i="24"/>
  <c r="P22" i="24"/>
  <c r="P10" i="24"/>
  <c r="W11" i="24"/>
  <c r="W12" i="24"/>
  <c r="W13" i="24"/>
  <c r="W14" i="24"/>
  <c r="W15" i="24"/>
  <c r="W16" i="24"/>
  <c r="W17" i="24"/>
  <c r="W18" i="24"/>
  <c r="W19" i="24"/>
  <c r="W20" i="24"/>
  <c r="W21" i="24"/>
  <c r="W22" i="24"/>
  <c r="U22" i="24"/>
  <c r="U11" i="24"/>
  <c r="U12" i="24"/>
  <c r="U13" i="24"/>
  <c r="U14" i="24"/>
  <c r="U15" i="24"/>
  <c r="U16" i="24"/>
  <c r="U17" i="24"/>
  <c r="U18" i="24"/>
  <c r="U19" i="24"/>
  <c r="U20" i="24"/>
  <c r="U21" i="24"/>
  <c r="S11" i="24"/>
  <c r="S12" i="24"/>
  <c r="S13" i="24"/>
  <c r="S14" i="24"/>
  <c r="S15" i="24"/>
  <c r="S16" i="24"/>
  <c r="S17" i="24"/>
  <c r="S18" i="24"/>
  <c r="S19" i="24"/>
  <c r="S20" i="24"/>
  <c r="S21" i="24"/>
  <c r="S22" i="24"/>
  <c r="Q11" i="24"/>
  <c r="Q12" i="24"/>
  <c r="Q13" i="24"/>
  <c r="Q14" i="24"/>
  <c r="Q15" i="24"/>
  <c r="Q16" i="24"/>
  <c r="Q17" i="24"/>
  <c r="Q18" i="24"/>
  <c r="Q19" i="24"/>
  <c r="Q20" i="24"/>
  <c r="Q21" i="24"/>
  <c r="Q22" i="24"/>
  <c r="O11" i="24"/>
  <c r="O12" i="24"/>
  <c r="O13" i="24"/>
  <c r="O14" i="24"/>
  <c r="O15" i="24"/>
  <c r="O16" i="24"/>
  <c r="O17" i="24"/>
  <c r="O18" i="24"/>
  <c r="O19" i="24"/>
  <c r="O20" i="24"/>
  <c r="O21" i="24"/>
  <c r="O22" i="24"/>
  <c r="Q10" i="24"/>
  <c r="S10" i="24"/>
  <c r="U10" i="24"/>
  <c r="W10" i="24"/>
  <c r="O10" i="24"/>
  <c r="L11" i="24"/>
  <c r="L12" i="24"/>
  <c r="L13" i="24"/>
  <c r="L14" i="24"/>
  <c r="L15" i="24"/>
  <c r="L16" i="24"/>
  <c r="L17" i="24"/>
  <c r="L18" i="24"/>
  <c r="L19" i="24"/>
  <c r="L20" i="24"/>
  <c r="L21" i="24"/>
  <c r="L22" i="24"/>
  <c r="L10" i="24"/>
  <c r="J11" i="24"/>
  <c r="J12" i="24"/>
  <c r="J13" i="24"/>
  <c r="J14" i="24"/>
  <c r="J15" i="24"/>
  <c r="J16" i="24"/>
  <c r="J17" i="24"/>
  <c r="J18" i="24"/>
  <c r="J19" i="24"/>
  <c r="J20" i="24"/>
  <c r="J21" i="24"/>
  <c r="J22" i="24"/>
  <c r="J10" i="24"/>
  <c r="H11" i="24"/>
  <c r="H12" i="24"/>
  <c r="H13" i="24"/>
  <c r="H14" i="24"/>
  <c r="H15" i="24"/>
  <c r="H16" i="24"/>
  <c r="H17" i="24"/>
  <c r="H18" i="24"/>
  <c r="H19" i="24"/>
  <c r="H20" i="24"/>
  <c r="H21" i="24"/>
  <c r="H22" i="24"/>
  <c r="H10" i="24"/>
  <c r="F11" i="24"/>
  <c r="F12" i="24"/>
  <c r="F13" i="24"/>
  <c r="F14" i="24"/>
  <c r="F15" i="24"/>
  <c r="F16" i="24"/>
  <c r="F17" i="24"/>
  <c r="F18" i="24"/>
  <c r="F19" i="24"/>
  <c r="F20" i="24"/>
  <c r="F21" i="24"/>
  <c r="F22" i="24"/>
  <c r="F10" i="24"/>
  <c r="D11" i="24"/>
  <c r="D12" i="24"/>
  <c r="D13" i="24"/>
  <c r="D14" i="24"/>
  <c r="D15" i="24"/>
  <c r="D16" i="24"/>
  <c r="D17" i="24"/>
  <c r="D18" i="24"/>
  <c r="D19" i="24"/>
  <c r="D20" i="24"/>
  <c r="D21" i="24"/>
  <c r="D22" i="24"/>
  <c r="D10" i="24"/>
  <c r="C11" i="24"/>
  <c r="C12" i="24"/>
  <c r="C13" i="24"/>
  <c r="C14" i="24"/>
  <c r="C15" i="24"/>
  <c r="C16" i="24"/>
  <c r="C17" i="24"/>
  <c r="C18" i="24"/>
  <c r="C19" i="24"/>
  <c r="C20" i="24"/>
  <c r="C21" i="24"/>
  <c r="C22" i="24"/>
  <c r="C10" i="24"/>
  <c r="K11" i="24"/>
  <c r="K12" i="24"/>
  <c r="K13" i="24"/>
  <c r="K14" i="24"/>
  <c r="K15" i="24"/>
  <c r="K16" i="24"/>
  <c r="K17" i="24"/>
  <c r="K18" i="24"/>
  <c r="K19" i="24"/>
  <c r="K20" i="24"/>
  <c r="K21" i="24"/>
  <c r="K22" i="24"/>
  <c r="I11" i="24"/>
  <c r="I12" i="24"/>
  <c r="I13" i="24"/>
  <c r="I14" i="24"/>
  <c r="I15" i="24"/>
  <c r="I16" i="24"/>
  <c r="I17" i="24"/>
  <c r="I18" i="24"/>
  <c r="I19" i="24"/>
  <c r="I20" i="24"/>
  <c r="I21" i="24"/>
  <c r="I22" i="24"/>
  <c r="G11" i="24"/>
  <c r="G12" i="24"/>
  <c r="G13" i="24"/>
  <c r="G14" i="24"/>
  <c r="G15" i="24"/>
  <c r="G16" i="24"/>
  <c r="G17" i="24"/>
  <c r="G18" i="24"/>
  <c r="G19" i="24"/>
  <c r="G20" i="24"/>
  <c r="G21" i="24"/>
  <c r="G22" i="24"/>
  <c r="E11" i="24"/>
  <c r="E12" i="24"/>
  <c r="E13" i="24"/>
  <c r="E14" i="24"/>
  <c r="E15" i="24"/>
  <c r="E16" i="24"/>
  <c r="E17" i="24"/>
  <c r="E18" i="24"/>
  <c r="E19" i="24"/>
  <c r="E20" i="24"/>
  <c r="E21" i="24"/>
  <c r="E22" i="24"/>
  <c r="K10" i="24"/>
  <c r="I10" i="24"/>
  <c r="G10" i="24"/>
  <c r="E10" i="24"/>
  <c r="C14" i="17"/>
  <c r="J51" i="9"/>
  <c r="AE601" i="8"/>
  <c r="S587" i="8"/>
  <c r="T587" i="8"/>
  <c r="U587" i="8"/>
  <c r="V587" i="8"/>
  <c r="W587" i="8"/>
  <c r="X587" i="8"/>
  <c r="Y587" i="8"/>
  <c r="Z587" i="8"/>
  <c r="AA587" i="8"/>
  <c r="AB587" i="8"/>
  <c r="AC587" i="8"/>
  <c r="AD587" i="8"/>
  <c r="AE587" i="8"/>
  <c r="AF587" i="8"/>
  <c r="AG587" i="8"/>
  <c r="AH587" i="8"/>
  <c r="AI587" i="8"/>
  <c r="AJ587" i="8"/>
  <c r="AK587" i="8"/>
  <c r="AL587" i="8"/>
  <c r="AM587" i="8"/>
  <c r="AN587" i="8"/>
  <c r="AO587" i="8"/>
  <c r="AP587" i="8"/>
  <c r="AQ587" i="8"/>
  <c r="AR587" i="8"/>
  <c r="AS587" i="8"/>
  <c r="S588" i="8"/>
  <c r="T588" i="8"/>
  <c r="U588" i="8"/>
  <c r="V588" i="8"/>
  <c r="W588" i="8"/>
  <c r="X588" i="8"/>
  <c r="Y588" i="8"/>
  <c r="Z588" i="8"/>
  <c r="AA588" i="8"/>
  <c r="AB588" i="8"/>
  <c r="AC588" i="8"/>
  <c r="AD588" i="8"/>
  <c r="AE588" i="8"/>
  <c r="AF588" i="8"/>
  <c r="AG588" i="8"/>
  <c r="AH588" i="8"/>
  <c r="AI588" i="8"/>
  <c r="AJ588" i="8"/>
  <c r="AK588" i="8"/>
  <c r="AK627" i="8" s="1"/>
  <c r="AL588" i="8"/>
  <c r="AM588" i="8"/>
  <c r="AN588" i="8"/>
  <c r="AO588" i="8"/>
  <c r="AP588" i="8"/>
  <c r="AQ588" i="8"/>
  <c r="AR588" i="8"/>
  <c r="AS588" i="8"/>
  <c r="S589" i="8"/>
  <c r="T589" i="8"/>
  <c r="U589" i="8"/>
  <c r="V589" i="8"/>
  <c r="W589" i="8"/>
  <c r="X589" i="8"/>
  <c r="Y589" i="8"/>
  <c r="Z589" i="8"/>
  <c r="AA589" i="8"/>
  <c r="AB589" i="8"/>
  <c r="AC589" i="8"/>
  <c r="AD589" i="8"/>
  <c r="AE589" i="8"/>
  <c r="AF589" i="8"/>
  <c r="AG589" i="8"/>
  <c r="AH589" i="8"/>
  <c r="AI589" i="8"/>
  <c r="AJ589" i="8"/>
  <c r="AK589" i="8"/>
  <c r="AL589" i="8"/>
  <c r="AM589" i="8"/>
  <c r="AN589" i="8"/>
  <c r="AO589" i="8"/>
  <c r="AP589" i="8"/>
  <c r="AQ589" i="8"/>
  <c r="AR589" i="8"/>
  <c r="AS589" i="8"/>
  <c r="S590" i="8"/>
  <c r="T590" i="8"/>
  <c r="U590" i="8"/>
  <c r="V590" i="8"/>
  <c r="W590" i="8"/>
  <c r="X590" i="8"/>
  <c r="Y590" i="8"/>
  <c r="Z590" i="8"/>
  <c r="AA590" i="8"/>
  <c r="AB590" i="8"/>
  <c r="AC590" i="8"/>
  <c r="AD590" i="8"/>
  <c r="AE590" i="8"/>
  <c r="AF590" i="8"/>
  <c r="AG590" i="8"/>
  <c r="AH590" i="8"/>
  <c r="AI590" i="8"/>
  <c r="AJ590" i="8"/>
  <c r="AK590" i="8"/>
  <c r="AL590" i="8"/>
  <c r="AM590" i="8"/>
  <c r="AN590" i="8"/>
  <c r="AO590" i="8"/>
  <c r="AP590" i="8"/>
  <c r="AQ590" i="8"/>
  <c r="AR590" i="8"/>
  <c r="AS590" i="8"/>
  <c r="S591" i="8"/>
  <c r="T591" i="8"/>
  <c r="U591" i="8"/>
  <c r="V591" i="8"/>
  <c r="W591" i="8"/>
  <c r="X591" i="8"/>
  <c r="Y591" i="8"/>
  <c r="Z591" i="8"/>
  <c r="AA591" i="8"/>
  <c r="AB591" i="8"/>
  <c r="AC591" i="8"/>
  <c r="AD591" i="8"/>
  <c r="AE591" i="8"/>
  <c r="AF591" i="8"/>
  <c r="AG591" i="8"/>
  <c r="AH591" i="8"/>
  <c r="AI591" i="8"/>
  <c r="AJ591" i="8"/>
  <c r="AK591" i="8"/>
  <c r="AL591" i="8"/>
  <c r="AM591" i="8"/>
  <c r="AN591" i="8"/>
  <c r="AO591" i="8"/>
  <c r="AP591" i="8"/>
  <c r="AQ591" i="8"/>
  <c r="AR591" i="8"/>
  <c r="AS591" i="8"/>
  <c r="S592" i="8"/>
  <c r="T592" i="8"/>
  <c r="U592" i="8"/>
  <c r="V592" i="8"/>
  <c r="W592" i="8"/>
  <c r="X592" i="8"/>
  <c r="Y592" i="8"/>
  <c r="Z592" i="8"/>
  <c r="AA592" i="8"/>
  <c r="AB592" i="8"/>
  <c r="AC592" i="8"/>
  <c r="AD592" i="8"/>
  <c r="AE592" i="8"/>
  <c r="AF592" i="8"/>
  <c r="AG592" i="8"/>
  <c r="AH592" i="8"/>
  <c r="AI592" i="8"/>
  <c r="AJ592" i="8"/>
  <c r="AK592" i="8"/>
  <c r="AL592" i="8"/>
  <c r="AM592" i="8"/>
  <c r="AN592" i="8"/>
  <c r="AO592" i="8"/>
  <c r="AP592" i="8"/>
  <c r="AQ592" i="8"/>
  <c r="AR592" i="8"/>
  <c r="AS592" i="8"/>
  <c r="S593" i="8"/>
  <c r="T593" i="8"/>
  <c r="U593" i="8"/>
  <c r="V593" i="8"/>
  <c r="W593" i="8"/>
  <c r="X593" i="8"/>
  <c r="Y593" i="8"/>
  <c r="Z593" i="8"/>
  <c r="AA593" i="8"/>
  <c r="AB593" i="8"/>
  <c r="AC593" i="8"/>
  <c r="AD593" i="8"/>
  <c r="AE593" i="8"/>
  <c r="AF593" i="8"/>
  <c r="AG593" i="8"/>
  <c r="AH593" i="8"/>
  <c r="AI593" i="8"/>
  <c r="AJ593" i="8"/>
  <c r="AK593" i="8"/>
  <c r="AL593" i="8"/>
  <c r="AM593" i="8"/>
  <c r="AN593" i="8"/>
  <c r="AO593" i="8"/>
  <c r="AP593" i="8"/>
  <c r="AQ593" i="8"/>
  <c r="AR593" i="8"/>
  <c r="AS593" i="8"/>
  <c r="S594" i="8"/>
  <c r="T594" i="8"/>
  <c r="U594" i="8"/>
  <c r="V594" i="8"/>
  <c r="W594" i="8"/>
  <c r="X594" i="8"/>
  <c r="Y594" i="8"/>
  <c r="Z594" i="8"/>
  <c r="AA594" i="8"/>
  <c r="AB594" i="8"/>
  <c r="AC594" i="8"/>
  <c r="AD594" i="8"/>
  <c r="AE594" i="8"/>
  <c r="AF594" i="8"/>
  <c r="AG594" i="8"/>
  <c r="AH594" i="8"/>
  <c r="AI594" i="8"/>
  <c r="AJ594" i="8"/>
  <c r="AK594" i="8"/>
  <c r="AL594" i="8"/>
  <c r="AM594" i="8"/>
  <c r="AN594" i="8"/>
  <c r="AO594" i="8"/>
  <c r="AP594" i="8"/>
  <c r="AQ594" i="8"/>
  <c r="AR594" i="8"/>
  <c r="AS594" i="8"/>
  <c r="S595" i="8"/>
  <c r="T595" i="8"/>
  <c r="U595" i="8"/>
  <c r="V595" i="8"/>
  <c r="W595" i="8"/>
  <c r="X595" i="8"/>
  <c r="Y595" i="8"/>
  <c r="Z595" i="8"/>
  <c r="AA595" i="8"/>
  <c r="AB595" i="8"/>
  <c r="AC595" i="8"/>
  <c r="AD595" i="8"/>
  <c r="AE595" i="8"/>
  <c r="AF595" i="8"/>
  <c r="AG595" i="8"/>
  <c r="AH595" i="8"/>
  <c r="AI595" i="8"/>
  <c r="AJ595" i="8"/>
  <c r="AK595" i="8"/>
  <c r="AL595" i="8"/>
  <c r="AM595" i="8"/>
  <c r="AN595" i="8"/>
  <c r="AO595" i="8"/>
  <c r="AP595" i="8"/>
  <c r="AQ595" i="8"/>
  <c r="AR595" i="8"/>
  <c r="AS595" i="8"/>
  <c r="S596" i="8"/>
  <c r="T596" i="8"/>
  <c r="U596" i="8"/>
  <c r="V596" i="8"/>
  <c r="W596" i="8"/>
  <c r="X596" i="8"/>
  <c r="Y596" i="8"/>
  <c r="Z596" i="8"/>
  <c r="AA596" i="8"/>
  <c r="AB596" i="8"/>
  <c r="AC596" i="8"/>
  <c r="AD596" i="8"/>
  <c r="AE596" i="8"/>
  <c r="AF596" i="8"/>
  <c r="AG596" i="8"/>
  <c r="AH596" i="8"/>
  <c r="AI596" i="8"/>
  <c r="AJ596" i="8"/>
  <c r="AK596" i="8"/>
  <c r="AL596" i="8"/>
  <c r="AM596" i="8"/>
  <c r="AN596" i="8"/>
  <c r="AO596" i="8"/>
  <c r="AP596" i="8"/>
  <c r="AQ596" i="8"/>
  <c r="AR596" i="8"/>
  <c r="AS596" i="8"/>
  <c r="S597" i="8"/>
  <c r="T597" i="8"/>
  <c r="U597" i="8"/>
  <c r="V597" i="8"/>
  <c r="W597" i="8"/>
  <c r="X597" i="8"/>
  <c r="Y597" i="8"/>
  <c r="Z597" i="8"/>
  <c r="AA597" i="8"/>
  <c r="AB597" i="8"/>
  <c r="AC597" i="8"/>
  <c r="AD597" i="8"/>
  <c r="AE597" i="8"/>
  <c r="AF597" i="8"/>
  <c r="AG597" i="8"/>
  <c r="AH597" i="8"/>
  <c r="AI597" i="8"/>
  <c r="AJ597" i="8"/>
  <c r="AK597" i="8"/>
  <c r="AL597" i="8"/>
  <c r="AM597" i="8"/>
  <c r="AN597" i="8"/>
  <c r="AO597" i="8"/>
  <c r="AP597" i="8"/>
  <c r="AQ597" i="8"/>
  <c r="AR597" i="8"/>
  <c r="AS597" i="8"/>
  <c r="S598" i="8"/>
  <c r="T598" i="8"/>
  <c r="U598" i="8"/>
  <c r="V598" i="8"/>
  <c r="W598" i="8"/>
  <c r="X598" i="8"/>
  <c r="Y598" i="8"/>
  <c r="Z598" i="8"/>
  <c r="AA598" i="8"/>
  <c r="AB598" i="8"/>
  <c r="AC598" i="8"/>
  <c r="AD598" i="8"/>
  <c r="AE598" i="8"/>
  <c r="AF598" i="8"/>
  <c r="AG598" i="8"/>
  <c r="AH598" i="8"/>
  <c r="AI598" i="8"/>
  <c r="AJ598" i="8"/>
  <c r="AK598" i="8"/>
  <c r="AL598" i="8"/>
  <c r="AM598" i="8"/>
  <c r="AN598" i="8"/>
  <c r="AO598" i="8"/>
  <c r="AP598" i="8"/>
  <c r="AQ598" i="8"/>
  <c r="AR598" i="8"/>
  <c r="AS598" i="8"/>
  <c r="S599" i="8"/>
  <c r="T599" i="8"/>
  <c r="U599" i="8"/>
  <c r="V599" i="8"/>
  <c r="W599" i="8"/>
  <c r="X599" i="8"/>
  <c r="Y599" i="8"/>
  <c r="Z599" i="8"/>
  <c r="AA599" i="8"/>
  <c r="AB599" i="8"/>
  <c r="AC599" i="8"/>
  <c r="AD599" i="8"/>
  <c r="AE599" i="8"/>
  <c r="AF599" i="8"/>
  <c r="AG599" i="8"/>
  <c r="AH599" i="8"/>
  <c r="AI599" i="8"/>
  <c r="AJ599" i="8"/>
  <c r="AK599" i="8"/>
  <c r="AL599" i="8"/>
  <c r="AM599" i="8"/>
  <c r="AN599" i="8"/>
  <c r="AO599" i="8"/>
  <c r="AP599" i="8"/>
  <c r="AQ599" i="8"/>
  <c r="AR599" i="8"/>
  <c r="AS599" i="8"/>
  <c r="S600" i="8"/>
  <c r="T600" i="8"/>
  <c r="U600" i="8"/>
  <c r="V600" i="8"/>
  <c r="W600" i="8"/>
  <c r="X600" i="8"/>
  <c r="Y600" i="8"/>
  <c r="Z600" i="8"/>
  <c r="AA600" i="8"/>
  <c r="AB600" i="8"/>
  <c r="AC600" i="8"/>
  <c r="AD600" i="8"/>
  <c r="AE600" i="8"/>
  <c r="AF600" i="8"/>
  <c r="AG600" i="8"/>
  <c r="AH600" i="8"/>
  <c r="AI600" i="8"/>
  <c r="AJ600" i="8"/>
  <c r="AK600" i="8"/>
  <c r="AL600" i="8"/>
  <c r="AM600" i="8"/>
  <c r="AN600" i="8"/>
  <c r="AO600" i="8"/>
  <c r="AP600" i="8"/>
  <c r="AQ600" i="8"/>
  <c r="AR600" i="8"/>
  <c r="AS600" i="8"/>
  <c r="S601" i="8"/>
  <c r="T601" i="8"/>
  <c r="U601" i="8"/>
  <c r="V601" i="8"/>
  <c r="W601" i="8"/>
  <c r="X601" i="8"/>
  <c r="Y601" i="8"/>
  <c r="Z601" i="8"/>
  <c r="AA601" i="8"/>
  <c r="AB601" i="8"/>
  <c r="AC601" i="8"/>
  <c r="AD601" i="8"/>
  <c r="AF601" i="8"/>
  <c r="AG601" i="8"/>
  <c r="AH601" i="8"/>
  <c r="AI601" i="8"/>
  <c r="AJ601" i="8"/>
  <c r="AK601" i="8"/>
  <c r="AL601" i="8"/>
  <c r="AM601" i="8"/>
  <c r="AN601" i="8"/>
  <c r="AO601" i="8"/>
  <c r="AP601" i="8"/>
  <c r="AQ601" i="8"/>
  <c r="AR601" i="8"/>
  <c r="AS601" i="8"/>
  <c r="S602" i="8"/>
  <c r="T602" i="8"/>
  <c r="U602" i="8"/>
  <c r="V602" i="8"/>
  <c r="W602" i="8"/>
  <c r="X602" i="8"/>
  <c r="Y602" i="8"/>
  <c r="Z602" i="8"/>
  <c r="AA602" i="8"/>
  <c r="AB602" i="8"/>
  <c r="AC602" i="8"/>
  <c r="AD602" i="8"/>
  <c r="AE602" i="8"/>
  <c r="AF602" i="8"/>
  <c r="AG602" i="8"/>
  <c r="AH602" i="8"/>
  <c r="AI602" i="8"/>
  <c r="AJ602" i="8"/>
  <c r="AK602" i="8"/>
  <c r="AL602" i="8"/>
  <c r="AM602" i="8"/>
  <c r="AN602" i="8"/>
  <c r="AO602" i="8"/>
  <c r="AP602" i="8"/>
  <c r="AQ602" i="8"/>
  <c r="AR602" i="8"/>
  <c r="AS602" i="8"/>
  <c r="S603" i="8"/>
  <c r="T603" i="8"/>
  <c r="U603" i="8"/>
  <c r="V603" i="8"/>
  <c r="W603" i="8"/>
  <c r="X603" i="8"/>
  <c r="Y603" i="8"/>
  <c r="Z603" i="8"/>
  <c r="AA603" i="8"/>
  <c r="AB603" i="8"/>
  <c r="AC603" i="8"/>
  <c r="AD603" i="8"/>
  <c r="AE603" i="8"/>
  <c r="AF603" i="8"/>
  <c r="AG603" i="8"/>
  <c r="AH603" i="8"/>
  <c r="AI603" i="8"/>
  <c r="AJ603" i="8"/>
  <c r="AK603" i="8"/>
  <c r="AL603" i="8"/>
  <c r="AM603" i="8"/>
  <c r="AN603" i="8"/>
  <c r="AO603" i="8"/>
  <c r="AP603" i="8"/>
  <c r="AQ603" i="8"/>
  <c r="AR603" i="8"/>
  <c r="AS603" i="8"/>
  <c r="S604" i="8"/>
  <c r="T604" i="8"/>
  <c r="U604" i="8"/>
  <c r="V604" i="8"/>
  <c r="W604" i="8"/>
  <c r="X604" i="8"/>
  <c r="Y604" i="8"/>
  <c r="Z604" i="8"/>
  <c r="AA604" i="8"/>
  <c r="AB604" i="8"/>
  <c r="AC604" i="8"/>
  <c r="AD604" i="8"/>
  <c r="AE604" i="8"/>
  <c r="AF604" i="8"/>
  <c r="AG604" i="8"/>
  <c r="AH604" i="8"/>
  <c r="AI604" i="8"/>
  <c r="AJ604" i="8"/>
  <c r="AK604" i="8"/>
  <c r="AL604" i="8"/>
  <c r="AM604" i="8"/>
  <c r="AN604" i="8"/>
  <c r="AO604" i="8"/>
  <c r="AP604" i="8"/>
  <c r="AQ604" i="8"/>
  <c r="AR604" i="8"/>
  <c r="AS604" i="8"/>
  <c r="S605" i="8"/>
  <c r="T605" i="8"/>
  <c r="U605" i="8"/>
  <c r="V605" i="8"/>
  <c r="W605" i="8"/>
  <c r="X605" i="8"/>
  <c r="Y605" i="8"/>
  <c r="Z605" i="8"/>
  <c r="AA605" i="8"/>
  <c r="AB605" i="8"/>
  <c r="AC605" i="8"/>
  <c r="AD605" i="8"/>
  <c r="AE605" i="8"/>
  <c r="AF605" i="8"/>
  <c r="AG605" i="8"/>
  <c r="AH605" i="8"/>
  <c r="AI605" i="8"/>
  <c r="AJ605" i="8"/>
  <c r="AK605" i="8"/>
  <c r="AL605" i="8"/>
  <c r="AM605" i="8"/>
  <c r="AN605" i="8"/>
  <c r="AO605" i="8"/>
  <c r="AP605" i="8"/>
  <c r="AQ605" i="8"/>
  <c r="AR605" i="8"/>
  <c r="AS605" i="8"/>
  <c r="S606" i="8"/>
  <c r="T606" i="8"/>
  <c r="U606" i="8"/>
  <c r="V606" i="8"/>
  <c r="W606" i="8"/>
  <c r="X606" i="8"/>
  <c r="Y606" i="8"/>
  <c r="Z606" i="8"/>
  <c r="AA606" i="8"/>
  <c r="AB606" i="8"/>
  <c r="AC606" i="8"/>
  <c r="AD606" i="8"/>
  <c r="AE606" i="8"/>
  <c r="AF606" i="8"/>
  <c r="AG606" i="8"/>
  <c r="AH606" i="8"/>
  <c r="AI606" i="8"/>
  <c r="AJ606" i="8"/>
  <c r="AK606" i="8"/>
  <c r="AL606" i="8"/>
  <c r="AM606" i="8"/>
  <c r="AN606" i="8"/>
  <c r="AO606" i="8"/>
  <c r="AP606" i="8"/>
  <c r="AQ606" i="8"/>
  <c r="AR606" i="8"/>
  <c r="AS606" i="8"/>
  <c r="S607" i="8"/>
  <c r="T607" i="8"/>
  <c r="U607" i="8"/>
  <c r="V607" i="8"/>
  <c r="W607" i="8"/>
  <c r="X607" i="8"/>
  <c r="Y607" i="8"/>
  <c r="Z607" i="8"/>
  <c r="AA607" i="8"/>
  <c r="AB607" i="8"/>
  <c r="AC607" i="8"/>
  <c r="AD607" i="8"/>
  <c r="AE607" i="8"/>
  <c r="AF607" i="8"/>
  <c r="AG607" i="8"/>
  <c r="AH607" i="8"/>
  <c r="AI607" i="8"/>
  <c r="AJ607" i="8"/>
  <c r="AK607" i="8"/>
  <c r="AL607" i="8"/>
  <c r="AM607" i="8"/>
  <c r="AN607" i="8"/>
  <c r="AO607" i="8"/>
  <c r="AP607" i="8"/>
  <c r="AQ607" i="8"/>
  <c r="AR607" i="8"/>
  <c r="AS607" i="8"/>
  <c r="S608" i="8"/>
  <c r="T608" i="8"/>
  <c r="U608" i="8"/>
  <c r="V608" i="8"/>
  <c r="W608" i="8"/>
  <c r="X608" i="8"/>
  <c r="Y608" i="8"/>
  <c r="Z608" i="8"/>
  <c r="AA608" i="8"/>
  <c r="AB608" i="8"/>
  <c r="AC608" i="8"/>
  <c r="AD608" i="8"/>
  <c r="AE608" i="8"/>
  <c r="AF608" i="8"/>
  <c r="AG608" i="8"/>
  <c r="AH608" i="8"/>
  <c r="AI608" i="8"/>
  <c r="AJ608" i="8"/>
  <c r="AK608" i="8"/>
  <c r="AL608" i="8"/>
  <c r="AM608" i="8"/>
  <c r="AN608" i="8"/>
  <c r="AO608" i="8"/>
  <c r="AP608" i="8"/>
  <c r="AQ608" i="8"/>
  <c r="AR608" i="8"/>
  <c r="AS608" i="8"/>
  <c r="S609" i="8"/>
  <c r="T609" i="8"/>
  <c r="U609" i="8"/>
  <c r="V609" i="8"/>
  <c r="W609" i="8"/>
  <c r="X609" i="8"/>
  <c r="Y609" i="8"/>
  <c r="Z609" i="8"/>
  <c r="AA609" i="8"/>
  <c r="AB609" i="8"/>
  <c r="AC609" i="8"/>
  <c r="AD609" i="8"/>
  <c r="AE609" i="8"/>
  <c r="AF609" i="8"/>
  <c r="AG609" i="8"/>
  <c r="AH609" i="8"/>
  <c r="AI609" i="8"/>
  <c r="AJ609" i="8"/>
  <c r="AK609" i="8"/>
  <c r="AL609" i="8"/>
  <c r="AM609" i="8"/>
  <c r="AN609" i="8"/>
  <c r="AO609" i="8"/>
  <c r="AP609" i="8"/>
  <c r="AQ609" i="8"/>
  <c r="AR609" i="8"/>
  <c r="AS609" i="8"/>
  <c r="S610" i="8"/>
  <c r="T610" i="8"/>
  <c r="U610" i="8"/>
  <c r="V610" i="8"/>
  <c r="W610" i="8"/>
  <c r="X610" i="8"/>
  <c r="Y610" i="8"/>
  <c r="Z610" i="8"/>
  <c r="AA610" i="8"/>
  <c r="AB610" i="8"/>
  <c r="AC610" i="8"/>
  <c r="AD610" i="8"/>
  <c r="AE610" i="8"/>
  <c r="AF610" i="8"/>
  <c r="AG610" i="8"/>
  <c r="AH610" i="8"/>
  <c r="AI610" i="8"/>
  <c r="AJ610" i="8"/>
  <c r="AK610" i="8"/>
  <c r="AL610" i="8"/>
  <c r="AM610" i="8"/>
  <c r="AN610" i="8"/>
  <c r="AO610" i="8"/>
  <c r="AP610" i="8"/>
  <c r="AQ610" i="8"/>
  <c r="AR610" i="8"/>
  <c r="AS610" i="8"/>
  <c r="S611" i="8"/>
  <c r="T611" i="8"/>
  <c r="U611" i="8"/>
  <c r="V611" i="8"/>
  <c r="W611" i="8"/>
  <c r="X611" i="8"/>
  <c r="Y611" i="8"/>
  <c r="Z611" i="8"/>
  <c r="AA611" i="8"/>
  <c r="AB611" i="8"/>
  <c r="AC611" i="8"/>
  <c r="AD611" i="8"/>
  <c r="AE611" i="8"/>
  <c r="AF611" i="8"/>
  <c r="AG611" i="8"/>
  <c r="AH611" i="8"/>
  <c r="AI611" i="8"/>
  <c r="AJ611" i="8"/>
  <c r="AK611" i="8"/>
  <c r="AL611" i="8"/>
  <c r="AM611" i="8"/>
  <c r="AN611" i="8"/>
  <c r="AO611" i="8"/>
  <c r="AP611" i="8"/>
  <c r="AQ611" i="8"/>
  <c r="AR611" i="8"/>
  <c r="AS611" i="8"/>
  <c r="S612" i="8"/>
  <c r="T612" i="8"/>
  <c r="U612" i="8"/>
  <c r="V612" i="8"/>
  <c r="W612" i="8"/>
  <c r="X612" i="8"/>
  <c r="Y612" i="8"/>
  <c r="Z612" i="8"/>
  <c r="AA612" i="8"/>
  <c r="AB612" i="8"/>
  <c r="AC612" i="8"/>
  <c r="AD612" i="8"/>
  <c r="AE612" i="8"/>
  <c r="AF612" i="8"/>
  <c r="AG612" i="8"/>
  <c r="AH612" i="8"/>
  <c r="AI612" i="8"/>
  <c r="AJ612" i="8"/>
  <c r="AK612" i="8"/>
  <c r="AL612" i="8"/>
  <c r="AM612" i="8"/>
  <c r="AN612" i="8"/>
  <c r="AO612" i="8"/>
  <c r="AP612" i="8"/>
  <c r="AQ612" i="8"/>
  <c r="AR612" i="8"/>
  <c r="AS612" i="8"/>
  <c r="S613" i="8"/>
  <c r="T613" i="8"/>
  <c r="U613" i="8"/>
  <c r="V613" i="8"/>
  <c r="W613" i="8"/>
  <c r="X613" i="8"/>
  <c r="Y613" i="8"/>
  <c r="Z613" i="8"/>
  <c r="AA613" i="8"/>
  <c r="AB613" i="8"/>
  <c r="AC613" i="8"/>
  <c r="AD613" i="8"/>
  <c r="AE613" i="8"/>
  <c r="AF613" i="8"/>
  <c r="AG613" i="8"/>
  <c r="AH613" i="8"/>
  <c r="AI613" i="8"/>
  <c r="AJ613" i="8"/>
  <c r="AK613" i="8"/>
  <c r="AL613" i="8"/>
  <c r="AM613" i="8"/>
  <c r="AN613" i="8"/>
  <c r="AO613" i="8"/>
  <c r="AP613" i="8"/>
  <c r="AQ613" i="8"/>
  <c r="AR613" i="8"/>
  <c r="AS613" i="8"/>
  <c r="S614" i="8"/>
  <c r="T614" i="8"/>
  <c r="U614" i="8"/>
  <c r="V614" i="8"/>
  <c r="W614" i="8"/>
  <c r="X614" i="8"/>
  <c r="Y614" i="8"/>
  <c r="Z614" i="8"/>
  <c r="AA614" i="8"/>
  <c r="AB614" i="8"/>
  <c r="AC614" i="8"/>
  <c r="AD614" i="8"/>
  <c r="AE614" i="8"/>
  <c r="AF614" i="8"/>
  <c r="AG614" i="8"/>
  <c r="AH614" i="8"/>
  <c r="AI614" i="8"/>
  <c r="AJ614" i="8"/>
  <c r="AK614" i="8"/>
  <c r="AL614" i="8"/>
  <c r="AM614" i="8"/>
  <c r="AN614" i="8"/>
  <c r="AO614" i="8"/>
  <c r="AP614" i="8"/>
  <c r="AQ614" i="8"/>
  <c r="AR614" i="8"/>
  <c r="AS614" i="8"/>
  <c r="S615" i="8"/>
  <c r="T615" i="8"/>
  <c r="U615" i="8"/>
  <c r="V615" i="8"/>
  <c r="W615" i="8"/>
  <c r="X615" i="8"/>
  <c r="Y615" i="8"/>
  <c r="Z615" i="8"/>
  <c r="AA615" i="8"/>
  <c r="AB615" i="8"/>
  <c r="AC615" i="8"/>
  <c r="AD615" i="8"/>
  <c r="AE615" i="8"/>
  <c r="AF615" i="8"/>
  <c r="AG615" i="8"/>
  <c r="AH615" i="8"/>
  <c r="AI615" i="8"/>
  <c r="AJ615" i="8"/>
  <c r="AK615" i="8"/>
  <c r="AL615" i="8"/>
  <c r="AM615" i="8"/>
  <c r="AN615" i="8"/>
  <c r="AO615" i="8"/>
  <c r="AP615" i="8"/>
  <c r="AQ615" i="8"/>
  <c r="AR615" i="8"/>
  <c r="AS615" i="8"/>
  <c r="S616" i="8"/>
  <c r="T616" i="8"/>
  <c r="U616" i="8"/>
  <c r="V616" i="8"/>
  <c r="W616" i="8"/>
  <c r="X616" i="8"/>
  <c r="Y616" i="8"/>
  <c r="Z616" i="8"/>
  <c r="AA616" i="8"/>
  <c r="AB616" i="8"/>
  <c r="AC616" i="8"/>
  <c r="AD616" i="8"/>
  <c r="AE616" i="8"/>
  <c r="AF616" i="8"/>
  <c r="AG616" i="8"/>
  <c r="AH616" i="8"/>
  <c r="AI616" i="8"/>
  <c r="AJ616" i="8"/>
  <c r="AK616" i="8"/>
  <c r="AL616" i="8"/>
  <c r="AM616" i="8"/>
  <c r="AN616" i="8"/>
  <c r="AO616" i="8"/>
  <c r="AP616" i="8"/>
  <c r="AQ616" i="8"/>
  <c r="AR616" i="8"/>
  <c r="AS616" i="8"/>
  <c r="S617" i="8"/>
  <c r="T617" i="8"/>
  <c r="U617" i="8"/>
  <c r="V617" i="8"/>
  <c r="W617" i="8"/>
  <c r="X617" i="8"/>
  <c r="Y617" i="8"/>
  <c r="Z617" i="8"/>
  <c r="AA617" i="8"/>
  <c r="AB617" i="8"/>
  <c r="AC617" i="8"/>
  <c r="AD617" i="8"/>
  <c r="AE617" i="8"/>
  <c r="AF617" i="8"/>
  <c r="AG617" i="8"/>
  <c r="AH617" i="8"/>
  <c r="AI617" i="8"/>
  <c r="AJ617" i="8"/>
  <c r="AK617" i="8"/>
  <c r="AL617" i="8"/>
  <c r="AM617" i="8"/>
  <c r="AN617" i="8"/>
  <c r="AO617" i="8"/>
  <c r="AP617" i="8"/>
  <c r="AQ617" i="8"/>
  <c r="AR617" i="8"/>
  <c r="AS617" i="8"/>
  <c r="S618" i="8"/>
  <c r="T618" i="8"/>
  <c r="U618" i="8"/>
  <c r="V618" i="8"/>
  <c r="W618" i="8"/>
  <c r="X618" i="8"/>
  <c r="Y618" i="8"/>
  <c r="Z618" i="8"/>
  <c r="AA618" i="8"/>
  <c r="AB618" i="8"/>
  <c r="AC618" i="8"/>
  <c r="AD618" i="8"/>
  <c r="AE618" i="8"/>
  <c r="AF618" i="8"/>
  <c r="AG618" i="8"/>
  <c r="AH618" i="8"/>
  <c r="AI618" i="8"/>
  <c r="AJ618" i="8"/>
  <c r="AK618" i="8"/>
  <c r="AL618" i="8"/>
  <c r="AM618" i="8"/>
  <c r="AN618" i="8"/>
  <c r="AO618" i="8"/>
  <c r="AP618" i="8"/>
  <c r="AQ618" i="8"/>
  <c r="AR618" i="8"/>
  <c r="AS618" i="8"/>
  <c r="S619" i="8"/>
  <c r="T619" i="8"/>
  <c r="U619" i="8"/>
  <c r="V619" i="8"/>
  <c r="W619" i="8"/>
  <c r="X619" i="8"/>
  <c r="Y619" i="8"/>
  <c r="Z619" i="8"/>
  <c r="AA619" i="8"/>
  <c r="AB619" i="8"/>
  <c r="AC619" i="8"/>
  <c r="AD619" i="8"/>
  <c r="AE619" i="8"/>
  <c r="AF619" i="8"/>
  <c r="AG619" i="8"/>
  <c r="AH619" i="8"/>
  <c r="AI619" i="8"/>
  <c r="AJ619" i="8"/>
  <c r="AK619" i="8"/>
  <c r="AL619" i="8"/>
  <c r="AM619" i="8"/>
  <c r="AN619" i="8"/>
  <c r="AO619" i="8"/>
  <c r="AP619" i="8"/>
  <c r="AQ619" i="8"/>
  <c r="AR619" i="8"/>
  <c r="AS619" i="8"/>
  <c r="S620" i="8"/>
  <c r="T620" i="8"/>
  <c r="U620" i="8"/>
  <c r="V620" i="8"/>
  <c r="W620" i="8"/>
  <c r="X620" i="8"/>
  <c r="Y620" i="8"/>
  <c r="Z620" i="8"/>
  <c r="AA620" i="8"/>
  <c r="AB620" i="8"/>
  <c r="AC620" i="8"/>
  <c r="AD620" i="8"/>
  <c r="AE620" i="8"/>
  <c r="AF620" i="8"/>
  <c r="AG620" i="8"/>
  <c r="AH620" i="8"/>
  <c r="AI620" i="8"/>
  <c r="AJ620" i="8"/>
  <c r="AK620" i="8"/>
  <c r="AL620" i="8"/>
  <c r="AM620" i="8"/>
  <c r="AN620" i="8"/>
  <c r="AO620" i="8"/>
  <c r="AP620" i="8"/>
  <c r="AQ620" i="8"/>
  <c r="AR620" i="8"/>
  <c r="AS620" i="8"/>
  <c r="S621" i="8"/>
  <c r="T621" i="8"/>
  <c r="U621" i="8"/>
  <c r="V621" i="8"/>
  <c r="W621" i="8"/>
  <c r="X621" i="8"/>
  <c r="Y621" i="8"/>
  <c r="Z621" i="8"/>
  <c r="AA621" i="8"/>
  <c r="AB621" i="8"/>
  <c r="AC621" i="8"/>
  <c r="AD621" i="8"/>
  <c r="AE621" i="8"/>
  <c r="AF621" i="8"/>
  <c r="AG621" i="8"/>
  <c r="AH621" i="8"/>
  <c r="AI621" i="8"/>
  <c r="AJ621" i="8"/>
  <c r="AK621" i="8"/>
  <c r="AL621" i="8"/>
  <c r="AM621" i="8"/>
  <c r="AN621" i="8"/>
  <c r="AO621" i="8"/>
  <c r="AP621" i="8"/>
  <c r="AQ621" i="8"/>
  <c r="AR621" i="8"/>
  <c r="AS621" i="8"/>
  <c r="S622" i="8"/>
  <c r="T622" i="8"/>
  <c r="U622" i="8"/>
  <c r="V622" i="8"/>
  <c r="W622" i="8"/>
  <c r="X622" i="8"/>
  <c r="Y622" i="8"/>
  <c r="Z622" i="8"/>
  <c r="AA622" i="8"/>
  <c r="AB622" i="8"/>
  <c r="AC622" i="8"/>
  <c r="AD622" i="8"/>
  <c r="AE622" i="8"/>
  <c r="AF622" i="8"/>
  <c r="AG622" i="8"/>
  <c r="AH622" i="8"/>
  <c r="AI622" i="8"/>
  <c r="AJ622" i="8"/>
  <c r="AK622" i="8"/>
  <c r="AL622" i="8"/>
  <c r="AM622" i="8"/>
  <c r="AN622" i="8"/>
  <c r="AO622" i="8"/>
  <c r="AP622" i="8"/>
  <c r="AQ622" i="8"/>
  <c r="AR622" i="8"/>
  <c r="AS622" i="8"/>
  <c r="S623" i="8"/>
  <c r="T623" i="8"/>
  <c r="U623" i="8"/>
  <c r="V623" i="8"/>
  <c r="W623" i="8"/>
  <c r="X623" i="8"/>
  <c r="Y623" i="8"/>
  <c r="Z623" i="8"/>
  <c r="AA623" i="8"/>
  <c r="AB623" i="8"/>
  <c r="AC623" i="8"/>
  <c r="AD623" i="8"/>
  <c r="AE623" i="8"/>
  <c r="AF623" i="8"/>
  <c r="AG623" i="8"/>
  <c r="AH623" i="8"/>
  <c r="AI623" i="8"/>
  <c r="AJ623" i="8"/>
  <c r="AK623" i="8"/>
  <c r="AL623" i="8"/>
  <c r="AM623" i="8"/>
  <c r="AN623" i="8"/>
  <c r="AO623" i="8"/>
  <c r="AP623" i="8"/>
  <c r="AQ623" i="8"/>
  <c r="AR623" i="8"/>
  <c r="AS623" i="8"/>
  <c r="S624" i="8"/>
  <c r="T624" i="8"/>
  <c r="U624" i="8"/>
  <c r="V624" i="8"/>
  <c r="W624" i="8"/>
  <c r="X624" i="8"/>
  <c r="Y624" i="8"/>
  <c r="Z624" i="8"/>
  <c r="AA624" i="8"/>
  <c r="AB624" i="8"/>
  <c r="AC624" i="8"/>
  <c r="AD624" i="8"/>
  <c r="AE624" i="8"/>
  <c r="AF624" i="8"/>
  <c r="AG624" i="8"/>
  <c r="AH624" i="8"/>
  <c r="AI624" i="8"/>
  <c r="AJ624" i="8"/>
  <c r="AK624" i="8"/>
  <c r="AL624" i="8"/>
  <c r="AM624" i="8"/>
  <c r="AN624" i="8"/>
  <c r="AO624" i="8"/>
  <c r="AP624" i="8"/>
  <c r="AQ624" i="8"/>
  <c r="AR624" i="8"/>
  <c r="AS624" i="8"/>
  <c r="R623" i="8"/>
  <c r="R624"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AJ627" i="8"/>
  <c r="AG556" i="8"/>
  <c r="AG557" i="8"/>
  <c r="AG558" i="8"/>
  <c r="AG559" i="8"/>
  <c r="AG560" i="8"/>
  <c r="AG561" i="8"/>
  <c r="AG562" i="8"/>
  <c r="AG563" i="8"/>
  <c r="AG564" i="8"/>
  <c r="AG565" i="8"/>
  <c r="AG566" i="8"/>
  <c r="AG567" i="8"/>
  <c r="AG568" i="8"/>
  <c r="AG569" i="8"/>
  <c r="AG570" i="8"/>
  <c r="AG571" i="8"/>
  <c r="AG572" i="8"/>
  <c r="AG573" i="8"/>
  <c r="AG574" i="8"/>
  <c r="AG575" i="8"/>
  <c r="AG576" i="8"/>
  <c r="AG577" i="8"/>
  <c r="AG578" i="8"/>
  <c r="AG579" i="8"/>
  <c r="AG580" i="8"/>
  <c r="AG581" i="8"/>
  <c r="AG582" i="8"/>
  <c r="AG583" i="8"/>
  <c r="S555" i="8"/>
  <c r="T555" i="8"/>
  <c r="U555" i="8"/>
  <c r="V555" i="8"/>
  <c r="W555" i="8"/>
  <c r="X555" i="8"/>
  <c r="Y555" i="8"/>
  <c r="Z555" i="8"/>
  <c r="AA555" i="8"/>
  <c r="AB555" i="8"/>
  <c r="AC555" i="8"/>
  <c r="AD555" i="8"/>
  <c r="S556" i="8"/>
  <c r="T556" i="8"/>
  <c r="U556" i="8"/>
  <c r="V556" i="8"/>
  <c r="W556" i="8"/>
  <c r="X556" i="8"/>
  <c r="Y556" i="8"/>
  <c r="Z556" i="8"/>
  <c r="AA556" i="8"/>
  <c r="AB556" i="8"/>
  <c r="AC556" i="8"/>
  <c r="AD556" i="8"/>
  <c r="S557" i="8"/>
  <c r="T557" i="8"/>
  <c r="U557" i="8"/>
  <c r="V557" i="8"/>
  <c r="W557" i="8"/>
  <c r="X557" i="8"/>
  <c r="Y557" i="8"/>
  <c r="Z557" i="8"/>
  <c r="AA557" i="8"/>
  <c r="AB557" i="8"/>
  <c r="AC557" i="8"/>
  <c r="AD557" i="8"/>
  <c r="S558" i="8"/>
  <c r="T558" i="8"/>
  <c r="U558" i="8"/>
  <c r="V558" i="8"/>
  <c r="W558" i="8"/>
  <c r="X558" i="8"/>
  <c r="Y558" i="8"/>
  <c r="Z558" i="8"/>
  <c r="AA558" i="8"/>
  <c r="AB558" i="8"/>
  <c r="AC558" i="8"/>
  <c r="AD558" i="8"/>
  <c r="S559" i="8"/>
  <c r="T559" i="8"/>
  <c r="U559" i="8"/>
  <c r="V559" i="8"/>
  <c r="W559" i="8"/>
  <c r="X559" i="8"/>
  <c r="Y559" i="8"/>
  <c r="Z559" i="8"/>
  <c r="AA559" i="8"/>
  <c r="AB559" i="8"/>
  <c r="AC559" i="8"/>
  <c r="AD559" i="8"/>
  <c r="S560" i="8"/>
  <c r="T560" i="8"/>
  <c r="U560" i="8"/>
  <c r="V560" i="8"/>
  <c r="W560" i="8"/>
  <c r="X560" i="8"/>
  <c r="Y560" i="8"/>
  <c r="Z560" i="8"/>
  <c r="AA560" i="8"/>
  <c r="AB560" i="8"/>
  <c r="AC560" i="8"/>
  <c r="AD560" i="8"/>
  <c r="S561" i="8"/>
  <c r="T561" i="8"/>
  <c r="U561" i="8"/>
  <c r="V561" i="8"/>
  <c r="W561" i="8"/>
  <c r="X561" i="8"/>
  <c r="Y561" i="8"/>
  <c r="Z561" i="8"/>
  <c r="AA561" i="8"/>
  <c r="AB561" i="8"/>
  <c r="AC561" i="8"/>
  <c r="AD561" i="8"/>
  <c r="S562" i="8"/>
  <c r="T562" i="8"/>
  <c r="U562" i="8"/>
  <c r="V562" i="8"/>
  <c r="W562" i="8"/>
  <c r="X562" i="8"/>
  <c r="Y562" i="8"/>
  <c r="Z562" i="8"/>
  <c r="AA562" i="8"/>
  <c r="AB562" i="8"/>
  <c r="AC562" i="8"/>
  <c r="AD562" i="8"/>
  <c r="S563" i="8"/>
  <c r="T563" i="8"/>
  <c r="U563" i="8"/>
  <c r="V563" i="8"/>
  <c r="W563" i="8"/>
  <c r="X563" i="8"/>
  <c r="Y563" i="8"/>
  <c r="Z563" i="8"/>
  <c r="AA563" i="8"/>
  <c r="AB563" i="8"/>
  <c r="AC563" i="8"/>
  <c r="AD563" i="8"/>
  <c r="S564" i="8"/>
  <c r="T564" i="8"/>
  <c r="U564" i="8"/>
  <c r="V564" i="8"/>
  <c r="W564" i="8"/>
  <c r="X564" i="8"/>
  <c r="Y564" i="8"/>
  <c r="Z564" i="8"/>
  <c r="AA564" i="8"/>
  <c r="AB564" i="8"/>
  <c r="AC564" i="8"/>
  <c r="AD564" i="8"/>
  <c r="S565" i="8"/>
  <c r="T565" i="8"/>
  <c r="U565" i="8"/>
  <c r="V565" i="8"/>
  <c r="W565" i="8"/>
  <c r="X565" i="8"/>
  <c r="Y565" i="8"/>
  <c r="Z565" i="8"/>
  <c r="AA565" i="8"/>
  <c r="AB565" i="8"/>
  <c r="AC565" i="8"/>
  <c r="AD565" i="8"/>
  <c r="S566" i="8"/>
  <c r="T566" i="8"/>
  <c r="U566" i="8"/>
  <c r="V566" i="8"/>
  <c r="W566" i="8"/>
  <c r="X566" i="8"/>
  <c r="Y566" i="8"/>
  <c r="Z566" i="8"/>
  <c r="AA566" i="8"/>
  <c r="AB566" i="8"/>
  <c r="AC566" i="8"/>
  <c r="AD566" i="8"/>
  <c r="S567" i="8"/>
  <c r="T567" i="8"/>
  <c r="U567" i="8"/>
  <c r="V567" i="8"/>
  <c r="W567" i="8"/>
  <c r="X567" i="8"/>
  <c r="Y567" i="8"/>
  <c r="Z567" i="8"/>
  <c r="AA567" i="8"/>
  <c r="AB567" i="8"/>
  <c r="AC567" i="8"/>
  <c r="AD567" i="8"/>
  <c r="S568" i="8"/>
  <c r="T568" i="8"/>
  <c r="U568" i="8"/>
  <c r="V568" i="8"/>
  <c r="W568" i="8"/>
  <c r="X568" i="8"/>
  <c r="Y568" i="8"/>
  <c r="Z568" i="8"/>
  <c r="AA568" i="8"/>
  <c r="AB568" i="8"/>
  <c r="AC568" i="8"/>
  <c r="AD568" i="8"/>
  <c r="S569" i="8"/>
  <c r="T569" i="8"/>
  <c r="U569" i="8"/>
  <c r="V569" i="8"/>
  <c r="W569" i="8"/>
  <c r="X569" i="8"/>
  <c r="Y569" i="8"/>
  <c r="Z569" i="8"/>
  <c r="AA569" i="8"/>
  <c r="AB569" i="8"/>
  <c r="AC569" i="8"/>
  <c r="AD569" i="8"/>
  <c r="S570" i="8"/>
  <c r="T570" i="8"/>
  <c r="U570" i="8"/>
  <c r="V570" i="8"/>
  <c r="W570" i="8"/>
  <c r="X570" i="8"/>
  <c r="Y570" i="8"/>
  <c r="Z570" i="8"/>
  <c r="AA570" i="8"/>
  <c r="AB570" i="8"/>
  <c r="AC570" i="8"/>
  <c r="AD570" i="8"/>
  <c r="S571" i="8"/>
  <c r="T571" i="8"/>
  <c r="U571" i="8"/>
  <c r="V571" i="8"/>
  <c r="W571" i="8"/>
  <c r="X571" i="8"/>
  <c r="Y571" i="8"/>
  <c r="Z571" i="8"/>
  <c r="AA571" i="8"/>
  <c r="AB571" i="8"/>
  <c r="AC571" i="8"/>
  <c r="AD571" i="8"/>
  <c r="S572" i="8"/>
  <c r="T572" i="8"/>
  <c r="U572" i="8"/>
  <c r="V572" i="8"/>
  <c r="W572" i="8"/>
  <c r="X572" i="8"/>
  <c r="Y572" i="8"/>
  <c r="Z572" i="8"/>
  <c r="AA572" i="8"/>
  <c r="AB572" i="8"/>
  <c r="AC572" i="8"/>
  <c r="AD572" i="8"/>
  <c r="S573" i="8"/>
  <c r="T573" i="8"/>
  <c r="U573" i="8"/>
  <c r="V573" i="8"/>
  <c r="W573" i="8"/>
  <c r="X573" i="8"/>
  <c r="Y573" i="8"/>
  <c r="Z573" i="8"/>
  <c r="AA573" i="8"/>
  <c r="AB573" i="8"/>
  <c r="AC573" i="8"/>
  <c r="AD573" i="8"/>
  <c r="S574" i="8"/>
  <c r="T574" i="8"/>
  <c r="U574" i="8"/>
  <c r="V574" i="8"/>
  <c r="W574" i="8"/>
  <c r="X574" i="8"/>
  <c r="Y574" i="8"/>
  <c r="Z574" i="8"/>
  <c r="AA574" i="8"/>
  <c r="AB574" i="8"/>
  <c r="AC574" i="8"/>
  <c r="AD574" i="8"/>
  <c r="S575" i="8"/>
  <c r="T575" i="8"/>
  <c r="U575" i="8"/>
  <c r="V575" i="8"/>
  <c r="W575" i="8"/>
  <c r="X575" i="8"/>
  <c r="Y575" i="8"/>
  <c r="Z575" i="8"/>
  <c r="AA575" i="8"/>
  <c r="AB575" i="8"/>
  <c r="AC575" i="8"/>
  <c r="AD575" i="8"/>
  <c r="S576" i="8"/>
  <c r="T576" i="8"/>
  <c r="U576" i="8"/>
  <c r="V576" i="8"/>
  <c r="W576" i="8"/>
  <c r="X576" i="8"/>
  <c r="Y576" i="8"/>
  <c r="Z576" i="8"/>
  <c r="AA576" i="8"/>
  <c r="AB576" i="8"/>
  <c r="AC576" i="8"/>
  <c r="AD576" i="8"/>
  <c r="S577" i="8"/>
  <c r="T577" i="8"/>
  <c r="U577" i="8"/>
  <c r="V577" i="8"/>
  <c r="W577" i="8"/>
  <c r="X577" i="8"/>
  <c r="Y577" i="8"/>
  <c r="Z577" i="8"/>
  <c r="AA577" i="8"/>
  <c r="AB577" i="8"/>
  <c r="AC577" i="8"/>
  <c r="AD577" i="8"/>
  <c r="S578" i="8"/>
  <c r="T578" i="8"/>
  <c r="U578" i="8"/>
  <c r="V578" i="8"/>
  <c r="W578" i="8"/>
  <c r="X578" i="8"/>
  <c r="Y578" i="8"/>
  <c r="Z578" i="8"/>
  <c r="AA578" i="8"/>
  <c r="AB578" i="8"/>
  <c r="AC578" i="8"/>
  <c r="AD578" i="8"/>
  <c r="S579" i="8"/>
  <c r="T579" i="8"/>
  <c r="U579" i="8"/>
  <c r="V579" i="8"/>
  <c r="W579" i="8"/>
  <c r="X579" i="8"/>
  <c r="Y579" i="8"/>
  <c r="Z579" i="8"/>
  <c r="AA579" i="8"/>
  <c r="AB579" i="8"/>
  <c r="AC579" i="8"/>
  <c r="AD579" i="8"/>
  <c r="S580" i="8"/>
  <c r="T580" i="8"/>
  <c r="U580" i="8"/>
  <c r="V580" i="8"/>
  <c r="W580" i="8"/>
  <c r="X580" i="8"/>
  <c r="Y580" i="8"/>
  <c r="Z580" i="8"/>
  <c r="AA580" i="8"/>
  <c r="AB580" i="8"/>
  <c r="AC580" i="8"/>
  <c r="AD580" i="8"/>
  <c r="S581" i="8"/>
  <c r="T581" i="8"/>
  <c r="U581" i="8"/>
  <c r="V581" i="8"/>
  <c r="W581" i="8"/>
  <c r="X581" i="8"/>
  <c r="Y581" i="8"/>
  <c r="Z581" i="8"/>
  <c r="AA581" i="8"/>
  <c r="AB581" i="8"/>
  <c r="AC581" i="8"/>
  <c r="AD581" i="8"/>
  <c r="S582" i="8"/>
  <c r="T582" i="8"/>
  <c r="U582" i="8"/>
  <c r="V582" i="8"/>
  <c r="W582" i="8"/>
  <c r="X582" i="8"/>
  <c r="Y582" i="8"/>
  <c r="Z582" i="8"/>
  <c r="AA582" i="8"/>
  <c r="AB582" i="8"/>
  <c r="AC582" i="8"/>
  <c r="AD582"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S524" i="8"/>
  <c r="T524" i="8"/>
  <c r="U524" i="8"/>
  <c r="V524" i="8"/>
  <c r="W524" i="8"/>
  <c r="X524" i="8"/>
  <c r="Y524" i="8"/>
  <c r="Z524" i="8"/>
  <c r="AA524" i="8"/>
  <c r="AB524" i="8"/>
  <c r="AC524" i="8"/>
  <c r="AD524" i="8"/>
  <c r="S525" i="8"/>
  <c r="T525" i="8"/>
  <c r="U525" i="8"/>
  <c r="V525" i="8"/>
  <c r="W525" i="8"/>
  <c r="X525" i="8"/>
  <c r="Y525" i="8"/>
  <c r="Z525" i="8"/>
  <c r="AA525" i="8"/>
  <c r="AB525" i="8"/>
  <c r="AC525" i="8"/>
  <c r="AD525" i="8"/>
  <c r="S526" i="8"/>
  <c r="T526" i="8"/>
  <c r="U526" i="8"/>
  <c r="V526" i="8"/>
  <c r="W526" i="8"/>
  <c r="X526" i="8"/>
  <c r="Y526" i="8"/>
  <c r="Z526" i="8"/>
  <c r="AA526" i="8"/>
  <c r="AB526" i="8"/>
  <c r="AC526" i="8"/>
  <c r="AD526" i="8"/>
  <c r="S527" i="8"/>
  <c r="T527" i="8"/>
  <c r="U527" i="8"/>
  <c r="V527" i="8"/>
  <c r="W527" i="8"/>
  <c r="X527" i="8"/>
  <c r="Y527" i="8"/>
  <c r="Z527" i="8"/>
  <c r="AA527" i="8"/>
  <c r="AB527" i="8"/>
  <c r="AC527" i="8"/>
  <c r="AD527" i="8"/>
  <c r="S528" i="8"/>
  <c r="T528" i="8"/>
  <c r="U528" i="8"/>
  <c r="V528" i="8"/>
  <c r="W528" i="8"/>
  <c r="X528" i="8"/>
  <c r="Y528" i="8"/>
  <c r="Z528" i="8"/>
  <c r="AA528" i="8"/>
  <c r="AB528" i="8"/>
  <c r="AC528" i="8"/>
  <c r="AD528" i="8"/>
  <c r="S529" i="8"/>
  <c r="T529" i="8"/>
  <c r="U529" i="8"/>
  <c r="V529" i="8"/>
  <c r="W529" i="8"/>
  <c r="X529" i="8"/>
  <c r="Y529" i="8"/>
  <c r="Z529" i="8"/>
  <c r="AA529" i="8"/>
  <c r="AB529" i="8"/>
  <c r="AC529" i="8"/>
  <c r="AD529" i="8"/>
  <c r="S530" i="8"/>
  <c r="T530" i="8"/>
  <c r="U530" i="8"/>
  <c r="V530" i="8"/>
  <c r="W530" i="8"/>
  <c r="X530" i="8"/>
  <c r="Y530" i="8"/>
  <c r="Z530" i="8"/>
  <c r="AA530" i="8"/>
  <c r="AB530" i="8"/>
  <c r="AC530" i="8"/>
  <c r="AD530" i="8"/>
  <c r="S531" i="8"/>
  <c r="T531" i="8"/>
  <c r="U531" i="8"/>
  <c r="V531" i="8"/>
  <c r="W531" i="8"/>
  <c r="X531" i="8"/>
  <c r="Y531" i="8"/>
  <c r="Z531" i="8"/>
  <c r="AA531" i="8"/>
  <c r="AB531" i="8"/>
  <c r="AC531" i="8"/>
  <c r="AD531" i="8"/>
  <c r="S532" i="8"/>
  <c r="T532" i="8"/>
  <c r="U532" i="8"/>
  <c r="V532" i="8"/>
  <c r="W532" i="8"/>
  <c r="X532" i="8"/>
  <c r="Y532" i="8"/>
  <c r="Z532" i="8"/>
  <c r="AA532" i="8"/>
  <c r="AB532" i="8"/>
  <c r="AC532" i="8"/>
  <c r="AD532" i="8"/>
  <c r="S533" i="8"/>
  <c r="T533" i="8"/>
  <c r="U533" i="8"/>
  <c r="V533" i="8"/>
  <c r="W533" i="8"/>
  <c r="X533" i="8"/>
  <c r="Y533" i="8"/>
  <c r="Z533" i="8"/>
  <c r="AA533" i="8"/>
  <c r="AB533" i="8"/>
  <c r="AC533" i="8"/>
  <c r="AD533" i="8"/>
  <c r="S534" i="8"/>
  <c r="T534" i="8"/>
  <c r="U534" i="8"/>
  <c r="V534" i="8"/>
  <c r="W534" i="8"/>
  <c r="X534" i="8"/>
  <c r="Y534" i="8"/>
  <c r="Z534" i="8"/>
  <c r="AA534" i="8"/>
  <c r="AB534" i="8"/>
  <c r="AC534" i="8"/>
  <c r="AD534" i="8"/>
  <c r="S535" i="8"/>
  <c r="T535" i="8"/>
  <c r="U535" i="8"/>
  <c r="V535" i="8"/>
  <c r="W535" i="8"/>
  <c r="X535" i="8"/>
  <c r="Y535" i="8"/>
  <c r="Z535" i="8"/>
  <c r="AA535" i="8"/>
  <c r="AB535" i="8"/>
  <c r="AC535" i="8"/>
  <c r="AD535" i="8"/>
  <c r="S536" i="8"/>
  <c r="T536" i="8"/>
  <c r="U536" i="8"/>
  <c r="V536" i="8"/>
  <c r="W536" i="8"/>
  <c r="X536" i="8"/>
  <c r="Y536" i="8"/>
  <c r="Z536" i="8"/>
  <c r="AA536" i="8"/>
  <c r="AB536" i="8"/>
  <c r="AC536" i="8"/>
  <c r="AD536" i="8"/>
  <c r="S537" i="8"/>
  <c r="T537" i="8"/>
  <c r="U537" i="8"/>
  <c r="V537" i="8"/>
  <c r="W537" i="8"/>
  <c r="X537" i="8"/>
  <c r="Y537" i="8"/>
  <c r="Z537" i="8"/>
  <c r="AA537" i="8"/>
  <c r="AB537" i="8"/>
  <c r="AC537" i="8"/>
  <c r="AD537" i="8"/>
  <c r="S538" i="8"/>
  <c r="T538" i="8"/>
  <c r="U538" i="8"/>
  <c r="V538" i="8"/>
  <c r="W538" i="8"/>
  <c r="X538" i="8"/>
  <c r="Y538" i="8"/>
  <c r="Z538" i="8"/>
  <c r="AA538" i="8"/>
  <c r="AB538" i="8"/>
  <c r="AC538" i="8"/>
  <c r="AD538" i="8"/>
  <c r="S539" i="8"/>
  <c r="T539" i="8"/>
  <c r="U539" i="8"/>
  <c r="V539" i="8"/>
  <c r="W539" i="8"/>
  <c r="X539" i="8"/>
  <c r="Y539" i="8"/>
  <c r="Z539" i="8"/>
  <c r="AA539" i="8"/>
  <c r="AB539" i="8"/>
  <c r="AC539" i="8"/>
  <c r="AD539" i="8"/>
  <c r="S540" i="8"/>
  <c r="T540" i="8"/>
  <c r="U540" i="8"/>
  <c r="V540" i="8"/>
  <c r="W540" i="8"/>
  <c r="X540" i="8"/>
  <c r="Y540" i="8"/>
  <c r="Z540" i="8"/>
  <c r="AA540" i="8"/>
  <c r="AB540" i="8"/>
  <c r="AC540" i="8"/>
  <c r="AD540" i="8"/>
  <c r="S541" i="8"/>
  <c r="T541" i="8"/>
  <c r="U541" i="8"/>
  <c r="V541" i="8"/>
  <c r="W541" i="8"/>
  <c r="X541" i="8"/>
  <c r="Y541" i="8"/>
  <c r="Z541" i="8"/>
  <c r="AA541" i="8"/>
  <c r="AB541" i="8"/>
  <c r="AC541" i="8"/>
  <c r="AD541" i="8"/>
  <c r="S542" i="8"/>
  <c r="T542" i="8"/>
  <c r="U542" i="8"/>
  <c r="V542" i="8"/>
  <c r="W542" i="8"/>
  <c r="X542" i="8"/>
  <c r="Y542" i="8"/>
  <c r="Z542" i="8"/>
  <c r="AA542" i="8"/>
  <c r="AB542" i="8"/>
  <c r="AC542" i="8"/>
  <c r="AD542" i="8"/>
  <c r="S543" i="8"/>
  <c r="T543" i="8"/>
  <c r="U543" i="8"/>
  <c r="V543" i="8"/>
  <c r="W543" i="8"/>
  <c r="X543" i="8"/>
  <c r="Y543" i="8"/>
  <c r="Z543" i="8"/>
  <c r="AA543" i="8"/>
  <c r="AB543" i="8"/>
  <c r="AC543" i="8"/>
  <c r="AD543" i="8"/>
  <c r="S544" i="8"/>
  <c r="T544" i="8"/>
  <c r="U544" i="8"/>
  <c r="V544" i="8"/>
  <c r="W544" i="8"/>
  <c r="X544" i="8"/>
  <c r="Y544" i="8"/>
  <c r="Z544" i="8"/>
  <c r="AA544" i="8"/>
  <c r="AB544" i="8"/>
  <c r="AC544" i="8"/>
  <c r="AD544" i="8"/>
  <c r="S545" i="8"/>
  <c r="T545" i="8"/>
  <c r="U545" i="8"/>
  <c r="V545" i="8"/>
  <c r="W545" i="8"/>
  <c r="X545" i="8"/>
  <c r="Y545" i="8"/>
  <c r="Z545" i="8"/>
  <c r="AA545" i="8"/>
  <c r="AB545" i="8"/>
  <c r="AC545" i="8"/>
  <c r="AD545" i="8"/>
  <c r="S546" i="8"/>
  <c r="T546" i="8"/>
  <c r="U546" i="8"/>
  <c r="V546" i="8"/>
  <c r="W546" i="8"/>
  <c r="X546" i="8"/>
  <c r="Y546" i="8"/>
  <c r="Z546" i="8"/>
  <c r="AA546" i="8"/>
  <c r="AB546" i="8"/>
  <c r="AC546" i="8"/>
  <c r="AD546" i="8"/>
  <c r="S547" i="8"/>
  <c r="T547" i="8"/>
  <c r="U547" i="8"/>
  <c r="V547" i="8"/>
  <c r="W547" i="8"/>
  <c r="X547" i="8"/>
  <c r="Y547" i="8"/>
  <c r="Z547" i="8"/>
  <c r="AA547" i="8"/>
  <c r="AB547" i="8"/>
  <c r="AC547" i="8"/>
  <c r="AD547" i="8"/>
  <c r="S548" i="8"/>
  <c r="T548" i="8"/>
  <c r="U548" i="8"/>
  <c r="V548" i="8"/>
  <c r="W548" i="8"/>
  <c r="X548" i="8"/>
  <c r="Y548" i="8"/>
  <c r="Z548" i="8"/>
  <c r="AA548" i="8"/>
  <c r="AB548" i="8"/>
  <c r="AC548" i="8"/>
  <c r="AD548" i="8"/>
  <c r="S549" i="8"/>
  <c r="T549" i="8"/>
  <c r="U549" i="8"/>
  <c r="V549" i="8"/>
  <c r="W549" i="8"/>
  <c r="X549" i="8"/>
  <c r="Y549" i="8"/>
  <c r="Z549" i="8"/>
  <c r="AA549" i="8"/>
  <c r="AB549" i="8"/>
  <c r="AC549" i="8"/>
  <c r="AD549" i="8"/>
  <c r="S550" i="8"/>
  <c r="T550" i="8"/>
  <c r="U550" i="8"/>
  <c r="V550" i="8"/>
  <c r="W550" i="8"/>
  <c r="X550" i="8"/>
  <c r="Y550" i="8"/>
  <c r="Z550" i="8"/>
  <c r="AA550" i="8"/>
  <c r="AB550" i="8"/>
  <c r="AC550" i="8"/>
  <c r="AD550" i="8"/>
  <c r="S551" i="8"/>
  <c r="T551" i="8"/>
  <c r="U551" i="8"/>
  <c r="V551" i="8"/>
  <c r="W551" i="8"/>
  <c r="X551" i="8"/>
  <c r="Y551" i="8"/>
  <c r="Z551" i="8"/>
  <c r="AA551" i="8"/>
  <c r="AB551" i="8"/>
  <c r="AC551" i="8"/>
  <c r="AD551"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C63" i="8"/>
  <c r="D63" i="8"/>
  <c r="E63" i="8"/>
  <c r="F63" i="8"/>
  <c r="G63" i="8"/>
  <c r="H63" i="8"/>
  <c r="I63" i="8"/>
  <c r="J63" i="8"/>
  <c r="K63" i="8"/>
  <c r="L63" i="8"/>
  <c r="M63" i="8"/>
  <c r="N63" i="8"/>
  <c r="S482" i="8"/>
  <c r="T482" i="8"/>
  <c r="U482" i="8"/>
  <c r="V482" i="8"/>
  <c r="W482" i="8"/>
  <c r="X482" i="8"/>
  <c r="Y482" i="8"/>
  <c r="Z482" i="8"/>
  <c r="AA482" i="8"/>
  <c r="AB482" i="8"/>
  <c r="AC482" i="8"/>
  <c r="AD482" i="8"/>
  <c r="S483" i="8"/>
  <c r="T483" i="8"/>
  <c r="U483" i="8"/>
  <c r="V483" i="8"/>
  <c r="W483" i="8"/>
  <c r="X483" i="8"/>
  <c r="Y483" i="8"/>
  <c r="Z483" i="8"/>
  <c r="AA483" i="8"/>
  <c r="AB483" i="8"/>
  <c r="AC483" i="8"/>
  <c r="AD483" i="8"/>
  <c r="S484" i="8"/>
  <c r="T484" i="8"/>
  <c r="U484" i="8"/>
  <c r="V484" i="8"/>
  <c r="W484" i="8"/>
  <c r="X484" i="8"/>
  <c r="Y484" i="8"/>
  <c r="Z484" i="8"/>
  <c r="AA484" i="8"/>
  <c r="AB484" i="8"/>
  <c r="AC484" i="8"/>
  <c r="AD484" i="8"/>
  <c r="S485" i="8"/>
  <c r="T485" i="8"/>
  <c r="U485" i="8"/>
  <c r="V485" i="8"/>
  <c r="W485" i="8"/>
  <c r="X485" i="8"/>
  <c r="Y485" i="8"/>
  <c r="Z485" i="8"/>
  <c r="AA485" i="8"/>
  <c r="AB485" i="8"/>
  <c r="AC485" i="8"/>
  <c r="AD485" i="8"/>
  <c r="S486" i="8"/>
  <c r="T486" i="8"/>
  <c r="U486" i="8"/>
  <c r="V486" i="8"/>
  <c r="W486" i="8"/>
  <c r="X486" i="8"/>
  <c r="Y486" i="8"/>
  <c r="Z486" i="8"/>
  <c r="AA486" i="8"/>
  <c r="AB486" i="8"/>
  <c r="AC486" i="8"/>
  <c r="AD486" i="8"/>
  <c r="S487" i="8"/>
  <c r="T487" i="8"/>
  <c r="U487" i="8"/>
  <c r="V487" i="8"/>
  <c r="W487" i="8"/>
  <c r="X487" i="8"/>
  <c r="Y487" i="8"/>
  <c r="Z487" i="8"/>
  <c r="AA487" i="8"/>
  <c r="AB487" i="8"/>
  <c r="AC487" i="8"/>
  <c r="AD487" i="8"/>
  <c r="S488" i="8"/>
  <c r="T488" i="8"/>
  <c r="U488" i="8"/>
  <c r="V488" i="8"/>
  <c r="W488" i="8"/>
  <c r="X488" i="8"/>
  <c r="Y488" i="8"/>
  <c r="Z488" i="8"/>
  <c r="AA488" i="8"/>
  <c r="AB488" i="8"/>
  <c r="AC488" i="8"/>
  <c r="AD488" i="8"/>
  <c r="S489" i="8"/>
  <c r="T489" i="8"/>
  <c r="U489" i="8"/>
  <c r="V489" i="8"/>
  <c r="W489" i="8"/>
  <c r="X489" i="8"/>
  <c r="Y489" i="8"/>
  <c r="Z489" i="8"/>
  <c r="AA489" i="8"/>
  <c r="AB489" i="8"/>
  <c r="AC489" i="8"/>
  <c r="AD489" i="8"/>
  <c r="S490" i="8"/>
  <c r="T490" i="8"/>
  <c r="U490" i="8"/>
  <c r="V490" i="8"/>
  <c r="W490" i="8"/>
  <c r="X490" i="8"/>
  <c r="Y490" i="8"/>
  <c r="Z490" i="8"/>
  <c r="AA490" i="8"/>
  <c r="AB490" i="8"/>
  <c r="AC490" i="8"/>
  <c r="AD490" i="8"/>
  <c r="S491" i="8"/>
  <c r="T491" i="8"/>
  <c r="U491" i="8"/>
  <c r="V491" i="8"/>
  <c r="W491" i="8"/>
  <c r="X491" i="8"/>
  <c r="Y491" i="8"/>
  <c r="Z491" i="8"/>
  <c r="AA491" i="8"/>
  <c r="AB491" i="8"/>
  <c r="AC491" i="8"/>
  <c r="AD491" i="8"/>
  <c r="S492" i="8"/>
  <c r="T492" i="8"/>
  <c r="U492" i="8"/>
  <c r="V492" i="8"/>
  <c r="W492" i="8"/>
  <c r="X492" i="8"/>
  <c r="Y492" i="8"/>
  <c r="Z492" i="8"/>
  <c r="AA492" i="8"/>
  <c r="AB492" i="8"/>
  <c r="AC492" i="8"/>
  <c r="AD492" i="8"/>
  <c r="S493" i="8"/>
  <c r="T493" i="8"/>
  <c r="U493" i="8"/>
  <c r="V493" i="8"/>
  <c r="W493" i="8"/>
  <c r="X493" i="8"/>
  <c r="Y493" i="8"/>
  <c r="Z493" i="8"/>
  <c r="AA493" i="8"/>
  <c r="AB493" i="8"/>
  <c r="AC493" i="8"/>
  <c r="AD493" i="8"/>
  <c r="S494" i="8"/>
  <c r="T494" i="8"/>
  <c r="U494" i="8"/>
  <c r="V494" i="8"/>
  <c r="W494" i="8"/>
  <c r="X494" i="8"/>
  <c r="Y494" i="8"/>
  <c r="Z494" i="8"/>
  <c r="AA494" i="8"/>
  <c r="AB494" i="8"/>
  <c r="AC494" i="8"/>
  <c r="AD494" i="8"/>
  <c r="S495" i="8"/>
  <c r="T495" i="8"/>
  <c r="U495" i="8"/>
  <c r="V495" i="8"/>
  <c r="W495" i="8"/>
  <c r="X495" i="8"/>
  <c r="Y495" i="8"/>
  <c r="Z495" i="8"/>
  <c r="AA495" i="8"/>
  <c r="AB495" i="8"/>
  <c r="AC495" i="8"/>
  <c r="AD495" i="8"/>
  <c r="S496" i="8"/>
  <c r="T496" i="8"/>
  <c r="U496" i="8"/>
  <c r="V496" i="8"/>
  <c r="W496" i="8"/>
  <c r="X496" i="8"/>
  <c r="Y496" i="8"/>
  <c r="Z496" i="8"/>
  <c r="AA496" i="8"/>
  <c r="AB496" i="8"/>
  <c r="AC496" i="8"/>
  <c r="AD496" i="8"/>
  <c r="S497" i="8"/>
  <c r="T497" i="8"/>
  <c r="U497" i="8"/>
  <c r="V497" i="8"/>
  <c r="W497" i="8"/>
  <c r="X497" i="8"/>
  <c r="Y497" i="8"/>
  <c r="Z497" i="8"/>
  <c r="AA497" i="8"/>
  <c r="AB497" i="8"/>
  <c r="AC497" i="8"/>
  <c r="AD497" i="8"/>
  <c r="S498" i="8"/>
  <c r="T498" i="8"/>
  <c r="U498" i="8"/>
  <c r="V498" i="8"/>
  <c r="W498" i="8"/>
  <c r="X498" i="8"/>
  <c r="Y498" i="8"/>
  <c r="Z498" i="8"/>
  <c r="AA498" i="8"/>
  <c r="AB498" i="8"/>
  <c r="AC498" i="8"/>
  <c r="AD498" i="8"/>
  <c r="S499" i="8"/>
  <c r="T499" i="8"/>
  <c r="U499" i="8"/>
  <c r="V499" i="8"/>
  <c r="W499" i="8"/>
  <c r="X499" i="8"/>
  <c r="Y499" i="8"/>
  <c r="Z499" i="8"/>
  <c r="AA499" i="8"/>
  <c r="AB499" i="8"/>
  <c r="AC499" i="8"/>
  <c r="AD499" i="8"/>
  <c r="S500" i="8"/>
  <c r="T500" i="8"/>
  <c r="U500" i="8"/>
  <c r="V500" i="8"/>
  <c r="W500" i="8"/>
  <c r="X500" i="8"/>
  <c r="Y500" i="8"/>
  <c r="Z500" i="8"/>
  <c r="AA500" i="8"/>
  <c r="AB500" i="8"/>
  <c r="AC500" i="8"/>
  <c r="AD500" i="8"/>
  <c r="S501" i="8"/>
  <c r="T501" i="8"/>
  <c r="U501" i="8"/>
  <c r="V501" i="8"/>
  <c r="W501" i="8"/>
  <c r="X501" i="8"/>
  <c r="Y501" i="8"/>
  <c r="Z501" i="8"/>
  <c r="AA501" i="8"/>
  <c r="AB501" i="8"/>
  <c r="AC501" i="8"/>
  <c r="AD501" i="8"/>
  <c r="S502" i="8"/>
  <c r="T502" i="8"/>
  <c r="U502" i="8"/>
  <c r="V502" i="8"/>
  <c r="W502" i="8"/>
  <c r="X502" i="8"/>
  <c r="Y502" i="8"/>
  <c r="Z502" i="8"/>
  <c r="AA502" i="8"/>
  <c r="AB502" i="8"/>
  <c r="AC502" i="8"/>
  <c r="AD502" i="8"/>
  <c r="S503" i="8"/>
  <c r="T503" i="8"/>
  <c r="U503" i="8"/>
  <c r="V503" i="8"/>
  <c r="W503" i="8"/>
  <c r="X503" i="8"/>
  <c r="Y503" i="8"/>
  <c r="Z503" i="8"/>
  <c r="AA503" i="8"/>
  <c r="AB503" i="8"/>
  <c r="AC503" i="8"/>
  <c r="AD503" i="8"/>
  <c r="S504" i="8"/>
  <c r="T504" i="8"/>
  <c r="U504" i="8"/>
  <c r="V504" i="8"/>
  <c r="W504" i="8"/>
  <c r="X504" i="8"/>
  <c r="Y504" i="8"/>
  <c r="Z504" i="8"/>
  <c r="AA504" i="8"/>
  <c r="AB504" i="8"/>
  <c r="AC504" i="8"/>
  <c r="AD504" i="8"/>
  <c r="S505" i="8"/>
  <c r="T505" i="8"/>
  <c r="U505" i="8"/>
  <c r="V505" i="8"/>
  <c r="W505" i="8"/>
  <c r="X505" i="8"/>
  <c r="Y505" i="8"/>
  <c r="Z505" i="8"/>
  <c r="AA505" i="8"/>
  <c r="AB505" i="8"/>
  <c r="AC505" i="8"/>
  <c r="AD505" i="8"/>
  <c r="S506" i="8"/>
  <c r="T506" i="8"/>
  <c r="U506" i="8"/>
  <c r="V506" i="8"/>
  <c r="W506" i="8"/>
  <c r="X506" i="8"/>
  <c r="Y506" i="8"/>
  <c r="Z506" i="8"/>
  <c r="AA506" i="8"/>
  <c r="AB506" i="8"/>
  <c r="AC506" i="8"/>
  <c r="AD506" i="8"/>
  <c r="S507" i="8"/>
  <c r="T507" i="8"/>
  <c r="U507" i="8"/>
  <c r="V507" i="8"/>
  <c r="W507" i="8"/>
  <c r="X507" i="8"/>
  <c r="Y507" i="8"/>
  <c r="Z507" i="8"/>
  <c r="AA507" i="8"/>
  <c r="AB507" i="8"/>
  <c r="AC507" i="8"/>
  <c r="AD507" i="8"/>
  <c r="S508" i="8"/>
  <c r="T508" i="8"/>
  <c r="U508" i="8"/>
  <c r="V508" i="8"/>
  <c r="W508" i="8"/>
  <c r="X508" i="8"/>
  <c r="Y508" i="8"/>
  <c r="Z508" i="8"/>
  <c r="AA508" i="8"/>
  <c r="AB508" i="8"/>
  <c r="AC508" i="8"/>
  <c r="AD508" i="8"/>
  <c r="S509" i="8"/>
  <c r="T509" i="8"/>
  <c r="U509" i="8"/>
  <c r="V509" i="8"/>
  <c r="W509" i="8"/>
  <c r="X509" i="8"/>
  <c r="Y509" i="8"/>
  <c r="Z509" i="8"/>
  <c r="AA509" i="8"/>
  <c r="AB509" i="8"/>
  <c r="AC509" i="8"/>
  <c r="AD509" i="8"/>
  <c r="S510" i="8"/>
  <c r="T510" i="8"/>
  <c r="U510" i="8"/>
  <c r="V510" i="8"/>
  <c r="W510" i="8"/>
  <c r="X510" i="8"/>
  <c r="Y510" i="8"/>
  <c r="Z510" i="8"/>
  <c r="AA510" i="8"/>
  <c r="AB510" i="8"/>
  <c r="AC510" i="8"/>
  <c r="AD510" i="8"/>
  <c r="S511" i="8"/>
  <c r="T511" i="8"/>
  <c r="U511" i="8"/>
  <c r="V511" i="8"/>
  <c r="W511" i="8"/>
  <c r="X511" i="8"/>
  <c r="Y511" i="8"/>
  <c r="Z511" i="8"/>
  <c r="AA511" i="8"/>
  <c r="AB511" i="8"/>
  <c r="AC511" i="8"/>
  <c r="AD511" i="8"/>
  <c r="S512" i="8"/>
  <c r="T512" i="8"/>
  <c r="U512" i="8"/>
  <c r="V512" i="8"/>
  <c r="W512" i="8"/>
  <c r="X512" i="8"/>
  <c r="Y512" i="8"/>
  <c r="Z512" i="8"/>
  <c r="AA512" i="8"/>
  <c r="AB512" i="8"/>
  <c r="AC512" i="8"/>
  <c r="AD512" i="8"/>
  <c r="S513" i="8"/>
  <c r="T513" i="8"/>
  <c r="U513" i="8"/>
  <c r="V513" i="8"/>
  <c r="W513" i="8"/>
  <c r="X513" i="8"/>
  <c r="Y513" i="8"/>
  <c r="Z513" i="8"/>
  <c r="AA513" i="8"/>
  <c r="AB513" i="8"/>
  <c r="AC513" i="8"/>
  <c r="AD513" i="8"/>
  <c r="S514" i="8"/>
  <c r="T514" i="8"/>
  <c r="U514" i="8"/>
  <c r="V514" i="8"/>
  <c r="W514" i="8"/>
  <c r="X514" i="8"/>
  <c r="Y514" i="8"/>
  <c r="Z514" i="8"/>
  <c r="AA514" i="8"/>
  <c r="AB514" i="8"/>
  <c r="AC514" i="8"/>
  <c r="AD514" i="8"/>
  <c r="S515" i="8"/>
  <c r="T515" i="8"/>
  <c r="U515" i="8"/>
  <c r="V515" i="8"/>
  <c r="W515" i="8"/>
  <c r="X515" i="8"/>
  <c r="Y515" i="8"/>
  <c r="Z515" i="8"/>
  <c r="AA515" i="8"/>
  <c r="AB515" i="8"/>
  <c r="AC515" i="8"/>
  <c r="AD515" i="8"/>
  <c r="S516" i="8"/>
  <c r="T516" i="8"/>
  <c r="U516" i="8"/>
  <c r="V516" i="8"/>
  <c r="W516" i="8"/>
  <c r="X516" i="8"/>
  <c r="Y516" i="8"/>
  <c r="Z516" i="8"/>
  <c r="AA516" i="8"/>
  <c r="AB516" i="8"/>
  <c r="AC516" i="8"/>
  <c r="AD516" i="8"/>
  <c r="S517" i="8"/>
  <c r="T517" i="8"/>
  <c r="U517" i="8"/>
  <c r="V517" i="8"/>
  <c r="W517" i="8"/>
  <c r="X517" i="8"/>
  <c r="Y517" i="8"/>
  <c r="Z517" i="8"/>
  <c r="AA517" i="8"/>
  <c r="AB517" i="8"/>
  <c r="AC517" i="8"/>
  <c r="AD517" i="8"/>
  <c r="S518" i="8"/>
  <c r="T518" i="8"/>
  <c r="U518" i="8"/>
  <c r="V518" i="8"/>
  <c r="W518" i="8"/>
  <c r="X518" i="8"/>
  <c r="Y518" i="8"/>
  <c r="Z518" i="8"/>
  <c r="AA518" i="8"/>
  <c r="AB518" i="8"/>
  <c r="AC518" i="8"/>
  <c r="AD518" i="8"/>
  <c r="S519" i="8"/>
  <c r="T519" i="8"/>
  <c r="U519" i="8"/>
  <c r="V519" i="8"/>
  <c r="W519" i="8"/>
  <c r="X519" i="8"/>
  <c r="Y519" i="8"/>
  <c r="Z519" i="8"/>
  <c r="AA519" i="8"/>
  <c r="AB519" i="8"/>
  <c r="AC519" i="8"/>
  <c r="AD519" i="8"/>
  <c r="R519" i="8"/>
  <c r="R518" i="8"/>
  <c r="R517" i="8"/>
  <c r="R516" i="8"/>
  <c r="R515" i="8"/>
  <c r="R514" i="8"/>
  <c r="R513" i="8"/>
  <c r="R512" i="8"/>
  <c r="R511" i="8"/>
  <c r="R510" i="8"/>
  <c r="R509" i="8"/>
  <c r="R508" i="8"/>
  <c r="R507" i="8"/>
  <c r="R506" i="8"/>
  <c r="R505" i="8"/>
  <c r="R504" i="8"/>
  <c r="R503" i="8"/>
  <c r="R502" i="8"/>
  <c r="R501" i="8"/>
  <c r="R500" i="8"/>
  <c r="R499" i="8"/>
  <c r="R486" i="8"/>
  <c r="R485" i="8"/>
  <c r="R484" i="8"/>
  <c r="R483" i="8"/>
  <c r="R482" i="8"/>
  <c r="R498" i="8"/>
  <c r="R497" i="8"/>
  <c r="R494" i="8"/>
  <c r="R495" i="8"/>
  <c r="R496" i="8"/>
  <c r="R493" i="8"/>
  <c r="R492" i="8"/>
  <c r="R491" i="8"/>
  <c r="R490" i="8"/>
  <c r="R489" i="8"/>
  <c r="R488" i="8"/>
  <c r="R487" i="8"/>
  <c r="S466" i="8"/>
  <c r="T466" i="8"/>
  <c r="U466" i="8"/>
  <c r="V466" i="8"/>
  <c r="W466" i="8"/>
  <c r="X466" i="8"/>
  <c r="Y466" i="8"/>
  <c r="Z466" i="8"/>
  <c r="AA466" i="8"/>
  <c r="AB466" i="8"/>
  <c r="AC466" i="8"/>
  <c r="AD466" i="8"/>
  <c r="S467" i="8"/>
  <c r="T467" i="8"/>
  <c r="U467" i="8"/>
  <c r="V467" i="8"/>
  <c r="W467" i="8"/>
  <c r="X467" i="8"/>
  <c r="Y467" i="8"/>
  <c r="Z467" i="8"/>
  <c r="AA467" i="8"/>
  <c r="AB467" i="8"/>
  <c r="AC467" i="8"/>
  <c r="AD467" i="8"/>
  <c r="S468" i="8"/>
  <c r="T468" i="8"/>
  <c r="U468" i="8"/>
  <c r="V468" i="8"/>
  <c r="W468" i="8"/>
  <c r="X468" i="8"/>
  <c r="Y468" i="8"/>
  <c r="Z468" i="8"/>
  <c r="AA468" i="8"/>
  <c r="AB468" i="8"/>
  <c r="AC468" i="8"/>
  <c r="AD468" i="8"/>
  <c r="S469" i="8"/>
  <c r="T469" i="8"/>
  <c r="U469" i="8"/>
  <c r="V469" i="8"/>
  <c r="W469" i="8"/>
  <c r="X469" i="8"/>
  <c r="Y469" i="8"/>
  <c r="Z469" i="8"/>
  <c r="AA469" i="8"/>
  <c r="AB469" i="8"/>
  <c r="AC469" i="8"/>
  <c r="AD469" i="8"/>
  <c r="S470" i="8"/>
  <c r="T470" i="8"/>
  <c r="U470" i="8"/>
  <c r="V470" i="8"/>
  <c r="W470" i="8"/>
  <c r="X470" i="8"/>
  <c r="Y470" i="8"/>
  <c r="Z470" i="8"/>
  <c r="AA470" i="8"/>
  <c r="AB470" i="8"/>
  <c r="AC470" i="8"/>
  <c r="AD470" i="8"/>
  <c r="S471" i="8"/>
  <c r="T471" i="8"/>
  <c r="U471" i="8"/>
  <c r="V471" i="8"/>
  <c r="W471" i="8"/>
  <c r="X471" i="8"/>
  <c r="Y471" i="8"/>
  <c r="Z471" i="8"/>
  <c r="AA471" i="8"/>
  <c r="AB471" i="8"/>
  <c r="AC471" i="8"/>
  <c r="AD471" i="8"/>
  <c r="S472" i="8"/>
  <c r="T472" i="8"/>
  <c r="U472" i="8"/>
  <c r="V472" i="8"/>
  <c r="W472" i="8"/>
  <c r="X472" i="8"/>
  <c r="Y472" i="8"/>
  <c r="Z472" i="8"/>
  <c r="AA472" i="8"/>
  <c r="AB472" i="8"/>
  <c r="AC472" i="8"/>
  <c r="AD472" i="8"/>
  <c r="S473" i="8"/>
  <c r="T473" i="8"/>
  <c r="U473" i="8"/>
  <c r="V473" i="8"/>
  <c r="W473" i="8"/>
  <c r="X473" i="8"/>
  <c r="Y473" i="8"/>
  <c r="Z473" i="8"/>
  <c r="AA473" i="8"/>
  <c r="AB473" i="8"/>
  <c r="AC473" i="8"/>
  <c r="AD473" i="8"/>
  <c r="S474" i="8"/>
  <c r="T474" i="8"/>
  <c r="U474" i="8"/>
  <c r="V474" i="8"/>
  <c r="W474" i="8"/>
  <c r="X474" i="8"/>
  <c r="Y474" i="8"/>
  <c r="Z474" i="8"/>
  <c r="AA474" i="8"/>
  <c r="AB474" i="8"/>
  <c r="AC474" i="8"/>
  <c r="AD474" i="8"/>
  <c r="S475" i="8"/>
  <c r="T475" i="8"/>
  <c r="U475" i="8"/>
  <c r="V475" i="8"/>
  <c r="W475" i="8"/>
  <c r="X475" i="8"/>
  <c r="Y475" i="8"/>
  <c r="Z475" i="8"/>
  <c r="AA475" i="8"/>
  <c r="AB475" i="8"/>
  <c r="AC475" i="8"/>
  <c r="AD475" i="8"/>
  <c r="S476" i="8"/>
  <c r="T476" i="8"/>
  <c r="U476" i="8"/>
  <c r="V476" i="8"/>
  <c r="W476" i="8"/>
  <c r="X476" i="8"/>
  <c r="Y476" i="8"/>
  <c r="Z476" i="8"/>
  <c r="AA476" i="8"/>
  <c r="AB476" i="8"/>
  <c r="AC476" i="8"/>
  <c r="AD476" i="8"/>
  <c r="S477" i="8"/>
  <c r="T477" i="8"/>
  <c r="U477" i="8"/>
  <c r="V477" i="8"/>
  <c r="W477" i="8"/>
  <c r="X477" i="8"/>
  <c r="Y477" i="8"/>
  <c r="Z477" i="8"/>
  <c r="AA477" i="8"/>
  <c r="AB477" i="8"/>
  <c r="AC477" i="8"/>
  <c r="AD477" i="8"/>
  <c r="S478" i="8"/>
  <c r="T478" i="8"/>
  <c r="U478" i="8"/>
  <c r="V478" i="8"/>
  <c r="W478" i="8"/>
  <c r="X478" i="8"/>
  <c r="Y478" i="8"/>
  <c r="Z478" i="8"/>
  <c r="AA478" i="8"/>
  <c r="AB478" i="8"/>
  <c r="AC478" i="8"/>
  <c r="AD478" i="8"/>
  <c r="R466" i="8"/>
  <c r="R467" i="8"/>
  <c r="R468" i="8"/>
  <c r="R469" i="8"/>
  <c r="R470" i="8"/>
  <c r="R471" i="8"/>
  <c r="R472" i="8"/>
  <c r="R473" i="8"/>
  <c r="R474" i="8"/>
  <c r="R475" i="8"/>
  <c r="R476" i="8"/>
  <c r="R477" i="8"/>
  <c r="R478" i="8"/>
  <c r="C47" i="14"/>
  <c r="K62" i="7"/>
  <c r="K61" i="7"/>
  <c r="K60" i="7"/>
  <c r="K59" i="7"/>
  <c r="K58" i="7"/>
  <c r="K57" i="7"/>
  <c r="K56" i="7"/>
  <c r="K55" i="7"/>
  <c r="K54" i="7"/>
  <c r="K53" i="7"/>
  <c r="S167" i="13"/>
  <c r="T167" i="13"/>
  <c r="U167" i="13"/>
  <c r="V167" i="13"/>
  <c r="W167" i="13"/>
  <c r="X167" i="13"/>
  <c r="Y167" i="13"/>
  <c r="Z167" i="13"/>
  <c r="AA167" i="13"/>
  <c r="AB167" i="13"/>
  <c r="AC167" i="13"/>
  <c r="AD167" i="13"/>
  <c r="AE167" i="13"/>
  <c r="AF167" i="13"/>
  <c r="AG167" i="13"/>
  <c r="AH167" i="13"/>
  <c r="AI167" i="13"/>
  <c r="AJ167" i="13"/>
  <c r="AK167" i="13"/>
  <c r="AL167" i="13"/>
  <c r="AM167" i="13"/>
  <c r="AN167" i="13"/>
  <c r="AO167" i="13"/>
  <c r="AP167" i="13"/>
  <c r="AQ167" i="13"/>
  <c r="AR167" i="13"/>
  <c r="AS167" i="13"/>
  <c r="S168" i="13"/>
  <c r="T168" i="13"/>
  <c r="U168" i="13"/>
  <c r="V168" i="13"/>
  <c r="W168" i="13"/>
  <c r="X168" i="13"/>
  <c r="Y168" i="13"/>
  <c r="Z168" i="13"/>
  <c r="AA168" i="13"/>
  <c r="AB168" i="13"/>
  <c r="AC168" i="13"/>
  <c r="AD168" i="13"/>
  <c r="AE168" i="13"/>
  <c r="AF168" i="13"/>
  <c r="AG168" i="13"/>
  <c r="AH168" i="13"/>
  <c r="AI168" i="13"/>
  <c r="AJ168" i="13"/>
  <c r="AK168" i="13"/>
  <c r="AL168" i="13"/>
  <c r="AM168" i="13"/>
  <c r="AN168" i="13"/>
  <c r="AO168" i="13"/>
  <c r="AP168" i="13"/>
  <c r="AQ168" i="13"/>
  <c r="AR168" i="13"/>
  <c r="AS168" i="13"/>
  <c r="S169" i="13"/>
  <c r="T169" i="13"/>
  <c r="U169" i="13"/>
  <c r="V169" i="13"/>
  <c r="W169" i="13"/>
  <c r="X169" i="13"/>
  <c r="Y169" i="13"/>
  <c r="Z169" i="13"/>
  <c r="AA169" i="13"/>
  <c r="AB169" i="13"/>
  <c r="AC169" i="13"/>
  <c r="AD169" i="13"/>
  <c r="AE169" i="13"/>
  <c r="AF169" i="13"/>
  <c r="AG169" i="13"/>
  <c r="AH169" i="13"/>
  <c r="AI169" i="13"/>
  <c r="AJ169" i="13"/>
  <c r="AK169" i="13"/>
  <c r="AL169" i="13"/>
  <c r="AM169" i="13"/>
  <c r="AN169" i="13"/>
  <c r="AO169" i="13"/>
  <c r="AP169" i="13"/>
  <c r="AQ169" i="13"/>
  <c r="AR169" i="13"/>
  <c r="AS169" i="13"/>
  <c r="S170" i="13"/>
  <c r="T170" i="13"/>
  <c r="U170" i="13"/>
  <c r="V170" i="13"/>
  <c r="W170" i="13"/>
  <c r="X170" i="13"/>
  <c r="Y170" i="13"/>
  <c r="Z170" i="13"/>
  <c r="AA170" i="13"/>
  <c r="AB170" i="13"/>
  <c r="AC170" i="13"/>
  <c r="AD170" i="13"/>
  <c r="AE170" i="13"/>
  <c r="AF170" i="13"/>
  <c r="AG170" i="13"/>
  <c r="AH170" i="13"/>
  <c r="AI170" i="13"/>
  <c r="AJ170" i="13"/>
  <c r="AK170" i="13"/>
  <c r="AL170" i="13"/>
  <c r="AM170" i="13"/>
  <c r="AN170" i="13"/>
  <c r="AO170" i="13"/>
  <c r="AP170" i="13"/>
  <c r="AQ170" i="13"/>
  <c r="AR170" i="13"/>
  <c r="AS170" i="13"/>
  <c r="S171" i="13"/>
  <c r="T171" i="13"/>
  <c r="U171" i="13"/>
  <c r="V171" i="13"/>
  <c r="W171" i="13"/>
  <c r="X171" i="13"/>
  <c r="Y171" i="13"/>
  <c r="Z171" i="13"/>
  <c r="AA171" i="13"/>
  <c r="AB171" i="13"/>
  <c r="AC171" i="13"/>
  <c r="AD171" i="13"/>
  <c r="AE171" i="13"/>
  <c r="AF171" i="13"/>
  <c r="AG171" i="13"/>
  <c r="AH171" i="13"/>
  <c r="AI171" i="13"/>
  <c r="AJ171" i="13"/>
  <c r="AK171" i="13"/>
  <c r="AL171" i="13"/>
  <c r="AM171" i="13"/>
  <c r="AN171" i="13"/>
  <c r="AO171" i="13"/>
  <c r="AP171" i="13"/>
  <c r="AQ171" i="13"/>
  <c r="AR171" i="13"/>
  <c r="AS171" i="13"/>
  <c r="S172" i="13"/>
  <c r="T172" i="13"/>
  <c r="U172" i="13"/>
  <c r="V172" i="13"/>
  <c r="W172" i="13"/>
  <c r="X172" i="13"/>
  <c r="Y172" i="13"/>
  <c r="Z172" i="13"/>
  <c r="AA172" i="13"/>
  <c r="AB172" i="13"/>
  <c r="AC172" i="13"/>
  <c r="AD172" i="13"/>
  <c r="AE172" i="13"/>
  <c r="AF172" i="13"/>
  <c r="AG172" i="13"/>
  <c r="AH172" i="13"/>
  <c r="AI172" i="13"/>
  <c r="AJ172" i="13"/>
  <c r="AK172" i="13"/>
  <c r="AL172" i="13"/>
  <c r="AM172" i="13"/>
  <c r="AN172" i="13"/>
  <c r="AO172" i="13"/>
  <c r="AP172" i="13"/>
  <c r="AQ172" i="13"/>
  <c r="AR172" i="13"/>
  <c r="AS172" i="13"/>
  <c r="S173" i="13"/>
  <c r="T173" i="13"/>
  <c r="U173" i="13"/>
  <c r="V173" i="13"/>
  <c r="W173" i="13"/>
  <c r="X173" i="13"/>
  <c r="Y173" i="13"/>
  <c r="Z173" i="13"/>
  <c r="AA173" i="13"/>
  <c r="AB173" i="13"/>
  <c r="AC173" i="13"/>
  <c r="AD173" i="13"/>
  <c r="AE173" i="13"/>
  <c r="AF173" i="13"/>
  <c r="AG173" i="13"/>
  <c r="AH173" i="13"/>
  <c r="AI173" i="13"/>
  <c r="AJ173" i="13"/>
  <c r="AK173" i="13"/>
  <c r="AL173" i="13"/>
  <c r="AM173" i="13"/>
  <c r="AN173" i="13"/>
  <c r="AO173" i="13"/>
  <c r="AP173" i="13"/>
  <c r="AQ173" i="13"/>
  <c r="AR173" i="13"/>
  <c r="AS173" i="13"/>
  <c r="S174" i="13"/>
  <c r="T174" i="13"/>
  <c r="U174" i="13"/>
  <c r="V174" i="13"/>
  <c r="W174" i="13"/>
  <c r="X174" i="13"/>
  <c r="Y174" i="13"/>
  <c r="Z174" i="13"/>
  <c r="AA174" i="13"/>
  <c r="AB174" i="13"/>
  <c r="AC174" i="13"/>
  <c r="AD174" i="13"/>
  <c r="AE174" i="13"/>
  <c r="AF174" i="13"/>
  <c r="AG174" i="13"/>
  <c r="AH174" i="13"/>
  <c r="AI174" i="13"/>
  <c r="AJ174" i="13"/>
  <c r="AK174" i="13"/>
  <c r="AL174" i="13"/>
  <c r="AM174" i="13"/>
  <c r="AN174" i="13"/>
  <c r="AO174" i="13"/>
  <c r="AP174" i="13"/>
  <c r="AQ174" i="13"/>
  <c r="AR174" i="13"/>
  <c r="AS174" i="13"/>
  <c r="S175" i="13"/>
  <c r="T175" i="13"/>
  <c r="U175" i="13"/>
  <c r="V175" i="13"/>
  <c r="W175" i="13"/>
  <c r="X175" i="13"/>
  <c r="Y175" i="13"/>
  <c r="Z175" i="13"/>
  <c r="AA175" i="13"/>
  <c r="AB175" i="13"/>
  <c r="AC175" i="13"/>
  <c r="AD175" i="13"/>
  <c r="AE175" i="13"/>
  <c r="AF175" i="13"/>
  <c r="AG175" i="13"/>
  <c r="AH175" i="13"/>
  <c r="AI175" i="13"/>
  <c r="AJ175" i="13"/>
  <c r="AK175" i="13"/>
  <c r="AL175" i="13"/>
  <c r="AM175" i="13"/>
  <c r="AN175" i="13"/>
  <c r="AO175" i="13"/>
  <c r="AP175" i="13"/>
  <c r="AQ175" i="13"/>
  <c r="AR175" i="13"/>
  <c r="AS175" i="13"/>
  <c r="S176" i="13"/>
  <c r="T176" i="13"/>
  <c r="U176" i="13"/>
  <c r="V176" i="13"/>
  <c r="W176" i="13"/>
  <c r="X176" i="13"/>
  <c r="Y176" i="13"/>
  <c r="Z176" i="13"/>
  <c r="AA176" i="13"/>
  <c r="AB176" i="13"/>
  <c r="AC176" i="13"/>
  <c r="AD176" i="13"/>
  <c r="AE176" i="13"/>
  <c r="AF176" i="13"/>
  <c r="AG176" i="13"/>
  <c r="AH176" i="13"/>
  <c r="AI176" i="13"/>
  <c r="AJ176" i="13"/>
  <c r="AK176" i="13"/>
  <c r="AL176" i="13"/>
  <c r="AM176" i="13"/>
  <c r="AN176" i="13"/>
  <c r="AO176" i="13"/>
  <c r="AP176" i="13"/>
  <c r="AQ176" i="13"/>
  <c r="AR176" i="13"/>
  <c r="AS176" i="13"/>
  <c r="S177" i="13"/>
  <c r="T177" i="13"/>
  <c r="U177" i="13"/>
  <c r="V177" i="13"/>
  <c r="W177" i="13"/>
  <c r="X177" i="13"/>
  <c r="Y177" i="13"/>
  <c r="Z177" i="13"/>
  <c r="AA177" i="13"/>
  <c r="AB177" i="13"/>
  <c r="AC177" i="13"/>
  <c r="AD177" i="13"/>
  <c r="AE177" i="13"/>
  <c r="AF177" i="13"/>
  <c r="AG177" i="13"/>
  <c r="AH177" i="13"/>
  <c r="AI177" i="13"/>
  <c r="AJ177" i="13"/>
  <c r="AK177" i="13"/>
  <c r="AL177" i="13"/>
  <c r="AM177" i="13"/>
  <c r="AN177" i="13"/>
  <c r="AO177" i="13"/>
  <c r="AP177" i="13"/>
  <c r="AQ177" i="13"/>
  <c r="AR177" i="13"/>
  <c r="AS177" i="13"/>
  <c r="S178" i="13"/>
  <c r="T178" i="13"/>
  <c r="U178" i="13"/>
  <c r="V178" i="13"/>
  <c r="W178" i="13"/>
  <c r="X178" i="13"/>
  <c r="Y178" i="13"/>
  <c r="Z178" i="13"/>
  <c r="AA178" i="13"/>
  <c r="AB178" i="13"/>
  <c r="AC178" i="13"/>
  <c r="AD178" i="13"/>
  <c r="AE178" i="13"/>
  <c r="AF178" i="13"/>
  <c r="AG178" i="13"/>
  <c r="AH178" i="13"/>
  <c r="AI178" i="13"/>
  <c r="AJ178" i="13"/>
  <c r="AK178" i="13"/>
  <c r="AL178" i="13"/>
  <c r="AM178" i="13"/>
  <c r="AN178" i="13"/>
  <c r="AO178" i="13"/>
  <c r="AP178" i="13"/>
  <c r="AQ178" i="13"/>
  <c r="AR178" i="13"/>
  <c r="AS178" i="13"/>
  <c r="S179" i="13"/>
  <c r="T179" i="13"/>
  <c r="U179" i="13"/>
  <c r="V179" i="13"/>
  <c r="W179" i="13"/>
  <c r="X179" i="13"/>
  <c r="Y179" i="13"/>
  <c r="Z179" i="13"/>
  <c r="AA179" i="13"/>
  <c r="AB179" i="13"/>
  <c r="AC179" i="13"/>
  <c r="AD179" i="13"/>
  <c r="AE179" i="13"/>
  <c r="AF179" i="13"/>
  <c r="AG179" i="13"/>
  <c r="AH179" i="13"/>
  <c r="AI179" i="13"/>
  <c r="AJ179" i="13"/>
  <c r="AK179" i="13"/>
  <c r="AL179" i="13"/>
  <c r="AM179" i="13"/>
  <c r="AN179" i="13"/>
  <c r="AO179" i="13"/>
  <c r="AP179" i="13"/>
  <c r="AQ179" i="13"/>
  <c r="AR179" i="13"/>
  <c r="AS179" i="13"/>
  <c r="S180" i="13"/>
  <c r="T180" i="13"/>
  <c r="U180" i="13"/>
  <c r="V180" i="13"/>
  <c r="W180" i="13"/>
  <c r="X180" i="13"/>
  <c r="Y180" i="13"/>
  <c r="Z180" i="13"/>
  <c r="AA180" i="13"/>
  <c r="AB180" i="13"/>
  <c r="AC180" i="13"/>
  <c r="AD180" i="13"/>
  <c r="AE180" i="13"/>
  <c r="AF180" i="13"/>
  <c r="AG180" i="13"/>
  <c r="AH180" i="13"/>
  <c r="AI180" i="13"/>
  <c r="AJ180" i="13"/>
  <c r="AK180" i="13"/>
  <c r="AL180" i="13"/>
  <c r="AM180" i="13"/>
  <c r="AN180" i="13"/>
  <c r="AO180" i="13"/>
  <c r="AP180" i="13"/>
  <c r="AQ180" i="13"/>
  <c r="AR180" i="13"/>
  <c r="AS180" i="13"/>
  <c r="S181" i="13"/>
  <c r="T181" i="13"/>
  <c r="U181" i="13"/>
  <c r="V181" i="13"/>
  <c r="W181" i="13"/>
  <c r="X181" i="13"/>
  <c r="Y181" i="13"/>
  <c r="Z181" i="13"/>
  <c r="AA181" i="13"/>
  <c r="AB181" i="13"/>
  <c r="AC181" i="13"/>
  <c r="AD181" i="13"/>
  <c r="AE181" i="13"/>
  <c r="AF181" i="13"/>
  <c r="AG181" i="13"/>
  <c r="AH181" i="13"/>
  <c r="AI181" i="13"/>
  <c r="AJ181" i="13"/>
  <c r="AK181" i="13"/>
  <c r="AL181" i="13"/>
  <c r="AM181" i="13"/>
  <c r="AN181" i="13"/>
  <c r="AO181" i="13"/>
  <c r="AP181" i="13"/>
  <c r="AQ181" i="13"/>
  <c r="AR181" i="13"/>
  <c r="AS181" i="13"/>
  <c r="S182" i="13"/>
  <c r="T182" i="13"/>
  <c r="U182" i="13"/>
  <c r="V182" i="13"/>
  <c r="W182" i="13"/>
  <c r="X182" i="13"/>
  <c r="Y182" i="13"/>
  <c r="Z182" i="13"/>
  <c r="AA182" i="13"/>
  <c r="AB182" i="13"/>
  <c r="AC182" i="13"/>
  <c r="AD182" i="13"/>
  <c r="AE182" i="13"/>
  <c r="AF182" i="13"/>
  <c r="AG182" i="13"/>
  <c r="AH182" i="13"/>
  <c r="AI182" i="13"/>
  <c r="AJ182" i="13"/>
  <c r="AK182" i="13"/>
  <c r="AL182" i="13"/>
  <c r="AM182" i="13"/>
  <c r="AN182" i="13"/>
  <c r="AO182" i="13"/>
  <c r="AP182" i="13"/>
  <c r="AQ182" i="13"/>
  <c r="AR182" i="13"/>
  <c r="AS182" i="13"/>
  <c r="S183" i="13"/>
  <c r="T183" i="13"/>
  <c r="U183" i="13"/>
  <c r="V183" i="13"/>
  <c r="W183" i="13"/>
  <c r="X183" i="13"/>
  <c r="Y183" i="13"/>
  <c r="Z183" i="13"/>
  <c r="AA183" i="13"/>
  <c r="AB183" i="13"/>
  <c r="AC183" i="13"/>
  <c r="AD183" i="13"/>
  <c r="AE183" i="13"/>
  <c r="AF183" i="13"/>
  <c r="AG183" i="13"/>
  <c r="AH183" i="13"/>
  <c r="AI183" i="13"/>
  <c r="AJ183" i="13"/>
  <c r="AK183" i="13"/>
  <c r="AL183" i="13"/>
  <c r="AM183" i="13"/>
  <c r="AN183" i="13"/>
  <c r="AO183" i="13"/>
  <c r="AP183" i="13"/>
  <c r="AQ183" i="13"/>
  <c r="AR183" i="13"/>
  <c r="AS183" i="13"/>
  <c r="S184" i="13"/>
  <c r="T184" i="13"/>
  <c r="U184" i="13"/>
  <c r="V184" i="13"/>
  <c r="W184" i="13"/>
  <c r="X184" i="13"/>
  <c r="Y184" i="13"/>
  <c r="Z184" i="13"/>
  <c r="AA184" i="13"/>
  <c r="AB184" i="13"/>
  <c r="AC184" i="13"/>
  <c r="AD184" i="13"/>
  <c r="AE184" i="13"/>
  <c r="AF184" i="13"/>
  <c r="AG184" i="13"/>
  <c r="AH184" i="13"/>
  <c r="AI184" i="13"/>
  <c r="AJ184" i="13"/>
  <c r="AK184" i="13"/>
  <c r="AL184" i="13"/>
  <c r="AM184" i="13"/>
  <c r="AN184" i="13"/>
  <c r="AO184" i="13"/>
  <c r="AP184" i="13"/>
  <c r="AQ184" i="13"/>
  <c r="AR184" i="13"/>
  <c r="AS184" i="13"/>
  <c r="S185" i="13"/>
  <c r="T185" i="13"/>
  <c r="U185" i="13"/>
  <c r="V185" i="13"/>
  <c r="W185" i="13"/>
  <c r="X185" i="13"/>
  <c r="Y185" i="13"/>
  <c r="Z185" i="13"/>
  <c r="AA185" i="13"/>
  <c r="AB185" i="13"/>
  <c r="AC185" i="13"/>
  <c r="AD185" i="13"/>
  <c r="AE185" i="13"/>
  <c r="AF185" i="13"/>
  <c r="AG185" i="13"/>
  <c r="AH185" i="13"/>
  <c r="AI185" i="13"/>
  <c r="AJ185" i="13"/>
  <c r="AK185" i="13"/>
  <c r="AL185" i="13"/>
  <c r="AM185" i="13"/>
  <c r="AN185" i="13"/>
  <c r="AO185" i="13"/>
  <c r="AP185" i="13"/>
  <c r="AQ185" i="13"/>
  <c r="AR185" i="13"/>
  <c r="AS185" i="13"/>
  <c r="S186" i="13"/>
  <c r="T186" i="13"/>
  <c r="U186" i="13"/>
  <c r="V186" i="13"/>
  <c r="W186" i="13"/>
  <c r="X186" i="13"/>
  <c r="Y186" i="13"/>
  <c r="Z186" i="13"/>
  <c r="AA186" i="13"/>
  <c r="AB186" i="13"/>
  <c r="AC186" i="13"/>
  <c r="AD186" i="13"/>
  <c r="AE186" i="13"/>
  <c r="AF186" i="13"/>
  <c r="AG186" i="13"/>
  <c r="AH186" i="13"/>
  <c r="AI186" i="13"/>
  <c r="AJ186" i="13"/>
  <c r="AK186" i="13"/>
  <c r="AL186" i="13"/>
  <c r="AM186" i="13"/>
  <c r="AN186" i="13"/>
  <c r="AO186" i="13"/>
  <c r="AP186" i="13"/>
  <c r="AQ186" i="13"/>
  <c r="AR186" i="13"/>
  <c r="AS186" i="13"/>
  <c r="S187" i="13"/>
  <c r="T187" i="13"/>
  <c r="U187" i="13"/>
  <c r="V187" i="13"/>
  <c r="W187" i="13"/>
  <c r="X187" i="13"/>
  <c r="Y187" i="13"/>
  <c r="Z187" i="13"/>
  <c r="AA187" i="13"/>
  <c r="AB187" i="13"/>
  <c r="AC187" i="13"/>
  <c r="AD187" i="13"/>
  <c r="AE187" i="13"/>
  <c r="AF187" i="13"/>
  <c r="AG187" i="13"/>
  <c r="AH187" i="13"/>
  <c r="AI187" i="13"/>
  <c r="AJ187" i="13"/>
  <c r="AK187" i="13"/>
  <c r="AL187" i="13"/>
  <c r="AM187" i="13"/>
  <c r="AN187" i="13"/>
  <c r="AO187" i="13"/>
  <c r="AP187" i="13"/>
  <c r="AQ187" i="13"/>
  <c r="AR187" i="13"/>
  <c r="AS187" i="13"/>
  <c r="S188" i="13"/>
  <c r="T188" i="13"/>
  <c r="U188" i="13"/>
  <c r="V188" i="13"/>
  <c r="W188" i="13"/>
  <c r="X188" i="13"/>
  <c r="Y188" i="13"/>
  <c r="Z188" i="13"/>
  <c r="AA188" i="13"/>
  <c r="AB188" i="13"/>
  <c r="AC188" i="13"/>
  <c r="AD188" i="13"/>
  <c r="AE188" i="13"/>
  <c r="AF188" i="13"/>
  <c r="AG188" i="13"/>
  <c r="AH188" i="13"/>
  <c r="AI188" i="13"/>
  <c r="AJ188" i="13"/>
  <c r="AK188" i="13"/>
  <c r="AL188" i="13"/>
  <c r="AM188" i="13"/>
  <c r="AN188" i="13"/>
  <c r="AO188" i="13"/>
  <c r="AP188" i="13"/>
  <c r="AQ188" i="13"/>
  <c r="AR188" i="13"/>
  <c r="AS188" i="13"/>
  <c r="S189" i="13"/>
  <c r="T189" i="13"/>
  <c r="U189" i="13"/>
  <c r="V189" i="13"/>
  <c r="W189" i="13"/>
  <c r="X189" i="13"/>
  <c r="Y189" i="13"/>
  <c r="Z189" i="13"/>
  <c r="AA189" i="13"/>
  <c r="AB189" i="13"/>
  <c r="AC189" i="13"/>
  <c r="AD189" i="13"/>
  <c r="AE189" i="13"/>
  <c r="AF189" i="13"/>
  <c r="AG189" i="13"/>
  <c r="AH189" i="13"/>
  <c r="AI189" i="13"/>
  <c r="AJ189" i="13"/>
  <c r="AK189" i="13"/>
  <c r="AL189" i="13"/>
  <c r="AM189" i="13"/>
  <c r="AN189" i="13"/>
  <c r="AO189" i="13"/>
  <c r="AP189" i="13"/>
  <c r="AQ189" i="13"/>
  <c r="AR189" i="13"/>
  <c r="AS189" i="13"/>
  <c r="S190" i="13"/>
  <c r="T190" i="13"/>
  <c r="U190" i="13"/>
  <c r="V190" i="13"/>
  <c r="W190" i="13"/>
  <c r="X190" i="13"/>
  <c r="Y190" i="13"/>
  <c r="Z190" i="13"/>
  <c r="AA190" i="13"/>
  <c r="AB190" i="13"/>
  <c r="AC190" i="13"/>
  <c r="AD190" i="13"/>
  <c r="AE190" i="13"/>
  <c r="AF190" i="13"/>
  <c r="AG190" i="13"/>
  <c r="AH190" i="13"/>
  <c r="AI190" i="13"/>
  <c r="AJ190" i="13"/>
  <c r="AK190" i="13"/>
  <c r="AL190" i="13"/>
  <c r="AM190" i="13"/>
  <c r="AN190" i="13"/>
  <c r="AO190" i="13"/>
  <c r="AP190" i="13"/>
  <c r="AQ190" i="13"/>
  <c r="AR190" i="13"/>
  <c r="AS190" i="13"/>
  <c r="S191" i="13"/>
  <c r="T191" i="13"/>
  <c r="U191" i="13"/>
  <c r="V191" i="13"/>
  <c r="W191" i="13"/>
  <c r="X191" i="13"/>
  <c r="Y191" i="13"/>
  <c r="Z191" i="13"/>
  <c r="AA191" i="13"/>
  <c r="AB191" i="13"/>
  <c r="AC191" i="13"/>
  <c r="AD191" i="13"/>
  <c r="AE191" i="13"/>
  <c r="AF191" i="13"/>
  <c r="AG191" i="13"/>
  <c r="AH191" i="13"/>
  <c r="AI191" i="13"/>
  <c r="AJ191" i="13"/>
  <c r="AK191" i="13"/>
  <c r="AL191" i="13"/>
  <c r="AM191" i="13"/>
  <c r="AN191" i="13"/>
  <c r="AO191" i="13"/>
  <c r="AP191" i="13"/>
  <c r="AQ191" i="13"/>
  <c r="AR191" i="13"/>
  <c r="AS191" i="13"/>
  <c r="S192" i="13"/>
  <c r="T192" i="13"/>
  <c r="U192" i="13"/>
  <c r="V192" i="13"/>
  <c r="W192" i="13"/>
  <c r="X192" i="13"/>
  <c r="Y192" i="13"/>
  <c r="Z192" i="13"/>
  <c r="AA192" i="13"/>
  <c r="AB192" i="13"/>
  <c r="AC192" i="13"/>
  <c r="AD192" i="13"/>
  <c r="AE192" i="13"/>
  <c r="AF192" i="13"/>
  <c r="AG192" i="13"/>
  <c r="AH192" i="13"/>
  <c r="AI192" i="13"/>
  <c r="AJ192" i="13"/>
  <c r="AK192" i="13"/>
  <c r="AL192" i="13"/>
  <c r="AM192" i="13"/>
  <c r="AN192" i="13"/>
  <c r="AO192" i="13"/>
  <c r="AP192" i="13"/>
  <c r="AQ192" i="13"/>
  <c r="AR192" i="13"/>
  <c r="AS192" i="13"/>
  <c r="S193" i="13"/>
  <c r="T193" i="13"/>
  <c r="U193" i="13"/>
  <c r="V193" i="13"/>
  <c r="W193" i="13"/>
  <c r="X193" i="13"/>
  <c r="Y193" i="13"/>
  <c r="Z193" i="13"/>
  <c r="AA193" i="13"/>
  <c r="AB193" i="13"/>
  <c r="AC193" i="13"/>
  <c r="AD193" i="13"/>
  <c r="AE193" i="13"/>
  <c r="AF193" i="13"/>
  <c r="AG193" i="13"/>
  <c r="AH193" i="13"/>
  <c r="AI193" i="13"/>
  <c r="AJ193" i="13"/>
  <c r="AK193" i="13"/>
  <c r="AL193" i="13"/>
  <c r="AM193" i="13"/>
  <c r="AN193" i="13"/>
  <c r="AO193" i="13"/>
  <c r="AP193" i="13"/>
  <c r="AQ193" i="13"/>
  <c r="AR193" i="13"/>
  <c r="AS193" i="13"/>
  <c r="S194" i="13"/>
  <c r="T194" i="13"/>
  <c r="U194" i="13"/>
  <c r="V194" i="13"/>
  <c r="W194" i="13"/>
  <c r="X194" i="13"/>
  <c r="Y194" i="13"/>
  <c r="Z194" i="13"/>
  <c r="AA194" i="13"/>
  <c r="AB194" i="13"/>
  <c r="AC194" i="13"/>
  <c r="AD194" i="13"/>
  <c r="AE194" i="13"/>
  <c r="AF194" i="13"/>
  <c r="AG194" i="13"/>
  <c r="AH194" i="13"/>
  <c r="AI194" i="13"/>
  <c r="AJ194" i="13"/>
  <c r="AK194" i="13"/>
  <c r="AL194" i="13"/>
  <c r="AM194" i="13"/>
  <c r="AN194" i="13"/>
  <c r="AO194" i="13"/>
  <c r="AP194" i="13"/>
  <c r="AQ194" i="13"/>
  <c r="AR194" i="13"/>
  <c r="AS194" i="13"/>
  <c r="S195" i="13"/>
  <c r="T195" i="13"/>
  <c r="U195" i="13"/>
  <c r="V195" i="13"/>
  <c r="W195" i="13"/>
  <c r="X195" i="13"/>
  <c r="Y195" i="13"/>
  <c r="Z195" i="13"/>
  <c r="AA195" i="13"/>
  <c r="AB195" i="13"/>
  <c r="AC195" i="13"/>
  <c r="AD195" i="13"/>
  <c r="AE195" i="13"/>
  <c r="AF195" i="13"/>
  <c r="AG195" i="13"/>
  <c r="AH195" i="13"/>
  <c r="AI195" i="13"/>
  <c r="AJ195" i="13"/>
  <c r="AK195" i="13"/>
  <c r="AL195" i="13"/>
  <c r="AM195" i="13"/>
  <c r="AN195" i="13"/>
  <c r="AO195" i="13"/>
  <c r="AP195" i="13"/>
  <c r="AQ195" i="13"/>
  <c r="AR195" i="13"/>
  <c r="AS195" i="13"/>
  <c r="S196" i="13"/>
  <c r="T196" i="13"/>
  <c r="U196" i="13"/>
  <c r="V196" i="13"/>
  <c r="W196" i="13"/>
  <c r="X196" i="13"/>
  <c r="Y196" i="13"/>
  <c r="Z196" i="13"/>
  <c r="AA196" i="13"/>
  <c r="AB196" i="13"/>
  <c r="AC196" i="13"/>
  <c r="AD196" i="13"/>
  <c r="AE196" i="13"/>
  <c r="AF196" i="13"/>
  <c r="AG196" i="13"/>
  <c r="AH196" i="13"/>
  <c r="AI196" i="13"/>
  <c r="AJ196" i="13"/>
  <c r="AK196" i="13"/>
  <c r="AL196" i="13"/>
  <c r="AM196" i="13"/>
  <c r="AN196" i="13"/>
  <c r="AO196" i="13"/>
  <c r="AP196" i="13"/>
  <c r="AQ196" i="13"/>
  <c r="AR196" i="13"/>
  <c r="AS196" i="13"/>
  <c r="S197" i="13"/>
  <c r="T197" i="13"/>
  <c r="U197" i="13"/>
  <c r="V197" i="13"/>
  <c r="W197" i="13"/>
  <c r="X197" i="13"/>
  <c r="Y197" i="13"/>
  <c r="Z197" i="13"/>
  <c r="AA197" i="13"/>
  <c r="AB197" i="13"/>
  <c r="AC197" i="13"/>
  <c r="AD197" i="13"/>
  <c r="AE197" i="13"/>
  <c r="AF197" i="13"/>
  <c r="AG197" i="13"/>
  <c r="AH197" i="13"/>
  <c r="AI197" i="13"/>
  <c r="AJ197" i="13"/>
  <c r="AK197" i="13"/>
  <c r="AL197" i="13"/>
  <c r="AM197" i="13"/>
  <c r="AN197" i="13"/>
  <c r="AO197" i="13"/>
  <c r="AP197" i="13"/>
  <c r="AQ197" i="13"/>
  <c r="AR197" i="13"/>
  <c r="AS197" i="13"/>
  <c r="S198" i="13"/>
  <c r="T198" i="13"/>
  <c r="U198" i="13"/>
  <c r="V198" i="13"/>
  <c r="W198" i="13"/>
  <c r="X198" i="13"/>
  <c r="Y198" i="13"/>
  <c r="Z198" i="13"/>
  <c r="AA198" i="13"/>
  <c r="AB198" i="13"/>
  <c r="AC198" i="13"/>
  <c r="AD198" i="13"/>
  <c r="AE198" i="13"/>
  <c r="AF198" i="13"/>
  <c r="AG198" i="13"/>
  <c r="AH198" i="13"/>
  <c r="AI198" i="13"/>
  <c r="AJ198" i="13"/>
  <c r="AK198" i="13"/>
  <c r="AL198" i="13"/>
  <c r="AM198" i="13"/>
  <c r="AN198" i="13"/>
  <c r="AO198" i="13"/>
  <c r="AP198" i="13"/>
  <c r="AQ198" i="13"/>
  <c r="AR198" i="13"/>
  <c r="AS198" i="13"/>
  <c r="S199" i="13"/>
  <c r="T199" i="13"/>
  <c r="U199" i="13"/>
  <c r="V199" i="13"/>
  <c r="W199" i="13"/>
  <c r="X199" i="13"/>
  <c r="Y199" i="13"/>
  <c r="Z199" i="13"/>
  <c r="AA199" i="13"/>
  <c r="AB199" i="13"/>
  <c r="AC199" i="13"/>
  <c r="AD199" i="13"/>
  <c r="AE199" i="13"/>
  <c r="AF199" i="13"/>
  <c r="AG199" i="13"/>
  <c r="AH199" i="13"/>
  <c r="AI199" i="13"/>
  <c r="AJ199" i="13"/>
  <c r="AK199" i="13"/>
  <c r="AL199" i="13"/>
  <c r="AM199" i="13"/>
  <c r="AN199" i="13"/>
  <c r="AO199" i="13"/>
  <c r="AP199" i="13"/>
  <c r="AQ199" i="13"/>
  <c r="AR199" i="13"/>
  <c r="AS199" i="13"/>
  <c r="S200" i="13"/>
  <c r="T200" i="13"/>
  <c r="U200" i="13"/>
  <c r="V200" i="13"/>
  <c r="W200" i="13"/>
  <c r="X200" i="13"/>
  <c r="Y200" i="13"/>
  <c r="Z200" i="13"/>
  <c r="AA200" i="13"/>
  <c r="AB200" i="13"/>
  <c r="AC200" i="13"/>
  <c r="AD200" i="13"/>
  <c r="AE200" i="13"/>
  <c r="AF200" i="13"/>
  <c r="AG200" i="13"/>
  <c r="AH200" i="13"/>
  <c r="AI200" i="13"/>
  <c r="AJ200" i="13"/>
  <c r="AK200" i="13"/>
  <c r="AL200" i="13"/>
  <c r="AM200" i="13"/>
  <c r="AN200" i="13"/>
  <c r="AO200" i="13"/>
  <c r="AP200" i="13"/>
  <c r="AQ200" i="13"/>
  <c r="AR200" i="13"/>
  <c r="AS200" i="13"/>
  <c r="S201" i="13"/>
  <c r="T201" i="13"/>
  <c r="U201" i="13"/>
  <c r="V201" i="13"/>
  <c r="W201" i="13"/>
  <c r="X201" i="13"/>
  <c r="Y201" i="13"/>
  <c r="Z201" i="13"/>
  <c r="AA201" i="13"/>
  <c r="AB201" i="13"/>
  <c r="AC201" i="13"/>
  <c r="AD201" i="13"/>
  <c r="AE201" i="13"/>
  <c r="AF201" i="13"/>
  <c r="AG201" i="13"/>
  <c r="AH201" i="13"/>
  <c r="AI201" i="13"/>
  <c r="AJ201" i="13"/>
  <c r="AK201" i="13"/>
  <c r="AL201" i="13"/>
  <c r="AM201" i="13"/>
  <c r="AN201" i="13"/>
  <c r="AO201" i="13"/>
  <c r="AP201" i="13"/>
  <c r="AQ201" i="13"/>
  <c r="AR201" i="13"/>
  <c r="AS201" i="13"/>
  <c r="S202" i="13"/>
  <c r="T202" i="13"/>
  <c r="U202" i="13"/>
  <c r="V202" i="13"/>
  <c r="W202" i="13"/>
  <c r="X202" i="13"/>
  <c r="Y202" i="13"/>
  <c r="Z202" i="13"/>
  <c r="AA202" i="13"/>
  <c r="AB202" i="13"/>
  <c r="AC202" i="13"/>
  <c r="AD202" i="13"/>
  <c r="AE202" i="13"/>
  <c r="AF202" i="13"/>
  <c r="AG202" i="13"/>
  <c r="AH202" i="13"/>
  <c r="AI202" i="13"/>
  <c r="AJ202" i="13"/>
  <c r="AK202" i="13"/>
  <c r="AL202" i="13"/>
  <c r="AM202" i="13"/>
  <c r="AN202" i="13"/>
  <c r="AO202" i="13"/>
  <c r="AP202" i="13"/>
  <c r="AQ202" i="13"/>
  <c r="AR202" i="13"/>
  <c r="AS202" i="13"/>
  <c r="S203" i="13"/>
  <c r="T203" i="13"/>
  <c r="U203" i="13"/>
  <c r="V203" i="13"/>
  <c r="W203" i="13"/>
  <c r="X203" i="13"/>
  <c r="Y203" i="13"/>
  <c r="Z203" i="13"/>
  <c r="AA203" i="13"/>
  <c r="AB203" i="13"/>
  <c r="AC203" i="13"/>
  <c r="AD203" i="13"/>
  <c r="AE203" i="13"/>
  <c r="AF203" i="13"/>
  <c r="AG203" i="13"/>
  <c r="AH203" i="13"/>
  <c r="AI203" i="13"/>
  <c r="AJ203" i="13"/>
  <c r="AK203" i="13"/>
  <c r="AL203" i="13"/>
  <c r="AM203" i="13"/>
  <c r="AN203" i="13"/>
  <c r="AO203" i="13"/>
  <c r="AP203" i="13"/>
  <c r="AQ203" i="13"/>
  <c r="AR203" i="13"/>
  <c r="AS203" i="13"/>
  <c r="S204" i="13"/>
  <c r="T204" i="13"/>
  <c r="U204" i="13"/>
  <c r="V204" i="13"/>
  <c r="W204" i="13"/>
  <c r="X204" i="13"/>
  <c r="Y204" i="13"/>
  <c r="Z204" i="13"/>
  <c r="AA204" i="13"/>
  <c r="AB204" i="13"/>
  <c r="AC204" i="13"/>
  <c r="AD204" i="13"/>
  <c r="AE204" i="13"/>
  <c r="AF204" i="13"/>
  <c r="AG204" i="13"/>
  <c r="AH204" i="13"/>
  <c r="AI204" i="13"/>
  <c r="AJ204" i="13"/>
  <c r="AK204" i="13"/>
  <c r="AL204" i="13"/>
  <c r="AM204" i="13"/>
  <c r="AN204" i="13"/>
  <c r="AO204" i="13"/>
  <c r="AP204" i="13"/>
  <c r="AQ204" i="13"/>
  <c r="AR204" i="13"/>
  <c r="AS204"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167" i="13"/>
  <c r="AB99"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V134" i="13"/>
  <c r="S134" i="13"/>
  <c r="T134" i="13"/>
  <c r="U134" i="13"/>
  <c r="W134" i="13"/>
  <c r="X134" i="13"/>
  <c r="Y134" i="13"/>
  <c r="Z134" i="13"/>
  <c r="AA134" i="13"/>
  <c r="AB134" i="13"/>
  <c r="AC134" i="13"/>
  <c r="AD134" i="13"/>
  <c r="S135" i="13"/>
  <c r="T135" i="13"/>
  <c r="U135" i="13"/>
  <c r="V135" i="13"/>
  <c r="W135" i="13"/>
  <c r="X135" i="13"/>
  <c r="Y135" i="13"/>
  <c r="Z135" i="13"/>
  <c r="AA135" i="13"/>
  <c r="AB135" i="13"/>
  <c r="AC135" i="13"/>
  <c r="AD135" i="13"/>
  <c r="S136" i="13"/>
  <c r="T136" i="13"/>
  <c r="U136" i="13"/>
  <c r="V136" i="13"/>
  <c r="W136" i="13"/>
  <c r="X136" i="13"/>
  <c r="Y136" i="13"/>
  <c r="Z136" i="13"/>
  <c r="AA136" i="13"/>
  <c r="AB136" i="13"/>
  <c r="AC136" i="13"/>
  <c r="AD136" i="13"/>
  <c r="S137" i="13"/>
  <c r="T137" i="13"/>
  <c r="U137" i="13"/>
  <c r="V137" i="13"/>
  <c r="W137" i="13"/>
  <c r="X137" i="13"/>
  <c r="Y137" i="13"/>
  <c r="Z137" i="13"/>
  <c r="AA137" i="13"/>
  <c r="AB137" i="13"/>
  <c r="AC137" i="13"/>
  <c r="AD137" i="13"/>
  <c r="S138" i="13"/>
  <c r="T138" i="13"/>
  <c r="U138" i="13"/>
  <c r="V138" i="13"/>
  <c r="W138" i="13"/>
  <c r="X138" i="13"/>
  <c r="Y138" i="13"/>
  <c r="Z138" i="13"/>
  <c r="AA138" i="13"/>
  <c r="AB138" i="13"/>
  <c r="AC138" i="13"/>
  <c r="AD138" i="13"/>
  <c r="S139" i="13"/>
  <c r="T139" i="13"/>
  <c r="U139" i="13"/>
  <c r="V139" i="13"/>
  <c r="W139" i="13"/>
  <c r="X139" i="13"/>
  <c r="Y139" i="13"/>
  <c r="Z139" i="13"/>
  <c r="AA139" i="13"/>
  <c r="AB139" i="13"/>
  <c r="AC139" i="13"/>
  <c r="AD139" i="13"/>
  <c r="S140" i="13"/>
  <c r="T140" i="13"/>
  <c r="U140" i="13"/>
  <c r="V140" i="13"/>
  <c r="W140" i="13"/>
  <c r="X140" i="13"/>
  <c r="Y140" i="13"/>
  <c r="Z140" i="13"/>
  <c r="AA140" i="13"/>
  <c r="AB140" i="13"/>
  <c r="AC140" i="13"/>
  <c r="AD140" i="13"/>
  <c r="S141" i="13"/>
  <c r="T141" i="13"/>
  <c r="U141" i="13"/>
  <c r="V141" i="13"/>
  <c r="W141" i="13"/>
  <c r="X141" i="13"/>
  <c r="Y141" i="13"/>
  <c r="Z141" i="13"/>
  <c r="AA141" i="13"/>
  <c r="AB141" i="13"/>
  <c r="AC141" i="13"/>
  <c r="AD141" i="13"/>
  <c r="S142" i="13"/>
  <c r="T142" i="13"/>
  <c r="U142" i="13"/>
  <c r="V142" i="13"/>
  <c r="W142" i="13"/>
  <c r="X142" i="13"/>
  <c r="Y142" i="13"/>
  <c r="Z142" i="13"/>
  <c r="AA142" i="13"/>
  <c r="AB142" i="13"/>
  <c r="AC142" i="13"/>
  <c r="AD142" i="13"/>
  <c r="S143" i="13"/>
  <c r="T143" i="13"/>
  <c r="U143" i="13"/>
  <c r="V143" i="13"/>
  <c r="W143" i="13"/>
  <c r="X143" i="13"/>
  <c r="Y143" i="13"/>
  <c r="Z143" i="13"/>
  <c r="AA143" i="13"/>
  <c r="AB143" i="13"/>
  <c r="AC143" i="13"/>
  <c r="AD143" i="13"/>
  <c r="S144" i="13"/>
  <c r="T144" i="13"/>
  <c r="U144" i="13"/>
  <c r="V144" i="13"/>
  <c r="W144" i="13"/>
  <c r="X144" i="13"/>
  <c r="Y144" i="13"/>
  <c r="Z144" i="13"/>
  <c r="AA144" i="13"/>
  <c r="AB144" i="13"/>
  <c r="AC144" i="13"/>
  <c r="AD144" i="13"/>
  <c r="S145" i="13"/>
  <c r="T145" i="13"/>
  <c r="U145" i="13"/>
  <c r="V145" i="13"/>
  <c r="W145" i="13"/>
  <c r="X145" i="13"/>
  <c r="Y145" i="13"/>
  <c r="Z145" i="13"/>
  <c r="AA145" i="13"/>
  <c r="AB145" i="13"/>
  <c r="AC145" i="13"/>
  <c r="AD145" i="13"/>
  <c r="S146" i="13"/>
  <c r="T146" i="13"/>
  <c r="U146" i="13"/>
  <c r="V146" i="13"/>
  <c r="W146" i="13"/>
  <c r="X146" i="13"/>
  <c r="Y146" i="13"/>
  <c r="Z146" i="13"/>
  <c r="AA146" i="13"/>
  <c r="AB146" i="13"/>
  <c r="AC146" i="13"/>
  <c r="AD146" i="13"/>
  <c r="S147" i="13"/>
  <c r="T147" i="13"/>
  <c r="U147" i="13"/>
  <c r="V147" i="13"/>
  <c r="W147" i="13"/>
  <c r="X147" i="13"/>
  <c r="Y147" i="13"/>
  <c r="Z147" i="13"/>
  <c r="AA147" i="13"/>
  <c r="AB147" i="13"/>
  <c r="AC147" i="13"/>
  <c r="AD147" i="13"/>
  <c r="S148" i="13"/>
  <c r="T148" i="13"/>
  <c r="U148" i="13"/>
  <c r="V148" i="13"/>
  <c r="W148" i="13"/>
  <c r="X148" i="13"/>
  <c r="Y148" i="13"/>
  <c r="Z148" i="13"/>
  <c r="AA148" i="13"/>
  <c r="AB148" i="13"/>
  <c r="AC148" i="13"/>
  <c r="AD148" i="13"/>
  <c r="S149" i="13"/>
  <c r="T149" i="13"/>
  <c r="U149" i="13"/>
  <c r="V149" i="13"/>
  <c r="W149" i="13"/>
  <c r="X149" i="13"/>
  <c r="Y149" i="13"/>
  <c r="Z149" i="13"/>
  <c r="AA149" i="13"/>
  <c r="AB149" i="13"/>
  <c r="AC149" i="13"/>
  <c r="AD149" i="13"/>
  <c r="S150" i="13"/>
  <c r="T150" i="13"/>
  <c r="U150" i="13"/>
  <c r="V150" i="13"/>
  <c r="W150" i="13"/>
  <c r="X150" i="13"/>
  <c r="Y150" i="13"/>
  <c r="Z150" i="13"/>
  <c r="AA150" i="13"/>
  <c r="AB150" i="13"/>
  <c r="AC150" i="13"/>
  <c r="AD150" i="13"/>
  <c r="S151" i="13"/>
  <c r="T151" i="13"/>
  <c r="U151" i="13"/>
  <c r="V151" i="13"/>
  <c r="W151" i="13"/>
  <c r="X151" i="13"/>
  <c r="Y151" i="13"/>
  <c r="Z151" i="13"/>
  <c r="AA151" i="13"/>
  <c r="AB151" i="13"/>
  <c r="AC151" i="13"/>
  <c r="AD151" i="13"/>
  <c r="S152" i="13"/>
  <c r="T152" i="13"/>
  <c r="U152" i="13"/>
  <c r="V152" i="13"/>
  <c r="W152" i="13"/>
  <c r="X152" i="13"/>
  <c r="Y152" i="13"/>
  <c r="Z152" i="13"/>
  <c r="AA152" i="13"/>
  <c r="AB152" i="13"/>
  <c r="AC152" i="13"/>
  <c r="AD152" i="13"/>
  <c r="S153" i="13"/>
  <c r="T153" i="13"/>
  <c r="U153" i="13"/>
  <c r="V153" i="13"/>
  <c r="W153" i="13"/>
  <c r="X153" i="13"/>
  <c r="Y153" i="13"/>
  <c r="Z153" i="13"/>
  <c r="AA153" i="13"/>
  <c r="AB153" i="13"/>
  <c r="AC153" i="13"/>
  <c r="AD153" i="13"/>
  <c r="S154" i="13"/>
  <c r="T154" i="13"/>
  <c r="U154" i="13"/>
  <c r="V154" i="13"/>
  <c r="W154" i="13"/>
  <c r="X154" i="13"/>
  <c r="Y154" i="13"/>
  <c r="Z154" i="13"/>
  <c r="AA154" i="13"/>
  <c r="AB154" i="13"/>
  <c r="AC154" i="13"/>
  <c r="AD154" i="13"/>
  <c r="S155" i="13"/>
  <c r="T155" i="13"/>
  <c r="U155" i="13"/>
  <c r="V155" i="13"/>
  <c r="W155" i="13"/>
  <c r="X155" i="13"/>
  <c r="Y155" i="13"/>
  <c r="Z155" i="13"/>
  <c r="AA155" i="13"/>
  <c r="AB155" i="13"/>
  <c r="AC155" i="13"/>
  <c r="AD155" i="13"/>
  <c r="S156" i="13"/>
  <c r="T156" i="13"/>
  <c r="U156" i="13"/>
  <c r="V156" i="13"/>
  <c r="W156" i="13"/>
  <c r="X156" i="13"/>
  <c r="Y156" i="13"/>
  <c r="Z156" i="13"/>
  <c r="AA156" i="13"/>
  <c r="AB156" i="13"/>
  <c r="AC156" i="13"/>
  <c r="AD156" i="13"/>
  <c r="S157" i="13"/>
  <c r="T157" i="13"/>
  <c r="U157" i="13"/>
  <c r="V157" i="13"/>
  <c r="W157" i="13"/>
  <c r="X157" i="13"/>
  <c r="Y157" i="13"/>
  <c r="Z157" i="13"/>
  <c r="AA157" i="13"/>
  <c r="AB157" i="13"/>
  <c r="AC157" i="13"/>
  <c r="AD157" i="13"/>
  <c r="S158" i="13"/>
  <c r="T158" i="13"/>
  <c r="U158" i="13"/>
  <c r="V158" i="13"/>
  <c r="W158" i="13"/>
  <c r="X158" i="13"/>
  <c r="Y158" i="13"/>
  <c r="Z158" i="13"/>
  <c r="AA158" i="13"/>
  <c r="AB158" i="13"/>
  <c r="AC158" i="13"/>
  <c r="AD158" i="13"/>
  <c r="S159" i="13"/>
  <c r="T159" i="13"/>
  <c r="U159" i="13"/>
  <c r="V159" i="13"/>
  <c r="W159" i="13"/>
  <c r="X159" i="13"/>
  <c r="Y159" i="13"/>
  <c r="Z159" i="13"/>
  <c r="AA159" i="13"/>
  <c r="AB159" i="13"/>
  <c r="AC159" i="13"/>
  <c r="AD159" i="13"/>
  <c r="S160" i="13"/>
  <c r="T160" i="13"/>
  <c r="U160" i="13"/>
  <c r="V160" i="13"/>
  <c r="W160" i="13"/>
  <c r="X160" i="13"/>
  <c r="Y160" i="13"/>
  <c r="Z160" i="13"/>
  <c r="AA160" i="13"/>
  <c r="AB160" i="13"/>
  <c r="AC160" i="13"/>
  <c r="AD160" i="13"/>
  <c r="S161" i="13"/>
  <c r="T161" i="13"/>
  <c r="U161" i="13"/>
  <c r="V161" i="13"/>
  <c r="W161" i="13"/>
  <c r="X161" i="13"/>
  <c r="Y161" i="13"/>
  <c r="Z161" i="13"/>
  <c r="AA161" i="13"/>
  <c r="AB161" i="13"/>
  <c r="AC161" i="13"/>
  <c r="AD161"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Z123" i="13"/>
  <c r="S103" i="13"/>
  <c r="T103" i="13"/>
  <c r="U103" i="13"/>
  <c r="V103" i="13"/>
  <c r="W103" i="13"/>
  <c r="X103" i="13"/>
  <c r="Y103" i="13"/>
  <c r="Z103" i="13"/>
  <c r="AA103" i="13"/>
  <c r="AB103" i="13"/>
  <c r="AC103" i="13"/>
  <c r="AD103" i="13"/>
  <c r="S104" i="13"/>
  <c r="T104" i="13"/>
  <c r="U104" i="13"/>
  <c r="V104" i="13"/>
  <c r="W104" i="13"/>
  <c r="X104" i="13"/>
  <c r="Y104" i="13"/>
  <c r="Z104" i="13"/>
  <c r="AA104" i="13"/>
  <c r="AB104" i="13"/>
  <c r="AC104" i="13"/>
  <c r="AD104" i="13"/>
  <c r="S105" i="13"/>
  <c r="T105" i="13"/>
  <c r="U105" i="13"/>
  <c r="V105" i="13"/>
  <c r="W105" i="13"/>
  <c r="X105" i="13"/>
  <c r="Y105" i="13"/>
  <c r="Z105" i="13"/>
  <c r="AA105" i="13"/>
  <c r="AB105" i="13"/>
  <c r="AC105" i="13"/>
  <c r="AD105" i="13"/>
  <c r="S106" i="13"/>
  <c r="T106" i="13"/>
  <c r="U106" i="13"/>
  <c r="V106" i="13"/>
  <c r="W106" i="13"/>
  <c r="X106" i="13"/>
  <c r="Y106" i="13"/>
  <c r="Z106" i="13"/>
  <c r="AA106" i="13"/>
  <c r="AB106" i="13"/>
  <c r="AC106" i="13"/>
  <c r="AD106" i="13"/>
  <c r="S107" i="13"/>
  <c r="T107" i="13"/>
  <c r="U107" i="13"/>
  <c r="V107" i="13"/>
  <c r="W107" i="13"/>
  <c r="X107" i="13"/>
  <c r="Y107" i="13"/>
  <c r="Z107" i="13"/>
  <c r="AA107" i="13"/>
  <c r="AB107" i="13"/>
  <c r="AC107" i="13"/>
  <c r="AD107" i="13"/>
  <c r="S108" i="13"/>
  <c r="T108" i="13"/>
  <c r="U108" i="13"/>
  <c r="V108" i="13"/>
  <c r="W108" i="13"/>
  <c r="X108" i="13"/>
  <c r="Y108" i="13"/>
  <c r="Z108" i="13"/>
  <c r="AA108" i="13"/>
  <c r="AB108" i="13"/>
  <c r="AC108" i="13"/>
  <c r="AD108" i="13"/>
  <c r="S109" i="13"/>
  <c r="T109" i="13"/>
  <c r="U109" i="13"/>
  <c r="V109" i="13"/>
  <c r="W109" i="13"/>
  <c r="X109" i="13"/>
  <c r="Y109" i="13"/>
  <c r="Z109" i="13"/>
  <c r="AA109" i="13"/>
  <c r="AB109" i="13"/>
  <c r="AC109" i="13"/>
  <c r="AD109" i="13"/>
  <c r="S110" i="13"/>
  <c r="T110" i="13"/>
  <c r="U110" i="13"/>
  <c r="V110" i="13"/>
  <c r="W110" i="13"/>
  <c r="X110" i="13"/>
  <c r="Y110" i="13"/>
  <c r="Z110" i="13"/>
  <c r="AA110" i="13"/>
  <c r="AB110" i="13"/>
  <c r="AC110" i="13"/>
  <c r="AD110" i="13"/>
  <c r="S111" i="13"/>
  <c r="T111" i="13"/>
  <c r="U111" i="13"/>
  <c r="V111" i="13"/>
  <c r="W111" i="13"/>
  <c r="X111" i="13"/>
  <c r="Y111" i="13"/>
  <c r="Z111" i="13"/>
  <c r="AA111" i="13"/>
  <c r="AB111" i="13"/>
  <c r="AC111" i="13"/>
  <c r="AD111" i="13"/>
  <c r="S112" i="13"/>
  <c r="T112" i="13"/>
  <c r="U112" i="13"/>
  <c r="V112" i="13"/>
  <c r="W112" i="13"/>
  <c r="X112" i="13"/>
  <c r="Y112" i="13"/>
  <c r="Z112" i="13"/>
  <c r="AA112" i="13"/>
  <c r="AB112" i="13"/>
  <c r="AC112" i="13"/>
  <c r="AD112" i="13"/>
  <c r="S113" i="13"/>
  <c r="T113" i="13"/>
  <c r="U113" i="13"/>
  <c r="V113" i="13"/>
  <c r="W113" i="13"/>
  <c r="X113" i="13"/>
  <c r="Y113" i="13"/>
  <c r="Z113" i="13"/>
  <c r="AA113" i="13"/>
  <c r="AB113" i="13"/>
  <c r="AC113" i="13"/>
  <c r="AD113" i="13"/>
  <c r="S114" i="13"/>
  <c r="T114" i="13"/>
  <c r="U114" i="13"/>
  <c r="V114" i="13"/>
  <c r="W114" i="13"/>
  <c r="X114" i="13"/>
  <c r="Y114" i="13"/>
  <c r="Z114" i="13"/>
  <c r="AA114" i="13"/>
  <c r="AB114" i="13"/>
  <c r="AC114" i="13"/>
  <c r="AD114" i="13"/>
  <c r="S115" i="13"/>
  <c r="T115" i="13"/>
  <c r="U115" i="13"/>
  <c r="V115" i="13"/>
  <c r="W115" i="13"/>
  <c r="X115" i="13"/>
  <c r="Y115" i="13"/>
  <c r="Z115" i="13"/>
  <c r="AA115" i="13"/>
  <c r="AB115" i="13"/>
  <c r="AC115" i="13"/>
  <c r="AD115" i="13"/>
  <c r="S116" i="13"/>
  <c r="T116" i="13"/>
  <c r="U116" i="13"/>
  <c r="V116" i="13"/>
  <c r="W116" i="13"/>
  <c r="X116" i="13"/>
  <c r="Y116" i="13"/>
  <c r="Z116" i="13"/>
  <c r="AA116" i="13"/>
  <c r="AB116" i="13"/>
  <c r="AC116" i="13"/>
  <c r="AD116" i="13"/>
  <c r="S117" i="13"/>
  <c r="T117" i="13"/>
  <c r="U117" i="13"/>
  <c r="V117" i="13"/>
  <c r="W117" i="13"/>
  <c r="X117" i="13"/>
  <c r="Y117" i="13"/>
  <c r="Z117" i="13"/>
  <c r="AA117" i="13"/>
  <c r="AB117" i="13"/>
  <c r="AC117" i="13"/>
  <c r="AD117" i="13"/>
  <c r="S118" i="13"/>
  <c r="T118" i="13"/>
  <c r="U118" i="13"/>
  <c r="V118" i="13"/>
  <c r="W118" i="13"/>
  <c r="X118" i="13"/>
  <c r="Y118" i="13"/>
  <c r="Z118" i="13"/>
  <c r="AA118" i="13"/>
  <c r="AB118" i="13"/>
  <c r="AC118" i="13"/>
  <c r="AD118" i="13"/>
  <c r="S119" i="13"/>
  <c r="T119" i="13"/>
  <c r="U119" i="13"/>
  <c r="V119" i="13"/>
  <c r="W119" i="13"/>
  <c r="X119" i="13"/>
  <c r="Y119" i="13"/>
  <c r="Z119" i="13"/>
  <c r="AA119" i="13"/>
  <c r="AB119" i="13"/>
  <c r="AC119" i="13"/>
  <c r="AD119" i="13"/>
  <c r="S120" i="13"/>
  <c r="T120" i="13"/>
  <c r="U120" i="13"/>
  <c r="V120" i="13"/>
  <c r="W120" i="13"/>
  <c r="X120" i="13"/>
  <c r="Y120" i="13"/>
  <c r="Z120" i="13"/>
  <c r="AA120" i="13"/>
  <c r="AB120" i="13"/>
  <c r="AC120" i="13"/>
  <c r="AD120" i="13"/>
  <c r="S121" i="13"/>
  <c r="AE121" i="13" s="1"/>
  <c r="T121" i="13"/>
  <c r="U121" i="13"/>
  <c r="V121" i="13"/>
  <c r="W121" i="13"/>
  <c r="X121" i="13"/>
  <c r="Y121" i="13"/>
  <c r="Z121" i="13"/>
  <c r="AA121" i="13"/>
  <c r="AB121" i="13"/>
  <c r="AC121" i="13"/>
  <c r="AD121" i="13"/>
  <c r="S122" i="13"/>
  <c r="T122" i="13"/>
  <c r="U122" i="13"/>
  <c r="V122" i="13"/>
  <c r="W122" i="13"/>
  <c r="X122" i="13"/>
  <c r="Y122" i="13"/>
  <c r="Z122" i="13"/>
  <c r="AA122" i="13"/>
  <c r="AB122" i="13"/>
  <c r="AC122" i="13"/>
  <c r="AD122" i="13"/>
  <c r="S123" i="13"/>
  <c r="T123" i="13"/>
  <c r="U123" i="13"/>
  <c r="V123" i="13"/>
  <c r="W123" i="13"/>
  <c r="X123" i="13"/>
  <c r="Y123" i="13"/>
  <c r="AA123" i="13"/>
  <c r="AB123" i="13"/>
  <c r="AC123" i="13"/>
  <c r="AD123" i="13"/>
  <c r="S124" i="13"/>
  <c r="T124" i="13"/>
  <c r="U124" i="13"/>
  <c r="V124" i="13"/>
  <c r="W124" i="13"/>
  <c r="X124" i="13"/>
  <c r="Y124" i="13"/>
  <c r="Z124" i="13"/>
  <c r="AA124" i="13"/>
  <c r="AB124" i="13"/>
  <c r="AC124" i="13"/>
  <c r="AD124" i="13"/>
  <c r="S125" i="13"/>
  <c r="T125" i="13"/>
  <c r="U125" i="13"/>
  <c r="V125" i="13"/>
  <c r="W125" i="13"/>
  <c r="X125" i="13"/>
  <c r="Y125" i="13"/>
  <c r="Z125" i="13"/>
  <c r="AA125" i="13"/>
  <c r="AB125" i="13"/>
  <c r="AC125" i="13"/>
  <c r="AD125" i="13"/>
  <c r="S126" i="13"/>
  <c r="T126" i="13"/>
  <c r="U126" i="13"/>
  <c r="V126" i="13"/>
  <c r="W126" i="13"/>
  <c r="X126" i="13"/>
  <c r="Y126" i="13"/>
  <c r="Z126" i="13"/>
  <c r="AA126" i="13"/>
  <c r="AB126" i="13"/>
  <c r="AC126" i="13"/>
  <c r="AD126" i="13"/>
  <c r="S127" i="13"/>
  <c r="T127" i="13"/>
  <c r="U127" i="13"/>
  <c r="V127" i="13"/>
  <c r="W127" i="13"/>
  <c r="X127" i="13"/>
  <c r="Y127" i="13"/>
  <c r="Z127" i="13"/>
  <c r="AA127" i="13"/>
  <c r="AB127" i="13"/>
  <c r="AC127" i="13"/>
  <c r="AD127" i="13"/>
  <c r="S128" i="13"/>
  <c r="T128" i="13"/>
  <c r="U128" i="13"/>
  <c r="V128" i="13"/>
  <c r="W128" i="13"/>
  <c r="X128" i="13"/>
  <c r="Y128" i="13"/>
  <c r="Z128" i="13"/>
  <c r="AA128" i="13"/>
  <c r="AB128" i="13"/>
  <c r="AC128" i="13"/>
  <c r="AD128" i="13"/>
  <c r="S129" i="13"/>
  <c r="T129" i="13"/>
  <c r="U129" i="13"/>
  <c r="V129" i="13"/>
  <c r="W129" i="13"/>
  <c r="X129" i="13"/>
  <c r="Y129" i="13"/>
  <c r="Z129" i="13"/>
  <c r="AA129" i="13"/>
  <c r="AB129" i="13"/>
  <c r="AC129" i="13"/>
  <c r="AD129" i="13"/>
  <c r="S130" i="13"/>
  <c r="T130" i="13"/>
  <c r="U130" i="13"/>
  <c r="V130" i="13"/>
  <c r="W130" i="13"/>
  <c r="X130" i="13"/>
  <c r="Y130" i="13"/>
  <c r="Z130" i="13"/>
  <c r="AA130" i="13"/>
  <c r="AB130" i="13"/>
  <c r="AC130" i="13"/>
  <c r="AD130"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S61" i="13"/>
  <c r="S99" i="13" s="1"/>
  <c r="T61" i="13"/>
  <c r="T99" i="13" s="1"/>
  <c r="U61" i="13"/>
  <c r="U99" i="13" s="1"/>
  <c r="V61" i="13"/>
  <c r="V99" i="13" s="1"/>
  <c r="W61" i="13"/>
  <c r="W99" i="13" s="1"/>
  <c r="X61" i="13"/>
  <c r="X99" i="13" s="1"/>
  <c r="Y61" i="13"/>
  <c r="Y99" i="13" s="1"/>
  <c r="Z61" i="13"/>
  <c r="Z99" i="13" s="1"/>
  <c r="AA61" i="13"/>
  <c r="AA99" i="13" s="1"/>
  <c r="AB61" i="13"/>
  <c r="AC61" i="13"/>
  <c r="AC99" i="13" s="1"/>
  <c r="AD61" i="13"/>
  <c r="AD99" i="13" s="1"/>
  <c r="S62" i="13"/>
  <c r="T62" i="13"/>
  <c r="U62" i="13"/>
  <c r="V62" i="13"/>
  <c r="W62" i="13"/>
  <c r="X62" i="13"/>
  <c r="Y62" i="13"/>
  <c r="Z62" i="13"/>
  <c r="AA62" i="13"/>
  <c r="AB62" i="13"/>
  <c r="AC62" i="13"/>
  <c r="AD62" i="13"/>
  <c r="S63" i="13"/>
  <c r="T63" i="13"/>
  <c r="U63" i="13"/>
  <c r="V63" i="13"/>
  <c r="W63" i="13"/>
  <c r="X63" i="13"/>
  <c r="Y63" i="13"/>
  <c r="Z63" i="13"/>
  <c r="AA63" i="13"/>
  <c r="AB63" i="13"/>
  <c r="AC63" i="13"/>
  <c r="AD63" i="13"/>
  <c r="S64" i="13"/>
  <c r="T64" i="13"/>
  <c r="U64" i="13"/>
  <c r="V64" i="13"/>
  <c r="W64" i="13"/>
  <c r="X64" i="13"/>
  <c r="Y64" i="13"/>
  <c r="Z64" i="13"/>
  <c r="AA64" i="13"/>
  <c r="AB64" i="13"/>
  <c r="AC64" i="13"/>
  <c r="AD64" i="13"/>
  <c r="S65" i="13"/>
  <c r="T65" i="13"/>
  <c r="U65" i="13"/>
  <c r="V65" i="13"/>
  <c r="W65" i="13"/>
  <c r="X65" i="13"/>
  <c r="Y65" i="13"/>
  <c r="Z65" i="13"/>
  <c r="AA65" i="13"/>
  <c r="AB65" i="13"/>
  <c r="AC65" i="13"/>
  <c r="AD65" i="13"/>
  <c r="S66" i="13"/>
  <c r="T66" i="13"/>
  <c r="U66" i="13"/>
  <c r="V66" i="13"/>
  <c r="W66" i="13"/>
  <c r="X66" i="13"/>
  <c r="Y66" i="13"/>
  <c r="Z66" i="13"/>
  <c r="AA66" i="13"/>
  <c r="AB66" i="13"/>
  <c r="AC66" i="13"/>
  <c r="AD66" i="13"/>
  <c r="S67" i="13"/>
  <c r="T67" i="13"/>
  <c r="U67" i="13"/>
  <c r="V67" i="13"/>
  <c r="W67" i="13"/>
  <c r="X67" i="13"/>
  <c r="Y67" i="13"/>
  <c r="Z67" i="13"/>
  <c r="AA67" i="13"/>
  <c r="AB67" i="13"/>
  <c r="AC67" i="13"/>
  <c r="AD67" i="13"/>
  <c r="S68" i="13"/>
  <c r="T68" i="13"/>
  <c r="U68" i="13"/>
  <c r="V68" i="13"/>
  <c r="W68" i="13"/>
  <c r="X68" i="13"/>
  <c r="Y68" i="13"/>
  <c r="Z68" i="13"/>
  <c r="AA68" i="13"/>
  <c r="AB68" i="13"/>
  <c r="AC68" i="13"/>
  <c r="AD68" i="13"/>
  <c r="S69" i="13"/>
  <c r="T69" i="13"/>
  <c r="U69" i="13"/>
  <c r="V69" i="13"/>
  <c r="W69" i="13"/>
  <c r="X69" i="13"/>
  <c r="Y69" i="13"/>
  <c r="Z69" i="13"/>
  <c r="AA69" i="13"/>
  <c r="AB69" i="13"/>
  <c r="AC69" i="13"/>
  <c r="AD69" i="13"/>
  <c r="S70" i="13"/>
  <c r="T70" i="13"/>
  <c r="U70" i="13"/>
  <c r="V70" i="13"/>
  <c r="W70" i="13"/>
  <c r="X70" i="13"/>
  <c r="Y70" i="13"/>
  <c r="Z70" i="13"/>
  <c r="AA70" i="13"/>
  <c r="AB70" i="13"/>
  <c r="AC70" i="13"/>
  <c r="AD70" i="13"/>
  <c r="S71" i="13"/>
  <c r="T71" i="13"/>
  <c r="U71" i="13"/>
  <c r="V71" i="13"/>
  <c r="W71" i="13"/>
  <c r="X71" i="13"/>
  <c r="Y71" i="13"/>
  <c r="Z71" i="13"/>
  <c r="AA71" i="13"/>
  <c r="AB71" i="13"/>
  <c r="AC71" i="13"/>
  <c r="AD71" i="13"/>
  <c r="S72" i="13"/>
  <c r="T72" i="13"/>
  <c r="U72" i="13"/>
  <c r="V72" i="13"/>
  <c r="W72" i="13"/>
  <c r="X72" i="13"/>
  <c r="Y72" i="13"/>
  <c r="Z72" i="13"/>
  <c r="AA72" i="13"/>
  <c r="AB72" i="13"/>
  <c r="AC72" i="13"/>
  <c r="AD72" i="13"/>
  <c r="S73" i="13"/>
  <c r="T73" i="13"/>
  <c r="U73" i="13"/>
  <c r="V73" i="13"/>
  <c r="W73" i="13"/>
  <c r="X73" i="13"/>
  <c r="Y73" i="13"/>
  <c r="Z73" i="13"/>
  <c r="AA73" i="13"/>
  <c r="AB73" i="13"/>
  <c r="AC73" i="13"/>
  <c r="AD73" i="13"/>
  <c r="S74" i="13"/>
  <c r="T74" i="13"/>
  <c r="U74" i="13"/>
  <c r="V74" i="13"/>
  <c r="W74" i="13"/>
  <c r="X74" i="13"/>
  <c r="Y74" i="13"/>
  <c r="Z74" i="13"/>
  <c r="AA74" i="13"/>
  <c r="AB74" i="13"/>
  <c r="AC74" i="13"/>
  <c r="AD74" i="13"/>
  <c r="S75" i="13"/>
  <c r="T75" i="13"/>
  <c r="U75" i="13"/>
  <c r="V75" i="13"/>
  <c r="W75" i="13"/>
  <c r="X75" i="13"/>
  <c r="Y75" i="13"/>
  <c r="Z75" i="13"/>
  <c r="AA75" i="13"/>
  <c r="AB75" i="13"/>
  <c r="AC75" i="13"/>
  <c r="AD75" i="13"/>
  <c r="S76" i="13"/>
  <c r="T76" i="13"/>
  <c r="U76" i="13"/>
  <c r="V76" i="13"/>
  <c r="W76" i="13"/>
  <c r="X76" i="13"/>
  <c r="Y76" i="13"/>
  <c r="Z76" i="13"/>
  <c r="AA76" i="13"/>
  <c r="AB76" i="13"/>
  <c r="AC76" i="13"/>
  <c r="AD76" i="13"/>
  <c r="S77" i="13"/>
  <c r="T77" i="13"/>
  <c r="U77" i="13"/>
  <c r="V77" i="13"/>
  <c r="W77" i="13"/>
  <c r="X77" i="13"/>
  <c r="Y77" i="13"/>
  <c r="Z77" i="13"/>
  <c r="AA77" i="13"/>
  <c r="AB77" i="13"/>
  <c r="AC77" i="13"/>
  <c r="AD77" i="13"/>
  <c r="S78" i="13"/>
  <c r="T78" i="13"/>
  <c r="U78" i="13"/>
  <c r="V78" i="13"/>
  <c r="W78" i="13"/>
  <c r="X78" i="13"/>
  <c r="Y78" i="13"/>
  <c r="Z78" i="13"/>
  <c r="AA78" i="13"/>
  <c r="AB78" i="13"/>
  <c r="AC78" i="13"/>
  <c r="AD78" i="13"/>
  <c r="S79" i="13"/>
  <c r="T79" i="13"/>
  <c r="U79" i="13"/>
  <c r="V79" i="13"/>
  <c r="W79" i="13"/>
  <c r="X79" i="13"/>
  <c r="Y79" i="13"/>
  <c r="Z79" i="13"/>
  <c r="AA79" i="13"/>
  <c r="AB79" i="13"/>
  <c r="AC79" i="13"/>
  <c r="AD79" i="13"/>
  <c r="S80" i="13"/>
  <c r="T80" i="13"/>
  <c r="U80" i="13"/>
  <c r="V80" i="13"/>
  <c r="W80" i="13"/>
  <c r="X80" i="13"/>
  <c r="Y80" i="13"/>
  <c r="Z80" i="13"/>
  <c r="AA80" i="13"/>
  <c r="AB80" i="13"/>
  <c r="AC80" i="13"/>
  <c r="AD80" i="13"/>
  <c r="S81" i="13"/>
  <c r="T81" i="13"/>
  <c r="U81" i="13"/>
  <c r="V81" i="13"/>
  <c r="W81" i="13"/>
  <c r="X81" i="13"/>
  <c r="Y81" i="13"/>
  <c r="Z81" i="13"/>
  <c r="AA81" i="13"/>
  <c r="AB81" i="13"/>
  <c r="AC81" i="13"/>
  <c r="AD81" i="13"/>
  <c r="S82" i="13"/>
  <c r="T82" i="13"/>
  <c r="U82" i="13"/>
  <c r="V82" i="13"/>
  <c r="W82" i="13"/>
  <c r="X82" i="13"/>
  <c r="Y82" i="13"/>
  <c r="Z82" i="13"/>
  <c r="AA82" i="13"/>
  <c r="AB82" i="13"/>
  <c r="AC82" i="13"/>
  <c r="AD82" i="13"/>
  <c r="S83" i="13"/>
  <c r="T83" i="13"/>
  <c r="U83" i="13"/>
  <c r="V83" i="13"/>
  <c r="W83" i="13"/>
  <c r="X83" i="13"/>
  <c r="Y83" i="13"/>
  <c r="Z83" i="13"/>
  <c r="AA83" i="13"/>
  <c r="AB83" i="13"/>
  <c r="AC83" i="13"/>
  <c r="AD83" i="13"/>
  <c r="S84" i="13"/>
  <c r="T84" i="13"/>
  <c r="U84" i="13"/>
  <c r="V84" i="13"/>
  <c r="W84" i="13"/>
  <c r="X84" i="13"/>
  <c r="Y84" i="13"/>
  <c r="Z84" i="13"/>
  <c r="AA84" i="13"/>
  <c r="AB84" i="13"/>
  <c r="AC84" i="13"/>
  <c r="AD84" i="13"/>
  <c r="S85" i="13"/>
  <c r="T85" i="13"/>
  <c r="U85" i="13"/>
  <c r="V85" i="13"/>
  <c r="W85" i="13"/>
  <c r="X85" i="13"/>
  <c r="Y85" i="13"/>
  <c r="Z85" i="13"/>
  <c r="AA85" i="13"/>
  <c r="AB85" i="13"/>
  <c r="AC85" i="13"/>
  <c r="AD85" i="13"/>
  <c r="S86" i="13"/>
  <c r="T86" i="13"/>
  <c r="U86" i="13"/>
  <c r="V86" i="13"/>
  <c r="W86" i="13"/>
  <c r="X86" i="13"/>
  <c r="Y86" i="13"/>
  <c r="Z86" i="13"/>
  <c r="AA86" i="13"/>
  <c r="AB86" i="13"/>
  <c r="AC86" i="13"/>
  <c r="AD86" i="13"/>
  <c r="S87" i="13"/>
  <c r="T87" i="13"/>
  <c r="U87" i="13"/>
  <c r="V87" i="13"/>
  <c r="W87" i="13"/>
  <c r="X87" i="13"/>
  <c r="Y87" i="13"/>
  <c r="Z87" i="13"/>
  <c r="AA87" i="13"/>
  <c r="AB87" i="13"/>
  <c r="AC87" i="13"/>
  <c r="AD87" i="13"/>
  <c r="S88" i="13"/>
  <c r="T88" i="13"/>
  <c r="U88" i="13"/>
  <c r="V88" i="13"/>
  <c r="W88" i="13"/>
  <c r="X88" i="13"/>
  <c r="Y88" i="13"/>
  <c r="Z88" i="13"/>
  <c r="AA88" i="13"/>
  <c r="AB88" i="13"/>
  <c r="AC88" i="13"/>
  <c r="AD88" i="13"/>
  <c r="S89" i="13"/>
  <c r="T89" i="13"/>
  <c r="U89" i="13"/>
  <c r="V89" i="13"/>
  <c r="W89" i="13"/>
  <c r="X89" i="13"/>
  <c r="Y89" i="13"/>
  <c r="Z89" i="13"/>
  <c r="AA89" i="13"/>
  <c r="AB89" i="13"/>
  <c r="AC89" i="13"/>
  <c r="AD89" i="13"/>
  <c r="S90" i="13"/>
  <c r="T90" i="13"/>
  <c r="U90" i="13"/>
  <c r="V90" i="13"/>
  <c r="W90" i="13"/>
  <c r="X90" i="13"/>
  <c r="Y90" i="13"/>
  <c r="Z90" i="13"/>
  <c r="AA90" i="13"/>
  <c r="AB90" i="13"/>
  <c r="AC90" i="13"/>
  <c r="AD90" i="13"/>
  <c r="S91" i="13"/>
  <c r="T91" i="13"/>
  <c r="U91" i="13"/>
  <c r="V91" i="13"/>
  <c r="W91" i="13"/>
  <c r="X91" i="13"/>
  <c r="Y91" i="13"/>
  <c r="Z91" i="13"/>
  <c r="AA91" i="13"/>
  <c r="AB91" i="13"/>
  <c r="AC91" i="13"/>
  <c r="AD91" i="13"/>
  <c r="S92" i="13"/>
  <c r="T92" i="13"/>
  <c r="U92" i="13"/>
  <c r="V92" i="13"/>
  <c r="W92" i="13"/>
  <c r="X92" i="13"/>
  <c r="Y92" i="13"/>
  <c r="Z92" i="13"/>
  <c r="AA92" i="13"/>
  <c r="AB92" i="13"/>
  <c r="AC92" i="13"/>
  <c r="AD92" i="13"/>
  <c r="S93" i="13"/>
  <c r="T93" i="13"/>
  <c r="U93" i="13"/>
  <c r="V93" i="13"/>
  <c r="W93" i="13"/>
  <c r="X93" i="13"/>
  <c r="Y93" i="13"/>
  <c r="Z93" i="13"/>
  <c r="AA93" i="13"/>
  <c r="AB93" i="13"/>
  <c r="AC93" i="13"/>
  <c r="AD93" i="13"/>
  <c r="S94" i="13"/>
  <c r="T94" i="13"/>
  <c r="U94" i="13"/>
  <c r="V94" i="13"/>
  <c r="W94" i="13"/>
  <c r="X94" i="13"/>
  <c r="Y94" i="13"/>
  <c r="Z94" i="13"/>
  <c r="AA94" i="13"/>
  <c r="AB94" i="13"/>
  <c r="AC94" i="13"/>
  <c r="AD94" i="13"/>
  <c r="S95" i="13"/>
  <c r="T95" i="13"/>
  <c r="U95" i="13"/>
  <c r="V95" i="13"/>
  <c r="W95" i="13"/>
  <c r="X95" i="13"/>
  <c r="Y95" i="13"/>
  <c r="Z95" i="13"/>
  <c r="AA95" i="13"/>
  <c r="AB95" i="13"/>
  <c r="AC95" i="13"/>
  <c r="AD95" i="13"/>
  <c r="S96" i="13"/>
  <c r="T96" i="13"/>
  <c r="U96" i="13"/>
  <c r="V96" i="13"/>
  <c r="W96" i="13"/>
  <c r="X96" i="13"/>
  <c r="Y96" i="13"/>
  <c r="Z96" i="13"/>
  <c r="AA96" i="13"/>
  <c r="AB96" i="13"/>
  <c r="AC96" i="13"/>
  <c r="AD96" i="13"/>
  <c r="S97" i="13"/>
  <c r="T97" i="13"/>
  <c r="U97" i="13"/>
  <c r="V97" i="13"/>
  <c r="W97" i="13"/>
  <c r="X97" i="13"/>
  <c r="Y97" i="13"/>
  <c r="Z97" i="13"/>
  <c r="AA97" i="13"/>
  <c r="AB97" i="13"/>
  <c r="AC97" i="13"/>
  <c r="AD97" i="13"/>
  <c r="S98" i="13"/>
  <c r="T98" i="13"/>
  <c r="U98" i="13"/>
  <c r="V98" i="13"/>
  <c r="W98" i="13"/>
  <c r="X98" i="13"/>
  <c r="Y98" i="13"/>
  <c r="Z98" i="13"/>
  <c r="AA98" i="13"/>
  <c r="AB98" i="13"/>
  <c r="AC98" i="13"/>
  <c r="AD98" i="13"/>
  <c r="R96" i="13"/>
  <c r="R97" i="13"/>
  <c r="R98" i="13"/>
  <c r="R95" i="13"/>
  <c r="R94" i="13"/>
  <c r="R93" i="13"/>
  <c r="R92" i="13"/>
  <c r="R91" i="13"/>
  <c r="R90" i="13"/>
  <c r="R89" i="13"/>
  <c r="R88" i="13"/>
  <c r="R87" i="13"/>
  <c r="R86" i="13"/>
  <c r="R85" i="13"/>
  <c r="R84" i="13"/>
  <c r="R83" i="13"/>
  <c r="R82" i="13"/>
  <c r="R81" i="13"/>
  <c r="R80" i="13"/>
  <c r="R79" i="13"/>
  <c r="R78" i="13"/>
  <c r="R77" i="13"/>
  <c r="R76" i="13"/>
  <c r="R75" i="13"/>
  <c r="R74" i="13"/>
  <c r="R73" i="13"/>
  <c r="R72" i="13"/>
  <c r="R71" i="13"/>
  <c r="R70" i="13"/>
  <c r="R69" i="13"/>
  <c r="R68" i="13"/>
  <c r="R67" i="13"/>
  <c r="R66" i="13"/>
  <c r="R65" i="13"/>
  <c r="R64" i="13"/>
  <c r="R63" i="13"/>
  <c r="R62" i="13"/>
  <c r="R61" i="13"/>
  <c r="R99" i="13" s="1"/>
  <c r="S69" i="12"/>
  <c r="Y48" i="13"/>
  <c r="R46" i="13"/>
  <c r="S46" i="13"/>
  <c r="T46" i="13"/>
  <c r="U46" i="13"/>
  <c r="V46" i="13"/>
  <c r="W46" i="13"/>
  <c r="X46" i="13"/>
  <c r="Y46" i="13"/>
  <c r="Z46" i="13"/>
  <c r="AA46" i="13"/>
  <c r="AB46" i="13"/>
  <c r="AC46" i="13"/>
  <c r="AD46" i="13"/>
  <c r="R47" i="13"/>
  <c r="S47" i="13"/>
  <c r="T47" i="13"/>
  <c r="U47" i="13"/>
  <c r="V47" i="13"/>
  <c r="W47" i="13"/>
  <c r="X47" i="13"/>
  <c r="Y47" i="13"/>
  <c r="Z47" i="13"/>
  <c r="AA47" i="13"/>
  <c r="AB47" i="13"/>
  <c r="AC47" i="13"/>
  <c r="AD47" i="13"/>
  <c r="R48" i="13"/>
  <c r="S48" i="13"/>
  <c r="T48" i="13"/>
  <c r="U48" i="13"/>
  <c r="V48" i="13"/>
  <c r="W48" i="13"/>
  <c r="X48" i="13"/>
  <c r="Z48" i="13"/>
  <c r="AA48" i="13"/>
  <c r="AB48" i="13"/>
  <c r="AC48" i="13"/>
  <c r="AD48" i="13"/>
  <c r="R49" i="13"/>
  <c r="S49" i="13"/>
  <c r="T49" i="13"/>
  <c r="U49" i="13"/>
  <c r="V49" i="13"/>
  <c r="W49" i="13"/>
  <c r="X49" i="13"/>
  <c r="Y49" i="13"/>
  <c r="Z49" i="13"/>
  <c r="AA49" i="13"/>
  <c r="AB49" i="13"/>
  <c r="AC49" i="13"/>
  <c r="AD49" i="13"/>
  <c r="R50" i="13"/>
  <c r="S50" i="13"/>
  <c r="T50" i="13"/>
  <c r="U50" i="13"/>
  <c r="V50" i="13"/>
  <c r="W50" i="13"/>
  <c r="X50" i="13"/>
  <c r="Y50" i="13"/>
  <c r="Z50" i="13"/>
  <c r="AA50" i="13"/>
  <c r="AB50" i="13"/>
  <c r="AC50" i="13"/>
  <c r="AD50" i="13"/>
  <c r="R51" i="13"/>
  <c r="S51" i="13"/>
  <c r="T51" i="13"/>
  <c r="U51" i="13"/>
  <c r="V51" i="13"/>
  <c r="W51" i="13"/>
  <c r="X51" i="13"/>
  <c r="Y51" i="13"/>
  <c r="Z51" i="13"/>
  <c r="AA51" i="13"/>
  <c r="AB51" i="13"/>
  <c r="AC51" i="13"/>
  <c r="AD51" i="13"/>
  <c r="R52" i="13"/>
  <c r="S52" i="13"/>
  <c r="T52" i="13"/>
  <c r="U52" i="13"/>
  <c r="V52" i="13"/>
  <c r="W52" i="13"/>
  <c r="X52" i="13"/>
  <c r="Y52" i="13"/>
  <c r="Z52" i="13"/>
  <c r="AA52" i="13"/>
  <c r="AB52" i="13"/>
  <c r="AC52" i="13"/>
  <c r="AD52" i="13"/>
  <c r="R53" i="13"/>
  <c r="S53" i="13"/>
  <c r="T53" i="13"/>
  <c r="U53" i="13"/>
  <c r="V53" i="13"/>
  <c r="W53" i="13"/>
  <c r="X53" i="13"/>
  <c r="Y53" i="13"/>
  <c r="Z53" i="13"/>
  <c r="AA53" i="13"/>
  <c r="AB53" i="13"/>
  <c r="AC53" i="13"/>
  <c r="AD53" i="13"/>
  <c r="R54" i="13"/>
  <c r="S54" i="13"/>
  <c r="T54" i="13"/>
  <c r="U54" i="13"/>
  <c r="V54" i="13"/>
  <c r="W54" i="13"/>
  <c r="X54" i="13"/>
  <c r="Y54" i="13"/>
  <c r="Z54" i="13"/>
  <c r="AA54" i="13"/>
  <c r="AB54" i="13"/>
  <c r="AC54" i="13"/>
  <c r="AD54" i="13"/>
  <c r="R55" i="13"/>
  <c r="S55" i="13"/>
  <c r="T55" i="13"/>
  <c r="U55" i="13"/>
  <c r="V55" i="13"/>
  <c r="W55" i="13"/>
  <c r="X55" i="13"/>
  <c r="Y55" i="13"/>
  <c r="Z55" i="13"/>
  <c r="AA55" i="13"/>
  <c r="AB55" i="13"/>
  <c r="AC55" i="13"/>
  <c r="AD55" i="13"/>
  <c r="R56" i="13"/>
  <c r="S56" i="13"/>
  <c r="T56" i="13"/>
  <c r="U56" i="13"/>
  <c r="V56" i="13"/>
  <c r="W56" i="13"/>
  <c r="X56" i="13"/>
  <c r="Y56" i="13"/>
  <c r="Z56" i="13"/>
  <c r="AA56" i="13"/>
  <c r="AB56" i="13"/>
  <c r="AC56" i="13"/>
  <c r="AD56" i="13"/>
  <c r="R57" i="13"/>
  <c r="S57" i="13"/>
  <c r="T57" i="13"/>
  <c r="U57" i="13"/>
  <c r="V57" i="13"/>
  <c r="W57" i="13"/>
  <c r="X57" i="13"/>
  <c r="Y57" i="13"/>
  <c r="Z57" i="13"/>
  <c r="AA57" i="13"/>
  <c r="AB57" i="13"/>
  <c r="AC57" i="13"/>
  <c r="AD57" i="13"/>
  <c r="S45" i="13"/>
  <c r="T45" i="13"/>
  <c r="U45" i="13"/>
  <c r="V45" i="13"/>
  <c r="W45" i="13"/>
  <c r="X45" i="13"/>
  <c r="Y45" i="13"/>
  <c r="Z45" i="13"/>
  <c r="AA45" i="13"/>
  <c r="AB45" i="13"/>
  <c r="AC45" i="13"/>
  <c r="AD45" i="13"/>
  <c r="R45" i="13"/>
  <c r="C32" i="13"/>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T141" i="12"/>
  <c r="AT142" i="12"/>
  <c r="AT143" i="12"/>
  <c r="AT144" i="12"/>
  <c r="AT145" i="12"/>
  <c r="AT146" i="12"/>
  <c r="AT147" i="12"/>
  <c r="AT148" i="12"/>
  <c r="AT149" i="12"/>
  <c r="AT150" i="12"/>
  <c r="AT151" i="12"/>
  <c r="AT152" i="12"/>
  <c r="AT153" i="12"/>
  <c r="AT154" i="12"/>
  <c r="AT155" i="12"/>
  <c r="AT156" i="12"/>
  <c r="AT157" i="12"/>
  <c r="AT158" i="12"/>
  <c r="AT159" i="12"/>
  <c r="AT160" i="12"/>
  <c r="AT161" i="12"/>
  <c r="AT162" i="12"/>
  <c r="AT163" i="12"/>
  <c r="AT164" i="12"/>
  <c r="AT165" i="12"/>
  <c r="AT166" i="12"/>
  <c r="AT167" i="12"/>
  <c r="AT168" i="12"/>
  <c r="S171" i="12"/>
  <c r="T171" i="12"/>
  <c r="U171" i="12"/>
  <c r="V171" i="12"/>
  <c r="W171" i="12"/>
  <c r="X171" i="12"/>
  <c r="Y171" i="12"/>
  <c r="Z171" i="12"/>
  <c r="AA171" i="12"/>
  <c r="AB171" i="12"/>
  <c r="AC171" i="12"/>
  <c r="AD171" i="12"/>
  <c r="AE171" i="12"/>
  <c r="AF171" i="12"/>
  <c r="AG171" i="12"/>
  <c r="AH171" i="12"/>
  <c r="AI171" i="12"/>
  <c r="AJ171" i="12"/>
  <c r="AK171" i="12"/>
  <c r="AL171" i="12"/>
  <c r="AM171" i="12"/>
  <c r="AN171" i="12"/>
  <c r="AO171" i="12"/>
  <c r="AP171" i="12"/>
  <c r="AQ171" i="12"/>
  <c r="AR171" i="12"/>
  <c r="AS171" i="12"/>
  <c r="S172" i="12"/>
  <c r="T172" i="12"/>
  <c r="U172" i="12"/>
  <c r="V172" i="12"/>
  <c r="W172" i="12"/>
  <c r="X172" i="12"/>
  <c r="Y172" i="12"/>
  <c r="Z172" i="12"/>
  <c r="AA172" i="12"/>
  <c r="AB172" i="12"/>
  <c r="AC172" i="12"/>
  <c r="AD172" i="12"/>
  <c r="AE172" i="12"/>
  <c r="AF172" i="12"/>
  <c r="AG172" i="12"/>
  <c r="AH172" i="12"/>
  <c r="AI172" i="12"/>
  <c r="AJ172" i="12"/>
  <c r="AK172" i="12"/>
  <c r="AL172" i="12"/>
  <c r="AM172" i="12"/>
  <c r="AN172" i="12"/>
  <c r="AO172" i="12"/>
  <c r="AP172" i="12"/>
  <c r="AQ172" i="12"/>
  <c r="AR172" i="12"/>
  <c r="AS172" i="12"/>
  <c r="S173" i="12"/>
  <c r="T173" i="12"/>
  <c r="U173" i="12"/>
  <c r="V173" i="12"/>
  <c r="W173" i="12"/>
  <c r="X173" i="12"/>
  <c r="Y173" i="12"/>
  <c r="Z173" i="12"/>
  <c r="AA173" i="12"/>
  <c r="AB173" i="12"/>
  <c r="AC173" i="12"/>
  <c r="AD173" i="12"/>
  <c r="AE173" i="12"/>
  <c r="AF173" i="12"/>
  <c r="AG173" i="12"/>
  <c r="AH173" i="12"/>
  <c r="AI173" i="12"/>
  <c r="AJ173" i="12"/>
  <c r="AK173" i="12"/>
  <c r="AL173" i="12"/>
  <c r="AM173" i="12"/>
  <c r="AN173" i="12"/>
  <c r="AO173" i="12"/>
  <c r="AP173" i="12"/>
  <c r="AQ173" i="12"/>
  <c r="AR173" i="12"/>
  <c r="AS173" i="12"/>
  <c r="S174" i="12"/>
  <c r="T174" i="12"/>
  <c r="U174" i="12"/>
  <c r="V174" i="12"/>
  <c r="W174" i="12"/>
  <c r="X174" i="12"/>
  <c r="Y174" i="12"/>
  <c r="Z174" i="12"/>
  <c r="AA174" i="12"/>
  <c r="AB174" i="12"/>
  <c r="AC174" i="12"/>
  <c r="AD174" i="12"/>
  <c r="AE174" i="12"/>
  <c r="AF174" i="12"/>
  <c r="AG174" i="12"/>
  <c r="AH174" i="12"/>
  <c r="AI174" i="12"/>
  <c r="AJ174" i="12"/>
  <c r="AK174" i="12"/>
  <c r="AL174" i="12"/>
  <c r="AM174" i="12"/>
  <c r="AN174" i="12"/>
  <c r="AO174" i="12"/>
  <c r="AP174" i="12"/>
  <c r="AQ174" i="12"/>
  <c r="AR174" i="12"/>
  <c r="AS174" i="12"/>
  <c r="S175" i="12"/>
  <c r="T175" i="12"/>
  <c r="U175" i="12"/>
  <c r="V175" i="12"/>
  <c r="W175" i="12"/>
  <c r="X175" i="12"/>
  <c r="Y175" i="12"/>
  <c r="Z175" i="12"/>
  <c r="AA175" i="12"/>
  <c r="AB175" i="12"/>
  <c r="AC175" i="12"/>
  <c r="AD175" i="12"/>
  <c r="AE175" i="12"/>
  <c r="AF175" i="12"/>
  <c r="AG175" i="12"/>
  <c r="AH175" i="12"/>
  <c r="AI175" i="12"/>
  <c r="AJ175" i="12"/>
  <c r="AK175" i="12"/>
  <c r="AL175" i="12"/>
  <c r="AM175" i="12"/>
  <c r="AN175" i="12"/>
  <c r="AO175" i="12"/>
  <c r="AP175" i="12"/>
  <c r="AQ175" i="12"/>
  <c r="AR175" i="12"/>
  <c r="AS175" i="12"/>
  <c r="S176" i="12"/>
  <c r="T176" i="12"/>
  <c r="U176" i="12"/>
  <c r="V176" i="12"/>
  <c r="W176" i="12"/>
  <c r="X176" i="12"/>
  <c r="Y176" i="12"/>
  <c r="Z176" i="12"/>
  <c r="AA176" i="12"/>
  <c r="AB176" i="12"/>
  <c r="AC176" i="12"/>
  <c r="AD176" i="12"/>
  <c r="AE176" i="12"/>
  <c r="AF176" i="12"/>
  <c r="AG176" i="12"/>
  <c r="AH176" i="12"/>
  <c r="AI176" i="12"/>
  <c r="AJ176" i="12"/>
  <c r="AK176" i="12"/>
  <c r="AL176" i="12"/>
  <c r="AM176" i="12"/>
  <c r="AN176" i="12"/>
  <c r="AO176" i="12"/>
  <c r="AP176" i="12"/>
  <c r="AQ176" i="12"/>
  <c r="AR176" i="12"/>
  <c r="AS176" i="12"/>
  <c r="S177" i="12"/>
  <c r="T177" i="12"/>
  <c r="U177" i="12"/>
  <c r="V177" i="12"/>
  <c r="W177" i="12"/>
  <c r="X177" i="12"/>
  <c r="Y177" i="12"/>
  <c r="Z177" i="12"/>
  <c r="AA177" i="12"/>
  <c r="AB177" i="12"/>
  <c r="AC177" i="12"/>
  <c r="AD177" i="12"/>
  <c r="AE177" i="12"/>
  <c r="AF177" i="12"/>
  <c r="AG177" i="12"/>
  <c r="AH177" i="12"/>
  <c r="AI177" i="12"/>
  <c r="AJ177" i="12"/>
  <c r="AK177" i="12"/>
  <c r="AL177" i="12"/>
  <c r="AM177" i="12"/>
  <c r="AN177" i="12"/>
  <c r="AO177" i="12"/>
  <c r="AP177" i="12"/>
  <c r="AQ177" i="12"/>
  <c r="AR177" i="12"/>
  <c r="AS177" i="12"/>
  <c r="S178" i="12"/>
  <c r="T178" i="12"/>
  <c r="U178" i="12"/>
  <c r="V178" i="12"/>
  <c r="W178" i="12"/>
  <c r="X178" i="12"/>
  <c r="Y178" i="12"/>
  <c r="Z178" i="12"/>
  <c r="AA178" i="12"/>
  <c r="AB178" i="12"/>
  <c r="AC178" i="12"/>
  <c r="AD178" i="12"/>
  <c r="AE178" i="12"/>
  <c r="AF178" i="12"/>
  <c r="AG178" i="12"/>
  <c r="AH178" i="12"/>
  <c r="AI178" i="12"/>
  <c r="AJ178" i="12"/>
  <c r="AK178" i="12"/>
  <c r="AL178" i="12"/>
  <c r="AM178" i="12"/>
  <c r="AN178" i="12"/>
  <c r="AO178" i="12"/>
  <c r="AP178" i="12"/>
  <c r="AQ178" i="12"/>
  <c r="AR178" i="12"/>
  <c r="AS178" i="12"/>
  <c r="S179" i="12"/>
  <c r="T179" i="12"/>
  <c r="U179" i="12"/>
  <c r="V179" i="12"/>
  <c r="W179" i="12"/>
  <c r="X179" i="12"/>
  <c r="Y179" i="12"/>
  <c r="Z179" i="12"/>
  <c r="AA179" i="12"/>
  <c r="AB179" i="12"/>
  <c r="AC179" i="12"/>
  <c r="AD179" i="12"/>
  <c r="AE179" i="12"/>
  <c r="AF179" i="12"/>
  <c r="AG179" i="12"/>
  <c r="AH179" i="12"/>
  <c r="AI179" i="12"/>
  <c r="AJ179" i="12"/>
  <c r="AK179" i="12"/>
  <c r="AL179" i="12"/>
  <c r="AM179" i="12"/>
  <c r="AN179" i="12"/>
  <c r="AO179" i="12"/>
  <c r="AP179" i="12"/>
  <c r="AQ179" i="12"/>
  <c r="AR179" i="12"/>
  <c r="AS179" i="12"/>
  <c r="S180" i="12"/>
  <c r="T180" i="12"/>
  <c r="U180" i="12"/>
  <c r="V180" i="12"/>
  <c r="W180" i="12"/>
  <c r="X180" i="12"/>
  <c r="Y180" i="12"/>
  <c r="Z180" i="12"/>
  <c r="AA180" i="12"/>
  <c r="AB180" i="12"/>
  <c r="AC180" i="12"/>
  <c r="AD180" i="12"/>
  <c r="AE180" i="12"/>
  <c r="AF180" i="12"/>
  <c r="AG180" i="12"/>
  <c r="AH180" i="12"/>
  <c r="AI180" i="12"/>
  <c r="AJ180" i="12"/>
  <c r="AK180" i="12"/>
  <c r="AL180" i="12"/>
  <c r="AM180" i="12"/>
  <c r="AN180" i="12"/>
  <c r="AO180" i="12"/>
  <c r="AP180" i="12"/>
  <c r="AQ180" i="12"/>
  <c r="AR180" i="12"/>
  <c r="AS180" i="12"/>
  <c r="S181" i="12"/>
  <c r="T181" i="12"/>
  <c r="U181" i="12"/>
  <c r="V181" i="12"/>
  <c r="W181" i="12"/>
  <c r="X181" i="12"/>
  <c r="Y181" i="12"/>
  <c r="Z181" i="12"/>
  <c r="AA181" i="12"/>
  <c r="AB181" i="12"/>
  <c r="AC181" i="12"/>
  <c r="AD181" i="12"/>
  <c r="AE181" i="12"/>
  <c r="AF181" i="12"/>
  <c r="AG181" i="12"/>
  <c r="AH181" i="12"/>
  <c r="AI181" i="12"/>
  <c r="AJ181" i="12"/>
  <c r="AK181" i="12"/>
  <c r="AL181" i="12"/>
  <c r="AM181" i="12"/>
  <c r="AN181" i="12"/>
  <c r="AO181" i="12"/>
  <c r="AP181" i="12"/>
  <c r="AQ181" i="12"/>
  <c r="AR181" i="12"/>
  <c r="AS181" i="12"/>
  <c r="S182" i="12"/>
  <c r="T182" i="12"/>
  <c r="U182" i="12"/>
  <c r="V182" i="12"/>
  <c r="W182" i="12"/>
  <c r="X182" i="12"/>
  <c r="Y182" i="12"/>
  <c r="Z182" i="12"/>
  <c r="AA182" i="12"/>
  <c r="AB182" i="12"/>
  <c r="AC182" i="12"/>
  <c r="AD182" i="12"/>
  <c r="AE182" i="12"/>
  <c r="AF182" i="12"/>
  <c r="AG182" i="12"/>
  <c r="AH182" i="12"/>
  <c r="AI182" i="12"/>
  <c r="AJ182" i="12"/>
  <c r="AK182" i="12"/>
  <c r="AL182" i="12"/>
  <c r="AM182" i="12"/>
  <c r="AN182" i="12"/>
  <c r="AO182" i="12"/>
  <c r="AP182" i="12"/>
  <c r="AQ182" i="12"/>
  <c r="AR182" i="12"/>
  <c r="AS182" i="12"/>
  <c r="S183" i="12"/>
  <c r="T183" i="12"/>
  <c r="U183" i="12"/>
  <c r="V183" i="12"/>
  <c r="W183" i="12"/>
  <c r="X183" i="12"/>
  <c r="Y183" i="12"/>
  <c r="Z183" i="12"/>
  <c r="AA183" i="12"/>
  <c r="AB183" i="12"/>
  <c r="AC183" i="12"/>
  <c r="AD183" i="12"/>
  <c r="AE183" i="12"/>
  <c r="AF183" i="12"/>
  <c r="AG183" i="12"/>
  <c r="AH183" i="12"/>
  <c r="AI183" i="12"/>
  <c r="AJ183" i="12"/>
  <c r="AK183" i="12"/>
  <c r="AL183" i="12"/>
  <c r="AM183" i="12"/>
  <c r="AN183" i="12"/>
  <c r="AO183" i="12"/>
  <c r="AP183" i="12"/>
  <c r="AQ183" i="12"/>
  <c r="AR183" i="12"/>
  <c r="AS183" i="12"/>
  <c r="S184" i="12"/>
  <c r="T184" i="12"/>
  <c r="U184" i="12"/>
  <c r="V184" i="12"/>
  <c r="W184" i="12"/>
  <c r="X184" i="12"/>
  <c r="Y184" i="12"/>
  <c r="Z184" i="12"/>
  <c r="AA184" i="12"/>
  <c r="AB184" i="12"/>
  <c r="AC184" i="12"/>
  <c r="AD184" i="12"/>
  <c r="AE184" i="12"/>
  <c r="AF184" i="12"/>
  <c r="AG184" i="12"/>
  <c r="AH184" i="12"/>
  <c r="AI184" i="12"/>
  <c r="AJ184" i="12"/>
  <c r="AK184" i="12"/>
  <c r="AL184" i="12"/>
  <c r="AM184" i="12"/>
  <c r="AN184" i="12"/>
  <c r="AO184" i="12"/>
  <c r="AP184" i="12"/>
  <c r="AQ184" i="12"/>
  <c r="AR184" i="12"/>
  <c r="AS184" i="12"/>
  <c r="S185" i="12"/>
  <c r="T185" i="12"/>
  <c r="U185" i="12"/>
  <c r="V185" i="12"/>
  <c r="W185" i="12"/>
  <c r="X185" i="12"/>
  <c r="Y185" i="12"/>
  <c r="Z185" i="12"/>
  <c r="AA185" i="12"/>
  <c r="AB185" i="12"/>
  <c r="AC185" i="12"/>
  <c r="AD185" i="12"/>
  <c r="AE185" i="12"/>
  <c r="AF185" i="12"/>
  <c r="AG185" i="12"/>
  <c r="AH185" i="12"/>
  <c r="AI185" i="12"/>
  <c r="AJ185" i="12"/>
  <c r="AK185" i="12"/>
  <c r="AL185" i="12"/>
  <c r="AM185" i="12"/>
  <c r="AN185" i="12"/>
  <c r="AO185" i="12"/>
  <c r="AP185" i="12"/>
  <c r="AQ185" i="12"/>
  <c r="AR185" i="12"/>
  <c r="AS185" i="12"/>
  <c r="S186" i="12"/>
  <c r="T186" i="12"/>
  <c r="U186" i="12"/>
  <c r="V186" i="12"/>
  <c r="W186" i="12"/>
  <c r="X186" i="12"/>
  <c r="Y186" i="12"/>
  <c r="Z186" i="12"/>
  <c r="AA186" i="12"/>
  <c r="AB186" i="12"/>
  <c r="AC186" i="12"/>
  <c r="AD186" i="12"/>
  <c r="AE186" i="12"/>
  <c r="AF186" i="12"/>
  <c r="AG186" i="12"/>
  <c r="AH186" i="12"/>
  <c r="AI186" i="12"/>
  <c r="AJ186" i="12"/>
  <c r="AK186" i="12"/>
  <c r="AL186" i="12"/>
  <c r="AM186" i="12"/>
  <c r="AN186" i="12"/>
  <c r="AO186" i="12"/>
  <c r="AP186" i="12"/>
  <c r="AQ186" i="12"/>
  <c r="AR186" i="12"/>
  <c r="AS186" i="12"/>
  <c r="S187" i="12"/>
  <c r="T187" i="12"/>
  <c r="U187" i="12"/>
  <c r="V187" i="12"/>
  <c r="W187" i="12"/>
  <c r="X187" i="12"/>
  <c r="Y187" i="12"/>
  <c r="Z187" i="12"/>
  <c r="AA187" i="12"/>
  <c r="AB187" i="12"/>
  <c r="AC187" i="12"/>
  <c r="AD187" i="12"/>
  <c r="AE187" i="12"/>
  <c r="AF187" i="12"/>
  <c r="AG187" i="12"/>
  <c r="AH187" i="12"/>
  <c r="AI187" i="12"/>
  <c r="AJ187" i="12"/>
  <c r="AK187" i="12"/>
  <c r="AL187" i="12"/>
  <c r="AM187" i="12"/>
  <c r="AN187" i="12"/>
  <c r="AO187" i="12"/>
  <c r="AP187" i="12"/>
  <c r="AQ187" i="12"/>
  <c r="AR187" i="12"/>
  <c r="AS187" i="12"/>
  <c r="S188" i="12"/>
  <c r="T188" i="12"/>
  <c r="U188" i="12"/>
  <c r="V188" i="12"/>
  <c r="W188" i="12"/>
  <c r="X188" i="12"/>
  <c r="Y188" i="12"/>
  <c r="Z188" i="12"/>
  <c r="AA188" i="12"/>
  <c r="AB188" i="12"/>
  <c r="AC188" i="12"/>
  <c r="AD188" i="12"/>
  <c r="AE188" i="12"/>
  <c r="AF188" i="12"/>
  <c r="AG188" i="12"/>
  <c r="AH188" i="12"/>
  <c r="AI188" i="12"/>
  <c r="AJ188" i="12"/>
  <c r="AK188" i="12"/>
  <c r="AL188" i="12"/>
  <c r="AM188" i="12"/>
  <c r="AN188" i="12"/>
  <c r="AO188" i="12"/>
  <c r="AP188" i="12"/>
  <c r="AQ188" i="12"/>
  <c r="AR188" i="12"/>
  <c r="AS188" i="12"/>
  <c r="S189" i="12"/>
  <c r="T189" i="12"/>
  <c r="U189" i="12"/>
  <c r="V189" i="12"/>
  <c r="W189" i="12"/>
  <c r="X189" i="12"/>
  <c r="Y189" i="12"/>
  <c r="Z189" i="12"/>
  <c r="AA189" i="12"/>
  <c r="AB189" i="12"/>
  <c r="AC189" i="12"/>
  <c r="AD189" i="12"/>
  <c r="AE189" i="12"/>
  <c r="AF189" i="12"/>
  <c r="AG189" i="12"/>
  <c r="AH189" i="12"/>
  <c r="AI189" i="12"/>
  <c r="AJ189" i="12"/>
  <c r="AK189" i="12"/>
  <c r="AL189" i="12"/>
  <c r="AM189" i="12"/>
  <c r="AN189" i="12"/>
  <c r="AO189" i="12"/>
  <c r="AP189" i="12"/>
  <c r="AQ189" i="12"/>
  <c r="AR189" i="12"/>
  <c r="AS189" i="12"/>
  <c r="S190" i="12"/>
  <c r="T190" i="12"/>
  <c r="U190" i="12"/>
  <c r="V190" i="12"/>
  <c r="W190" i="12"/>
  <c r="X190" i="12"/>
  <c r="Y190" i="12"/>
  <c r="Z190" i="12"/>
  <c r="AA190" i="12"/>
  <c r="AB190" i="12"/>
  <c r="AC190" i="12"/>
  <c r="AD190" i="12"/>
  <c r="AE190" i="12"/>
  <c r="AF190" i="12"/>
  <c r="AG190" i="12"/>
  <c r="AH190" i="12"/>
  <c r="AI190" i="12"/>
  <c r="AJ190" i="12"/>
  <c r="AK190" i="12"/>
  <c r="AL190" i="12"/>
  <c r="AM190" i="12"/>
  <c r="AN190" i="12"/>
  <c r="AO190" i="12"/>
  <c r="AP190" i="12"/>
  <c r="AQ190" i="12"/>
  <c r="AR190" i="12"/>
  <c r="AS190" i="12"/>
  <c r="S191" i="12"/>
  <c r="T191" i="12"/>
  <c r="U191" i="12"/>
  <c r="V191" i="12"/>
  <c r="W191" i="12"/>
  <c r="X191" i="12"/>
  <c r="Y191" i="12"/>
  <c r="Z191" i="12"/>
  <c r="AA191" i="12"/>
  <c r="AB191" i="12"/>
  <c r="AC191" i="12"/>
  <c r="AD191" i="12"/>
  <c r="AE191" i="12"/>
  <c r="AF191" i="12"/>
  <c r="AG191" i="12"/>
  <c r="AH191" i="12"/>
  <c r="AI191" i="12"/>
  <c r="AJ191" i="12"/>
  <c r="AK191" i="12"/>
  <c r="AL191" i="12"/>
  <c r="AM191" i="12"/>
  <c r="AN191" i="12"/>
  <c r="AO191" i="12"/>
  <c r="AP191" i="12"/>
  <c r="AQ191" i="12"/>
  <c r="AR191" i="12"/>
  <c r="AS191" i="12"/>
  <c r="S192" i="12"/>
  <c r="T192" i="12"/>
  <c r="U192" i="12"/>
  <c r="V192" i="12"/>
  <c r="W192" i="12"/>
  <c r="X192" i="12"/>
  <c r="Y192" i="12"/>
  <c r="Z192" i="12"/>
  <c r="AA192" i="12"/>
  <c r="AB192" i="12"/>
  <c r="AC192" i="12"/>
  <c r="AD192" i="12"/>
  <c r="AE192" i="12"/>
  <c r="AF192" i="12"/>
  <c r="AG192" i="12"/>
  <c r="AH192" i="12"/>
  <c r="AI192" i="12"/>
  <c r="AJ192" i="12"/>
  <c r="AK192" i="12"/>
  <c r="AL192" i="12"/>
  <c r="AM192" i="12"/>
  <c r="AN192" i="12"/>
  <c r="AO192" i="12"/>
  <c r="AP192" i="12"/>
  <c r="AQ192" i="12"/>
  <c r="AR192" i="12"/>
  <c r="AS192" i="12"/>
  <c r="S193" i="12"/>
  <c r="T193" i="12"/>
  <c r="U193" i="12"/>
  <c r="V193" i="12"/>
  <c r="W193" i="12"/>
  <c r="X193" i="12"/>
  <c r="Y193" i="12"/>
  <c r="Z193" i="12"/>
  <c r="AA193" i="12"/>
  <c r="AB193" i="12"/>
  <c r="AC193" i="12"/>
  <c r="AD193" i="12"/>
  <c r="AE193" i="12"/>
  <c r="AF193" i="12"/>
  <c r="AG193" i="12"/>
  <c r="AH193" i="12"/>
  <c r="AI193" i="12"/>
  <c r="AJ193" i="12"/>
  <c r="AK193" i="12"/>
  <c r="AL193" i="12"/>
  <c r="AM193" i="12"/>
  <c r="AN193" i="12"/>
  <c r="AO193" i="12"/>
  <c r="AP193" i="12"/>
  <c r="AQ193" i="12"/>
  <c r="AR193" i="12"/>
  <c r="AS193" i="12"/>
  <c r="S194" i="12"/>
  <c r="T194" i="12"/>
  <c r="U194" i="12"/>
  <c r="V194" i="12"/>
  <c r="W194" i="12"/>
  <c r="X194" i="12"/>
  <c r="Y194" i="12"/>
  <c r="Z194" i="12"/>
  <c r="AA194" i="12"/>
  <c r="AB194" i="12"/>
  <c r="AC194" i="12"/>
  <c r="AD194" i="12"/>
  <c r="AE194" i="12"/>
  <c r="AF194" i="12"/>
  <c r="AG194" i="12"/>
  <c r="AH194" i="12"/>
  <c r="AI194" i="12"/>
  <c r="AJ194" i="12"/>
  <c r="AK194" i="12"/>
  <c r="AL194" i="12"/>
  <c r="AM194" i="12"/>
  <c r="AN194" i="12"/>
  <c r="AO194" i="12"/>
  <c r="AP194" i="12"/>
  <c r="AQ194" i="12"/>
  <c r="AR194" i="12"/>
  <c r="AS194" i="12"/>
  <c r="S195" i="12"/>
  <c r="T195" i="12"/>
  <c r="U195" i="12"/>
  <c r="V195" i="12"/>
  <c r="W195" i="12"/>
  <c r="X195" i="12"/>
  <c r="Y195" i="12"/>
  <c r="Z195" i="12"/>
  <c r="AA195" i="12"/>
  <c r="AB195" i="12"/>
  <c r="AC195" i="12"/>
  <c r="AD195" i="12"/>
  <c r="AE195" i="12"/>
  <c r="AF195" i="12"/>
  <c r="AG195" i="12"/>
  <c r="AH195" i="12"/>
  <c r="AI195" i="12"/>
  <c r="AJ195" i="12"/>
  <c r="AK195" i="12"/>
  <c r="AL195" i="12"/>
  <c r="AM195" i="12"/>
  <c r="AN195" i="12"/>
  <c r="AO195" i="12"/>
  <c r="AP195" i="12"/>
  <c r="AQ195" i="12"/>
  <c r="AR195" i="12"/>
  <c r="AS195" i="12"/>
  <c r="S196" i="12"/>
  <c r="T196" i="12"/>
  <c r="U196" i="12"/>
  <c r="V196" i="12"/>
  <c r="W196" i="12"/>
  <c r="X196" i="12"/>
  <c r="Y196" i="12"/>
  <c r="Z196" i="12"/>
  <c r="AA196" i="12"/>
  <c r="AB196" i="12"/>
  <c r="AC196" i="12"/>
  <c r="AD196" i="12"/>
  <c r="AE196" i="12"/>
  <c r="AF196" i="12"/>
  <c r="AG196" i="12"/>
  <c r="AH196" i="12"/>
  <c r="AI196" i="12"/>
  <c r="AJ196" i="12"/>
  <c r="AK196" i="12"/>
  <c r="AL196" i="12"/>
  <c r="AM196" i="12"/>
  <c r="AN196" i="12"/>
  <c r="AO196" i="12"/>
  <c r="AP196" i="12"/>
  <c r="AQ196" i="12"/>
  <c r="AR196" i="12"/>
  <c r="AS196" i="12"/>
  <c r="S197" i="12"/>
  <c r="T197" i="12"/>
  <c r="U197" i="12"/>
  <c r="V197" i="12"/>
  <c r="W197" i="12"/>
  <c r="X197" i="12"/>
  <c r="Y197" i="12"/>
  <c r="Z197" i="12"/>
  <c r="AA197" i="12"/>
  <c r="AB197" i="12"/>
  <c r="AC197" i="12"/>
  <c r="AD197" i="12"/>
  <c r="AE197" i="12"/>
  <c r="AF197" i="12"/>
  <c r="AG197" i="12"/>
  <c r="AH197" i="12"/>
  <c r="AI197" i="12"/>
  <c r="AJ197" i="12"/>
  <c r="AK197" i="12"/>
  <c r="AL197" i="12"/>
  <c r="AM197" i="12"/>
  <c r="AN197" i="12"/>
  <c r="AO197" i="12"/>
  <c r="AP197" i="12"/>
  <c r="AQ197" i="12"/>
  <c r="AR197" i="12"/>
  <c r="AS197" i="12"/>
  <c r="S198" i="12"/>
  <c r="T198" i="12"/>
  <c r="U198" i="12"/>
  <c r="V198" i="12"/>
  <c r="W198" i="12"/>
  <c r="X198" i="12"/>
  <c r="Y198" i="12"/>
  <c r="Z198" i="12"/>
  <c r="AA198" i="12"/>
  <c r="AB198" i="12"/>
  <c r="AC198" i="12"/>
  <c r="AD198" i="12"/>
  <c r="AE198" i="12"/>
  <c r="AF198" i="12"/>
  <c r="AG198" i="12"/>
  <c r="AH198" i="12"/>
  <c r="AI198" i="12"/>
  <c r="AJ198" i="12"/>
  <c r="AK198" i="12"/>
  <c r="AL198" i="12"/>
  <c r="AM198" i="12"/>
  <c r="AN198" i="12"/>
  <c r="AO198" i="12"/>
  <c r="AP198" i="12"/>
  <c r="AQ198" i="12"/>
  <c r="AR198" i="12"/>
  <c r="AS198" i="12"/>
  <c r="S199" i="12"/>
  <c r="T199" i="12"/>
  <c r="U199" i="12"/>
  <c r="V199" i="12"/>
  <c r="W199" i="12"/>
  <c r="X199" i="12"/>
  <c r="Y199" i="12"/>
  <c r="Z199" i="12"/>
  <c r="AA199" i="12"/>
  <c r="AB199" i="12"/>
  <c r="AC199" i="12"/>
  <c r="AD199" i="12"/>
  <c r="AE199" i="12"/>
  <c r="AF199" i="12"/>
  <c r="AG199" i="12"/>
  <c r="AH199" i="12"/>
  <c r="AI199" i="12"/>
  <c r="AJ199" i="12"/>
  <c r="AK199" i="12"/>
  <c r="AL199" i="12"/>
  <c r="AM199" i="12"/>
  <c r="AN199" i="12"/>
  <c r="AO199" i="12"/>
  <c r="AP199" i="12"/>
  <c r="AQ199" i="12"/>
  <c r="AR199" i="12"/>
  <c r="AS199" i="12"/>
  <c r="S200" i="12"/>
  <c r="T200" i="12"/>
  <c r="U200" i="12"/>
  <c r="V200" i="12"/>
  <c r="W200" i="12"/>
  <c r="X200" i="12"/>
  <c r="Y200" i="12"/>
  <c r="Z200" i="12"/>
  <c r="AA200" i="12"/>
  <c r="AB200" i="12"/>
  <c r="AC200" i="12"/>
  <c r="AD200" i="12"/>
  <c r="AE200" i="12"/>
  <c r="AF200" i="12"/>
  <c r="AG200" i="12"/>
  <c r="AH200" i="12"/>
  <c r="AI200" i="12"/>
  <c r="AJ200" i="12"/>
  <c r="AK200" i="12"/>
  <c r="AL200" i="12"/>
  <c r="AM200" i="12"/>
  <c r="AN200" i="12"/>
  <c r="AO200" i="12"/>
  <c r="AP200" i="12"/>
  <c r="AQ200" i="12"/>
  <c r="AR200" i="12"/>
  <c r="AS200" i="12"/>
  <c r="S201" i="12"/>
  <c r="T201" i="12"/>
  <c r="U201" i="12"/>
  <c r="V201" i="12"/>
  <c r="W201" i="12"/>
  <c r="X201" i="12"/>
  <c r="Y201" i="12"/>
  <c r="Z201" i="12"/>
  <c r="AA201" i="12"/>
  <c r="AB201" i="12"/>
  <c r="AC201" i="12"/>
  <c r="AD201" i="12"/>
  <c r="AE201" i="12"/>
  <c r="AF201" i="12"/>
  <c r="AG201" i="12"/>
  <c r="AH201" i="12"/>
  <c r="AI201" i="12"/>
  <c r="AJ201" i="12"/>
  <c r="AK201" i="12"/>
  <c r="AL201" i="12"/>
  <c r="AM201" i="12"/>
  <c r="AN201" i="12"/>
  <c r="AO201" i="12"/>
  <c r="AP201" i="12"/>
  <c r="AQ201" i="12"/>
  <c r="AR201" i="12"/>
  <c r="AS201" i="12"/>
  <c r="S202" i="12"/>
  <c r="T202" i="12"/>
  <c r="U202" i="12"/>
  <c r="V202" i="12"/>
  <c r="W202" i="12"/>
  <c r="X202" i="12"/>
  <c r="Y202" i="12"/>
  <c r="Z202" i="12"/>
  <c r="AA202" i="12"/>
  <c r="AB202" i="12"/>
  <c r="AC202" i="12"/>
  <c r="AD202" i="12"/>
  <c r="AE202" i="12"/>
  <c r="AF202" i="12"/>
  <c r="AG202" i="12"/>
  <c r="AH202" i="12"/>
  <c r="AI202" i="12"/>
  <c r="AJ202" i="12"/>
  <c r="AK202" i="12"/>
  <c r="AL202" i="12"/>
  <c r="AM202" i="12"/>
  <c r="AN202" i="12"/>
  <c r="AO202" i="12"/>
  <c r="AP202" i="12"/>
  <c r="AQ202" i="12"/>
  <c r="AR202" i="12"/>
  <c r="AS202" i="12"/>
  <c r="S203" i="12"/>
  <c r="T203" i="12"/>
  <c r="U203" i="12"/>
  <c r="V203" i="12"/>
  <c r="W203" i="12"/>
  <c r="X203" i="12"/>
  <c r="Y203" i="12"/>
  <c r="Z203" i="12"/>
  <c r="AA203" i="12"/>
  <c r="AB203" i="12"/>
  <c r="AC203" i="12"/>
  <c r="AD203" i="12"/>
  <c r="AE203" i="12"/>
  <c r="AF203" i="12"/>
  <c r="AG203" i="12"/>
  <c r="AH203" i="12"/>
  <c r="AI203" i="12"/>
  <c r="AJ203" i="12"/>
  <c r="AK203" i="12"/>
  <c r="AL203" i="12"/>
  <c r="AM203" i="12"/>
  <c r="AN203" i="12"/>
  <c r="AO203" i="12"/>
  <c r="AP203" i="12"/>
  <c r="AQ203" i="12"/>
  <c r="AR203" i="12"/>
  <c r="AS203" i="12"/>
  <c r="S204" i="12"/>
  <c r="T204" i="12"/>
  <c r="U204" i="12"/>
  <c r="V204" i="12"/>
  <c r="W204" i="12"/>
  <c r="X204" i="12"/>
  <c r="Y204" i="12"/>
  <c r="Z204" i="12"/>
  <c r="AA204" i="12"/>
  <c r="AB204" i="12"/>
  <c r="AC204" i="12"/>
  <c r="AD204" i="12"/>
  <c r="AE204" i="12"/>
  <c r="AF204" i="12"/>
  <c r="AG204" i="12"/>
  <c r="AH204" i="12"/>
  <c r="AI204" i="12"/>
  <c r="AJ204" i="12"/>
  <c r="AK204" i="12"/>
  <c r="AL204" i="12"/>
  <c r="AM204" i="12"/>
  <c r="AN204" i="12"/>
  <c r="AO204" i="12"/>
  <c r="AP204" i="12"/>
  <c r="AQ204" i="12"/>
  <c r="AR204" i="12"/>
  <c r="AS204" i="12"/>
  <c r="S205" i="12"/>
  <c r="T205" i="12"/>
  <c r="U205" i="12"/>
  <c r="V205" i="12"/>
  <c r="W205" i="12"/>
  <c r="X205" i="12"/>
  <c r="Y205" i="12"/>
  <c r="Z205" i="12"/>
  <c r="AA205" i="12"/>
  <c r="AB205" i="12"/>
  <c r="AC205" i="12"/>
  <c r="AD205" i="12"/>
  <c r="AE205" i="12"/>
  <c r="AF205" i="12"/>
  <c r="AG205" i="12"/>
  <c r="AH205" i="12"/>
  <c r="AI205" i="12"/>
  <c r="AJ205" i="12"/>
  <c r="AK205" i="12"/>
  <c r="AL205" i="12"/>
  <c r="AM205" i="12"/>
  <c r="AN205" i="12"/>
  <c r="AO205" i="12"/>
  <c r="AP205" i="12"/>
  <c r="AQ205" i="12"/>
  <c r="AR205" i="12"/>
  <c r="AS205" i="12"/>
  <c r="S206" i="12"/>
  <c r="T206" i="12"/>
  <c r="U206" i="12"/>
  <c r="V206" i="12"/>
  <c r="W206" i="12"/>
  <c r="X206" i="12"/>
  <c r="Y206" i="12"/>
  <c r="Z206" i="12"/>
  <c r="AA206" i="12"/>
  <c r="AB206" i="12"/>
  <c r="AC206" i="12"/>
  <c r="AD206" i="12"/>
  <c r="AE206" i="12"/>
  <c r="AF206" i="12"/>
  <c r="AG206" i="12"/>
  <c r="AH206" i="12"/>
  <c r="AI206" i="12"/>
  <c r="AJ206" i="12"/>
  <c r="AK206" i="12"/>
  <c r="AL206" i="12"/>
  <c r="AM206" i="12"/>
  <c r="AN206" i="12"/>
  <c r="AO206" i="12"/>
  <c r="AP206" i="12"/>
  <c r="AQ206" i="12"/>
  <c r="AR206" i="12"/>
  <c r="AS206" i="12"/>
  <c r="S207" i="12"/>
  <c r="T207" i="12"/>
  <c r="U207" i="12"/>
  <c r="V207" i="12"/>
  <c r="W207" i="12"/>
  <c r="X207" i="12"/>
  <c r="Y207" i="12"/>
  <c r="Z207" i="12"/>
  <c r="AA207" i="12"/>
  <c r="AB207" i="12"/>
  <c r="AC207" i="12"/>
  <c r="AD207" i="12"/>
  <c r="AE207" i="12"/>
  <c r="AF207" i="12"/>
  <c r="AG207" i="12"/>
  <c r="AH207" i="12"/>
  <c r="AI207" i="12"/>
  <c r="AJ207" i="12"/>
  <c r="AK207" i="12"/>
  <c r="AL207" i="12"/>
  <c r="AM207" i="12"/>
  <c r="AN207" i="12"/>
  <c r="AO207" i="12"/>
  <c r="AP207" i="12"/>
  <c r="AQ207" i="12"/>
  <c r="AR207" i="12"/>
  <c r="AS207" i="12"/>
  <c r="S208" i="12"/>
  <c r="T208" i="12"/>
  <c r="U208" i="12"/>
  <c r="V208" i="12"/>
  <c r="W208" i="12"/>
  <c r="X208" i="12"/>
  <c r="Y208" i="12"/>
  <c r="Z208" i="12"/>
  <c r="AA208" i="12"/>
  <c r="AB208" i="12"/>
  <c r="AC208" i="12"/>
  <c r="AD208" i="12"/>
  <c r="AE208" i="12"/>
  <c r="AF208" i="12"/>
  <c r="AG208" i="12"/>
  <c r="AH208" i="12"/>
  <c r="AI208" i="12"/>
  <c r="AJ208" i="12"/>
  <c r="AK208" i="12"/>
  <c r="AL208" i="12"/>
  <c r="AM208" i="12"/>
  <c r="AN208" i="12"/>
  <c r="AO208" i="12"/>
  <c r="AP208" i="12"/>
  <c r="AQ208" i="12"/>
  <c r="AR208" i="12"/>
  <c r="AS208"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171" i="12"/>
  <c r="AG171" i="11"/>
  <c r="AG148" i="11"/>
  <c r="AG149" i="11"/>
  <c r="AG150" i="11"/>
  <c r="AG151" i="11"/>
  <c r="AG152" i="11"/>
  <c r="AG153" i="11"/>
  <c r="AG154" i="11"/>
  <c r="AG155" i="11"/>
  <c r="AG156" i="11"/>
  <c r="AG157" i="11"/>
  <c r="AG158" i="11"/>
  <c r="AG159" i="11"/>
  <c r="AG160" i="11"/>
  <c r="AG161" i="11"/>
  <c r="AG162" i="11"/>
  <c r="AG163" i="11"/>
  <c r="AG164" i="11"/>
  <c r="AG165" i="11"/>
  <c r="AG166" i="11"/>
  <c r="AG167" i="11"/>
  <c r="AG168" i="11"/>
  <c r="AG169" i="11"/>
  <c r="AG170" i="11"/>
  <c r="AG172" i="11"/>
  <c r="AG173" i="11"/>
  <c r="AG174" i="11"/>
  <c r="AG175" i="11"/>
  <c r="AG150" i="10"/>
  <c r="AG151" i="10"/>
  <c r="AG152" i="10"/>
  <c r="AG153" i="10"/>
  <c r="AG154" i="10"/>
  <c r="AG155" i="10"/>
  <c r="AG156" i="10"/>
  <c r="AG157" i="10"/>
  <c r="AG158" i="10"/>
  <c r="AG159" i="10"/>
  <c r="AG160" i="10"/>
  <c r="AG161" i="10"/>
  <c r="AG162" i="10"/>
  <c r="AG163" i="10"/>
  <c r="AG164" i="10"/>
  <c r="AG165" i="10"/>
  <c r="AG166" i="10"/>
  <c r="AG167" i="10"/>
  <c r="AG168" i="10"/>
  <c r="AG169" i="10"/>
  <c r="AG170" i="10"/>
  <c r="AG171" i="10"/>
  <c r="AG172" i="10"/>
  <c r="AG173" i="10"/>
  <c r="AG174" i="10"/>
  <c r="AG175" i="10"/>
  <c r="AG176" i="10"/>
  <c r="AG177" i="10"/>
  <c r="AG163" i="12"/>
  <c r="AG141" i="12"/>
  <c r="AG142" i="12"/>
  <c r="AG143" i="12"/>
  <c r="AG144" i="12"/>
  <c r="AG145" i="12"/>
  <c r="AG146" i="12"/>
  <c r="AG147" i="12"/>
  <c r="AG148" i="12"/>
  <c r="AG149" i="12"/>
  <c r="AG150" i="12"/>
  <c r="AG151" i="12"/>
  <c r="AG152" i="12"/>
  <c r="AG153" i="12"/>
  <c r="AG154" i="12"/>
  <c r="AG155" i="12"/>
  <c r="AG156" i="12"/>
  <c r="AG157" i="12"/>
  <c r="AG158" i="12"/>
  <c r="AG159" i="12"/>
  <c r="AG160" i="12"/>
  <c r="AG161" i="12"/>
  <c r="AG162" i="12"/>
  <c r="AG164" i="12"/>
  <c r="AG165" i="12"/>
  <c r="AG166" i="12"/>
  <c r="AG167" i="12"/>
  <c r="AG168" i="12"/>
  <c r="S140" i="12"/>
  <c r="T140" i="12"/>
  <c r="U140" i="12"/>
  <c r="V140" i="12"/>
  <c r="W140" i="12"/>
  <c r="X140" i="12"/>
  <c r="Y140" i="12"/>
  <c r="Z140" i="12"/>
  <c r="AA140" i="12"/>
  <c r="AB140" i="12"/>
  <c r="AC140" i="12"/>
  <c r="AD140" i="12"/>
  <c r="S141" i="12"/>
  <c r="T141" i="12"/>
  <c r="U141" i="12"/>
  <c r="V141" i="12"/>
  <c r="W141" i="12"/>
  <c r="X141" i="12"/>
  <c r="Y141" i="12"/>
  <c r="Z141" i="12"/>
  <c r="AA141" i="12"/>
  <c r="AB141" i="12"/>
  <c r="AC141" i="12"/>
  <c r="AD141" i="12"/>
  <c r="S142" i="12"/>
  <c r="T142" i="12"/>
  <c r="U142" i="12"/>
  <c r="V142" i="12"/>
  <c r="W142" i="12"/>
  <c r="X142" i="12"/>
  <c r="Y142" i="12"/>
  <c r="Z142" i="12"/>
  <c r="AA142" i="12"/>
  <c r="AB142" i="12"/>
  <c r="AC142" i="12"/>
  <c r="AD142" i="12"/>
  <c r="S143" i="12"/>
  <c r="T143" i="12"/>
  <c r="U143" i="12"/>
  <c r="V143" i="12"/>
  <c r="W143" i="12"/>
  <c r="X143" i="12"/>
  <c r="Y143" i="12"/>
  <c r="Z143" i="12"/>
  <c r="AA143" i="12"/>
  <c r="AB143" i="12"/>
  <c r="AC143" i="12"/>
  <c r="AD143" i="12"/>
  <c r="S144" i="12"/>
  <c r="T144" i="12"/>
  <c r="U144" i="12"/>
  <c r="V144" i="12"/>
  <c r="W144" i="12"/>
  <c r="X144" i="12"/>
  <c r="Y144" i="12"/>
  <c r="Z144" i="12"/>
  <c r="AA144" i="12"/>
  <c r="AB144" i="12"/>
  <c r="AC144" i="12"/>
  <c r="AD144" i="12"/>
  <c r="S145" i="12"/>
  <c r="T145" i="12"/>
  <c r="U145" i="12"/>
  <c r="V145" i="12"/>
  <c r="W145" i="12"/>
  <c r="X145" i="12"/>
  <c r="Y145" i="12"/>
  <c r="Z145" i="12"/>
  <c r="AA145" i="12"/>
  <c r="AB145" i="12"/>
  <c r="AC145" i="12"/>
  <c r="AD145" i="12"/>
  <c r="S146" i="12"/>
  <c r="T146" i="12"/>
  <c r="U146" i="12"/>
  <c r="V146" i="12"/>
  <c r="W146" i="12"/>
  <c r="X146" i="12"/>
  <c r="Y146" i="12"/>
  <c r="Z146" i="12"/>
  <c r="AA146" i="12"/>
  <c r="AB146" i="12"/>
  <c r="AC146" i="12"/>
  <c r="AD146" i="12"/>
  <c r="S147" i="12"/>
  <c r="T147" i="12"/>
  <c r="U147" i="12"/>
  <c r="V147" i="12"/>
  <c r="W147" i="12"/>
  <c r="X147" i="12"/>
  <c r="Y147" i="12"/>
  <c r="Z147" i="12"/>
  <c r="AA147" i="12"/>
  <c r="AB147" i="12"/>
  <c r="AC147" i="12"/>
  <c r="AD147" i="12"/>
  <c r="S148" i="12"/>
  <c r="T148" i="12"/>
  <c r="U148" i="12"/>
  <c r="V148" i="12"/>
  <c r="W148" i="12"/>
  <c r="X148" i="12"/>
  <c r="Y148" i="12"/>
  <c r="Z148" i="12"/>
  <c r="AA148" i="12"/>
  <c r="AB148" i="12"/>
  <c r="AC148" i="12"/>
  <c r="AD148" i="12"/>
  <c r="S149" i="12"/>
  <c r="T149" i="12"/>
  <c r="U149" i="12"/>
  <c r="V149" i="12"/>
  <c r="W149" i="12"/>
  <c r="X149" i="12"/>
  <c r="Y149" i="12"/>
  <c r="Z149" i="12"/>
  <c r="AA149" i="12"/>
  <c r="AB149" i="12"/>
  <c r="AC149" i="12"/>
  <c r="AD149" i="12"/>
  <c r="S150" i="12"/>
  <c r="T150" i="12"/>
  <c r="U150" i="12"/>
  <c r="V150" i="12"/>
  <c r="W150" i="12"/>
  <c r="X150" i="12"/>
  <c r="Y150" i="12"/>
  <c r="Z150" i="12"/>
  <c r="AA150" i="12"/>
  <c r="AB150" i="12"/>
  <c r="AC150" i="12"/>
  <c r="AD150" i="12"/>
  <c r="S151" i="12"/>
  <c r="T151" i="12"/>
  <c r="U151" i="12"/>
  <c r="V151" i="12"/>
  <c r="W151" i="12"/>
  <c r="X151" i="12"/>
  <c r="Y151" i="12"/>
  <c r="Z151" i="12"/>
  <c r="AA151" i="12"/>
  <c r="AB151" i="12"/>
  <c r="AC151" i="12"/>
  <c r="AD151" i="12"/>
  <c r="S152" i="12"/>
  <c r="T152" i="12"/>
  <c r="U152" i="12"/>
  <c r="V152" i="12"/>
  <c r="W152" i="12"/>
  <c r="X152" i="12"/>
  <c r="Y152" i="12"/>
  <c r="Z152" i="12"/>
  <c r="AA152" i="12"/>
  <c r="AB152" i="12"/>
  <c r="AC152" i="12"/>
  <c r="AD152" i="12"/>
  <c r="S153" i="12"/>
  <c r="T153" i="12"/>
  <c r="U153" i="12"/>
  <c r="V153" i="12"/>
  <c r="W153" i="12"/>
  <c r="X153" i="12"/>
  <c r="Y153" i="12"/>
  <c r="Z153" i="12"/>
  <c r="AA153" i="12"/>
  <c r="AB153" i="12"/>
  <c r="AC153" i="12"/>
  <c r="AD153" i="12"/>
  <c r="S154" i="12"/>
  <c r="T154" i="12"/>
  <c r="U154" i="12"/>
  <c r="V154" i="12"/>
  <c r="W154" i="12"/>
  <c r="X154" i="12"/>
  <c r="Y154" i="12"/>
  <c r="Z154" i="12"/>
  <c r="AA154" i="12"/>
  <c r="AB154" i="12"/>
  <c r="AC154" i="12"/>
  <c r="AD154" i="12"/>
  <c r="S155" i="12"/>
  <c r="T155" i="12"/>
  <c r="U155" i="12"/>
  <c r="V155" i="12"/>
  <c r="W155" i="12"/>
  <c r="X155" i="12"/>
  <c r="Y155" i="12"/>
  <c r="Z155" i="12"/>
  <c r="AA155" i="12"/>
  <c r="AB155" i="12"/>
  <c r="AC155" i="12"/>
  <c r="AD155" i="12"/>
  <c r="S156" i="12"/>
  <c r="T156" i="12"/>
  <c r="U156" i="12"/>
  <c r="V156" i="12"/>
  <c r="W156" i="12"/>
  <c r="X156" i="12"/>
  <c r="Y156" i="12"/>
  <c r="Z156" i="12"/>
  <c r="AA156" i="12"/>
  <c r="AB156" i="12"/>
  <c r="AC156" i="12"/>
  <c r="AD156" i="12"/>
  <c r="S157" i="12"/>
  <c r="T157" i="12"/>
  <c r="U157" i="12"/>
  <c r="V157" i="12"/>
  <c r="W157" i="12"/>
  <c r="X157" i="12"/>
  <c r="Y157" i="12"/>
  <c r="Z157" i="12"/>
  <c r="AA157" i="12"/>
  <c r="AB157" i="12"/>
  <c r="AC157" i="12"/>
  <c r="AD157" i="12"/>
  <c r="S158" i="12"/>
  <c r="T158" i="12"/>
  <c r="U158" i="12"/>
  <c r="V158" i="12"/>
  <c r="W158" i="12"/>
  <c r="X158" i="12"/>
  <c r="Y158" i="12"/>
  <c r="Z158" i="12"/>
  <c r="AA158" i="12"/>
  <c r="AB158" i="12"/>
  <c r="AC158" i="12"/>
  <c r="AD158" i="12"/>
  <c r="S159" i="12"/>
  <c r="T159" i="12"/>
  <c r="U159" i="12"/>
  <c r="V159" i="12"/>
  <c r="W159" i="12"/>
  <c r="X159" i="12"/>
  <c r="Y159" i="12"/>
  <c r="Z159" i="12"/>
  <c r="AA159" i="12"/>
  <c r="AB159" i="12"/>
  <c r="AC159" i="12"/>
  <c r="AD159" i="12"/>
  <c r="S160" i="12"/>
  <c r="T160" i="12"/>
  <c r="U160" i="12"/>
  <c r="V160" i="12"/>
  <c r="W160" i="12"/>
  <c r="X160" i="12"/>
  <c r="Y160" i="12"/>
  <c r="Z160" i="12"/>
  <c r="AA160" i="12"/>
  <c r="AB160" i="12"/>
  <c r="AC160" i="12"/>
  <c r="AD160" i="12"/>
  <c r="S161" i="12"/>
  <c r="T161" i="12"/>
  <c r="U161" i="12"/>
  <c r="V161" i="12"/>
  <c r="W161" i="12"/>
  <c r="X161" i="12"/>
  <c r="Y161" i="12"/>
  <c r="Z161" i="12"/>
  <c r="AA161" i="12"/>
  <c r="AB161" i="12"/>
  <c r="AC161" i="12"/>
  <c r="AD161" i="12"/>
  <c r="S162" i="12"/>
  <c r="T162" i="12"/>
  <c r="U162" i="12"/>
  <c r="V162" i="12"/>
  <c r="W162" i="12"/>
  <c r="X162" i="12"/>
  <c r="Y162" i="12"/>
  <c r="Z162" i="12"/>
  <c r="AA162" i="12"/>
  <c r="AB162" i="12"/>
  <c r="AC162" i="12"/>
  <c r="AD162" i="12"/>
  <c r="S163" i="12"/>
  <c r="T163" i="12"/>
  <c r="U163" i="12"/>
  <c r="V163" i="12"/>
  <c r="W163" i="12"/>
  <c r="X163" i="12"/>
  <c r="Y163" i="12"/>
  <c r="Z163" i="12"/>
  <c r="AA163" i="12"/>
  <c r="AB163" i="12"/>
  <c r="AC163" i="12"/>
  <c r="AD163" i="12"/>
  <c r="S164" i="12"/>
  <c r="T164" i="12"/>
  <c r="U164" i="12"/>
  <c r="V164" i="12"/>
  <c r="W164" i="12"/>
  <c r="X164" i="12"/>
  <c r="Y164" i="12"/>
  <c r="Z164" i="12"/>
  <c r="AA164" i="12"/>
  <c r="AB164" i="12"/>
  <c r="AC164" i="12"/>
  <c r="AD164" i="12"/>
  <c r="S165" i="12"/>
  <c r="T165" i="12"/>
  <c r="U165" i="12"/>
  <c r="V165" i="12"/>
  <c r="W165" i="12"/>
  <c r="X165" i="12"/>
  <c r="Y165" i="12"/>
  <c r="Z165" i="12"/>
  <c r="AA165" i="12"/>
  <c r="AB165" i="12"/>
  <c r="AC165" i="12"/>
  <c r="AD165" i="12"/>
  <c r="S166" i="12"/>
  <c r="T166" i="12"/>
  <c r="U166" i="12"/>
  <c r="V166" i="12"/>
  <c r="W166" i="12"/>
  <c r="X166" i="12"/>
  <c r="Y166" i="12"/>
  <c r="Z166" i="12"/>
  <c r="AA166" i="12"/>
  <c r="AB166" i="12"/>
  <c r="AC166" i="12"/>
  <c r="AD166" i="12"/>
  <c r="S167" i="12"/>
  <c r="T167" i="12"/>
  <c r="U167" i="12"/>
  <c r="V167" i="12"/>
  <c r="W167" i="12"/>
  <c r="X167" i="12"/>
  <c r="Y167" i="12"/>
  <c r="Z167" i="12"/>
  <c r="AA167" i="12"/>
  <c r="AB167" i="12"/>
  <c r="AC167" i="12"/>
  <c r="AD167"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V124" i="12"/>
  <c r="S110" i="12"/>
  <c r="T110" i="12"/>
  <c r="U110" i="12"/>
  <c r="V110" i="12"/>
  <c r="W110" i="12"/>
  <c r="X110" i="12"/>
  <c r="Y110" i="12"/>
  <c r="Z110" i="12"/>
  <c r="AA110" i="12"/>
  <c r="AB110" i="12"/>
  <c r="AC110" i="12"/>
  <c r="AD110" i="12"/>
  <c r="S111" i="12"/>
  <c r="T111" i="12"/>
  <c r="U111" i="12"/>
  <c r="V111" i="12"/>
  <c r="W111" i="12"/>
  <c r="X111" i="12"/>
  <c r="Y111" i="12"/>
  <c r="Z111" i="12"/>
  <c r="AA111" i="12"/>
  <c r="AB111" i="12"/>
  <c r="AC111" i="12"/>
  <c r="AD111" i="12"/>
  <c r="S112" i="12"/>
  <c r="T112" i="12"/>
  <c r="U112" i="12"/>
  <c r="V112" i="12"/>
  <c r="W112" i="12"/>
  <c r="X112" i="12"/>
  <c r="Y112" i="12"/>
  <c r="Z112" i="12"/>
  <c r="AA112" i="12"/>
  <c r="AB112" i="12"/>
  <c r="AC112" i="12"/>
  <c r="AD112" i="12"/>
  <c r="S113" i="12"/>
  <c r="T113" i="12"/>
  <c r="U113" i="12"/>
  <c r="V113" i="12"/>
  <c r="W113" i="12"/>
  <c r="X113" i="12"/>
  <c r="Y113" i="12"/>
  <c r="Z113" i="12"/>
  <c r="AA113" i="12"/>
  <c r="AB113" i="12"/>
  <c r="AC113" i="12"/>
  <c r="AD113" i="12"/>
  <c r="S114" i="12"/>
  <c r="T114" i="12"/>
  <c r="U114" i="12"/>
  <c r="V114" i="12"/>
  <c r="W114" i="12"/>
  <c r="X114" i="12"/>
  <c r="Y114" i="12"/>
  <c r="Z114" i="12"/>
  <c r="AA114" i="12"/>
  <c r="AB114" i="12"/>
  <c r="AC114" i="12"/>
  <c r="AD114" i="12"/>
  <c r="S115" i="12"/>
  <c r="T115" i="12"/>
  <c r="U115" i="12"/>
  <c r="V115" i="12"/>
  <c r="W115" i="12"/>
  <c r="X115" i="12"/>
  <c r="Y115" i="12"/>
  <c r="Z115" i="12"/>
  <c r="AA115" i="12"/>
  <c r="AB115" i="12"/>
  <c r="AC115" i="12"/>
  <c r="AD115" i="12"/>
  <c r="S116" i="12"/>
  <c r="T116" i="12"/>
  <c r="U116" i="12"/>
  <c r="V116" i="12"/>
  <c r="W116" i="12"/>
  <c r="X116" i="12"/>
  <c r="Y116" i="12"/>
  <c r="Z116" i="12"/>
  <c r="AA116" i="12"/>
  <c r="AB116" i="12"/>
  <c r="AC116" i="12"/>
  <c r="AD116" i="12"/>
  <c r="S117" i="12"/>
  <c r="T117" i="12"/>
  <c r="U117" i="12"/>
  <c r="V117" i="12"/>
  <c r="W117" i="12"/>
  <c r="X117" i="12"/>
  <c r="Y117" i="12"/>
  <c r="Z117" i="12"/>
  <c r="AA117" i="12"/>
  <c r="AB117" i="12"/>
  <c r="AC117" i="12"/>
  <c r="AD117" i="12"/>
  <c r="S118" i="12"/>
  <c r="T118" i="12"/>
  <c r="U118" i="12"/>
  <c r="V118" i="12"/>
  <c r="W118" i="12"/>
  <c r="X118" i="12"/>
  <c r="Y118" i="12"/>
  <c r="Z118" i="12"/>
  <c r="AA118" i="12"/>
  <c r="AB118" i="12"/>
  <c r="AC118" i="12"/>
  <c r="AD118" i="12"/>
  <c r="S119" i="12"/>
  <c r="T119" i="12"/>
  <c r="U119" i="12"/>
  <c r="V119" i="12"/>
  <c r="W119" i="12"/>
  <c r="X119" i="12"/>
  <c r="Y119" i="12"/>
  <c r="Z119" i="12"/>
  <c r="AA119" i="12"/>
  <c r="AB119" i="12"/>
  <c r="AC119" i="12"/>
  <c r="AD119" i="12"/>
  <c r="S120" i="12"/>
  <c r="T120" i="12"/>
  <c r="U120" i="12"/>
  <c r="V120" i="12"/>
  <c r="W120" i="12"/>
  <c r="X120" i="12"/>
  <c r="Y120" i="12"/>
  <c r="Z120" i="12"/>
  <c r="AA120" i="12"/>
  <c r="AB120" i="12"/>
  <c r="AC120" i="12"/>
  <c r="AD120" i="12"/>
  <c r="S121" i="12"/>
  <c r="T121" i="12"/>
  <c r="U121" i="12"/>
  <c r="V121" i="12"/>
  <c r="W121" i="12"/>
  <c r="X121" i="12"/>
  <c r="Y121" i="12"/>
  <c r="Z121" i="12"/>
  <c r="AA121" i="12"/>
  <c r="AB121" i="12"/>
  <c r="AC121" i="12"/>
  <c r="AD121" i="12"/>
  <c r="S122" i="12"/>
  <c r="T122" i="12"/>
  <c r="U122" i="12"/>
  <c r="V122" i="12"/>
  <c r="W122" i="12"/>
  <c r="X122" i="12"/>
  <c r="Y122" i="12"/>
  <c r="Z122" i="12"/>
  <c r="AA122" i="12"/>
  <c r="AB122" i="12"/>
  <c r="AC122" i="12"/>
  <c r="AD122" i="12"/>
  <c r="S123" i="12"/>
  <c r="T123" i="12"/>
  <c r="U123" i="12"/>
  <c r="V123" i="12"/>
  <c r="W123" i="12"/>
  <c r="X123" i="12"/>
  <c r="Y123" i="12"/>
  <c r="Z123" i="12"/>
  <c r="AA123" i="12"/>
  <c r="AB123" i="12"/>
  <c r="AC123" i="12"/>
  <c r="AD123" i="12"/>
  <c r="S124" i="12"/>
  <c r="T124" i="12"/>
  <c r="U124" i="12"/>
  <c r="W124" i="12"/>
  <c r="X124" i="12"/>
  <c r="Y124" i="12"/>
  <c r="Z124" i="12"/>
  <c r="AA124" i="12"/>
  <c r="AB124" i="12"/>
  <c r="AC124" i="12"/>
  <c r="AD124" i="12"/>
  <c r="S125" i="12"/>
  <c r="T125" i="12"/>
  <c r="U125" i="12"/>
  <c r="V125" i="12"/>
  <c r="W125" i="12"/>
  <c r="X125" i="12"/>
  <c r="Y125" i="12"/>
  <c r="Z125" i="12"/>
  <c r="AA125" i="12"/>
  <c r="AB125" i="12"/>
  <c r="AC125" i="12"/>
  <c r="AD125" i="12"/>
  <c r="S126" i="12"/>
  <c r="T126" i="12"/>
  <c r="U126" i="12"/>
  <c r="V126" i="12"/>
  <c r="W126" i="12"/>
  <c r="X126" i="12"/>
  <c r="Y126" i="12"/>
  <c r="Z126" i="12"/>
  <c r="AA126" i="12"/>
  <c r="AB126" i="12"/>
  <c r="AC126" i="12"/>
  <c r="AD126" i="12"/>
  <c r="S127" i="12"/>
  <c r="T127" i="12"/>
  <c r="U127" i="12"/>
  <c r="V127" i="12"/>
  <c r="W127" i="12"/>
  <c r="X127" i="12"/>
  <c r="Y127" i="12"/>
  <c r="Z127" i="12"/>
  <c r="AA127" i="12"/>
  <c r="AB127" i="12"/>
  <c r="AC127" i="12"/>
  <c r="AD127" i="12"/>
  <c r="S128" i="12"/>
  <c r="T128" i="12"/>
  <c r="U128" i="12"/>
  <c r="V128" i="12"/>
  <c r="W128" i="12"/>
  <c r="X128" i="12"/>
  <c r="Y128" i="12"/>
  <c r="Z128" i="12"/>
  <c r="AA128" i="12"/>
  <c r="AB128" i="12"/>
  <c r="AC128" i="12"/>
  <c r="AD128" i="12"/>
  <c r="S129" i="12"/>
  <c r="T129" i="12"/>
  <c r="U129" i="12"/>
  <c r="V129" i="12"/>
  <c r="W129" i="12"/>
  <c r="X129" i="12"/>
  <c r="Y129" i="12"/>
  <c r="Z129" i="12"/>
  <c r="AA129" i="12"/>
  <c r="AB129" i="12"/>
  <c r="AC129" i="12"/>
  <c r="AD129" i="12"/>
  <c r="S130" i="12"/>
  <c r="T130" i="12"/>
  <c r="U130" i="12"/>
  <c r="V130" i="12"/>
  <c r="W130" i="12"/>
  <c r="X130" i="12"/>
  <c r="Y130" i="12"/>
  <c r="Z130" i="12"/>
  <c r="AA130" i="12"/>
  <c r="AB130" i="12"/>
  <c r="AC130" i="12"/>
  <c r="AD130" i="12"/>
  <c r="S131" i="12"/>
  <c r="T131" i="12"/>
  <c r="U131" i="12"/>
  <c r="V131" i="12"/>
  <c r="W131" i="12"/>
  <c r="X131" i="12"/>
  <c r="Y131" i="12"/>
  <c r="Z131" i="12"/>
  <c r="AA131" i="12"/>
  <c r="AB131" i="12"/>
  <c r="AC131" i="12"/>
  <c r="AD131" i="12"/>
  <c r="S132" i="12"/>
  <c r="T132" i="12"/>
  <c r="U132" i="12"/>
  <c r="V132" i="12"/>
  <c r="W132" i="12"/>
  <c r="X132" i="12"/>
  <c r="Y132" i="12"/>
  <c r="Z132" i="12"/>
  <c r="AA132" i="12"/>
  <c r="AB132" i="12"/>
  <c r="AC132" i="12"/>
  <c r="AD132" i="12"/>
  <c r="S133" i="12"/>
  <c r="T133" i="12"/>
  <c r="U133" i="12"/>
  <c r="V133" i="12"/>
  <c r="W133" i="12"/>
  <c r="X133" i="12"/>
  <c r="Y133" i="12"/>
  <c r="Z133" i="12"/>
  <c r="AA133" i="12"/>
  <c r="AB133" i="12"/>
  <c r="AC133" i="12"/>
  <c r="AD133" i="12"/>
  <c r="S134" i="12"/>
  <c r="T134" i="12"/>
  <c r="U134" i="12"/>
  <c r="V134" i="12"/>
  <c r="W134" i="12"/>
  <c r="X134" i="12"/>
  <c r="Y134" i="12"/>
  <c r="Z134" i="12"/>
  <c r="AA134" i="12"/>
  <c r="AB134" i="12"/>
  <c r="AC134" i="12"/>
  <c r="AD134" i="12"/>
  <c r="S135" i="12"/>
  <c r="T135" i="12"/>
  <c r="U135" i="12"/>
  <c r="V135" i="12"/>
  <c r="W135" i="12"/>
  <c r="X135" i="12"/>
  <c r="Y135" i="12"/>
  <c r="Z135" i="12"/>
  <c r="AA135" i="12"/>
  <c r="AB135" i="12"/>
  <c r="AC135" i="12"/>
  <c r="AD135" i="12"/>
  <c r="S136" i="12"/>
  <c r="T136" i="12"/>
  <c r="U136" i="12"/>
  <c r="V136" i="12"/>
  <c r="W136" i="12"/>
  <c r="X136" i="12"/>
  <c r="Y136" i="12"/>
  <c r="Z136" i="12"/>
  <c r="AA136" i="12"/>
  <c r="AB136" i="12"/>
  <c r="AC136" i="12"/>
  <c r="AD136" i="12"/>
  <c r="R110" i="12"/>
  <c r="S109" i="12"/>
  <c r="T109" i="12"/>
  <c r="U109" i="12"/>
  <c r="V109" i="12"/>
  <c r="W109" i="12"/>
  <c r="X109" i="12"/>
  <c r="Y109" i="12"/>
  <c r="Z109" i="12"/>
  <c r="AA109" i="12"/>
  <c r="AB109" i="12"/>
  <c r="AC109" i="12"/>
  <c r="AD109" i="12"/>
  <c r="R109"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S67" i="12"/>
  <c r="T67" i="12"/>
  <c r="U67" i="12"/>
  <c r="V67" i="12"/>
  <c r="W67" i="12"/>
  <c r="X67" i="12"/>
  <c r="Y67" i="12"/>
  <c r="Z67" i="12"/>
  <c r="AA67" i="12"/>
  <c r="AB67" i="12"/>
  <c r="AC67" i="12"/>
  <c r="AD67" i="12"/>
  <c r="S68" i="12"/>
  <c r="T68" i="12"/>
  <c r="U68" i="12"/>
  <c r="V68" i="12"/>
  <c r="W68" i="12"/>
  <c r="X68" i="12"/>
  <c r="Y68" i="12"/>
  <c r="Z68" i="12"/>
  <c r="AA68" i="12"/>
  <c r="AB68" i="12"/>
  <c r="AC68" i="12"/>
  <c r="AD68" i="12"/>
  <c r="T69" i="12"/>
  <c r="U69" i="12"/>
  <c r="V69" i="12"/>
  <c r="W69" i="12"/>
  <c r="X69" i="12"/>
  <c r="Y69" i="12"/>
  <c r="Z69" i="12"/>
  <c r="AA69" i="12"/>
  <c r="AB69" i="12"/>
  <c r="AC69" i="12"/>
  <c r="AD69" i="12"/>
  <c r="S70" i="12"/>
  <c r="T70" i="12"/>
  <c r="U70" i="12"/>
  <c r="V70" i="12"/>
  <c r="W70" i="12"/>
  <c r="X70" i="12"/>
  <c r="Y70" i="12"/>
  <c r="Z70" i="12"/>
  <c r="AA70" i="12"/>
  <c r="AB70" i="12"/>
  <c r="AC70" i="12"/>
  <c r="AD70" i="12"/>
  <c r="S71" i="12"/>
  <c r="T71" i="12"/>
  <c r="U71" i="12"/>
  <c r="V71" i="12"/>
  <c r="W71" i="12"/>
  <c r="X71" i="12"/>
  <c r="Y71" i="12"/>
  <c r="Z71" i="12"/>
  <c r="AA71" i="12"/>
  <c r="AB71" i="12"/>
  <c r="AC71" i="12"/>
  <c r="AD71" i="12"/>
  <c r="S72" i="12"/>
  <c r="T72" i="12"/>
  <c r="U72" i="12"/>
  <c r="V72" i="12"/>
  <c r="W72" i="12"/>
  <c r="X72" i="12"/>
  <c r="Y72" i="12"/>
  <c r="Z72" i="12"/>
  <c r="AA72" i="12"/>
  <c r="AB72" i="12"/>
  <c r="AC72" i="12"/>
  <c r="AD72" i="12"/>
  <c r="S73" i="12"/>
  <c r="T73" i="12"/>
  <c r="U73" i="12"/>
  <c r="V73" i="12"/>
  <c r="W73" i="12"/>
  <c r="X73" i="12"/>
  <c r="Y73" i="12"/>
  <c r="Z73" i="12"/>
  <c r="AA73" i="12"/>
  <c r="AB73" i="12"/>
  <c r="AC73" i="12"/>
  <c r="AD73" i="12"/>
  <c r="S74" i="12"/>
  <c r="T74" i="12"/>
  <c r="U74" i="12"/>
  <c r="V74" i="12"/>
  <c r="W74" i="12"/>
  <c r="X74" i="12"/>
  <c r="Y74" i="12"/>
  <c r="Z74" i="12"/>
  <c r="AA74" i="12"/>
  <c r="AB74" i="12"/>
  <c r="AC74" i="12"/>
  <c r="AD74" i="12"/>
  <c r="S75" i="12"/>
  <c r="T75" i="12"/>
  <c r="U75" i="12"/>
  <c r="V75" i="12"/>
  <c r="W75" i="12"/>
  <c r="X75" i="12"/>
  <c r="Y75" i="12"/>
  <c r="Z75" i="12"/>
  <c r="AA75" i="12"/>
  <c r="AB75" i="12"/>
  <c r="AC75" i="12"/>
  <c r="AD75" i="12"/>
  <c r="S76" i="12"/>
  <c r="T76" i="12"/>
  <c r="U76" i="12"/>
  <c r="V76" i="12"/>
  <c r="W76" i="12"/>
  <c r="X76" i="12"/>
  <c r="Y76" i="12"/>
  <c r="Z76" i="12"/>
  <c r="AA76" i="12"/>
  <c r="AB76" i="12"/>
  <c r="AC76" i="12"/>
  <c r="AD76" i="12"/>
  <c r="S77" i="12"/>
  <c r="T77" i="12"/>
  <c r="U77" i="12"/>
  <c r="V77" i="12"/>
  <c r="W77" i="12"/>
  <c r="X77" i="12"/>
  <c r="Y77" i="12"/>
  <c r="Z77" i="12"/>
  <c r="AA77" i="12"/>
  <c r="AB77" i="12"/>
  <c r="AC77" i="12"/>
  <c r="AD77" i="12"/>
  <c r="S78" i="12"/>
  <c r="T78" i="12"/>
  <c r="U78" i="12"/>
  <c r="V78" i="12"/>
  <c r="W78" i="12"/>
  <c r="X78" i="12"/>
  <c r="Y78" i="12"/>
  <c r="Z78" i="12"/>
  <c r="AA78" i="12"/>
  <c r="AB78" i="12"/>
  <c r="AC78" i="12"/>
  <c r="AD78" i="12"/>
  <c r="S79" i="12"/>
  <c r="T79" i="12"/>
  <c r="U79" i="12"/>
  <c r="V79" i="12"/>
  <c r="W79" i="12"/>
  <c r="X79" i="12"/>
  <c r="Y79" i="12"/>
  <c r="Z79" i="12"/>
  <c r="AA79" i="12"/>
  <c r="AB79" i="12"/>
  <c r="AC79" i="12"/>
  <c r="AD79" i="12"/>
  <c r="S80" i="12"/>
  <c r="T80" i="12"/>
  <c r="U80" i="12"/>
  <c r="V80" i="12"/>
  <c r="W80" i="12"/>
  <c r="X80" i="12"/>
  <c r="Y80" i="12"/>
  <c r="Z80" i="12"/>
  <c r="AA80" i="12"/>
  <c r="AB80" i="12"/>
  <c r="AC80" i="12"/>
  <c r="AD80" i="12"/>
  <c r="S81" i="12"/>
  <c r="T81" i="12"/>
  <c r="U81" i="12"/>
  <c r="V81" i="12"/>
  <c r="W81" i="12"/>
  <c r="X81" i="12"/>
  <c r="Y81" i="12"/>
  <c r="Z81" i="12"/>
  <c r="AA81" i="12"/>
  <c r="AB81" i="12"/>
  <c r="AC81" i="12"/>
  <c r="AD81" i="12"/>
  <c r="S82" i="12"/>
  <c r="T82" i="12"/>
  <c r="U82" i="12"/>
  <c r="V82" i="12"/>
  <c r="W82" i="12"/>
  <c r="X82" i="12"/>
  <c r="Y82" i="12"/>
  <c r="Z82" i="12"/>
  <c r="AA82" i="12"/>
  <c r="AB82" i="12"/>
  <c r="AC82" i="12"/>
  <c r="AD82" i="12"/>
  <c r="S83" i="12"/>
  <c r="T83" i="12"/>
  <c r="U83" i="12"/>
  <c r="V83" i="12"/>
  <c r="W83" i="12"/>
  <c r="X83" i="12"/>
  <c r="Y83" i="12"/>
  <c r="Z83" i="12"/>
  <c r="AA83" i="12"/>
  <c r="AB83" i="12"/>
  <c r="AC83" i="12"/>
  <c r="AD83" i="12"/>
  <c r="S84" i="12"/>
  <c r="T84" i="12"/>
  <c r="U84" i="12"/>
  <c r="V84" i="12"/>
  <c r="W84" i="12"/>
  <c r="X84" i="12"/>
  <c r="Y84" i="12"/>
  <c r="Z84" i="12"/>
  <c r="AA84" i="12"/>
  <c r="AB84" i="12"/>
  <c r="AC84" i="12"/>
  <c r="AD84" i="12"/>
  <c r="S85" i="12"/>
  <c r="T85" i="12"/>
  <c r="U85" i="12"/>
  <c r="V85" i="12"/>
  <c r="W85" i="12"/>
  <c r="X85" i="12"/>
  <c r="Y85" i="12"/>
  <c r="Z85" i="12"/>
  <c r="AA85" i="12"/>
  <c r="AB85" i="12"/>
  <c r="AC85" i="12"/>
  <c r="AD85" i="12"/>
  <c r="S86" i="12"/>
  <c r="T86" i="12"/>
  <c r="U86" i="12"/>
  <c r="V86" i="12"/>
  <c r="W86" i="12"/>
  <c r="X86" i="12"/>
  <c r="Y86" i="12"/>
  <c r="Z86" i="12"/>
  <c r="AA86" i="12"/>
  <c r="AB86" i="12"/>
  <c r="AC86" i="12"/>
  <c r="AD86" i="12"/>
  <c r="S87" i="12"/>
  <c r="T87" i="12"/>
  <c r="U87" i="12"/>
  <c r="V87" i="12"/>
  <c r="W87" i="12"/>
  <c r="X87" i="12"/>
  <c r="Y87" i="12"/>
  <c r="Z87" i="12"/>
  <c r="AA87" i="12"/>
  <c r="AB87" i="12"/>
  <c r="AC87" i="12"/>
  <c r="AD87" i="12"/>
  <c r="S88" i="12"/>
  <c r="T88" i="12"/>
  <c r="U88" i="12"/>
  <c r="V88" i="12"/>
  <c r="W88" i="12"/>
  <c r="X88" i="12"/>
  <c r="Y88" i="12"/>
  <c r="Z88" i="12"/>
  <c r="AA88" i="12"/>
  <c r="AB88" i="12"/>
  <c r="AC88" i="12"/>
  <c r="AD88" i="12"/>
  <c r="S89" i="12"/>
  <c r="T89" i="12"/>
  <c r="U89" i="12"/>
  <c r="V89" i="12"/>
  <c r="W89" i="12"/>
  <c r="X89" i="12"/>
  <c r="Y89" i="12"/>
  <c r="Z89" i="12"/>
  <c r="AA89" i="12"/>
  <c r="AB89" i="12"/>
  <c r="AC89" i="12"/>
  <c r="AD89" i="12"/>
  <c r="S90" i="12"/>
  <c r="T90" i="12"/>
  <c r="U90" i="12"/>
  <c r="V90" i="12"/>
  <c r="W90" i="12"/>
  <c r="X90" i="12"/>
  <c r="Y90" i="12"/>
  <c r="Z90" i="12"/>
  <c r="AA90" i="12"/>
  <c r="AB90" i="12"/>
  <c r="AC90" i="12"/>
  <c r="AD90" i="12"/>
  <c r="S91" i="12"/>
  <c r="T91" i="12"/>
  <c r="U91" i="12"/>
  <c r="V91" i="12"/>
  <c r="W91" i="12"/>
  <c r="X91" i="12"/>
  <c r="Y91" i="12"/>
  <c r="Z91" i="12"/>
  <c r="AA91" i="12"/>
  <c r="AB91" i="12"/>
  <c r="AC91" i="12"/>
  <c r="AD91" i="12"/>
  <c r="S92" i="12"/>
  <c r="T92" i="12"/>
  <c r="U92" i="12"/>
  <c r="V92" i="12"/>
  <c r="W92" i="12"/>
  <c r="X92" i="12"/>
  <c r="Y92" i="12"/>
  <c r="Z92" i="12"/>
  <c r="AA92" i="12"/>
  <c r="AB92" i="12"/>
  <c r="AC92" i="12"/>
  <c r="AD92" i="12"/>
  <c r="S93" i="12"/>
  <c r="T93" i="12"/>
  <c r="U93" i="12"/>
  <c r="V93" i="12"/>
  <c r="W93" i="12"/>
  <c r="X93" i="12"/>
  <c r="Y93" i="12"/>
  <c r="Z93" i="12"/>
  <c r="AA93" i="12"/>
  <c r="AB93" i="12"/>
  <c r="AC93" i="12"/>
  <c r="AD93" i="12"/>
  <c r="S94" i="12"/>
  <c r="T94" i="12"/>
  <c r="U94" i="12"/>
  <c r="V94" i="12"/>
  <c r="W94" i="12"/>
  <c r="X94" i="12"/>
  <c r="Y94" i="12"/>
  <c r="Z94" i="12"/>
  <c r="AA94" i="12"/>
  <c r="AB94" i="12"/>
  <c r="AC94" i="12"/>
  <c r="AD94" i="12"/>
  <c r="S95" i="12"/>
  <c r="T95" i="12"/>
  <c r="U95" i="12"/>
  <c r="V95" i="12"/>
  <c r="W95" i="12"/>
  <c r="X95" i="12"/>
  <c r="Y95" i="12"/>
  <c r="Z95" i="12"/>
  <c r="AA95" i="12"/>
  <c r="AB95" i="12"/>
  <c r="AC95" i="12"/>
  <c r="AD95" i="12"/>
  <c r="S96" i="12"/>
  <c r="T96" i="12"/>
  <c r="U96" i="12"/>
  <c r="V96" i="12"/>
  <c r="W96" i="12"/>
  <c r="X96" i="12"/>
  <c r="Y96" i="12"/>
  <c r="Z96" i="12"/>
  <c r="AA96" i="12"/>
  <c r="AB96" i="12"/>
  <c r="AC96" i="12"/>
  <c r="AD96" i="12"/>
  <c r="S97" i="12"/>
  <c r="T97" i="12"/>
  <c r="U97" i="12"/>
  <c r="V97" i="12"/>
  <c r="W97" i="12"/>
  <c r="X97" i="12"/>
  <c r="Y97" i="12"/>
  <c r="Z97" i="12"/>
  <c r="AA97" i="12"/>
  <c r="AB97" i="12"/>
  <c r="AC97" i="12"/>
  <c r="AD97" i="12"/>
  <c r="S98" i="12"/>
  <c r="T98" i="12"/>
  <c r="U98" i="12"/>
  <c r="V98" i="12"/>
  <c r="W98" i="12"/>
  <c r="X98" i="12"/>
  <c r="Y98" i="12"/>
  <c r="Z98" i="12"/>
  <c r="AA98" i="12"/>
  <c r="AB98" i="12"/>
  <c r="AC98" i="12"/>
  <c r="AD98" i="12"/>
  <c r="S99" i="12"/>
  <c r="T99" i="12"/>
  <c r="U99" i="12"/>
  <c r="V99" i="12"/>
  <c r="W99" i="12"/>
  <c r="X99" i="12"/>
  <c r="Y99" i="12"/>
  <c r="Z99" i="12"/>
  <c r="AA99" i="12"/>
  <c r="AB99" i="12"/>
  <c r="AC99" i="12"/>
  <c r="AD99" i="12"/>
  <c r="S100" i="12"/>
  <c r="T100" i="12"/>
  <c r="U100" i="12"/>
  <c r="V100" i="12"/>
  <c r="W100" i="12"/>
  <c r="X100" i="12"/>
  <c r="Y100" i="12"/>
  <c r="Z100" i="12"/>
  <c r="AA100" i="12"/>
  <c r="AB100" i="12"/>
  <c r="AC100" i="12"/>
  <c r="AD100" i="12"/>
  <c r="S101" i="12"/>
  <c r="T101" i="12"/>
  <c r="U101" i="12"/>
  <c r="V101" i="12"/>
  <c r="W101" i="12"/>
  <c r="X101" i="12"/>
  <c r="Y101" i="12"/>
  <c r="Z101" i="12"/>
  <c r="AA101" i="12"/>
  <c r="AB101" i="12"/>
  <c r="AC101" i="12"/>
  <c r="AD101" i="12"/>
  <c r="S102" i="12"/>
  <c r="T102" i="12"/>
  <c r="U102" i="12"/>
  <c r="V102" i="12"/>
  <c r="W102" i="12"/>
  <c r="X102" i="12"/>
  <c r="Y102" i="12"/>
  <c r="Z102" i="12"/>
  <c r="AA102" i="12"/>
  <c r="AB102" i="12"/>
  <c r="AC102" i="12"/>
  <c r="AD102" i="12"/>
  <c r="S103" i="12"/>
  <c r="T103" i="12"/>
  <c r="U103" i="12"/>
  <c r="V103" i="12"/>
  <c r="W103" i="12"/>
  <c r="X103" i="12"/>
  <c r="Y103" i="12"/>
  <c r="Z103" i="12"/>
  <c r="AA103" i="12"/>
  <c r="AB103" i="12"/>
  <c r="AC103" i="12"/>
  <c r="AD103" i="12"/>
  <c r="S104" i="12"/>
  <c r="T104" i="12"/>
  <c r="U104" i="12"/>
  <c r="V104" i="12"/>
  <c r="W104" i="12"/>
  <c r="X104" i="12"/>
  <c r="Y104" i="12"/>
  <c r="Z104" i="12"/>
  <c r="AA104" i="12"/>
  <c r="AB104" i="12"/>
  <c r="AC104" i="12"/>
  <c r="AD104" i="12"/>
  <c r="R104" i="12"/>
  <c r="R103" i="12"/>
  <c r="R102" i="12"/>
  <c r="R101" i="12"/>
  <c r="R100" i="12"/>
  <c r="R99" i="12"/>
  <c r="R98" i="12"/>
  <c r="R97" i="12"/>
  <c r="R96" i="12"/>
  <c r="R95" i="12"/>
  <c r="R94" i="12"/>
  <c r="R93" i="12"/>
  <c r="R92" i="12"/>
  <c r="R88" i="12"/>
  <c r="R87" i="12"/>
  <c r="R91" i="12"/>
  <c r="R90" i="12"/>
  <c r="R89" i="12"/>
  <c r="R86" i="12"/>
  <c r="R85" i="12"/>
  <c r="R84" i="12"/>
  <c r="R83" i="12"/>
  <c r="R82" i="12"/>
  <c r="R81" i="12"/>
  <c r="R80" i="12"/>
  <c r="R79" i="12"/>
  <c r="R78" i="12"/>
  <c r="R77" i="12"/>
  <c r="R76" i="12"/>
  <c r="R75" i="12"/>
  <c r="R74" i="12"/>
  <c r="R73" i="12"/>
  <c r="R72" i="12"/>
  <c r="R71" i="12"/>
  <c r="R70" i="12"/>
  <c r="R69" i="12"/>
  <c r="R68" i="12"/>
  <c r="R67" i="12"/>
  <c r="W58" i="12"/>
  <c r="R52" i="12"/>
  <c r="S52" i="12"/>
  <c r="T52" i="12"/>
  <c r="U52" i="12"/>
  <c r="V52" i="12"/>
  <c r="W52" i="12"/>
  <c r="X52" i="12"/>
  <c r="Y52" i="12"/>
  <c r="Z52" i="12"/>
  <c r="AA52" i="12"/>
  <c r="AB52" i="12"/>
  <c r="R53" i="12"/>
  <c r="S53" i="12"/>
  <c r="T53" i="12"/>
  <c r="U53" i="12"/>
  <c r="V53" i="12"/>
  <c r="W53" i="12"/>
  <c r="X53" i="12"/>
  <c r="Y53" i="12"/>
  <c r="Z53" i="12"/>
  <c r="AA53" i="12"/>
  <c r="AB53" i="12"/>
  <c r="R54" i="12"/>
  <c r="S54" i="12"/>
  <c r="T54" i="12"/>
  <c r="U54" i="12"/>
  <c r="V54" i="12"/>
  <c r="W54" i="12"/>
  <c r="X54" i="12"/>
  <c r="Y54" i="12"/>
  <c r="Z54" i="12"/>
  <c r="AA54" i="12"/>
  <c r="AB54" i="12"/>
  <c r="R55" i="12"/>
  <c r="S55" i="12"/>
  <c r="T55" i="12"/>
  <c r="U55" i="12"/>
  <c r="V55" i="12"/>
  <c r="W55" i="12"/>
  <c r="X55" i="12"/>
  <c r="Y55" i="12"/>
  <c r="Z55" i="12"/>
  <c r="AA55" i="12"/>
  <c r="AB55" i="12"/>
  <c r="R56" i="12"/>
  <c r="S56" i="12"/>
  <c r="T56" i="12"/>
  <c r="U56" i="12"/>
  <c r="V56" i="12"/>
  <c r="W56" i="12"/>
  <c r="X56" i="12"/>
  <c r="Y56" i="12"/>
  <c r="Z56" i="12"/>
  <c r="AA56" i="12"/>
  <c r="AB56" i="12"/>
  <c r="R57" i="12"/>
  <c r="S57" i="12"/>
  <c r="T57" i="12"/>
  <c r="U57" i="12"/>
  <c r="V57" i="12"/>
  <c r="W57" i="12"/>
  <c r="X57" i="12"/>
  <c r="Y57" i="12"/>
  <c r="Z57" i="12"/>
  <c r="AA57" i="12"/>
  <c r="AB57" i="12"/>
  <c r="R58" i="12"/>
  <c r="S58" i="12"/>
  <c r="T58" i="12"/>
  <c r="U58" i="12"/>
  <c r="V58" i="12"/>
  <c r="X58" i="12"/>
  <c r="Y58" i="12"/>
  <c r="Z58" i="12"/>
  <c r="AA58" i="12"/>
  <c r="AB58" i="12"/>
  <c r="R59" i="12"/>
  <c r="S59" i="12"/>
  <c r="T59" i="12"/>
  <c r="U59" i="12"/>
  <c r="V59" i="12"/>
  <c r="W59" i="12"/>
  <c r="X59" i="12"/>
  <c r="Y59" i="12"/>
  <c r="Z59" i="12"/>
  <c r="AA59" i="12"/>
  <c r="AB59" i="12"/>
  <c r="R60" i="12"/>
  <c r="S60" i="12"/>
  <c r="T60" i="12"/>
  <c r="U60" i="12"/>
  <c r="V60" i="12"/>
  <c r="W60" i="12"/>
  <c r="X60" i="12"/>
  <c r="Y60" i="12"/>
  <c r="Z60" i="12"/>
  <c r="AA60" i="12"/>
  <c r="AB60" i="12"/>
  <c r="R61" i="12"/>
  <c r="S61" i="12"/>
  <c r="T61" i="12"/>
  <c r="U61" i="12"/>
  <c r="V61" i="12"/>
  <c r="W61" i="12"/>
  <c r="X61" i="12"/>
  <c r="Y61" i="12"/>
  <c r="Z61" i="12"/>
  <c r="AA61" i="12"/>
  <c r="AB61" i="12"/>
  <c r="R62" i="12"/>
  <c r="S62" i="12"/>
  <c r="T62" i="12"/>
  <c r="U62" i="12"/>
  <c r="V62" i="12"/>
  <c r="W62" i="12"/>
  <c r="X62" i="12"/>
  <c r="Y62" i="12"/>
  <c r="Z62" i="12"/>
  <c r="AA62" i="12"/>
  <c r="AB62" i="12"/>
  <c r="R63" i="12"/>
  <c r="S63" i="12"/>
  <c r="T63" i="12"/>
  <c r="U63" i="12"/>
  <c r="V63" i="12"/>
  <c r="W63" i="12"/>
  <c r="X63" i="12"/>
  <c r="Y63" i="12"/>
  <c r="Z63" i="12"/>
  <c r="AA63" i="12"/>
  <c r="AB63" i="12"/>
  <c r="S51" i="12"/>
  <c r="T51" i="12"/>
  <c r="U51" i="12"/>
  <c r="V51" i="12"/>
  <c r="W51" i="12"/>
  <c r="X51" i="12"/>
  <c r="Y51" i="12"/>
  <c r="Z51" i="12"/>
  <c r="AA51" i="12"/>
  <c r="AB51" i="12"/>
  <c r="R51" i="12"/>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CM212" i="11"/>
  <c r="CM211" i="11"/>
  <c r="CM213" i="11"/>
  <c r="CM214" i="11"/>
  <c r="CM215" i="11"/>
  <c r="CM216" i="11"/>
  <c r="CM217" i="11"/>
  <c r="CM218" i="11"/>
  <c r="CM219" i="11"/>
  <c r="CM220" i="11"/>
  <c r="CM221" i="11"/>
  <c r="CM222" i="11"/>
  <c r="CM223" i="11"/>
  <c r="CM224" i="11"/>
  <c r="CM225" i="11"/>
  <c r="CM226" i="11"/>
  <c r="CM227" i="11"/>
  <c r="CM228" i="11"/>
  <c r="CM229" i="11"/>
  <c r="CM230" i="11"/>
  <c r="CM231" i="11"/>
  <c r="CM232" i="11"/>
  <c r="CM233" i="11"/>
  <c r="CM234" i="11"/>
  <c r="CM235" i="11"/>
  <c r="CM236" i="11"/>
  <c r="CM237" i="11"/>
  <c r="CM238" i="11"/>
  <c r="CL211" i="11"/>
  <c r="BE178" i="11" s="1"/>
  <c r="CR211" i="11"/>
  <c r="AN215" i="11"/>
  <c r="CG211" i="11"/>
  <c r="CG212" i="11"/>
  <c r="CG213" i="11"/>
  <c r="CG214" i="11"/>
  <c r="CG215" i="11"/>
  <c r="CG216" i="11"/>
  <c r="CG217" i="11"/>
  <c r="CG218" i="11"/>
  <c r="CG219" i="11"/>
  <c r="CG220" i="11"/>
  <c r="CG221" i="11"/>
  <c r="CG222" i="11"/>
  <c r="CG223" i="11"/>
  <c r="CG224" i="11"/>
  <c r="CG225" i="11"/>
  <c r="CG226" i="11"/>
  <c r="CG227" i="11"/>
  <c r="CG228" i="11"/>
  <c r="CG229" i="11"/>
  <c r="CG230" i="11"/>
  <c r="CG231" i="11"/>
  <c r="CG232" i="11"/>
  <c r="CG233" i="11"/>
  <c r="CG234" i="11"/>
  <c r="CG235" i="11"/>
  <c r="CG236" i="11"/>
  <c r="CG237" i="11"/>
  <c r="CG238" i="11"/>
  <c r="CF211" i="11"/>
  <c r="BB178" i="11" s="1"/>
  <c r="CF212" i="11"/>
  <c r="CF213" i="11"/>
  <c r="CF214" i="11"/>
  <c r="CF215" i="11"/>
  <c r="BB182" i="11" s="1"/>
  <c r="CF216" i="11"/>
  <c r="CF217" i="11"/>
  <c r="CF218" i="11"/>
  <c r="CF219" i="11"/>
  <c r="CF220" i="11"/>
  <c r="CF221" i="11"/>
  <c r="CF222" i="11"/>
  <c r="CF223" i="11"/>
  <c r="BB190" i="11" s="1"/>
  <c r="CF224" i="11"/>
  <c r="CF225" i="11"/>
  <c r="CF226" i="11"/>
  <c r="CF227" i="11"/>
  <c r="BB194" i="11" s="1"/>
  <c r="CF228" i="11"/>
  <c r="CF229" i="11"/>
  <c r="CF230" i="11"/>
  <c r="CF231" i="11"/>
  <c r="BB198" i="11" s="1"/>
  <c r="CF232" i="11"/>
  <c r="CF233" i="11"/>
  <c r="CF234" i="11"/>
  <c r="CF235" i="11"/>
  <c r="CF236" i="11"/>
  <c r="CF237" i="11"/>
  <c r="CF238" i="11"/>
  <c r="CJ225" i="11"/>
  <c r="CK211" i="11"/>
  <c r="CJ211" i="11"/>
  <c r="CO211" i="11"/>
  <c r="CO212" i="11"/>
  <c r="CO213" i="11"/>
  <c r="CO214" i="11"/>
  <c r="CO215" i="11"/>
  <c r="CO216" i="11"/>
  <c r="CO217" i="11"/>
  <c r="CO218" i="11"/>
  <c r="CO219" i="11"/>
  <c r="CO220" i="11"/>
  <c r="CO221" i="11"/>
  <c r="CO222" i="11"/>
  <c r="CO223" i="11"/>
  <c r="CO224" i="11"/>
  <c r="CO225" i="11"/>
  <c r="CO226" i="11"/>
  <c r="CO227" i="11"/>
  <c r="CO228" i="11"/>
  <c r="CO229" i="11"/>
  <c r="CO230" i="11"/>
  <c r="CO231" i="11"/>
  <c r="CO232" i="11"/>
  <c r="CO233" i="11"/>
  <c r="CO234" i="11"/>
  <c r="CO235" i="11"/>
  <c r="CO236" i="11"/>
  <c r="CO237" i="11"/>
  <c r="CO238" i="11"/>
  <c r="CN211" i="11"/>
  <c r="CN212" i="11"/>
  <c r="BF179" i="11" s="1"/>
  <c r="CN213" i="11"/>
  <c r="CN214" i="11"/>
  <c r="CN215" i="11"/>
  <c r="CN216" i="11"/>
  <c r="BF183" i="11" s="1"/>
  <c r="CN217" i="11"/>
  <c r="CN218" i="11"/>
  <c r="CN219" i="11"/>
  <c r="CN220" i="11"/>
  <c r="BF187" i="11" s="1"/>
  <c r="CN221" i="11"/>
  <c r="CN222" i="11"/>
  <c r="CN223" i="11"/>
  <c r="CN224" i="11"/>
  <c r="BF191" i="11" s="1"/>
  <c r="CN225" i="11"/>
  <c r="CN226" i="11"/>
  <c r="CN227" i="11"/>
  <c r="CN228" i="11"/>
  <c r="BF195" i="11" s="1"/>
  <c r="CN229" i="11"/>
  <c r="CN230" i="11"/>
  <c r="CN231" i="11"/>
  <c r="CN232" i="11"/>
  <c r="BF199" i="11" s="1"/>
  <c r="CN233" i="11"/>
  <c r="CN234" i="11"/>
  <c r="CN235" i="11"/>
  <c r="CN236" i="11"/>
  <c r="BF203" i="11" s="1"/>
  <c r="CN237" i="11"/>
  <c r="CN238" i="11"/>
  <c r="AF223" i="11"/>
  <c r="AO211" i="11"/>
  <c r="AN211" i="11"/>
  <c r="CK212" i="11"/>
  <c r="CK213" i="11"/>
  <c r="CK214" i="11"/>
  <c r="CK215" i="11"/>
  <c r="CK216" i="11"/>
  <c r="CK217" i="11"/>
  <c r="CK218" i="11"/>
  <c r="CK219" i="11"/>
  <c r="CK220" i="11"/>
  <c r="CK221" i="11"/>
  <c r="CK222" i="11"/>
  <c r="CK223" i="11"/>
  <c r="CK224" i="11"/>
  <c r="CK225" i="11"/>
  <c r="CK226" i="11"/>
  <c r="CK227" i="11"/>
  <c r="CK228" i="11"/>
  <c r="CK229" i="11"/>
  <c r="CK230" i="11"/>
  <c r="CK231" i="11"/>
  <c r="CK232" i="11"/>
  <c r="CK233" i="11"/>
  <c r="CK234" i="11"/>
  <c r="CK235" i="11"/>
  <c r="CK236" i="11"/>
  <c r="CK237" i="11"/>
  <c r="CK238" i="11"/>
  <c r="BD178" i="11"/>
  <c r="CJ212" i="11"/>
  <c r="CJ213" i="11"/>
  <c r="CJ214" i="11"/>
  <c r="CJ215" i="11"/>
  <c r="CJ216" i="11"/>
  <c r="CJ217" i="11"/>
  <c r="CJ218" i="11"/>
  <c r="CJ219" i="11"/>
  <c r="CJ220" i="11"/>
  <c r="CJ221" i="11"/>
  <c r="CJ222" i="11"/>
  <c r="CJ223" i="11"/>
  <c r="CJ224" i="11"/>
  <c r="CJ226" i="11"/>
  <c r="CJ227" i="11"/>
  <c r="BD194" i="11" s="1"/>
  <c r="CJ228" i="11"/>
  <c r="CJ229" i="11"/>
  <c r="CJ230" i="11"/>
  <c r="CJ231" i="11"/>
  <c r="CJ232" i="11"/>
  <c r="CJ233" i="11"/>
  <c r="CJ234" i="11"/>
  <c r="CJ235" i="11"/>
  <c r="BD202" i="11" s="1"/>
  <c r="CJ236" i="11"/>
  <c r="CJ237" i="11"/>
  <c r="CJ238" i="11"/>
  <c r="AF211" i="11"/>
  <c r="AF212" i="11"/>
  <c r="AF213" i="11"/>
  <c r="AF214" i="11"/>
  <c r="AF215" i="11"/>
  <c r="AF216" i="11"/>
  <c r="AF217" i="11"/>
  <c r="AF218" i="11"/>
  <c r="AF219" i="11"/>
  <c r="AF220" i="11"/>
  <c r="AF221" i="11"/>
  <c r="AF222" i="11"/>
  <c r="AF224" i="11"/>
  <c r="AF225" i="11"/>
  <c r="AF226" i="11"/>
  <c r="AF227" i="11"/>
  <c r="AF228" i="11"/>
  <c r="AF229" i="11"/>
  <c r="AF230" i="11"/>
  <c r="AF231" i="11"/>
  <c r="AF232" i="11"/>
  <c r="AF233" i="11"/>
  <c r="AF234" i="11"/>
  <c r="AF235" i="11"/>
  <c r="AF236" i="11"/>
  <c r="AF237" i="11"/>
  <c r="AF238" i="11"/>
  <c r="AG235" i="11"/>
  <c r="AG211" i="11"/>
  <c r="AB178" i="11" s="1"/>
  <c r="AG212" i="11"/>
  <c r="AG213" i="11"/>
  <c r="AG214" i="11"/>
  <c r="AG215" i="11"/>
  <c r="AG216" i="11"/>
  <c r="AG217" i="11"/>
  <c r="AG218" i="11"/>
  <c r="AG219" i="11"/>
  <c r="AG220" i="11"/>
  <c r="AG221" i="11"/>
  <c r="AG222" i="11"/>
  <c r="AG223" i="11"/>
  <c r="AG224" i="11"/>
  <c r="AG225" i="11"/>
  <c r="AG226" i="11"/>
  <c r="AG227" i="11"/>
  <c r="AG228" i="11"/>
  <c r="AG229" i="11"/>
  <c r="AG230" i="11"/>
  <c r="AG231" i="11"/>
  <c r="AG232" i="11"/>
  <c r="AG233" i="11"/>
  <c r="AG234" i="11"/>
  <c r="AG236" i="11"/>
  <c r="AG237" i="11"/>
  <c r="AG238" i="11"/>
  <c r="AC116" i="11"/>
  <c r="W116" i="11"/>
  <c r="BB203" i="11"/>
  <c r="AD116" i="11"/>
  <c r="AB116" i="11"/>
  <c r="AA116" i="11"/>
  <c r="Z116" i="11"/>
  <c r="Y116" i="11"/>
  <c r="AO212" i="11"/>
  <c r="CI216" i="11"/>
  <c r="CB214" i="11"/>
  <c r="BN216" i="11"/>
  <c r="AW234" i="11"/>
  <c r="AC224" i="11"/>
  <c r="BN225" i="11"/>
  <c r="V212" i="11"/>
  <c r="X223" i="11"/>
  <c r="CS211" i="11"/>
  <c r="CS212" i="11"/>
  <c r="CS213" i="11"/>
  <c r="CS214" i="11"/>
  <c r="CS215" i="11"/>
  <c r="CS216" i="11"/>
  <c r="CS217" i="11"/>
  <c r="CS218" i="11"/>
  <c r="CS219" i="11"/>
  <c r="CS220" i="11"/>
  <c r="CS221" i="11"/>
  <c r="CS222" i="11"/>
  <c r="CS223" i="11"/>
  <c r="CS224" i="11"/>
  <c r="CS225" i="11"/>
  <c r="CS226" i="11"/>
  <c r="CS227" i="11"/>
  <c r="CS228" i="11"/>
  <c r="CS229" i="11"/>
  <c r="CS230" i="11"/>
  <c r="CS231" i="11"/>
  <c r="CS232" i="11"/>
  <c r="CS233" i="11"/>
  <c r="CS234" i="11"/>
  <c r="CS235" i="11"/>
  <c r="CS236" i="11"/>
  <c r="CS237" i="11"/>
  <c r="CS238" i="11"/>
  <c r="CR212" i="11"/>
  <c r="CR213" i="11"/>
  <c r="BH180" i="11" s="1"/>
  <c r="CR214" i="11"/>
  <c r="CR215" i="11"/>
  <c r="BH182" i="11" s="1"/>
  <c r="CR216" i="11"/>
  <c r="CR217" i="11"/>
  <c r="BH184" i="11" s="1"/>
  <c r="CR218" i="11"/>
  <c r="CR219" i="11"/>
  <c r="BH186" i="11" s="1"/>
  <c r="CR220" i="11"/>
  <c r="CR221" i="11"/>
  <c r="BH188" i="11" s="1"/>
  <c r="CR222" i="11"/>
  <c r="CR223" i="11"/>
  <c r="BH190" i="11" s="1"/>
  <c r="CR224" i="11"/>
  <c r="CR225" i="11"/>
  <c r="BH192" i="11" s="1"/>
  <c r="CR226" i="11"/>
  <c r="BH193" i="11" s="1"/>
  <c r="CR227" i="11"/>
  <c r="BH194" i="11" s="1"/>
  <c r="CR228" i="11"/>
  <c r="CR229" i="11"/>
  <c r="BH196" i="11" s="1"/>
  <c r="CR230" i="11"/>
  <c r="BH197" i="11" s="1"/>
  <c r="CR231" i="11"/>
  <c r="BH198" i="11" s="1"/>
  <c r="CR232" i="11"/>
  <c r="CR233" i="11"/>
  <c r="BH200" i="11" s="1"/>
  <c r="CR234" i="11"/>
  <c r="BH201" i="11" s="1"/>
  <c r="CR235" i="11"/>
  <c r="BH202" i="11" s="1"/>
  <c r="CR236" i="11"/>
  <c r="CR237" i="11"/>
  <c r="BH204" i="11" s="1"/>
  <c r="CR238" i="11"/>
  <c r="BH205" i="11" s="1"/>
  <c r="CQ211" i="11"/>
  <c r="CQ212" i="11"/>
  <c r="CQ213" i="11"/>
  <c r="CQ214" i="11"/>
  <c r="CQ215" i="11"/>
  <c r="CQ216" i="11"/>
  <c r="CQ217" i="11"/>
  <c r="CQ218" i="11"/>
  <c r="CQ219" i="11"/>
  <c r="CQ220" i="11"/>
  <c r="CQ221" i="11"/>
  <c r="CQ222" i="11"/>
  <c r="CQ223" i="11"/>
  <c r="CQ224" i="11"/>
  <c r="CQ225" i="11"/>
  <c r="CQ226" i="11"/>
  <c r="CQ227" i="11"/>
  <c r="CQ228" i="11"/>
  <c r="CQ229" i="11"/>
  <c r="CQ230" i="11"/>
  <c r="CQ231" i="11"/>
  <c r="CQ232" i="11"/>
  <c r="CQ233" i="11"/>
  <c r="CQ234" i="11"/>
  <c r="CQ235" i="11"/>
  <c r="CQ236" i="11"/>
  <c r="CQ237" i="11"/>
  <c r="CQ238" i="11"/>
  <c r="CP211" i="11"/>
  <c r="BG178" i="11" s="1"/>
  <c r="CP212" i="11"/>
  <c r="BG179" i="11" s="1"/>
  <c r="CP213" i="11"/>
  <c r="BG180" i="11" s="1"/>
  <c r="CP214" i="11"/>
  <c r="BG181" i="11" s="1"/>
  <c r="CP215" i="11"/>
  <c r="BG182" i="11" s="1"/>
  <c r="CP216" i="11"/>
  <c r="BG183" i="11" s="1"/>
  <c r="CP217" i="11"/>
  <c r="BG184" i="11" s="1"/>
  <c r="CP218" i="11"/>
  <c r="BG185" i="11" s="1"/>
  <c r="CP219" i="11"/>
  <c r="BG186" i="11" s="1"/>
  <c r="CP220" i="11"/>
  <c r="BG187" i="11" s="1"/>
  <c r="CP221" i="11"/>
  <c r="BG188" i="11" s="1"/>
  <c r="CP222" i="11"/>
  <c r="BG189" i="11" s="1"/>
  <c r="CP223" i="11"/>
  <c r="BG190" i="11" s="1"/>
  <c r="CP224" i="11"/>
  <c r="BG191" i="11" s="1"/>
  <c r="CP225" i="11"/>
  <c r="BG192" i="11" s="1"/>
  <c r="CP226" i="11"/>
  <c r="BG193" i="11" s="1"/>
  <c r="CP227" i="11"/>
  <c r="BG194" i="11" s="1"/>
  <c r="CP228" i="11"/>
  <c r="BG195" i="11" s="1"/>
  <c r="CP229" i="11"/>
  <c r="BG196" i="11" s="1"/>
  <c r="CP230" i="11"/>
  <c r="BG197" i="11" s="1"/>
  <c r="CP231" i="11"/>
  <c r="BG198" i="11" s="1"/>
  <c r="CP232" i="11"/>
  <c r="BG199" i="11" s="1"/>
  <c r="CP233" i="11"/>
  <c r="BG200" i="11" s="1"/>
  <c r="CP234" i="11"/>
  <c r="BG201" i="11" s="1"/>
  <c r="CP235" i="11"/>
  <c r="BG202" i="11" s="1"/>
  <c r="CP236" i="11"/>
  <c r="BG203" i="11" s="1"/>
  <c r="CP237" i="11"/>
  <c r="BG204" i="11" s="1"/>
  <c r="CP238" i="11"/>
  <c r="BG205" i="11" s="1"/>
  <c r="BF178" i="11"/>
  <c r="BF180" i="11"/>
  <c r="BF181" i="11"/>
  <c r="BF182" i="11"/>
  <c r="BF184" i="11"/>
  <c r="BF185" i="11"/>
  <c r="BF186" i="11"/>
  <c r="BF188" i="11"/>
  <c r="BF189" i="11"/>
  <c r="BF190" i="11"/>
  <c r="BF192" i="11"/>
  <c r="BF193" i="11"/>
  <c r="BF194" i="11"/>
  <c r="BF196" i="11"/>
  <c r="BF197" i="11"/>
  <c r="BF198" i="11"/>
  <c r="BF200" i="11"/>
  <c r="BF201" i="11"/>
  <c r="BF202" i="11"/>
  <c r="BF204" i="11"/>
  <c r="BF205" i="11"/>
  <c r="CL212" i="11"/>
  <c r="CL213" i="11"/>
  <c r="BE180" i="11" s="1"/>
  <c r="CL214" i="11"/>
  <c r="BE181" i="11" s="1"/>
  <c r="CL215" i="11"/>
  <c r="BE182" i="11" s="1"/>
  <c r="CL216" i="11"/>
  <c r="BE183" i="11" s="1"/>
  <c r="CL217" i="11"/>
  <c r="BE184" i="11" s="1"/>
  <c r="CL218" i="11"/>
  <c r="BE185" i="11" s="1"/>
  <c r="CL219" i="11"/>
  <c r="BE186" i="11" s="1"/>
  <c r="CL220" i="11"/>
  <c r="BE187" i="11" s="1"/>
  <c r="CL221" i="11"/>
  <c r="BE188" i="11" s="1"/>
  <c r="CL222" i="11"/>
  <c r="BE189" i="11" s="1"/>
  <c r="CL223" i="11"/>
  <c r="BE190" i="11" s="1"/>
  <c r="CL224" i="11"/>
  <c r="BE191" i="11" s="1"/>
  <c r="CL225" i="11"/>
  <c r="BE192" i="11" s="1"/>
  <c r="CL226" i="11"/>
  <c r="BE193" i="11" s="1"/>
  <c r="CL227" i="11"/>
  <c r="BE194" i="11" s="1"/>
  <c r="CL228" i="11"/>
  <c r="BE195" i="11" s="1"/>
  <c r="CL229" i="11"/>
  <c r="BE196" i="11" s="1"/>
  <c r="CL230" i="11"/>
  <c r="BE197" i="11" s="1"/>
  <c r="CL231" i="11"/>
  <c r="BE198" i="11" s="1"/>
  <c r="CL232" i="11"/>
  <c r="BE199" i="11" s="1"/>
  <c r="CL233" i="11"/>
  <c r="BE200" i="11" s="1"/>
  <c r="CL234" i="11"/>
  <c r="BE201" i="11" s="1"/>
  <c r="CL235" i="11"/>
  <c r="BE202" i="11" s="1"/>
  <c r="CL236" i="11"/>
  <c r="BE203" i="11" s="1"/>
  <c r="CL237" i="11"/>
  <c r="BE204" i="11" s="1"/>
  <c r="CL238" i="11"/>
  <c r="BE205" i="11" s="1"/>
  <c r="BD188" i="11"/>
  <c r="BD190" i="11"/>
  <c r="BD191" i="11"/>
  <c r="BD192" i="11"/>
  <c r="BD195" i="11"/>
  <c r="BD196" i="11"/>
  <c r="BD198" i="11"/>
  <c r="BD199" i="11"/>
  <c r="BD200" i="11"/>
  <c r="BD203" i="11"/>
  <c r="BD204" i="11"/>
  <c r="CI211" i="11"/>
  <c r="CI212" i="11"/>
  <c r="CI213" i="11"/>
  <c r="CI214" i="11"/>
  <c r="CI215" i="11"/>
  <c r="CI217" i="11"/>
  <c r="CI218" i="11"/>
  <c r="CI219" i="11"/>
  <c r="CI220" i="11"/>
  <c r="CI221" i="11"/>
  <c r="CI222" i="11"/>
  <c r="CI223" i="11"/>
  <c r="CI224" i="11"/>
  <c r="CI225" i="11"/>
  <c r="CI226" i="11"/>
  <c r="CI227" i="11"/>
  <c r="CI228" i="11"/>
  <c r="CI229" i="11"/>
  <c r="CI230" i="11"/>
  <c r="CI231" i="11"/>
  <c r="CI232" i="11"/>
  <c r="CI233" i="11"/>
  <c r="CI234" i="11"/>
  <c r="CI235" i="11"/>
  <c r="CI236" i="11"/>
  <c r="CI237" i="11"/>
  <c r="CI238" i="11"/>
  <c r="CH211" i="11"/>
  <c r="BC178" i="11" s="1"/>
  <c r="CH212" i="11"/>
  <c r="CH213" i="11"/>
  <c r="CH214" i="11"/>
  <c r="CH215" i="11"/>
  <c r="BC182" i="11" s="1"/>
  <c r="CH216" i="11"/>
  <c r="CH217" i="11"/>
  <c r="BC184" i="11" s="1"/>
  <c r="CH218" i="11"/>
  <c r="BC185" i="11" s="1"/>
  <c r="CH219" i="11"/>
  <c r="BC186" i="11" s="1"/>
  <c r="CH220" i="11"/>
  <c r="BC187" i="11" s="1"/>
  <c r="CH221" i="11"/>
  <c r="BC188" i="11" s="1"/>
  <c r="CH222" i="11"/>
  <c r="BC189" i="11" s="1"/>
  <c r="CH223" i="11"/>
  <c r="BC190" i="11" s="1"/>
  <c r="CH224" i="11"/>
  <c r="BC191" i="11" s="1"/>
  <c r="CH225" i="11"/>
  <c r="BC192" i="11" s="1"/>
  <c r="CH226" i="11"/>
  <c r="BC193" i="11" s="1"/>
  <c r="CH227" i="11"/>
  <c r="BC194" i="11" s="1"/>
  <c r="CH228" i="11"/>
  <c r="BC195" i="11" s="1"/>
  <c r="CH229" i="11"/>
  <c r="BC196" i="11" s="1"/>
  <c r="CH230" i="11"/>
  <c r="BC197" i="11" s="1"/>
  <c r="CH231" i="11"/>
  <c r="BC198" i="11" s="1"/>
  <c r="CH232" i="11"/>
  <c r="BC199" i="11" s="1"/>
  <c r="CH233" i="11"/>
  <c r="BC200" i="11" s="1"/>
  <c r="CH234" i="11"/>
  <c r="BC201" i="11" s="1"/>
  <c r="CH235" i="11"/>
  <c r="BC202" i="11" s="1"/>
  <c r="CH236" i="11"/>
  <c r="BC203" i="11" s="1"/>
  <c r="CH237" i="11"/>
  <c r="BC204" i="11" s="1"/>
  <c r="CH238" i="11"/>
  <c r="BC205" i="11" s="1"/>
  <c r="BB179" i="11"/>
  <c r="BB180" i="11"/>
  <c r="BB181" i="11"/>
  <c r="BB183" i="11"/>
  <c r="BB184" i="11"/>
  <c r="BB186" i="11"/>
  <c r="BB187" i="11"/>
  <c r="BB188" i="11"/>
  <c r="BB191" i="11"/>
  <c r="BB192" i="11"/>
  <c r="BB195" i="11"/>
  <c r="BB196" i="11"/>
  <c r="BB199" i="11"/>
  <c r="BB200" i="11"/>
  <c r="BB202" i="11"/>
  <c r="BB204" i="11"/>
  <c r="CE211" i="11"/>
  <c r="CE212" i="11"/>
  <c r="CE213" i="11"/>
  <c r="CE214" i="11"/>
  <c r="CE215" i="11"/>
  <c r="CE216" i="11"/>
  <c r="CE217" i="11"/>
  <c r="CE218" i="11"/>
  <c r="CE219" i="11"/>
  <c r="CE220" i="11"/>
  <c r="CE221" i="11"/>
  <c r="CE222" i="11"/>
  <c r="CE223" i="11"/>
  <c r="CE224" i="11"/>
  <c r="CE225" i="11"/>
  <c r="CE226" i="11"/>
  <c r="CE227" i="11"/>
  <c r="CE228" i="11"/>
  <c r="CE229" i="11"/>
  <c r="CE230" i="11"/>
  <c r="CE231" i="11"/>
  <c r="CE232" i="11"/>
  <c r="CE233" i="11"/>
  <c r="CE234" i="11"/>
  <c r="CE235" i="11"/>
  <c r="CE236" i="11"/>
  <c r="CE237" i="11"/>
  <c r="CE238" i="11"/>
  <c r="CD211" i="11"/>
  <c r="BA178" i="11" s="1"/>
  <c r="CD212" i="11"/>
  <c r="BA179" i="11" s="1"/>
  <c r="CD213" i="11"/>
  <c r="BA180" i="11" s="1"/>
  <c r="CD214" i="11"/>
  <c r="BA181" i="11" s="1"/>
  <c r="CD215" i="11"/>
  <c r="BA182" i="11" s="1"/>
  <c r="CD216" i="11"/>
  <c r="BA183" i="11" s="1"/>
  <c r="CD217" i="11"/>
  <c r="BA184" i="11" s="1"/>
  <c r="CD218" i="11"/>
  <c r="BA185" i="11" s="1"/>
  <c r="CD219" i="11"/>
  <c r="BA186" i="11" s="1"/>
  <c r="CD220" i="11"/>
  <c r="BA187" i="11" s="1"/>
  <c r="CD221" i="11"/>
  <c r="BA188" i="11" s="1"/>
  <c r="CD222" i="11"/>
  <c r="BA189" i="11" s="1"/>
  <c r="CD223" i="11"/>
  <c r="BA190" i="11" s="1"/>
  <c r="CD224" i="11"/>
  <c r="BA191" i="11" s="1"/>
  <c r="CD225" i="11"/>
  <c r="BA192" i="11" s="1"/>
  <c r="CD226" i="11"/>
  <c r="BA193" i="11" s="1"/>
  <c r="CD227" i="11"/>
  <c r="BA194" i="11" s="1"/>
  <c r="CD228" i="11"/>
  <c r="BA195" i="11" s="1"/>
  <c r="CD229" i="11"/>
  <c r="BA196" i="11" s="1"/>
  <c r="CD230" i="11"/>
  <c r="BA197" i="11" s="1"/>
  <c r="CD231" i="11"/>
  <c r="BA198" i="11" s="1"/>
  <c r="CD232" i="11"/>
  <c r="BA199" i="11" s="1"/>
  <c r="CD233" i="11"/>
  <c r="BA200" i="11" s="1"/>
  <c r="CD234" i="11"/>
  <c r="BA201" i="11" s="1"/>
  <c r="CD235" i="11"/>
  <c r="BA202" i="11" s="1"/>
  <c r="CD236" i="11"/>
  <c r="BA203" i="11" s="1"/>
  <c r="CD237" i="11"/>
  <c r="BA204" i="11" s="1"/>
  <c r="CD238" i="11"/>
  <c r="BA205" i="11" s="1"/>
  <c r="CC211" i="11"/>
  <c r="CC212" i="11"/>
  <c r="CC213" i="11"/>
  <c r="CC214" i="11"/>
  <c r="CC215" i="11"/>
  <c r="CC216" i="11"/>
  <c r="CC217" i="11"/>
  <c r="CC218" i="11"/>
  <c r="CC219" i="11"/>
  <c r="CC220" i="11"/>
  <c r="CC221" i="11"/>
  <c r="CC222" i="11"/>
  <c r="CC223" i="11"/>
  <c r="CC224" i="11"/>
  <c r="CC225" i="11"/>
  <c r="CC226" i="11"/>
  <c r="CC227" i="11"/>
  <c r="CC228" i="11"/>
  <c r="CC229" i="11"/>
  <c r="CC230" i="11"/>
  <c r="CC231" i="11"/>
  <c r="CC232" i="11"/>
  <c r="CC233" i="11"/>
  <c r="CC234" i="11"/>
  <c r="CC235" i="11"/>
  <c r="CC236" i="11"/>
  <c r="CC237" i="11"/>
  <c r="CC238" i="11"/>
  <c r="CB211" i="11"/>
  <c r="AZ178" i="11" s="1"/>
  <c r="CB212" i="11"/>
  <c r="AZ179" i="11" s="1"/>
  <c r="CB213" i="11"/>
  <c r="AZ180" i="11" s="1"/>
  <c r="AZ181" i="11"/>
  <c r="CB215" i="11"/>
  <c r="AZ182" i="11" s="1"/>
  <c r="CB216" i="11"/>
  <c r="AZ183" i="11" s="1"/>
  <c r="CB217" i="11"/>
  <c r="AZ184" i="11" s="1"/>
  <c r="CB218" i="11"/>
  <c r="AZ185" i="11" s="1"/>
  <c r="CB219" i="11"/>
  <c r="AZ186" i="11" s="1"/>
  <c r="CB220" i="11"/>
  <c r="AZ187" i="11" s="1"/>
  <c r="CB221" i="11"/>
  <c r="AZ188" i="11" s="1"/>
  <c r="CB222" i="11"/>
  <c r="AZ189" i="11" s="1"/>
  <c r="CB223" i="11"/>
  <c r="AZ190" i="11" s="1"/>
  <c r="CB224" i="11"/>
  <c r="AZ191" i="11" s="1"/>
  <c r="CB225" i="11"/>
  <c r="AZ192" i="11" s="1"/>
  <c r="CB226" i="11"/>
  <c r="AZ193" i="11" s="1"/>
  <c r="CB227" i="11"/>
  <c r="AZ194" i="11" s="1"/>
  <c r="CB228" i="11"/>
  <c r="AZ195" i="11" s="1"/>
  <c r="CB229" i="11"/>
  <c r="AZ196" i="11" s="1"/>
  <c r="CB230" i="11"/>
  <c r="AZ197" i="11" s="1"/>
  <c r="CB231" i="11"/>
  <c r="AZ198" i="11" s="1"/>
  <c r="CB232" i="11"/>
  <c r="AZ199" i="11" s="1"/>
  <c r="CB233" i="11"/>
  <c r="AZ200" i="11" s="1"/>
  <c r="CB234" i="11"/>
  <c r="AZ201" i="11" s="1"/>
  <c r="CB235" i="11"/>
  <c r="AZ202" i="11" s="1"/>
  <c r="CB236" i="11"/>
  <c r="AZ203" i="11" s="1"/>
  <c r="CB237" i="11"/>
  <c r="AZ204" i="11" s="1"/>
  <c r="CB238" i="11"/>
  <c r="AZ205" i="11" s="1"/>
  <c r="CA211" i="11"/>
  <c r="CA212" i="11"/>
  <c r="CA213" i="11"/>
  <c r="CA214" i="11"/>
  <c r="CA215" i="11"/>
  <c r="CA216" i="11"/>
  <c r="CA217" i="11"/>
  <c r="CA218" i="11"/>
  <c r="CA219" i="11"/>
  <c r="CA220" i="11"/>
  <c r="CA221" i="11"/>
  <c r="CA222" i="11"/>
  <c r="CA223" i="11"/>
  <c r="CA224" i="11"/>
  <c r="CA225" i="11"/>
  <c r="CA226" i="11"/>
  <c r="CA227" i="11"/>
  <c r="CA228" i="11"/>
  <c r="CA229" i="11"/>
  <c r="CA230" i="11"/>
  <c r="CA231" i="11"/>
  <c r="CA232" i="11"/>
  <c r="CA233" i="11"/>
  <c r="CA234" i="11"/>
  <c r="CA235" i="11"/>
  <c r="CA236" i="11"/>
  <c r="CA237" i="11"/>
  <c r="CA238" i="11"/>
  <c r="BZ211" i="11"/>
  <c r="AY178" i="11" s="1"/>
  <c r="BZ212" i="11"/>
  <c r="AY179" i="11" s="1"/>
  <c r="BZ213" i="11"/>
  <c r="AY180" i="11" s="1"/>
  <c r="BZ214" i="11"/>
  <c r="AY181" i="11" s="1"/>
  <c r="BZ215" i="11"/>
  <c r="AY182" i="11" s="1"/>
  <c r="BZ216" i="11"/>
  <c r="AY183" i="11" s="1"/>
  <c r="BZ217" i="11"/>
  <c r="AY184" i="11" s="1"/>
  <c r="BZ218" i="11"/>
  <c r="AY185" i="11" s="1"/>
  <c r="BZ219" i="11"/>
  <c r="AY186" i="11" s="1"/>
  <c r="BZ220" i="11"/>
  <c r="AY187" i="11" s="1"/>
  <c r="BZ221" i="11"/>
  <c r="AY188" i="11" s="1"/>
  <c r="BZ222" i="11"/>
  <c r="AY189" i="11" s="1"/>
  <c r="BZ223" i="11"/>
  <c r="AY190" i="11" s="1"/>
  <c r="BZ224" i="11"/>
  <c r="AY191" i="11" s="1"/>
  <c r="BZ225" i="11"/>
  <c r="AY192" i="11" s="1"/>
  <c r="BZ226" i="11"/>
  <c r="AY193" i="11" s="1"/>
  <c r="BZ227" i="11"/>
  <c r="AY194" i="11" s="1"/>
  <c r="BZ228" i="11"/>
  <c r="AY195" i="11" s="1"/>
  <c r="BZ229" i="11"/>
  <c r="AY196" i="11" s="1"/>
  <c r="BZ230" i="11"/>
  <c r="AY197" i="11" s="1"/>
  <c r="BZ231" i="11"/>
  <c r="AY198" i="11" s="1"/>
  <c r="BZ232" i="11"/>
  <c r="AY199" i="11" s="1"/>
  <c r="BZ233" i="11"/>
  <c r="AY200" i="11" s="1"/>
  <c r="BZ234" i="11"/>
  <c r="AY201" i="11" s="1"/>
  <c r="BZ235" i="11"/>
  <c r="AY202" i="11" s="1"/>
  <c r="BZ236" i="11"/>
  <c r="AY203" i="11" s="1"/>
  <c r="BZ237" i="11"/>
  <c r="AY204" i="11" s="1"/>
  <c r="BZ238" i="11"/>
  <c r="AY205" i="11" s="1"/>
  <c r="BY211" i="11"/>
  <c r="BY212" i="11"/>
  <c r="BY213" i="11"/>
  <c r="BY214" i="11"/>
  <c r="BY215" i="11"/>
  <c r="BY216" i="11"/>
  <c r="BY217" i="11"/>
  <c r="BY218" i="11"/>
  <c r="BY219" i="11"/>
  <c r="BY220" i="11"/>
  <c r="BY221" i="11"/>
  <c r="BY222" i="11"/>
  <c r="BY223" i="11"/>
  <c r="BY224" i="11"/>
  <c r="BY225" i="11"/>
  <c r="BY226" i="11"/>
  <c r="BY227" i="11"/>
  <c r="BY228" i="11"/>
  <c r="BY229" i="11"/>
  <c r="BY230" i="11"/>
  <c r="BY231" i="11"/>
  <c r="BY232" i="11"/>
  <c r="BY233" i="11"/>
  <c r="BY234" i="11"/>
  <c r="BY235" i="11"/>
  <c r="BY236" i="11"/>
  <c r="BY237" i="11"/>
  <c r="BY238" i="11"/>
  <c r="BX211" i="11"/>
  <c r="AX178" i="11" s="1"/>
  <c r="BX212" i="11"/>
  <c r="AX179" i="11" s="1"/>
  <c r="BX213" i="11"/>
  <c r="AX180" i="11" s="1"/>
  <c r="BX214" i="11"/>
  <c r="AX181" i="11" s="1"/>
  <c r="BX215" i="11"/>
  <c r="AX182" i="11" s="1"/>
  <c r="BX216" i="11"/>
  <c r="AX183" i="11" s="1"/>
  <c r="BX217" i="11"/>
  <c r="AX184" i="11" s="1"/>
  <c r="BX218" i="11"/>
  <c r="AX185" i="11" s="1"/>
  <c r="BX219" i="11"/>
  <c r="AX186" i="11" s="1"/>
  <c r="BX220" i="11"/>
  <c r="AX187" i="11" s="1"/>
  <c r="BX221" i="11"/>
  <c r="AX188" i="11" s="1"/>
  <c r="BX222" i="11"/>
  <c r="AX189" i="11" s="1"/>
  <c r="BX223" i="11"/>
  <c r="AX190" i="11" s="1"/>
  <c r="BX224" i="11"/>
  <c r="AX191" i="11" s="1"/>
  <c r="BX225" i="11"/>
  <c r="AX192" i="11" s="1"/>
  <c r="BX226" i="11"/>
  <c r="AX193" i="11" s="1"/>
  <c r="BX227" i="11"/>
  <c r="AX194" i="11" s="1"/>
  <c r="BX228" i="11"/>
  <c r="AX195" i="11" s="1"/>
  <c r="BX229" i="11"/>
  <c r="AX196" i="11" s="1"/>
  <c r="BX230" i="11"/>
  <c r="AX197" i="11" s="1"/>
  <c r="BX231" i="11"/>
  <c r="AX198" i="11" s="1"/>
  <c r="BX232" i="11"/>
  <c r="AX199" i="11" s="1"/>
  <c r="BX233" i="11"/>
  <c r="AX200" i="11" s="1"/>
  <c r="BX234" i="11"/>
  <c r="AX201" i="11" s="1"/>
  <c r="BX235" i="11"/>
  <c r="AX202" i="11" s="1"/>
  <c r="BX236" i="11"/>
  <c r="AX203" i="11" s="1"/>
  <c r="BX237" i="11"/>
  <c r="AX204" i="11" s="1"/>
  <c r="BX238" i="11"/>
  <c r="AX205" i="11" s="1"/>
  <c r="BW211" i="11"/>
  <c r="BW212" i="11"/>
  <c r="BW213" i="11"/>
  <c r="BW214" i="11"/>
  <c r="BW215" i="11"/>
  <c r="BW216" i="11"/>
  <c r="BW217" i="11"/>
  <c r="BW218" i="11"/>
  <c r="BW219" i="11"/>
  <c r="BW220" i="11"/>
  <c r="BW221" i="11"/>
  <c r="BW222" i="11"/>
  <c r="BW223" i="11"/>
  <c r="BW224" i="11"/>
  <c r="BW225" i="11"/>
  <c r="BW226" i="11"/>
  <c r="BW227" i="11"/>
  <c r="BW228" i="11"/>
  <c r="BW229" i="11"/>
  <c r="BW230" i="11"/>
  <c r="BW231" i="11"/>
  <c r="BW232" i="11"/>
  <c r="BW233" i="11"/>
  <c r="BW234" i="11"/>
  <c r="BW235" i="11"/>
  <c r="BW236" i="11"/>
  <c r="BW237" i="11"/>
  <c r="BW238" i="11"/>
  <c r="BV211" i="11"/>
  <c r="AW178" i="11" s="1"/>
  <c r="BV212" i="11"/>
  <c r="AW179" i="11" s="1"/>
  <c r="BV213" i="11"/>
  <c r="AW180" i="11" s="1"/>
  <c r="BV214" i="11"/>
  <c r="AW181" i="11" s="1"/>
  <c r="BV215" i="11"/>
  <c r="AW182" i="11" s="1"/>
  <c r="BV216" i="11"/>
  <c r="AW183" i="11" s="1"/>
  <c r="BV217" i="11"/>
  <c r="AW184" i="11" s="1"/>
  <c r="BV218" i="11"/>
  <c r="AW185" i="11" s="1"/>
  <c r="BV219" i="11"/>
  <c r="AW186" i="11" s="1"/>
  <c r="BV220" i="11"/>
  <c r="AW187" i="11" s="1"/>
  <c r="BV221" i="11"/>
  <c r="AW188" i="11" s="1"/>
  <c r="BV222" i="11"/>
  <c r="AW189" i="11" s="1"/>
  <c r="BV223" i="11"/>
  <c r="AW190" i="11" s="1"/>
  <c r="BV224" i="11"/>
  <c r="AW191" i="11" s="1"/>
  <c r="BV225" i="11"/>
  <c r="AW192" i="11" s="1"/>
  <c r="BV226" i="11"/>
  <c r="AW193" i="11" s="1"/>
  <c r="BV227" i="11"/>
  <c r="AW194" i="11" s="1"/>
  <c r="BV228" i="11"/>
  <c r="AW195" i="11" s="1"/>
  <c r="BV229" i="11"/>
  <c r="AW196" i="11" s="1"/>
  <c r="BV230" i="11"/>
  <c r="AW197" i="11" s="1"/>
  <c r="BV231" i="11"/>
  <c r="AW198" i="11" s="1"/>
  <c r="BV232" i="11"/>
  <c r="AW199" i="11" s="1"/>
  <c r="BV233" i="11"/>
  <c r="AW200" i="11" s="1"/>
  <c r="BV234" i="11"/>
  <c r="AW201" i="11" s="1"/>
  <c r="BV235" i="11"/>
  <c r="AW202" i="11" s="1"/>
  <c r="BV236" i="11"/>
  <c r="AW203" i="11" s="1"/>
  <c r="BV237" i="11"/>
  <c r="AW204" i="11" s="1"/>
  <c r="BV238" i="11"/>
  <c r="AW205" i="11" s="1"/>
  <c r="BT226" i="11"/>
  <c r="BU211" i="11"/>
  <c r="BU212" i="11"/>
  <c r="BU213" i="11"/>
  <c r="BU214" i="11"/>
  <c r="BU215" i="11"/>
  <c r="BU216" i="11"/>
  <c r="BU217" i="11"/>
  <c r="BU218" i="11"/>
  <c r="BU219" i="11"/>
  <c r="BU220" i="11"/>
  <c r="BU221" i="11"/>
  <c r="BU222" i="11"/>
  <c r="BU223" i="11"/>
  <c r="BU224" i="11"/>
  <c r="BU225" i="11"/>
  <c r="BU226" i="11"/>
  <c r="BU227" i="11"/>
  <c r="BU228" i="11"/>
  <c r="BU229" i="11"/>
  <c r="BU230" i="11"/>
  <c r="BU231" i="11"/>
  <c r="BU232" i="11"/>
  <c r="BU233" i="11"/>
  <c r="BU234" i="11"/>
  <c r="BU235" i="11"/>
  <c r="BU236" i="11"/>
  <c r="BU237" i="11"/>
  <c r="BU238" i="11"/>
  <c r="BT211" i="11"/>
  <c r="AV178" i="11" s="1"/>
  <c r="BT212" i="11"/>
  <c r="AV179" i="11" s="1"/>
  <c r="BT213" i="11"/>
  <c r="AV180" i="11" s="1"/>
  <c r="BT214" i="11"/>
  <c r="AV181" i="11" s="1"/>
  <c r="BT215" i="11"/>
  <c r="AV182" i="11" s="1"/>
  <c r="BT216" i="11"/>
  <c r="AV183" i="11" s="1"/>
  <c r="BT217" i="11"/>
  <c r="AV184" i="11" s="1"/>
  <c r="BT218" i="11"/>
  <c r="AV185" i="11" s="1"/>
  <c r="BT219" i="11"/>
  <c r="AV186" i="11" s="1"/>
  <c r="BT220" i="11"/>
  <c r="AV187" i="11" s="1"/>
  <c r="BT221" i="11"/>
  <c r="AV188" i="11" s="1"/>
  <c r="BT222" i="11"/>
  <c r="AV189" i="11" s="1"/>
  <c r="BT223" i="11"/>
  <c r="AV190" i="11" s="1"/>
  <c r="BT224" i="11"/>
  <c r="AV191" i="11" s="1"/>
  <c r="BT225" i="11"/>
  <c r="AV192" i="11" s="1"/>
  <c r="BT227" i="11"/>
  <c r="BT228" i="11"/>
  <c r="BT229" i="11"/>
  <c r="BT230" i="11"/>
  <c r="BT231" i="11"/>
  <c r="BT232" i="11"/>
  <c r="BT233" i="11"/>
  <c r="BT234" i="11"/>
  <c r="BT235" i="11"/>
  <c r="BT236" i="11"/>
  <c r="BT237" i="11"/>
  <c r="BT238" i="11"/>
  <c r="BS211" i="11"/>
  <c r="BS212" i="11"/>
  <c r="BS213" i="11"/>
  <c r="BS214" i="11"/>
  <c r="BS215" i="11"/>
  <c r="BS216" i="11"/>
  <c r="BS217" i="11"/>
  <c r="BS218" i="11"/>
  <c r="BS219" i="11"/>
  <c r="BS220" i="11"/>
  <c r="BS221" i="11"/>
  <c r="BS222" i="11"/>
  <c r="BS223" i="11"/>
  <c r="BS224" i="11"/>
  <c r="BS225" i="11"/>
  <c r="BS226" i="11"/>
  <c r="BS227" i="11"/>
  <c r="BS228" i="11"/>
  <c r="BS229" i="11"/>
  <c r="BS230" i="11"/>
  <c r="BS231" i="11"/>
  <c r="BS232" i="11"/>
  <c r="BS233" i="11"/>
  <c r="BS234" i="11"/>
  <c r="BS235" i="11"/>
  <c r="BS236" i="11"/>
  <c r="BS237" i="11"/>
  <c r="BS238" i="11"/>
  <c r="BR211" i="11"/>
  <c r="AU178" i="11" s="1"/>
  <c r="BR212" i="11"/>
  <c r="AU179" i="11" s="1"/>
  <c r="BR213" i="11"/>
  <c r="AU180" i="11" s="1"/>
  <c r="BR214" i="11"/>
  <c r="AU181" i="11" s="1"/>
  <c r="BR215" i="11"/>
  <c r="AU182" i="11" s="1"/>
  <c r="BR216" i="11"/>
  <c r="AU183" i="11" s="1"/>
  <c r="BR217" i="11"/>
  <c r="AU184" i="11" s="1"/>
  <c r="BR218" i="11"/>
  <c r="AU185" i="11" s="1"/>
  <c r="BR219" i="11"/>
  <c r="AU186" i="11" s="1"/>
  <c r="BR220" i="11"/>
  <c r="AU187" i="11" s="1"/>
  <c r="BR221" i="11"/>
  <c r="AU188" i="11" s="1"/>
  <c r="BR222" i="11"/>
  <c r="AU189" i="11" s="1"/>
  <c r="BR223" i="11"/>
  <c r="AU190" i="11" s="1"/>
  <c r="BR224" i="11"/>
  <c r="AU191" i="11" s="1"/>
  <c r="BR225" i="11"/>
  <c r="AU192" i="11" s="1"/>
  <c r="BR226" i="11"/>
  <c r="AU193" i="11" s="1"/>
  <c r="BR227" i="11"/>
  <c r="AU194" i="11" s="1"/>
  <c r="BR228" i="11"/>
  <c r="AU195" i="11" s="1"/>
  <c r="BR229" i="11"/>
  <c r="AU196" i="11" s="1"/>
  <c r="BR230" i="11"/>
  <c r="AU197" i="11" s="1"/>
  <c r="BR231" i="11"/>
  <c r="AU198" i="11" s="1"/>
  <c r="BR232" i="11"/>
  <c r="AU199" i="11" s="1"/>
  <c r="BR233" i="11"/>
  <c r="AU200" i="11" s="1"/>
  <c r="BR234" i="11"/>
  <c r="AU201" i="11" s="1"/>
  <c r="BR235" i="11"/>
  <c r="AU202" i="11" s="1"/>
  <c r="BR236" i="11"/>
  <c r="AU203" i="11" s="1"/>
  <c r="BR237" i="11"/>
  <c r="AU204" i="11" s="1"/>
  <c r="BR238" i="11"/>
  <c r="AU205" i="11" s="1"/>
  <c r="BQ211" i="11"/>
  <c r="BQ212" i="11"/>
  <c r="BQ213" i="11"/>
  <c r="BQ214" i="11"/>
  <c r="BQ215" i="11"/>
  <c r="BQ216" i="11"/>
  <c r="BQ217" i="11"/>
  <c r="BQ218" i="11"/>
  <c r="BQ219" i="11"/>
  <c r="BQ220" i="11"/>
  <c r="BQ221" i="11"/>
  <c r="BQ222" i="11"/>
  <c r="BQ223" i="11"/>
  <c r="BQ224" i="11"/>
  <c r="BQ225" i="11"/>
  <c r="BQ226" i="11"/>
  <c r="BQ227" i="11"/>
  <c r="BQ228" i="11"/>
  <c r="BQ229" i="11"/>
  <c r="BQ230" i="11"/>
  <c r="BQ231" i="11"/>
  <c r="BQ232" i="11"/>
  <c r="BQ233" i="11"/>
  <c r="BQ234" i="11"/>
  <c r="BQ235" i="11"/>
  <c r="BQ236" i="11"/>
  <c r="BQ237" i="11"/>
  <c r="BQ238" i="11"/>
  <c r="BP211" i="11"/>
  <c r="AT178" i="11" s="1"/>
  <c r="BP212" i="11"/>
  <c r="AT179" i="11" s="1"/>
  <c r="BP213" i="11"/>
  <c r="AT180" i="11" s="1"/>
  <c r="BP214" i="11"/>
  <c r="AT181" i="11" s="1"/>
  <c r="BP215" i="11"/>
  <c r="AT182" i="11" s="1"/>
  <c r="BP216" i="11"/>
  <c r="AT183" i="11" s="1"/>
  <c r="BP217" i="11"/>
  <c r="AT184" i="11" s="1"/>
  <c r="BP218" i="11"/>
  <c r="AT185" i="11" s="1"/>
  <c r="BP219" i="11"/>
  <c r="AT186" i="11" s="1"/>
  <c r="BP220" i="11"/>
  <c r="AT187" i="11" s="1"/>
  <c r="BP221" i="11"/>
  <c r="AT188" i="11" s="1"/>
  <c r="BP222" i="11"/>
  <c r="AT189" i="11" s="1"/>
  <c r="BP223" i="11"/>
  <c r="AT190" i="11" s="1"/>
  <c r="BP224" i="11"/>
  <c r="AT191" i="11" s="1"/>
  <c r="BP225" i="11"/>
  <c r="AT192" i="11" s="1"/>
  <c r="BP226" i="11"/>
  <c r="AT193" i="11" s="1"/>
  <c r="BP227" i="11"/>
  <c r="AT194" i="11" s="1"/>
  <c r="BP228" i="11"/>
  <c r="AT195" i="11" s="1"/>
  <c r="BP229" i="11"/>
  <c r="AT196" i="11" s="1"/>
  <c r="BP230" i="11"/>
  <c r="AT197" i="11" s="1"/>
  <c r="BP231" i="11"/>
  <c r="AT198" i="11" s="1"/>
  <c r="BP232" i="11"/>
  <c r="AT199" i="11" s="1"/>
  <c r="BP233" i="11"/>
  <c r="AT200" i="11" s="1"/>
  <c r="BP234" i="11"/>
  <c r="AT201" i="11" s="1"/>
  <c r="BP235" i="11"/>
  <c r="AT202" i="11" s="1"/>
  <c r="BP236" i="11"/>
  <c r="AT203" i="11" s="1"/>
  <c r="BP237" i="11"/>
  <c r="AT204" i="11" s="1"/>
  <c r="BP238" i="11"/>
  <c r="AT205" i="11" s="1"/>
  <c r="BO211" i="11"/>
  <c r="BO212" i="11"/>
  <c r="BO213" i="11"/>
  <c r="BO214" i="11"/>
  <c r="BO215" i="11"/>
  <c r="BO216" i="11"/>
  <c r="BO217" i="11"/>
  <c r="BO218" i="11"/>
  <c r="BO219" i="11"/>
  <c r="BO220" i="11"/>
  <c r="BO221" i="11"/>
  <c r="BO222" i="11"/>
  <c r="BO223" i="11"/>
  <c r="BO224" i="11"/>
  <c r="BO225" i="11"/>
  <c r="BO226" i="11"/>
  <c r="BO227" i="11"/>
  <c r="BO228" i="11"/>
  <c r="BO229" i="11"/>
  <c r="BO230" i="11"/>
  <c r="BO231" i="11"/>
  <c r="BO232" i="11"/>
  <c r="BO233" i="11"/>
  <c r="BO234" i="11"/>
  <c r="BO235" i="11"/>
  <c r="BO236" i="11"/>
  <c r="BO237" i="11"/>
  <c r="BO238" i="11"/>
  <c r="BN211" i="11"/>
  <c r="AS178" i="11" s="1"/>
  <c r="BN212" i="11"/>
  <c r="AS179" i="11" s="1"/>
  <c r="BN213" i="11"/>
  <c r="AS180" i="11" s="1"/>
  <c r="BN214" i="11"/>
  <c r="AS181" i="11" s="1"/>
  <c r="BN215" i="11"/>
  <c r="AS182" i="11" s="1"/>
  <c r="AS183" i="11"/>
  <c r="BN217" i="11"/>
  <c r="AS184" i="11" s="1"/>
  <c r="BN218" i="11"/>
  <c r="AS185" i="11" s="1"/>
  <c r="BN219" i="11"/>
  <c r="AS186" i="11" s="1"/>
  <c r="BN220" i="11"/>
  <c r="AS187" i="11" s="1"/>
  <c r="BN221" i="11"/>
  <c r="AS188" i="11" s="1"/>
  <c r="BN222" i="11"/>
  <c r="AS189" i="11" s="1"/>
  <c r="BN223" i="11"/>
  <c r="AS190" i="11" s="1"/>
  <c r="BN224" i="11"/>
  <c r="AS191" i="11" s="1"/>
  <c r="BN226" i="11"/>
  <c r="BN227" i="11"/>
  <c r="BN228" i="11"/>
  <c r="BN229" i="11"/>
  <c r="BN230" i="11"/>
  <c r="BN231" i="11"/>
  <c r="BN232" i="11"/>
  <c r="BN233" i="11"/>
  <c r="BN234" i="11"/>
  <c r="BN235" i="11"/>
  <c r="BN236" i="11"/>
  <c r="BN237" i="11"/>
  <c r="BN238" i="11"/>
  <c r="BM211" i="11"/>
  <c r="BM212" i="11"/>
  <c r="BM213" i="11"/>
  <c r="BM214" i="11"/>
  <c r="BM215" i="11"/>
  <c r="BM216" i="11"/>
  <c r="BM217" i="11"/>
  <c r="BM218" i="11"/>
  <c r="BM219" i="11"/>
  <c r="BM220" i="11"/>
  <c r="BM221" i="11"/>
  <c r="BM222" i="11"/>
  <c r="BM223" i="11"/>
  <c r="BM224" i="11"/>
  <c r="BM225" i="11"/>
  <c r="BM226" i="11"/>
  <c r="BM227" i="11"/>
  <c r="BM228" i="11"/>
  <c r="BM229" i="11"/>
  <c r="BM230" i="11"/>
  <c r="BM231" i="11"/>
  <c r="BM232" i="11"/>
  <c r="BM233" i="11"/>
  <c r="BM234" i="11"/>
  <c r="BM235" i="11"/>
  <c r="BM236" i="11"/>
  <c r="BM237" i="11"/>
  <c r="BM238" i="11"/>
  <c r="BL211" i="11"/>
  <c r="AR178" i="11" s="1"/>
  <c r="BL212" i="11"/>
  <c r="AR179" i="11" s="1"/>
  <c r="BL213" i="11"/>
  <c r="AR180" i="11" s="1"/>
  <c r="BL214" i="11"/>
  <c r="AR181" i="11" s="1"/>
  <c r="BL215" i="11"/>
  <c r="AR182" i="11" s="1"/>
  <c r="BL216" i="11"/>
  <c r="AR183" i="11" s="1"/>
  <c r="BL217" i="11"/>
  <c r="AR184" i="11" s="1"/>
  <c r="BL218" i="11"/>
  <c r="AR185" i="11" s="1"/>
  <c r="BL219" i="11"/>
  <c r="AR186" i="11" s="1"/>
  <c r="BL220" i="11"/>
  <c r="AR187" i="11" s="1"/>
  <c r="BL221" i="11"/>
  <c r="AR188" i="11" s="1"/>
  <c r="BL222" i="11"/>
  <c r="AR189" i="11" s="1"/>
  <c r="BL223" i="11"/>
  <c r="AR190" i="11" s="1"/>
  <c r="BL224" i="11"/>
  <c r="AR191" i="11" s="1"/>
  <c r="BL225" i="11"/>
  <c r="AR192" i="11" s="1"/>
  <c r="BL226" i="11"/>
  <c r="AR193" i="11" s="1"/>
  <c r="BL227" i="11"/>
  <c r="AR194" i="11" s="1"/>
  <c r="BL228" i="11"/>
  <c r="AR195" i="11" s="1"/>
  <c r="BL229" i="11"/>
  <c r="AR196" i="11" s="1"/>
  <c r="BL230" i="11"/>
  <c r="AR197" i="11" s="1"/>
  <c r="BL231" i="11"/>
  <c r="AR198" i="11" s="1"/>
  <c r="BL232" i="11"/>
  <c r="AR199" i="11" s="1"/>
  <c r="BL233" i="11"/>
  <c r="AR200" i="11" s="1"/>
  <c r="BL234" i="11"/>
  <c r="AR201" i="11" s="1"/>
  <c r="BL235" i="11"/>
  <c r="AR202" i="11" s="1"/>
  <c r="BL236" i="11"/>
  <c r="AR203" i="11" s="1"/>
  <c r="BL237" i="11"/>
  <c r="AR204" i="11" s="1"/>
  <c r="BL238" i="11"/>
  <c r="AR205" i="11" s="1"/>
  <c r="BK211" i="11"/>
  <c r="BK212" i="11"/>
  <c r="BK213" i="11"/>
  <c r="BK214" i="11"/>
  <c r="BK215" i="11"/>
  <c r="BK216" i="11"/>
  <c r="BK217" i="11"/>
  <c r="BK218" i="11"/>
  <c r="BK219" i="11"/>
  <c r="BK220" i="11"/>
  <c r="BK221" i="11"/>
  <c r="BK222" i="11"/>
  <c r="BK223" i="11"/>
  <c r="BK224" i="11"/>
  <c r="BK225" i="11"/>
  <c r="BK226" i="11"/>
  <c r="BK227" i="11"/>
  <c r="BK228" i="11"/>
  <c r="BK229" i="11"/>
  <c r="BK230" i="11"/>
  <c r="BK231" i="11"/>
  <c r="BK232" i="11"/>
  <c r="BK233" i="11"/>
  <c r="BK234" i="11"/>
  <c r="BK235" i="11"/>
  <c r="BK236" i="11"/>
  <c r="BK237" i="11"/>
  <c r="BK238" i="11"/>
  <c r="BJ211" i="11"/>
  <c r="AQ178" i="11" s="1"/>
  <c r="BJ212" i="11"/>
  <c r="AQ179" i="11" s="1"/>
  <c r="BJ213" i="11"/>
  <c r="AQ180" i="11" s="1"/>
  <c r="BJ214" i="11"/>
  <c r="AQ181" i="11" s="1"/>
  <c r="BJ215" i="11"/>
  <c r="AQ182" i="11" s="1"/>
  <c r="BJ216" i="11"/>
  <c r="AQ183" i="11" s="1"/>
  <c r="BJ217" i="11"/>
  <c r="AQ184" i="11" s="1"/>
  <c r="BJ218" i="11"/>
  <c r="AQ185" i="11" s="1"/>
  <c r="BJ219" i="11"/>
  <c r="AQ186" i="11" s="1"/>
  <c r="BJ220" i="11"/>
  <c r="AQ187" i="11" s="1"/>
  <c r="BJ221" i="11"/>
  <c r="AQ188" i="11" s="1"/>
  <c r="BJ222" i="11"/>
  <c r="AQ189" i="11" s="1"/>
  <c r="BJ223" i="11"/>
  <c r="AQ190" i="11" s="1"/>
  <c r="BJ224" i="11"/>
  <c r="AQ191" i="11" s="1"/>
  <c r="BJ225" i="11"/>
  <c r="AQ192" i="11" s="1"/>
  <c r="BJ226" i="11"/>
  <c r="AQ193" i="11" s="1"/>
  <c r="BJ227" i="11"/>
  <c r="AQ194" i="11" s="1"/>
  <c r="BJ228" i="11"/>
  <c r="AQ195" i="11" s="1"/>
  <c r="BJ229" i="11"/>
  <c r="AQ196" i="11" s="1"/>
  <c r="BJ230" i="11"/>
  <c r="AQ197" i="11" s="1"/>
  <c r="BJ231" i="11"/>
  <c r="AQ198" i="11" s="1"/>
  <c r="BJ232" i="11"/>
  <c r="AQ199" i="11" s="1"/>
  <c r="BJ233" i="11"/>
  <c r="AQ200" i="11" s="1"/>
  <c r="BJ234" i="11"/>
  <c r="AQ201" i="11" s="1"/>
  <c r="BJ235" i="11"/>
  <c r="AQ202" i="11" s="1"/>
  <c r="BJ236" i="11"/>
  <c r="AQ203" i="11" s="1"/>
  <c r="BJ237" i="11"/>
  <c r="AQ204" i="11" s="1"/>
  <c r="BJ238" i="11"/>
  <c r="AQ205" i="11" s="1"/>
  <c r="BI211" i="11"/>
  <c r="BI212" i="11"/>
  <c r="BI213" i="11"/>
  <c r="BI214" i="11"/>
  <c r="BI215" i="11"/>
  <c r="BI216" i="11"/>
  <c r="BI217" i="11"/>
  <c r="BI218" i="11"/>
  <c r="BI219" i="11"/>
  <c r="BI220" i="11"/>
  <c r="BI221" i="11"/>
  <c r="BI222" i="11"/>
  <c r="BI223" i="11"/>
  <c r="BI224" i="11"/>
  <c r="BI225" i="11"/>
  <c r="BI226" i="11"/>
  <c r="BI227" i="11"/>
  <c r="BI228" i="11"/>
  <c r="BI229" i="11"/>
  <c r="BI230" i="11"/>
  <c r="BI231" i="11"/>
  <c r="BI232" i="11"/>
  <c r="BI233" i="11"/>
  <c r="BI234" i="11"/>
  <c r="BI235" i="11"/>
  <c r="BI236" i="11"/>
  <c r="BI237" i="11"/>
  <c r="BI238" i="11"/>
  <c r="BH211" i="11"/>
  <c r="AP178" i="11" s="1"/>
  <c r="BH212" i="11"/>
  <c r="AP179" i="11" s="1"/>
  <c r="BH213" i="11"/>
  <c r="AP180" i="11" s="1"/>
  <c r="BH214" i="11"/>
  <c r="AP181" i="11" s="1"/>
  <c r="BH215" i="11"/>
  <c r="AP182" i="11" s="1"/>
  <c r="BH216" i="11"/>
  <c r="AP183" i="11" s="1"/>
  <c r="BH217" i="11"/>
  <c r="AP184" i="11" s="1"/>
  <c r="BH218" i="11"/>
  <c r="AP185" i="11" s="1"/>
  <c r="BH219" i="11"/>
  <c r="AP186" i="11" s="1"/>
  <c r="BH220" i="11"/>
  <c r="AP187" i="11" s="1"/>
  <c r="BH221" i="11"/>
  <c r="AP188" i="11" s="1"/>
  <c r="BH222" i="11"/>
  <c r="AP189" i="11" s="1"/>
  <c r="BH223" i="11"/>
  <c r="AP190" i="11" s="1"/>
  <c r="BH224" i="11"/>
  <c r="AP191" i="11" s="1"/>
  <c r="BH225" i="11"/>
  <c r="AP192" i="11" s="1"/>
  <c r="BH226" i="11"/>
  <c r="AP193" i="11" s="1"/>
  <c r="BH227" i="11"/>
  <c r="AP194" i="11" s="1"/>
  <c r="BH228" i="11"/>
  <c r="AP195" i="11" s="1"/>
  <c r="BH229" i="11"/>
  <c r="AP196" i="11" s="1"/>
  <c r="BH230" i="11"/>
  <c r="AP197" i="11" s="1"/>
  <c r="BH231" i="11"/>
  <c r="AP198" i="11" s="1"/>
  <c r="BH232" i="11"/>
  <c r="AP199" i="11" s="1"/>
  <c r="BH233" i="11"/>
  <c r="AP200" i="11" s="1"/>
  <c r="BH234" i="11"/>
  <c r="AP201" i="11" s="1"/>
  <c r="BH235" i="11"/>
  <c r="AP202" i="11" s="1"/>
  <c r="BH236" i="11"/>
  <c r="AP203" i="11" s="1"/>
  <c r="BH237" i="11"/>
  <c r="AP204" i="11" s="1"/>
  <c r="BH238" i="11"/>
  <c r="AP205" i="11" s="1"/>
  <c r="BG211" i="11"/>
  <c r="BG212" i="11"/>
  <c r="BG213" i="11"/>
  <c r="BG214" i="11"/>
  <c r="BG215" i="11"/>
  <c r="BG216" i="11"/>
  <c r="BG217" i="11"/>
  <c r="BG218" i="11"/>
  <c r="BG219" i="11"/>
  <c r="BG220" i="11"/>
  <c r="BG221" i="11"/>
  <c r="BG222" i="11"/>
  <c r="BG223" i="11"/>
  <c r="BG224" i="11"/>
  <c r="BG225" i="11"/>
  <c r="BG226" i="11"/>
  <c r="BG227" i="11"/>
  <c r="BG228" i="11"/>
  <c r="BG229" i="11"/>
  <c r="BG230" i="11"/>
  <c r="BG231" i="11"/>
  <c r="BG232" i="11"/>
  <c r="BG233" i="11"/>
  <c r="BG234" i="11"/>
  <c r="BG235" i="11"/>
  <c r="BG236" i="11"/>
  <c r="BG237" i="11"/>
  <c r="BG238" i="11"/>
  <c r="BF211" i="11"/>
  <c r="AO178" i="11" s="1"/>
  <c r="BF212" i="11"/>
  <c r="AO179" i="11" s="1"/>
  <c r="BF213" i="11"/>
  <c r="AO180" i="11" s="1"/>
  <c r="BF214" i="11"/>
  <c r="AO181" i="11" s="1"/>
  <c r="BF215" i="11"/>
  <c r="AO182" i="11" s="1"/>
  <c r="BF216" i="11"/>
  <c r="AO183" i="11" s="1"/>
  <c r="BF217" i="11"/>
  <c r="AO184" i="11" s="1"/>
  <c r="BF218" i="11"/>
  <c r="AO185" i="11" s="1"/>
  <c r="BF219" i="11"/>
  <c r="AO186" i="11" s="1"/>
  <c r="BF220" i="11"/>
  <c r="AO187" i="11" s="1"/>
  <c r="BF221" i="11"/>
  <c r="AO188" i="11" s="1"/>
  <c r="BF222" i="11"/>
  <c r="AO189" i="11" s="1"/>
  <c r="BF223" i="11"/>
  <c r="AO190" i="11" s="1"/>
  <c r="BF224" i="11"/>
  <c r="AO191" i="11" s="1"/>
  <c r="BF225" i="11"/>
  <c r="AO192" i="11" s="1"/>
  <c r="BF226" i="11"/>
  <c r="AO193" i="11" s="1"/>
  <c r="BF227" i="11"/>
  <c r="AO194" i="11" s="1"/>
  <c r="BF228" i="11"/>
  <c r="AO195" i="11" s="1"/>
  <c r="BF229" i="11"/>
  <c r="AO196" i="11" s="1"/>
  <c r="BF230" i="11"/>
  <c r="AO197" i="11" s="1"/>
  <c r="BF231" i="11"/>
  <c r="AO198" i="11" s="1"/>
  <c r="BF232" i="11"/>
  <c r="AO199" i="11" s="1"/>
  <c r="BF233" i="11"/>
  <c r="AO200" i="11" s="1"/>
  <c r="BF234" i="11"/>
  <c r="AO201" i="11" s="1"/>
  <c r="BF235" i="11"/>
  <c r="AO202" i="11" s="1"/>
  <c r="BF236" i="11"/>
  <c r="AO203" i="11" s="1"/>
  <c r="BF237" i="11"/>
  <c r="AO204" i="11" s="1"/>
  <c r="BF238" i="11"/>
  <c r="AO205" i="11" s="1"/>
  <c r="BE211" i="11"/>
  <c r="BE212" i="11"/>
  <c r="BE213" i="11"/>
  <c r="BE214" i="11"/>
  <c r="BE215" i="11"/>
  <c r="BE216" i="11"/>
  <c r="BE217" i="11"/>
  <c r="BE218" i="11"/>
  <c r="BE219" i="11"/>
  <c r="BE220" i="11"/>
  <c r="BE221" i="11"/>
  <c r="BE222" i="11"/>
  <c r="BE223" i="11"/>
  <c r="BE224" i="11"/>
  <c r="BE225" i="11"/>
  <c r="BE226" i="11"/>
  <c r="BE227" i="11"/>
  <c r="BE228" i="11"/>
  <c r="BE229" i="11"/>
  <c r="BE230" i="11"/>
  <c r="BE231" i="11"/>
  <c r="BE232" i="11"/>
  <c r="BE233" i="11"/>
  <c r="BE234" i="11"/>
  <c r="BE235" i="11"/>
  <c r="BE236" i="11"/>
  <c r="BE237" i="11"/>
  <c r="BE238" i="11"/>
  <c r="BD211" i="11"/>
  <c r="AN178" i="11" s="1"/>
  <c r="BD212" i="11"/>
  <c r="AN179" i="11" s="1"/>
  <c r="BD213" i="11"/>
  <c r="AN180" i="11" s="1"/>
  <c r="BD214" i="11"/>
  <c r="AN181" i="11" s="1"/>
  <c r="BD215" i="11"/>
  <c r="AN182" i="11" s="1"/>
  <c r="BD216" i="11"/>
  <c r="AN183" i="11" s="1"/>
  <c r="BD217" i="11"/>
  <c r="AN184" i="11" s="1"/>
  <c r="BD218" i="11"/>
  <c r="AN185" i="11" s="1"/>
  <c r="BD219" i="11"/>
  <c r="AN186" i="11" s="1"/>
  <c r="BD220" i="11"/>
  <c r="AN187" i="11" s="1"/>
  <c r="BD221" i="11"/>
  <c r="AN188" i="11" s="1"/>
  <c r="BD222" i="11"/>
  <c r="AN189" i="11" s="1"/>
  <c r="BD223" i="11"/>
  <c r="AN190" i="11" s="1"/>
  <c r="BD224" i="11"/>
  <c r="AN191" i="11" s="1"/>
  <c r="BD225" i="11"/>
  <c r="AN192" i="11" s="1"/>
  <c r="BD226" i="11"/>
  <c r="AN193" i="11" s="1"/>
  <c r="BD227" i="11"/>
  <c r="AN194" i="11" s="1"/>
  <c r="BD228" i="11"/>
  <c r="AN195" i="11" s="1"/>
  <c r="BD229" i="11"/>
  <c r="AN196" i="11" s="1"/>
  <c r="BD230" i="11"/>
  <c r="AN197" i="11" s="1"/>
  <c r="BD231" i="11"/>
  <c r="AN198" i="11" s="1"/>
  <c r="BD232" i="11"/>
  <c r="AN199" i="11" s="1"/>
  <c r="BD233" i="11"/>
  <c r="AN200" i="11" s="1"/>
  <c r="BD234" i="11"/>
  <c r="AN201" i="11" s="1"/>
  <c r="BD235" i="11"/>
  <c r="AN202" i="11" s="1"/>
  <c r="BD236" i="11"/>
  <c r="AN203" i="11" s="1"/>
  <c r="BD237" i="11"/>
  <c r="AN204" i="11" s="1"/>
  <c r="BD238" i="11"/>
  <c r="AN205" i="11" s="1"/>
  <c r="BC211" i="11"/>
  <c r="BC212" i="11"/>
  <c r="BC213" i="11"/>
  <c r="BC214" i="11"/>
  <c r="BC215" i="11"/>
  <c r="BC216" i="11"/>
  <c r="BC217" i="11"/>
  <c r="BC218" i="11"/>
  <c r="BC219" i="11"/>
  <c r="BC220" i="11"/>
  <c r="BC221" i="11"/>
  <c r="BC222" i="11"/>
  <c r="BC223" i="11"/>
  <c r="BC224" i="11"/>
  <c r="BC225" i="11"/>
  <c r="BC226" i="11"/>
  <c r="BC227" i="11"/>
  <c r="BC228" i="11"/>
  <c r="BC229" i="11"/>
  <c r="BC230" i="11"/>
  <c r="BC231" i="11"/>
  <c r="BC232" i="11"/>
  <c r="BC233" i="11"/>
  <c r="BC234" i="11"/>
  <c r="BC235" i="11"/>
  <c r="BC236" i="11"/>
  <c r="BC237" i="11"/>
  <c r="BC238" i="11"/>
  <c r="BB211" i="11"/>
  <c r="AM178" i="11" s="1"/>
  <c r="BB212" i="11"/>
  <c r="AM179" i="11" s="1"/>
  <c r="BB213" i="11"/>
  <c r="AM180" i="11" s="1"/>
  <c r="BB214" i="11"/>
  <c r="AM181" i="11" s="1"/>
  <c r="BB215" i="11"/>
  <c r="AM182" i="11" s="1"/>
  <c r="BB216" i="11"/>
  <c r="AM183" i="11" s="1"/>
  <c r="BB217" i="11"/>
  <c r="AM184" i="11" s="1"/>
  <c r="BB218" i="11"/>
  <c r="AM185" i="11" s="1"/>
  <c r="BB219" i="11"/>
  <c r="AM186" i="11" s="1"/>
  <c r="BB220" i="11"/>
  <c r="AM187" i="11" s="1"/>
  <c r="BB221" i="11"/>
  <c r="AM188" i="11" s="1"/>
  <c r="BB222" i="11"/>
  <c r="AM189" i="11" s="1"/>
  <c r="BB223" i="11"/>
  <c r="AM190" i="11" s="1"/>
  <c r="BB224" i="11"/>
  <c r="AM191" i="11" s="1"/>
  <c r="BB225" i="11"/>
  <c r="AM192" i="11" s="1"/>
  <c r="BB226" i="11"/>
  <c r="AM193" i="11" s="1"/>
  <c r="BB227" i="11"/>
  <c r="AM194" i="11" s="1"/>
  <c r="BB228" i="11"/>
  <c r="AM195" i="11" s="1"/>
  <c r="BB229" i="11"/>
  <c r="AM196" i="11" s="1"/>
  <c r="BB230" i="11"/>
  <c r="AM197" i="11" s="1"/>
  <c r="BB231" i="11"/>
  <c r="AM198" i="11" s="1"/>
  <c r="BB232" i="11"/>
  <c r="AM199" i="11" s="1"/>
  <c r="BB233" i="11"/>
  <c r="AM200" i="11" s="1"/>
  <c r="BB234" i="11"/>
  <c r="AM201" i="11" s="1"/>
  <c r="BB235" i="11"/>
  <c r="AM202" i="11" s="1"/>
  <c r="BB236" i="11"/>
  <c r="AM203" i="11" s="1"/>
  <c r="BB237" i="11"/>
  <c r="AM204" i="11" s="1"/>
  <c r="BB238" i="11"/>
  <c r="AM205" i="11" s="1"/>
  <c r="BA211" i="11"/>
  <c r="BA212" i="11"/>
  <c r="BA213" i="11"/>
  <c r="BA214" i="11"/>
  <c r="BA215" i="11"/>
  <c r="BA216" i="11"/>
  <c r="BA217" i="11"/>
  <c r="BA218" i="11"/>
  <c r="BA219" i="11"/>
  <c r="BA220" i="11"/>
  <c r="BA221" i="11"/>
  <c r="BA222" i="11"/>
  <c r="BA223" i="11"/>
  <c r="BA224" i="11"/>
  <c r="BA225" i="11"/>
  <c r="BA226" i="11"/>
  <c r="BA227" i="11"/>
  <c r="BA228" i="11"/>
  <c r="BA229" i="11"/>
  <c r="BA230" i="11"/>
  <c r="BA231" i="11"/>
  <c r="BA232" i="11"/>
  <c r="BA233" i="11"/>
  <c r="BA234" i="11"/>
  <c r="BA235" i="11"/>
  <c r="BA236" i="11"/>
  <c r="BA237" i="11"/>
  <c r="BA238" i="11"/>
  <c r="AZ211" i="11"/>
  <c r="AL178" i="11" s="1"/>
  <c r="AZ212" i="11"/>
  <c r="AL179" i="11" s="1"/>
  <c r="AZ213" i="11"/>
  <c r="AL180" i="11" s="1"/>
  <c r="AZ214" i="11"/>
  <c r="AL181" i="11" s="1"/>
  <c r="AZ215" i="11"/>
  <c r="AL182" i="11" s="1"/>
  <c r="AZ216" i="11"/>
  <c r="AL183" i="11" s="1"/>
  <c r="AZ217" i="11"/>
  <c r="AL184" i="11" s="1"/>
  <c r="AZ218" i="11"/>
  <c r="AL185" i="11" s="1"/>
  <c r="AZ219" i="11"/>
  <c r="AL186" i="11" s="1"/>
  <c r="AZ220" i="11"/>
  <c r="AL187" i="11" s="1"/>
  <c r="AZ221" i="11"/>
  <c r="AL188" i="11" s="1"/>
  <c r="AZ222" i="11"/>
  <c r="AL189" i="11" s="1"/>
  <c r="AZ223" i="11"/>
  <c r="AL190" i="11" s="1"/>
  <c r="AZ224" i="11"/>
  <c r="AL191" i="11" s="1"/>
  <c r="AZ225" i="11"/>
  <c r="AL192" i="11" s="1"/>
  <c r="AZ226" i="11"/>
  <c r="AL193" i="11" s="1"/>
  <c r="AZ227" i="11"/>
  <c r="AL194" i="11" s="1"/>
  <c r="AZ228" i="11"/>
  <c r="AL195" i="11" s="1"/>
  <c r="AZ229" i="11"/>
  <c r="AL196" i="11" s="1"/>
  <c r="AZ230" i="11"/>
  <c r="AL197" i="11" s="1"/>
  <c r="AZ231" i="11"/>
  <c r="AL198" i="11" s="1"/>
  <c r="AZ232" i="11"/>
  <c r="AL199" i="11" s="1"/>
  <c r="AZ233" i="11"/>
  <c r="AL200" i="11" s="1"/>
  <c r="AZ234" i="11"/>
  <c r="AL201" i="11" s="1"/>
  <c r="AZ235" i="11"/>
  <c r="AL202" i="11" s="1"/>
  <c r="AZ236" i="11"/>
  <c r="AL203" i="11" s="1"/>
  <c r="AZ237" i="11"/>
  <c r="AL204" i="11" s="1"/>
  <c r="AZ238" i="11"/>
  <c r="AL205" i="11" s="1"/>
  <c r="AY211" i="11"/>
  <c r="AY212" i="11"/>
  <c r="AY213" i="11"/>
  <c r="AY214" i="11"/>
  <c r="AY215" i="11"/>
  <c r="AY216" i="11"/>
  <c r="AY217" i="11"/>
  <c r="AY218" i="11"/>
  <c r="AY219" i="11"/>
  <c r="AY220" i="11"/>
  <c r="AY221" i="11"/>
  <c r="AY222" i="11"/>
  <c r="AY223" i="11"/>
  <c r="AY224" i="11"/>
  <c r="AY225" i="11"/>
  <c r="AY226" i="11"/>
  <c r="AY227" i="11"/>
  <c r="AY228" i="11"/>
  <c r="AY229" i="11"/>
  <c r="AY230" i="11"/>
  <c r="AY231" i="11"/>
  <c r="AY232" i="11"/>
  <c r="AY233" i="11"/>
  <c r="AY234" i="11"/>
  <c r="AY235" i="11"/>
  <c r="AY236" i="11"/>
  <c r="AY237" i="11"/>
  <c r="AY238" i="11"/>
  <c r="AX211" i="11"/>
  <c r="AK178" i="11" s="1"/>
  <c r="AX212" i="11"/>
  <c r="AK179" i="11" s="1"/>
  <c r="AX213" i="11"/>
  <c r="AK180" i="11" s="1"/>
  <c r="AX214" i="11"/>
  <c r="AK181" i="11" s="1"/>
  <c r="AX215" i="11"/>
  <c r="AK182" i="11" s="1"/>
  <c r="AX216" i="11"/>
  <c r="AK183" i="11" s="1"/>
  <c r="AX217" i="11"/>
  <c r="AK184" i="11" s="1"/>
  <c r="AX218" i="11"/>
  <c r="AK185" i="11" s="1"/>
  <c r="AX219" i="11"/>
  <c r="AK186" i="11" s="1"/>
  <c r="AX220" i="11"/>
  <c r="AK187" i="11" s="1"/>
  <c r="AX221" i="11"/>
  <c r="AK188" i="11" s="1"/>
  <c r="AX222" i="11"/>
  <c r="AK189" i="11" s="1"/>
  <c r="AX223" i="11"/>
  <c r="AK190" i="11" s="1"/>
  <c r="AX224" i="11"/>
  <c r="AK191" i="11" s="1"/>
  <c r="AX225" i="11"/>
  <c r="AK192" i="11" s="1"/>
  <c r="AX226" i="11"/>
  <c r="AK193" i="11" s="1"/>
  <c r="AX227" i="11"/>
  <c r="AK194" i="11" s="1"/>
  <c r="AX228" i="11"/>
  <c r="AK195" i="11" s="1"/>
  <c r="AX229" i="11"/>
  <c r="AK196" i="11" s="1"/>
  <c r="AX230" i="11"/>
  <c r="AK197" i="11" s="1"/>
  <c r="AX231" i="11"/>
  <c r="AK198" i="11" s="1"/>
  <c r="AX232" i="11"/>
  <c r="AK199" i="11" s="1"/>
  <c r="AX233" i="11"/>
  <c r="AK200" i="11" s="1"/>
  <c r="AX234" i="11"/>
  <c r="AK201" i="11" s="1"/>
  <c r="AX235" i="11"/>
  <c r="AK202" i="11" s="1"/>
  <c r="AX236" i="11"/>
  <c r="AK203" i="11" s="1"/>
  <c r="AX237" i="11"/>
  <c r="AK204" i="11" s="1"/>
  <c r="AX238" i="11"/>
  <c r="AK205" i="11" s="1"/>
  <c r="AW211" i="11"/>
  <c r="AW212" i="11"/>
  <c r="AW213" i="11"/>
  <c r="AW214" i="11"/>
  <c r="AW215" i="11"/>
  <c r="AW216" i="11"/>
  <c r="AW217" i="11"/>
  <c r="AW218" i="11"/>
  <c r="AW219" i="11"/>
  <c r="AW220" i="11"/>
  <c r="AW221" i="11"/>
  <c r="AW222" i="11"/>
  <c r="AW223" i="11"/>
  <c r="AW224" i="11"/>
  <c r="AW225" i="11"/>
  <c r="AW226" i="11"/>
  <c r="AW227" i="11"/>
  <c r="AW228" i="11"/>
  <c r="AW229" i="11"/>
  <c r="AW230" i="11"/>
  <c r="AW231" i="11"/>
  <c r="AW232" i="11"/>
  <c r="AW233" i="11"/>
  <c r="AW235" i="11"/>
  <c r="AW236" i="11"/>
  <c r="AW237" i="11"/>
  <c r="AW238" i="11"/>
  <c r="AV211" i="11"/>
  <c r="AV212" i="11"/>
  <c r="AV213" i="11"/>
  <c r="AJ180" i="11" s="1"/>
  <c r="AV214" i="11"/>
  <c r="AV215" i="11"/>
  <c r="AV216" i="11"/>
  <c r="AV217" i="11"/>
  <c r="AJ184" i="11" s="1"/>
  <c r="AV218" i="11"/>
  <c r="AV219" i="11"/>
  <c r="AV220" i="11"/>
  <c r="AV221" i="11"/>
  <c r="AJ188" i="11" s="1"/>
  <c r="AV222" i="11"/>
  <c r="AV223" i="11"/>
  <c r="AV224" i="11"/>
  <c r="AV225" i="11"/>
  <c r="AJ192" i="11" s="1"/>
  <c r="AV226" i="11"/>
  <c r="AV227" i="11"/>
  <c r="AV228" i="11"/>
  <c r="AV229" i="11"/>
  <c r="AJ196" i="11" s="1"/>
  <c r="AV230" i="11"/>
  <c r="AV231" i="11"/>
  <c r="AV232" i="11"/>
  <c r="AV233" i="11"/>
  <c r="AJ200" i="11" s="1"/>
  <c r="AV234" i="11"/>
  <c r="AJ201" i="11" s="1"/>
  <c r="AV235" i="11"/>
  <c r="AJ202" i="11" s="1"/>
  <c r="AV236" i="11"/>
  <c r="AJ203" i="11" s="1"/>
  <c r="AV237" i="11"/>
  <c r="AJ204" i="11" s="1"/>
  <c r="AV238" i="11"/>
  <c r="AJ205" i="11" s="1"/>
  <c r="AU211" i="11"/>
  <c r="AU212" i="11"/>
  <c r="AU213" i="11"/>
  <c r="AU214" i="11"/>
  <c r="AU215" i="11"/>
  <c r="AU216" i="11"/>
  <c r="AU217" i="11"/>
  <c r="AU218" i="11"/>
  <c r="AU219" i="11"/>
  <c r="AU220" i="11"/>
  <c r="AU221" i="11"/>
  <c r="AU222" i="11"/>
  <c r="AU223" i="11"/>
  <c r="AU224" i="11"/>
  <c r="AU225" i="11"/>
  <c r="AU226" i="11"/>
  <c r="AU227" i="11"/>
  <c r="AU228" i="11"/>
  <c r="AU229" i="11"/>
  <c r="AU230" i="11"/>
  <c r="AU231" i="11"/>
  <c r="AU232" i="11"/>
  <c r="AU233" i="11"/>
  <c r="AU234" i="11"/>
  <c r="AU235" i="11"/>
  <c r="AU236" i="11"/>
  <c r="AU237" i="11"/>
  <c r="AU238" i="11"/>
  <c r="AT211" i="11"/>
  <c r="AI178" i="11" s="1"/>
  <c r="AT212" i="11"/>
  <c r="AI179" i="11" s="1"/>
  <c r="AT213" i="11"/>
  <c r="AI180" i="11" s="1"/>
  <c r="AT214" i="11"/>
  <c r="AI181" i="11" s="1"/>
  <c r="AT215" i="11"/>
  <c r="AI182" i="11" s="1"/>
  <c r="AT216" i="11"/>
  <c r="AI183" i="11" s="1"/>
  <c r="AT217" i="11"/>
  <c r="AI184" i="11" s="1"/>
  <c r="AT218" i="11"/>
  <c r="AI185" i="11" s="1"/>
  <c r="AT219" i="11"/>
  <c r="AI186" i="11" s="1"/>
  <c r="AT220" i="11"/>
  <c r="AI187" i="11" s="1"/>
  <c r="AT221" i="11"/>
  <c r="AI188" i="11" s="1"/>
  <c r="AT222" i="11"/>
  <c r="AI189" i="11" s="1"/>
  <c r="AT223" i="11"/>
  <c r="AI190" i="11" s="1"/>
  <c r="AT224" i="11"/>
  <c r="AI191" i="11" s="1"/>
  <c r="AT225" i="11"/>
  <c r="AI192" i="11" s="1"/>
  <c r="AT226" i="11"/>
  <c r="AI193" i="11" s="1"/>
  <c r="AT227" i="11"/>
  <c r="AI194" i="11" s="1"/>
  <c r="AT228" i="11"/>
  <c r="AI195" i="11" s="1"/>
  <c r="AT229" i="11"/>
  <c r="AI196" i="11" s="1"/>
  <c r="AT230" i="11"/>
  <c r="AI197" i="11" s="1"/>
  <c r="AT231" i="11"/>
  <c r="AI198" i="11" s="1"/>
  <c r="AT232" i="11"/>
  <c r="AI199" i="11" s="1"/>
  <c r="AT233" i="11"/>
  <c r="AI200" i="11" s="1"/>
  <c r="AT234" i="11"/>
  <c r="AI201" i="11" s="1"/>
  <c r="AT235" i="11"/>
  <c r="AI202" i="11" s="1"/>
  <c r="AT236" i="11"/>
  <c r="AI203" i="11" s="1"/>
  <c r="AT237" i="11"/>
  <c r="AI204" i="11" s="1"/>
  <c r="AT238" i="11"/>
  <c r="AI205" i="11" s="1"/>
  <c r="AS211" i="11"/>
  <c r="AS212" i="11"/>
  <c r="AS213" i="11"/>
  <c r="AS214" i="11"/>
  <c r="AS215" i="11"/>
  <c r="AS216" i="11"/>
  <c r="AS217" i="11"/>
  <c r="AS218" i="11"/>
  <c r="AS219" i="11"/>
  <c r="AS220" i="11"/>
  <c r="AS221" i="11"/>
  <c r="AS222" i="11"/>
  <c r="AS223" i="11"/>
  <c r="AS224" i="11"/>
  <c r="AS225" i="11"/>
  <c r="AS226" i="11"/>
  <c r="AS227" i="11"/>
  <c r="AS228" i="11"/>
  <c r="AS229" i="11"/>
  <c r="AS230" i="11"/>
  <c r="AS231" i="11"/>
  <c r="AS232" i="11"/>
  <c r="AS233" i="11"/>
  <c r="AS234" i="11"/>
  <c r="AS235" i="11"/>
  <c r="AS236" i="11"/>
  <c r="AS237" i="11"/>
  <c r="AS238" i="11"/>
  <c r="AR211" i="11"/>
  <c r="AH178" i="11" s="1"/>
  <c r="AR212" i="11"/>
  <c r="AH179" i="11" s="1"/>
  <c r="AR213" i="11"/>
  <c r="AH180" i="11" s="1"/>
  <c r="AR214" i="11"/>
  <c r="AH181" i="11" s="1"/>
  <c r="AR215" i="11"/>
  <c r="AH182" i="11" s="1"/>
  <c r="AR216" i="11"/>
  <c r="AH183" i="11" s="1"/>
  <c r="AR217" i="11"/>
  <c r="AH184" i="11" s="1"/>
  <c r="AR218" i="11"/>
  <c r="AH185" i="11" s="1"/>
  <c r="AR219" i="11"/>
  <c r="AH186" i="11" s="1"/>
  <c r="AR220" i="11"/>
  <c r="AH187" i="11" s="1"/>
  <c r="AR221" i="11"/>
  <c r="AH188" i="11" s="1"/>
  <c r="AR222" i="11"/>
  <c r="AH189" i="11" s="1"/>
  <c r="AR223" i="11"/>
  <c r="AH190" i="11" s="1"/>
  <c r="AR224" i="11"/>
  <c r="AH191" i="11" s="1"/>
  <c r="AR225" i="11"/>
  <c r="AH192" i="11" s="1"/>
  <c r="AR226" i="11"/>
  <c r="AH193" i="11" s="1"/>
  <c r="AR227" i="11"/>
  <c r="AH194" i="11" s="1"/>
  <c r="AR228" i="11"/>
  <c r="AH195" i="11" s="1"/>
  <c r="AR229" i="11"/>
  <c r="AH196" i="11" s="1"/>
  <c r="AR230" i="11"/>
  <c r="AH197" i="11" s="1"/>
  <c r="AR231" i="11"/>
  <c r="AH198" i="11" s="1"/>
  <c r="AR232" i="11"/>
  <c r="AH199" i="11" s="1"/>
  <c r="AR233" i="11"/>
  <c r="AH200" i="11" s="1"/>
  <c r="AR234" i="11"/>
  <c r="AH201" i="11" s="1"/>
  <c r="AR235" i="11"/>
  <c r="AH202" i="11" s="1"/>
  <c r="AR236" i="11"/>
  <c r="AH203" i="11" s="1"/>
  <c r="AR237" i="11"/>
  <c r="AH204" i="11" s="1"/>
  <c r="AR238" i="11"/>
  <c r="AH205" i="11" s="1"/>
  <c r="AQ211" i="11"/>
  <c r="AQ212" i="11"/>
  <c r="AQ213" i="11"/>
  <c r="AQ214" i="11"/>
  <c r="AQ215" i="11"/>
  <c r="AQ216" i="11"/>
  <c r="AQ217" i="11"/>
  <c r="AQ218" i="11"/>
  <c r="AQ219" i="11"/>
  <c r="AQ220" i="11"/>
  <c r="AQ221" i="11"/>
  <c r="AQ222" i="11"/>
  <c r="AQ223" i="11"/>
  <c r="AQ224" i="11"/>
  <c r="AQ225" i="11"/>
  <c r="AQ226" i="11"/>
  <c r="AQ227" i="11"/>
  <c r="AQ228" i="11"/>
  <c r="AQ229" i="11"/>
  <c r="AQ230" i="11"/>
  <c r="AQ231" i="11"/>
  <c r="AQ232" i="11"/>
  <c r="AQ233" i="11"/>
  <c r="AQ234" i="11"/>
  <c r="AQ235" i="11"/>
  <c r="AQ236" i="11"/>
  <c r="AQ237" i="11"/>
  <c r="AQ238" i="11"/>
  <c r="AP211" i="11"/>
  <c r="AG178" i="11" s="1"/>
  <c r="AP212" i="11"/>
  <c r="AG179" i="11" s="1"/>
  <c r="AP213" i="11"/>
  <c r="AG180" i="11" s="1"/>
  <c r="AP214" i="11"/>
  <c r="AG181" i="11" s="1"/>
  <c r="AP215" i="11"/>
  <c r="AG182" i="11" s="1"/>
  <c r="AP216" i="11"/>
  <c r="AG183" i="11" s="1"/>
  <c r="AP217" i="11"/>
  <c r="AG184" i="11" s="1"/>
  <c r="AP218" i="11"/>
  <c r="AG185" i="11" s="1"/>
  <c r="AP219" i="11"/>
  <c r="AG186" i="11" s="1"/>
  <c r="AP220" i="11"/>
  <c r="AG187" i="11" s="1"/>
  <c r="AP221" i="11"/>
  <c r="AG188" i="11" s="1"/>
  <c r="AP222" i="11"/>
  <c r="AG189" i="11" s="1"/>
  <c r="AP223" i="11"/>
  <c r="AG190" i="11" s="1"/>
  <c r="AP224" i="11"/>
  <c r="AG191" i="11" s="1"/>
  <c r="AP225" i="11"/>
  <c r="AG192" i="11" s="1"/>
  <c r="AP226" i="11"/>
  <c r="AG193" i="11" s="1"/>
  <c r="AP227" i="11"/>
  <c r="AG194" i="11" s="1"/>
  <c r="AP228" i="11"/>
  <c r="AG195" i="11" s="1"/>
  <c r="AP229" i="11"/>
  <c r="AG196" i="11" s="1"/>
  <c r="AP230" i="11"/>
  <c r="AG197" i="11" s="1"/>
  <c r="AP231" i="11"/>
  <c r="AG198" i="11" s="1"/>
  <c r="AP232" i="11"/>
  <c r="AG199" i="11" s="1"/>
  <c r="AP233" i="11"/>
  <c r="AG200" i="11" s="1"/>
  <c r="AP234" i="11"/>
  <c r="AG201" i="11" s="1"/>
  <c r="AP235" i="11"/>
  <c r="AG202" i="11" s="1"/>
  <c r="AP236" i="11"/>
  <c r="AG203" i="11" s="1"/>
  <c r="AP237" i="11"/>
  <c r="AG204" i="11" s="1"/>
  <c r="AP238" i="11"/>
  <c r="AG205" i="11" s="1"/>
  <c r="AO213" i="11"/>
  <c r="AO214" i="11"/>
  <c r="AO215" i="11"/>
  <c r="AO216" i="11"/>
  <c r="AO217" i="11"/>
  <c r="AO218" i="11"/>
  <c r="AO219" i="11"/>
  <c r="AO220" i="11"/>
  <c r="AO221" i="11"/>
  <c r="AO222" i="11"/>
  <c r="AO223" i="11"/>
  <c r="AO224" i="11"/>
  <c r="AO225" i="11"/>
  <c r="AO226" i="11"/>
  <c r="AO227" i="11"/>
  <c r="AO228" i="11"/>
  <c r="AO229" i="11"/>
  <c r="AO230" i="11"/>
  <c r="AO231" i="11"/>
  <c r="AO232" i="11"/>
  <c r="AO233" i="11"/>
  <c r="AO234" i="11"/>
  <c r="AO235" i="11"/>
  <c r="AO236" i="11"/>
  <c r="AO237" i="11"/>
  <c r="AO238" i="11"/>
  <c r="AF178" i="11"/>
  <c r="AN212" i="11"/>
  <c r="AF179" i="11" s="1"/>
  <c r="AN213" i="11"/>
  <c r="AF180" i="11" s="1"/>
  <c r="AN214" i="11"/>
  <c r="AF181" i="11" s="1"/>
  <c r="AN216" i="11"/>
  <c r="AF183" i="11" s="1"/>
  <c r="AN217" i="11"/>
  <c r="AN218" i="11"/>
  <c r="AN219" i="11"/>
  <c r="AN220" i="11"/>
  <c r="AF187" i="11" s="1"/>
  <c r="AN221" i="11"/>
  <c r="AN222" i="11"/>
  <c r="AN223" i="11"/>
  <c r="AN224" i="11"/>
  <c r="AF191" i="11" s="1"/>
  <c r="AN225" i="11"/>
  <c r="AN226" i="11"/>
  <c r="AN227" i="11"/>
  <c r="AN228" i="11"/>
  <c r="AF195" i="11" s="1"/>
  <c r="AN229" i="11"/>
  <c r="AN230" i="11"/>
  <c r="AN231" i="11"/>
  <c r="AN232" i="11"/>
  <c r="AF199" i="11" s="1"/>
  <c r="AN233" i="11"/>
  <c r="AN234" i="11"/>
  <c r="AN235" i="11"/>
  <c r="AN236" i="11"/>
  <c r="AF203" i="11" s="1"/>
  <c r="AN237" i="11"/>
  <c r="AN238" i="11"/>
  <c r="AM211" i="11"/>
  <c r="AM212" i="11"/>
  <c r="AM213" i="11"/>
  <c r="AM214" i="11"/>
  <c r="AM215" i="11"/>
  <c r="AM216" i="11"/>
  <c r="AM217" i="11"/>
  <c r="AM218" i="11"/>
  <c r="AM219" i="11"/>
  <c r="AM220" i="11"/>
  <c r="AM221" i="11"/>
  <c r="AM222" i="11"/>
  <c r="AM223" i="11"/>
  <c r="AM224" i="11"/>
  <c r="AM225" i="11"/>
  <c r="AM226" i="11"/>
  <c r="AM227" i="11"/>
  <c r="AM228" i="11"/>
  <c r="AM229" i="11"/>
  <c r="AM230" i="11"/>
  <c r="AM231" i="11"/>
  <c r="AM232" i="11"/>
  <c r="AM233" i="11"/>
  <c r="AM234" i="11"/>
  <c r="AM235" i="11"/>
  <c r="AM236" i="11"/>
  <c r="AM237" i="11"/>
  <c r="AM238" i="11"/>
  <c r="AL211" i="11"/>
  <c r="AE178" i="11" s="1"/>
  <c r="AL212" i="11"/>
  <c r="AE179" i="11" s="1"/>
  <c r="AL213" i="11"/>
  <c r="AE180" i="11" s="1"/>
  <c r="AL214" i="11"/>
  <c r="AE181" i="11" s="1"/>
  <c r="AL215" i="11"/>
  <c r="AE182" i="11" s="1"/>
  <c r="AL216" i="11"/>
  <c r="AE183" i="11" s="1"/>
  <c r="AL217" i="11"/>
  <c r="AE184" i="11" s="1"/>
  <c r="AL218" i="11"/>
  <c r="AE185" i="11" s="1"/>
  <c r="AL219" i="11"/>
  <c r="AE186" i="11" s="1"/>
  <c r="AL220" i="11"/>
  <c r="AE187" i="11" s="1"/>
  <c r="AL221" i="11"/>
  <c r="AE188" i="11" s="1"/>
  <c r="AL222" i="11"/>
  <c r="AE189" i="11" s="1"/>
  <c r="AL223" i="11"/>
  <c r="AE190" i="11" s="1"/>
  <c r="AL224" i="11"/>
  <c r="AE191" i="11" s="1"/>
  <c r="AL225" i="11"/>
  <c r="AE192" i="11" s="1"/>
  <c r="AL226" i="11"/>
  <c r="AE193" i="11" s="1"/>
  <c r="AL227" i="11"/>
  <c r="AE194" i="11" s="1"/>
  <c r="AL228" i="11"/>
  <c r="AE195" i="11" s="1"/>
  <c r="AL229" i="11"/>
  <c r="AE196" i="11" s="1"/>
  <c r="AL230" i="11"/>
  <c r="AE197" i="11" s="1"/>
  <c r="AL231" i="11"/>
  <c r="AE198" i="11" s="1"/>
  <c r="AL232" i="11"/>
  <c r="AE199" i="11" s="1"/>
  <c r="AL233" i="11"/>
  <c r="AE200" i="11" s="1"/>
  <c r="AL234" i="11"/>
  <c r="AE201" i="11" s="1"/>
  <c r="AL235" i="11"/>
  <c r="AE202" i="11" s="1"/>
  <c r="AL236" i="11"/>
  <c r="AE203" i="11" s="1"/>
  <c r="AL237" i="11"/>
  <c r="AE204" i="11" s="1"/>
  <c r="AL238" i="11"/>
  <c r="AE205" i="11" s="1"/>
  <c r="AK211" i="11"/>
  <c r="AK212" i="11"/>
  <c r="AK213" i="11"/>
  <c r="AK214" i="11"/>
  <c r="AK215" i="11"/>
  <c r="AK216" i="11"/>
  <c r="AK217" i="11"/>
  <c r="AK218" i="11"/>
  <c r="AK219" i="11"/>
  <c r="AK220" i="11"/>
  <c r="AK221" i="11"/>
  <c r="AK222" i="11"/>
  <c r="AK223" i="11"/>
  <c r="AK224" i="11"/>
  <c r="AK225" i="11"/>
  <c r="AK226" i="11"/>
  <c r="AK227" i="11"/>
  <c r="AK228" i="11"/>
  <c r="AK229" i="11"/>
  <c r="AK230" i="11"/>
  <c r="AK231" i="11"/>
  <c r="AK232" i="11"/>
  <c r="AK233" i="11"/>
  <c r="AK234" i="11"/>
  <c r="AK235" i="11"/>
  <c r="AK236" i="11"/>
  <c r="AK237" i="11"/>
  <c r="AK238" i="11"/>
  <c r="AJ211" i="11"/>
  <c r="AD178" i="11" s="1"/>
  <c r="AJ212" i="11"/>
  <c r="AD179" i="11" s="1"/>
  <c r="AJ213" i="11"/>
  <c r="AD180" i="11" s="1"/>
  <c r="AJ214" i="11"/>
  <c r="AD181" i="11" s="1"/>
  <c r="AJ215" i="11"/>
  <c r="AD182" i="11" s="1"/>
  <c r="AJ216" i="11"/>
  <c r="AD183" i="11" s="1"/>
  <c r="AJ217" i="11"/>
  <c r="AD184" i="11" s="1"/>
  <c r="AJ218" i="11"/>
  <c r="AD185" i="11" s="1"/>
  <c r="AJ219" i="11"/>
  <c r="AD186" i="11" s="1"/>
  <c r="AJ220" i="11"/>
  <c r="AD187" i="11" s="1"/>
  <c r="AJ221" i="11"/>
  <c r="AD188" i="11" s="1"/>
  <c r="AJ222" i="11"/>
  <c r="AD189" i="11" s="1"/>
  <c r="AJ223" i="11"/>
  <c r="AD190" i="11" s="1"/>
  <c r="AJ224" i="11"/>
  <c r="AD191" i="11" s="1"/>
  <c r="AJ225" i="11"/>
  <c r="AD192" i="11" s="1"/>
  <c r="AJ226" i="11"/>
  <c r="AD193" i="11" s="1"/>
  <c r="AJ227" i="11"/>
  <c r="AD194" i="11" s="1"/>
  <c r="AJ228" i="11"/>
  <c r="AD195" i="11" s="1"/>
  <c r="AJ229" i="11"/>
  <c r="AD196" i="11" s="1"/>
  <c r="AJ230" i="11"/>
  <c r="AD197" i="11" s="1"/>
  <c r="AJ231" i="11"/>
  <c r="AD198" i="11" s="1"/>
  <c r="AJ232" i="11"/>
  <c r="AD199" i="11" s="1"/>
  <c r="AJ233" i="11"/>
  <c r="AD200" i="11" s="1"/>
  <c r="AJ234" i="11"/>
  <c r="AD201" i="11" s="1"/>
  <c r="AJ235" i="11"/>
  <c r="AD202" i="11" s="1"/>
  <c r="AJ236" i="11"/>
  <c r="AD203" i="11" s="1"/>
  <c r="AJ237" i="11"/>
  <c r="AD204" i="11" s="1"/>
  <c r="AJ238" i="11"/>
  <c r="AD205" i="11" s="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H211" i="11"/>
  <c r="AC178" i="11" s="1"/>
  <c r="AH212" i="11"/>
  <c r="AC179" i="11" s="1"/>
  <c r="AH213" i="11"/>
  <c r="AC180" i="11" s="1"/>
  <c r="AH214" i="11"/>
  <c r="AC181" i="11" s="1"/>
  <c r="AH215" i="11"/>
  <c r="AC182" i="11" s="1"/>
  <c r="AH216" i="11"/>
  <c r="AC183" i="11" s="1"/>
  <c r="AH217" i="11"/>
  <c r="AC184" i="11" s="1"/>
  <c r="AH218" i="11"/>
  <c r="AC185" i="11" s="1"/>
  <c r="AH219" i="11"/>
  <c r="AC186" i="11" s="1"/>
  <c r="AH220" i="11"/>
  <c r="AC187" i="11" s="1"/>
  <c r="AH221" i="11"/>
  <c r="AC188" i="11" s="1"/>
  <c r="AH222" i="11"/>
  <c r="AC189" i="11" s="1"/>
  <c r="AH223" i="11"/>
  <c r="AC190" i="11" s="1"/>
  <c r="AH224" i="11"/>
  <c r="AC191" i="11" s="1"/>
  <c r="AH225" i="11"/>
  <c r="AC192" i="11" s="1"/>
  <c r="AH226" i="11"/>
  <c r="AC193" i="11" s="1"/>
  <c r="AH227" i="11"/>
  <c r="AC194" i="11" s="1"/>
  <c r="AH228" i="11"/>
  <c r="AC195" i="11" s="1"/>
  <c r="AH229" i="11"/>
  <c r="AC196" i="11" s="1"/>
  <c r="AH230" i="11"/>
  <c r="AC197" i="11" s="1"/>
  <c r="AH231" i="11"/>
  <c r="AC198" i="11" s="1"/>
  <c r="AH232" i="11"/>
  <c r="AC199" i="11" s="1"/>
  <c r="AH233" i="11"/>
  <c r="AC200" i="11" s="1"/>
  <c r="AH234" i="11"/>
  <c r="AC201" i="11" s="1"/>
  <c r="AH235" i="11"/>
  <c r="AC202" i="11" s="1"/>
  <c r="AH236" i="11"/>
  <c r="AC203" i="11" s="1"/>
  <c r="AH237" i="11"/>
  <c r="AC204" i="11" s="1"/>
  <c r="AH238" i="11"/>
  <c r="AC205" i="11" s="1"/>
  <c r="AB179" i="11"/>
  <c r="AB180" i="11"/>
  <c r="AB181" i="11"/>
  <c r="AB182" i="11"/>
  <c r="AB183" i="11"/>
  <c r="AB184" i="11"/>
  <c r="AB185" i="11"/>
  <c r="AB186" i="11"/>
  <c r="AB187" i="11"/>
  <c r="AB188" i="11"/>
  <c r="AB189" i="11"/>
  <c r="AB190" i="11"/>
  <c r="AB191" i="11"/>
  <c r="AB192" i="11"/>
  <c r="AB193" i="11"/>
  <c r="AB194" i="11"/>
  <c r="AB195" i="11"/>
  <c r="AB196" i="11"/>
  <c r="AB197" i="11"/>
  <c r="AB198" i="11"/>
  <c r="AB199" i="11"/>
  <c r="AB200" i="11"/>
  <c r="AB201" i="11"/>
  <c r="AB203" i="11"/>
  <c r="AB204" i="11"/>
  <c r="AE211" i="11"/>
  <c r="AE212" i="11"/>
  <c r="AE213" i="11"/>
  <c r="AE214" i="11"/>
  <c r="AE215" i="11"/>
  <c r="AE216" i="11"/>
  <c r="AE217" i="11"/>
  <c r="AE218" i="11"/>
  <c r="AE219" i="11"/>
  <c r="AE220" i="11"/>
  <c r="AE221" i="11"/>
  <c r="AE222" i="11"/>
  <c r="AE223" i="11"/>
  <c r="AE224" i="11"/>
  <c r="AE225" i="11"/>
  <c r="AE226" i="11"/>
  <c r="AE227" i="11"/>
  <c r="AE228" i="11"/>
  <c r="AE229" i="11"/>
  <c r="AE230" i="11"/>
  <c r="AE231" i="11"/>
  <c r="AE232" i="11"/>
  <c r="AE233" i="11"/>
  <c r="AE234" i="11"/>
  <c r="AE235" i="11"/>
  <c r="AE236" i="11"/>
  <c r="AE237" i="11"/>
  <c r="AE238" i="11"/>
  <c r="AD211" i="11"/>
  <c r="AA178" i="11" s="1"/>
  <c r="AD212" i="11"/>
  <c r="AA179" i="11" s="1"/>
  <c r="AD213" i="11"/>
  <c r="AA180" i="11" s="1"/>
  <c r="AD214" i="11"/>
  <c r="AA181" i="11" s="1"/>
  <c r="AD215" i="11"/>
  <c r="AA182" i="11" s="1"/>
  <c r="AD216" i="11"/>
  <c r="AA183" i="11" s="1"/>
  <c r="AD217" i="11"/>
  <c r="AA184" i="11" s="1"/>
  <c r="AD218" i="11"/>
  <c r="AA185" i="11" s="1"/>
  <c r="AD219" i="11"/>
  <c r="AA186" i="11" s="1"/>
  <c r="AD220" i="11"/>
  <c r="AA187" i="11" s="1"/>
  <c r="AD221" i="11"/>
  <c r="AA188" i="11" s="1"/>
  <c r="AD222" i="11"/>
  <c r="AA189" i="11" s="1"/>
  <c r="AD223" i="11"/>
  <c r="AA190" i="11" s="1"/>
  <c r="AD224" i="11"/>
  <c r="AA191" i="11" s="1"/>
  <c r="AD225" i="11"/>
  <c r="AA192" i="11" s="1"/>
  <c r="AD226" i="11"/>
  <c r="AA193" i="11" s="1"/>
  <c r="AD227" i="11"/>
  <c r="AA194" i="11" s="1"/>
  <c r="AD228" i="11"/>
  <c r="AA195" i="11" s="1"/>
  <c r="AD229" i="11"/>
  <c r="AA196" i="11" s="1"/>
  <c r="AD230" i="11"/>
  <c r="AA197" i="11" s="1"/>
  <c r="AD231" i="11"/>
  <c r="AA198" i="11" s="1"/>
  <c r="AD232" i="11"/>
  <c r="AA199" i="11" s="1"/>
  <c r="AD233" i="11"/>
  <c r="AA200" i="11" s="1"/>
  <c r="AD234" i="11"/>
  <c r="AA201" i="11" s="1"/>
  <c r="AD235" i="11"/>
  <c r="AA202" i="11" s="1"/>
  <c r="AD236" i="11"/>
  <c r="AA203" i="11" s="1"/>
  <c r="AD237" i="11"/>
  <c r="AA204" i="11" s="1"/>
  <c r="AD238" i="11"/>
  <c r="AA205" i="11" s="1"/>
  <c r="AC211" i="11"/>
  <c r="AC212" i="11"/>
  <c r="AC213" i="11"/>
  <c r="AC214" i="11"/>
  <c r="AC215" i="11"/>
  <c r="AC216" i="11"/>
  <c r="AC217" i="11"/>
  <c r="AC218" i="11"/>
  <c r="AC219" i="11"/>
  <c r="AC220" i="11"/>
  <c r="AC221" i="11"/>
  <c r="AC222" i="11"/>
  <c r="AC223" i="11"/>
  <c r="AC225" i="11"/>
  <c r="AC226" i="11"/>
  <c r="AC227" i="11"/>
  <c r="AC228" i="11"/>
  <c r="AC229" i="11"/>
  <c r="AC230" i="11"/>
  <c r="AC231" i="11"/>
  <c r="AC232" i="11"/>
  <c r="AC233" i="11"/>
  <c r="AC234" i="11"/>
  <c r="AC235" i="11"/>
  <c r="AC236" i="11"/>
  <c r="AC237" i="11"/>
  <c r="AC238" i="11"/>
  <c r="AB211" i="11"/>
  <c r="AB212" i="11"/>
  <c r="Z179" i="11" s="1"/>
  <c r="AB213" i="11"/>
  <c r="AB214" i="11"/>
  <c r="AB215" i="11"/>
  <c r="AB216" i="11"/>
  <c r="Z183" i="11" s="1"/>
  <c r="AB217" i="11"/>
  <c r="AB218" i="11"/>
  <c r="AB219" i="11"/>
  <c r="AB220" i="11"/>
  <c r="Z187" i="11" s="1"/>
  <c r="AB221" i="11"/>
  <c r="AB222" i="11"/>
  <c r="AB223" i="11"/>
  <c r="AB224" i="11"/>
  <c r="Z191" i="11" s="1"/>
  <c r="AB225" i="11"/>
  <c r="Z192" i="11" s="1"/>
  <c r="AB226" i="11"/>
  <c r="Z193" i="11" s="1"/>
  <c r="AB227" i="11"/>
  <c r="Z194" i="11" s="1"/>
  <c r="AB228" i="11"/>
  <c r="Z195" i="11" s="1"/>
  <c r="AB229" i="11"/>
  <c r="Z196" i="11" s="1"/>
  <c r="AB230" i="11"/>
  <c r="Z197" i="11" s="1"/>
  <c r="AB231" i="11"/>
  <c r="Z198" i="11" s="1"/>
  <c r="AB232" i="11"/>
  <c r="Z199" i="11" s="1"/>
  <c r="AB233" i="11"/>
  <c r="Z200" i="11" s="1"/>
  <c r="AB234" i="11"/>
  <c r="Z201" i="11" s="1"/>
  <c r="AB235" i="11"/>
  <c r="Z202" i="11" s="1"/>
  <c r="AB236" i="11"/>
  <c r="Z203" i="11" s="1"/>
  <c r="AB237" i="11"/>
  <c r="Z204" i="11" s="1"/>
  <c r="AB238" i="11"/>
  <c r="Z205" i="11" s="1"/>
  <c r="AA211" i="11"/>
  <c r="AA212" i="11"/>
  <c r="AA213" i="11"/>
  <c r="AA214" i="11"/>
  <c r="AA215" i="11"/>
  <c r="AA216" i="11"/>
  <c r="AA217" i="11"/>
  <c r="AA218" i="11"/>
  <c r="AA219" i="11"/>
  <c r="AA220" i="11"/>
  <c r="AA221" i="11"/>
  <c r="AA222" i="11"/>
  <c r="AA223" i="11"/>
  <c r="AA224" i="11"/>
  <c r="AA225" i="11"/>
  <c r="AA226" i="11"/>
  <c r="AA227" i="11"/>
  <c r="AA228" i="11"/>
  <c r="AA229" i="11"/>
  <c r="AA230" i="11"/>
  <c r="AA231" i="11"/>
  <c r="AA232" i="11"/>
  <c r="AA233" i="11"/>
  <c r="AA234" i="11"/>
  <c r="AA235" i="11"/>
  <c r="AA236" i="11"/>
  <c r="AA237" i="11"/>
  <c r="AA238" i="11"/>
  <c r="Z211" i="11"/>
  <c r="Y178" i="11" s="1"/>
  <c r="Z212" i="11"/>
  <c r="Y179" i="11" s="1"/>
  <c r="Z213" i="11"/>
  <c r="Y180" i="11" s="1"/>
  <c r="Z214" i="11"/>
  <c r="Y181" i="11" s="1"/>
  <c r="Z215" i="11"/>
  <c r="Y182" i="11" s="1"/>
  <c r="Z216" i="11"/>
  <c r="Y183" i="11" s="1"/>
  <c r="Z217" i="11"/>
  <c r="Y184" i="11" s="1"/>
  <c r="Z218" i="11"/>
  <c r="Y185" i="11" s="1"/>
  <c r="Z219" i="11"/>
  <c r="Y186" i="11" s="1"/>
  <c r="Z220" i="11"/>
  <c r="Y187" i="11" s="1"/>
  <c r="Z221" i="11"/>
  <c r="Y188" i="11" s="1"/>
  <c r="Z222" i="11"/>
  <c r="Y189" i="11" s="1"/>
  <c r="Z223" i="11"/>
  <c r="Y190" i="11" s="1"/>
  <c r="Z224" i="11"/>
  <c r="Y191" i="11" s="1"/>
  <c r="Z225" i="11"/>
  <c r="Y192" i="11" s="1"/>
  <c r="Z226" i="11"/>
  <c r="Y193" i="11" s="1"/>
  <c r="Z227" i="11"/>
  <c r="Y194" i="11" s="1"/>
  <c r="Z228" i="11"/>
  <c r="Y195" i="11" s="1"/>
  <c r="Z229" i="11"/>
  <c r="Y196" i="11" s="1"/>
  <c r="Z230" i="11"/>
  <c r="Y197" i="11" s="1"/>
  <c r="Z231" i="11"/>
  <c r="Y198" i="11" s="1"/>
  <c r="Z232" i="11"/>
  <c r="Y199" i="11" s="1"/>
  <c r="Z233" i="11"/>
  <c r="Y200" i="11" s="1"/>
  <c r="Z234" i="11"/>
  <c r="Y201" i="11" s="1"/>
  <c r="Z235" i="11"/>
  <c r="Y202" i="11" s="1"/>
  <c r="Z236" i="11"/>
  <c r="Y203" i="11" s="1"/>
  <c r="Z237" i="11"/>
  <c r="Y204" i="11" s="1"/>
  <c r="Z238" i="11"/>
  <c r="Y205" i="11" s="1"/>
  <c r="Y211" i="11"/>
  <c r="Y212" i="11"/>
  <c r="Y213" i="11"/>
  <c r="Y214" i="11"/>
  <c r="Y215" i="11"/>
  <c r="Y216" i="11"/>
  <c r="Y217" i="11"/>
  <c r="Y218" i="11"/>
  <c r="Y219" i="11"/>
  <c r="Y220" i="11"/>
  <c r="Y221" i="11"/>
  <c r="Y222" i="11"/>
  <c r="Y223" i="11"/>
  <c r="Y224" i="11"/>
  <c r="Y225" i="11"/>
  <c r="Y226" i="11"/>
  <c r="Y227" i="11"/>
  <c r="Y228" i="11"/>
  <c r="Y229" i="11"/>
  <c r="Y230" i="11"/>
  <c r="Y231" i="11"/>
  <c r="Y232" i="11"/>
  <c r="Y233" i="11"/>
  <c r="Y234" i="11"/>
  <c r="Y235" i="11"/>
  <c r="Y236" i="11"/>
  <c r="Y237" i="11"/>
  <c r="Y238" i="11"/>
  <c r="X211" i="11"/>
  <c r="X178" i="11" s="1"/>
  <c r="X212" i="11"/>
  <c r="X179" i="11" s="1"/>
  <c r="X213" i="11"/>
  <c r="X180" i="11" s="1"/>
  <c r="X214" i="11"/>
  <c r="X181" i="11" s="1"/>
  <c r="X215" i="11"/>
  <c r="X182" i="11" s="1"/>
  <c r="X216" i="11"/>
  <c r="X183" i="11" s="1"/>
  <c r="X217" i="11"/>
  <c r="X184" i="11" s="1"/>
  <c r="X218" i="11"/>
  <c r="X185" i="11" s="1"/>
  <c r="X219" i="11"/>
  <c r="X186" i="11" s="1"/>
  <c r="X220" i="11"/>
  <c r="X187" i="11" s="1"/>
  <c r="X221" i="11"/>
  <c r="X188" i="11" s="1"/>
  <c r="X222" i="11"/>
  <c r="X189" i="11" s="1"/>
  <c r="X224" i="11"/>
  <c r="X225" i="11"/>
  <c r="X226" i="11"/>
  <c r="X227" i="11"/>
  <c r="X228" i="11"/>
  <c r="X229" i="11"/>
  <c r="X230" i="11"/>
  <c r="X231" i="11"/>
  <c r="X232" i="11"/>
  <c r="X233" i="11"/>
  <c r="X234" i="11"/>
  <c r="X235" i="11"/>
  <c r="X236" i="11"/>
  <c r="X237" i="11"/>
  <c r="X238" i="11"/>
  <c r="W234" i="11"/>
  <c r="V213" i="11"/>
  <c r="V214" i="11"/>
  <c r="V215" i="11"/>
  <c r="V216" i="11"/>
  <c r="V217" i="11"/>
  <c r="V218" i="11"/>
  <c r="V219" i="11"/>
  <c r="V220" i="11"/>
  <c r="V221" i="11"/>
  <c r="V222" i="11"/>
  <c r="V223" i="11"/>
  <c r="V224" i="11"/>
  <c r="V225" i="11"/>
  <c r="V226" i="11"/>
  <c r="V227" i="11"/>
  <c r="V228" i="11"/>
  <c r="V229" i="11"/>
  <c r="V230" i="11"/>
  <c r="V231" i="11"/>
  <c r="V232" i="11"/>
  <c r="V233" i="11"/>
  <c r="V234" i="11"/>
  <c r="V235" i="11"/>
  <c r="V236" i="11"/>
  <c r="V237" i="11"/>
  <c r="V238" i="11"/>
  <c r="W211" i="11"/>
  <c r="W212" i="11"/>
  <c r="W213" i="11"/>
  <c r="W214" i="11"/>
  <c r="W215" i="11"/>
  <c r="W216" i="11"/>
  <c r="W217" i="11"/>
  <c r="W218" i="11"/>
  <c r="W219" i="11"/>
  <c r="W220" i="11"/>
  <c r="W221" i="11"/>
  <c r="W222" i="11"/>
  <c r="W223" i="11"/>
  <c r="W224" i="11"/>
  <c r="W225" i="11"/>
  <c r="W226" i="11"/>
  <c r="W227" i="11"/>
  <c r="W228" i="11"/>
  <c r="W229" i="11"/>
  <c r="W230" i="11"/>
  <c r="W231" i="11"/>
  <c r="W232" i="11"/>
  <c r="W233" i="11"/>
  <c r="W235" i="11"/>
  <c r="W236" i="11"/>
  <c r="W237" i="11"/>
  <c r="W238" i="11"/>
  <c r="V211" i="11"/>
  <c r="S185" i="10"/>
  <c r="T185" i="10"/>
  <c r="U185" i="10"/>
  <c r="V185" i="10"/>
  <c r="W185" i="10"/>
  <c r="X185" i="10"/>
  <c r="Y185" i="10"/>
  <c r="Z185" i="10"/>
  <c r="AA185" i="10"/>
  <c r="AB185" i="10"/>
  <c r="AC185" i="10"/>
  <c r="AD185" i="10"/>
  <c r="AE185" i="10"/>
  <c r="AF185" i="10"/>
  <c r="AG185" i="10"/>
  <c r="AH185" i="10"/>
  <c r="AI185" i="10"/>
  <c r="AJ185" i="10"/>
  <c r="AK185" i="10"/>
  <c r="AL185" i="10"/>
  <c r="AM185" i="10"/>
  <c r="AN185" i="10"/>
  <c r="AO185" i="10"/>
  <c r="AP185" i="10"/>
  <c r="AQ185" i="10"/>
  <c r="AR185" i="10"/>
  <c r="AS185" i="10"/>
  <c r="S186" i="10"/>
  <c r="T186" i="10"/>
  <c r="U186" i="10"/>
  <c r="V186" i="10"/>
  <c r="W186" i="10"/>
  <c r="X186" i="10"/>
  <c r="Y186" i="10"/>
  <c r="Z186" i="10"/>
  <c r="AA186" i="10"/>
  <c r="AB186" i="10"/>
  <c r="AC186" i="10"/>
  <c r="AD186" i="10"/>
  <c r="AE186" i="10"/>
  <c r="AF186" i="10"/>
  <c r="AG186" i="10"/>
  <c r="AH186" i="10"/>
  <c r="AI186" i="10"/>
  <c r="AJ186" i="10"/>
  <c r="AK186" i="10"/>
  <c r="AL186" i="10"/>
  <c r="AM186" i="10"/>
  <c r="AN186" i="10"/>
  <c r="AO186" i="10"/>
  <c r="AP186" i="10"/>
  <c r="AQ186" i="10"/>
  <c r="AR186" i="10"/>
  <c r="AS186" i="10"/>
  <c r="S187" i="10"/>
  <c r="T187" i="10"/>
  <c r="U187" i="10"/>
  <c r="V187" i="10"/>
  <c r="W187" i="10"/>
  <c r="X187" i="10"/>
  <c r="Y187" i="10"/>
  <c r="Z187" i="10"/>
  <c r="AA187" i="10"/>
  <c r="AB187" i="10"/>
  <c r="AC187" i="10"/>
  <c r="AD187" i="10"/>
  <c r="AE187" i="10"/>
  <c r="AF187" i="10"/>
  <c r="AG187" i="10"/>
  <c r="AH187" i="10"/>
  <c r="AI187" i="10"/>
  <c r="AJ187" i="10"/>
  <c r="AK187" i="10"/>
  <c r="AL187" i="10"/>
  <c r="AM187" i="10"/>
  <c r="AN187" i="10"/>
  <c r="AO187" i="10"/>
  <c r="AP187" i="10"/>
  <c r="AQ187" i="10"/>
  <c r="AR187" i="10"/>
  <c r="AS187" i="10"/>
  <c r="S188" i="10"/>
  <c r="T188" i="10"/>
  <c r="U188" i="10"/>
  <c r="V188" i="10"/>
  <c r="W188" i="10"/>
  <c r="X188" i="10"/>
  <c r="Y188" i="10"/>
  <c r="Z188" i="10"/>
  <c r="AA188" i="10"/>
  <c r="AB188" i="10"/>
  <c r="AC188" i="10"/>
  <c r="AD188" i="10"/>
  <c r="AE188" i="10"/>
  <c r="AF188" i="10"/>
  <c r="AG188" i="10"/>
  <c r="AH188" i="10"/>
  <c r="AI188" i="10"/>
  <c r="AJ188" i="10"/>
  <c r="AK188" i="10"/>
  <c r="AL188" i="10"/>
  <c r="AM188" i="10"/>
  <c r="AN188" i="10"/>
  <c r="AO188" i="10"/>
  <c r="AP188" i="10"/>
  <c r="AQ188" i="10"/>
  <c r="AR188" i="10"/>
  <c r="AS188" i="10"/>
  <c r="S189" i="10"/>
  <c r="T189" i="10"/>
  <c r="U189" i="10"/>
  <c r="V189" i="10"/>
  <c r="W189" i="10"/>
  <c r="X189" i="10"/>
  <c r="Y189" i="10"/>
  <c r="Z189" i="10"/>
  <c r="AA189" i="10"/>
  <c r="AB189" i="10"/>
  <c r="AC189" i="10"/>
  <c r="AD189" i="10"/>
  <c r="AE189" i="10"/>
  <c r="AF189" i="10"/>
  <c r="AG189" i="10"/>
  <c r="AH189" i="10"/>
  <c r="AI189" i="10"/>
  <c r="AJ189" i="10"/>
  <c r="AK189" i="10"/>
  <c r="AL189" i="10"/>
  <c r="AM189" i="10"/>
  <c r="AN189" i="10"/>
  <c r="AO189" i="10"/>
  <c r="AP189" i="10"/>
  <c r="AQ189" i="10"/>
  <c r="AR189" i="10"/>
  <c r="AS189" i="10"/>
  <c r="S190" i="10"/>
  <c r="T190" i="10"/>
  <c r="U190" i="10"/>
  <c r="V190" i="10"/>
  <c r="W190" i="10"/>
  <c r="X190" i="10"/>
  <c r="Y190" i="10"/>
  <c r="Z190" i="10"/>
  <c r="AA190" i="10"/>
  <c r="AB190" i="10"/>
  <c r="AC190" i="10"/>
  <c r="AD190" i="10"/>
  <c r="AE190" i="10"/>
  <c r="AF190" i="10"/>
  <c r="AG190" i="10"/>
  <c r="AH190" i="10"/>
  <c r="AI190" i="10"/>
  <c r="AJ190" i="10"/>
  <c r="AK190" i="10"/>
  <c r="AL190" i="10"/>
  <c r="AM190" i="10"/>
  <c r="AN190" i="10"/>
  <c r="AO190" i="10"/>
  <c r="AP190" i="10"/>
  <c r="AQ190" i="10"/>
  <c r="AR190" i="10"/>
  <c r="AS190" i="10"/>
  <c r="S191" i="10"/>
  <c r="T191" i="10"/>
  <c r="U191" i="10"/>
  <c r="V191" i="10"/>
  <c r="W191" i="10"/>
  <c r="X191" i="10"/>
  <c r="Y191" i="10"/>
  <c r="Z191" i="10"/>
  <c r="AA191" i="10"/>
  <c r="AB191" i="10"/>
  <c r="AC191" i="10"/>
  <c r="AD191" i="10"/>
  <c r="AE191" i="10"/>
  <c r="AF191" i="10"/>
  <c r="AG191" i="10"/>
  <c r="AH191" i="10"/>
  <c r="AI191" i="10"/>
  <c r="AJ191" i="10"/>
  <c r="AK191" i="10"/>
  <c r="AL191" i="10"/>
  <c r="AM191" i="10"/>
  <c r="AN191" i="10"/>
  <c r="AO191" i="10"/>
  <c r="AP191" i="10"/>
  <c r="AQ191" i="10"/>
  <c r="AR191" i="10"/>
  <c r="AS191" i="10"/>
  <c r="S192" i="10"/>
  <c r="T192" i="10"/>
  <c r="U192" i="10"/>
  <c r="V192" i="10"/>
  <c r="W192" i="10"/>
  <c r="X192" i="10"/>
  <c r="Y192" i="10"/>
  <c r="Z192" i="10"/>
  <c r="AA192" i="10"/>
  <c r="AB192" i="10"/>
  <c r="AC192" i="10"/>
  <c r="AD192" i="10"/>
  <c r="AE192" i="10"/>
  <c r="AF192" i="10"/>
  <c r="AG192" i="10"/>
  <c r="AH192" i="10"/>
  <c r="AI192" i="10"/>
  <c r="AJ192" i="10"/>
  <c r="AK192" i="10"/>
  <c r="AL192" i="10"/>
  <c r="AM192" i="10"/>
  <c r="AN192" i="10"/>
  <c r="AO192" i="10"/>
  <c r="AP192" i="10"/>
  <c r="AQ192" i="10"/>
  <c r="AR192" i="10"/>
  <c r="AS192" i="10"/>
  <c r="S193" i="10"/>
  <c r="T193" i="10"/>
  <c r="U193" i="10"/>
  <c r="V193" i="10"/>
  <c r="W193" i="10"/>
  <c r="X193" i="10"/>
  <c r="Y193" i="10"/>
  <c r="Z193" i="10"/>
  <c r="AA193" i="10"/>
  <c r="AB193" i="10"/>
  <c r="AC193" i="10"/>
  <c r="AD193" i="10"/>
  <c r="AE193" i="10"/>
  <c r="AF193" i="10"/>
  <c r="AG193" i="10"/>
  <c r="AH193" i="10"/>
  <c r="AI193" i="10"/>
  <c r="AJ193" i="10"/>
  <c r="AK193" i="10"/>
  <c r="AL193" i="10"/>
  <c r="AM193" i="10"/>
  <c r="AN193" i="10"/>
  <c r="AO193" i="10"/>
  <c r="AP193" i="10"/>
  <c r="AQ193" i="10"/>
  <c r="AR193" i="10"/>
  <c r="AS193" i="10"/>
  <c r="S194" i="10"/>
  <c r="T194" i="10"/>
  <c r="U194" i="10"/>
  <c r="V194" i="10"/>
  <c r="W194" i="10"/>
  <c r="X194" i="10"/>
  <c r="Y194" i="10"/>
  <c r="Z194" i="10"/>
  <c r="AA194" i="10"/>
  <c r="AB194" i="10"/>
  <c r="AC194" i="10"/>
  <c r="AD194" i="10"/>
  <c r="AE194" i="10"/>
  <c r="AF194" i="10"/>
  <c r="AG194" i="10"/>
  <c r="AH194" i="10"/>
  <c r="AI194" i="10"/>
  <c r="AJ194" i="10"/>
  <c r="AK194" i="10"/>
  <c r="AL194" i="10"/>
  <c r="AM194" i="10"/>
  <c r="AN194" i="10"/>
  <c r="AO194" i="10"/>
  <c r="AP194" i="10"/>
  <c r="AQ194" i="10"/>
  <c r="AR194" i="10"/>
  <c r="AS194" i="10"/>
  <c r="S195" i="10"/>
  <c r="T195" i="10"/>
  <c r="U195" i="10"/>
  <c r="V195" i="10"/>
  <c r="W195" i="10"/>
  <c r="X195" i="10"/>
  <c r="Y195" i="10"/>
  <c r="Z195" i="10"/>
  <c r="AA195" i="10"/>
  <c r="AB195" i="10"/>
  <c r="AC195" i="10"/>
  <c r="AD195" i="10"/>
  <c r="AE195" i="10"/>
  <c r="AF195" i="10"/>
  <c r="AG195" i="10"/>
  <c r="AH195" i="10"/>
  <c r="AI195" i="10"/>
  <c r="AJ195" i="10"/>
  <c r="AK195" i="10"/>
  <c r="AL195" i="10"/>
  <c r="AM195" i="10"/>
  <c r="AN195" i="10"/>
  <c r="AO195" i="10"/>
  <c r="AP195" i="10"/>
  <c r="AQ195" i="10"/>
  <c r="AR195" i="10"/>
  <c r="AS195" i="10"/>
  <c r="S196" i="10"/>
  <c r="T196" i="10"/>
  <c r="U196" i="10"/>
  <c r="V196" i="10"/>
  <c r="W196" i="10"/>
  <c r="X196" i="10"/>
  <c r="Y196" i="10"/>
  <c r="Z196" i="10"/>
  <c r="AA196" i="10"/>
  <c r="AB196" i="10"/>
  <c r="AC196" i="10"/>
  <c r="AD196" i="10"/>
  <c r="AE196" i="10"/>
  <c r="AF196" i="10"/>
  <c r="AG196" i="10"/>
  <c r="AH196" i="10"/>
  <c r="AI196" i="10"/>
  <c r="AJ196" i="10"/>
  <c r="AK196" i="10"/>
  <c r="AL196" i="10"/>
  <c r="AM196" i="10"/>
  <c r="AN196" i="10"/>
  <c r="AO196" i="10"/>
  <c r="AP196" i="10"/>
  <c r="AQ196" i="10"/>
  <c r="AR196" i="10"/>
  <c r="AS196" i="10"/>
  <c r="S197" i="10"/>
  <c r="T197" i="10"/>
  <c r="U197" i="10"/>
  <c r="V197" i="10"/>
  <c r="W197" i="10"/>
  <c r="X197" i="10"/>
  <c r="Y197" i="10"/>
  <c r="Z197" i="10"/>
  <c r="AA197" i="10"/>
  <c r="AB197" i="10"/>
  <c r="AC197" i="10"/>
  <c r="AD197" i="10"/>
  <c r="AE197" i="10"/>
  <c r="AF197" i="10"/>
  <c r="AG197" i="10"/>
  <c r="AH197" i="10"/>
  <c r="AI197" i="10"/>
  <c r="AJ197" i="10"/>
  <c r="AK197" i="10"/>
  <c r="AL197" i="10"/>
  <c r="AM197" i="10"/>
  <c r="AN197" i="10"/>
  <c r="AO197" i="10"/>
  <c r="AP197" i="10"/>
  <c r="AQ197" i="10"/>
  <c r="AR197" i="10"/>
  <c r="AS197" i="10"/>
  <c r="S198" i="10"/>
  <c r="T198" i="10"/>
  <c r="U198" i="10"/>
  <c r="V198" i="10"/>
  <c r="W198" i="10"/>
  <c r="X198" i="10"/>
  <c r="Y198" i="10"/>
  <c r="Z198" i="10"/>
  <c r="AA198" i="10"/>
  <c r="AB198" i="10"/>
  <c r="AC198" i="10"/>
  <c r="AD198" i="10"/>
  <c r="AE198" i="10"/>
  <c r="AF198" i="10"/>
  <c r="AG198" i="10"/>
  <c r="AH198" i="10"/>
  <c r="AI198" i="10"/>
  <c r="AJ198" i="10"/>
  <c r="AK198" i="10"/>
  <c r="AL198" i="10"/>
  <c r="AM198" i="10"/>
  <c r="AN198" i="10"/>
  <c r="AO198" i="10"/>
  <c r="AP198" i="10"/>
  <c r="AQ198" i="10"/>
  <c r="AR198" i="10"/>
  <c r="AS198" i="10"/>
  <c r="S199" i="10"/>
  <c r="T199" i="10"/>
  <c r="U199" i="10"/>
  <c r="V199" i="10"/>
  <c r="W199" i="10"/>
  <c r="X199" i="10"/>
  <c r="Y199" i="10"/>
  <c r="Z199" i="10"/>
  <c r="AA199" i="10"/>
  <c r="AB199" i="10"/>
  <c r="AC199" i="10"/>
  <c r="AD199" i="10"/>
  <c r="AE199" i="10"/>
  <c r="AF199" i="10"/>
  <c r="AG199" i="10"/>
  <c r="AH199" i="10"/>
  <c r="AI199" i="10"/>
  <c r="AJ199" i="10"/>
  <c r="AK199" i="10"/>
  <c r="AL199" i="10"/>
  <c r="AM199" i="10"/>
  <c r="AN199" i="10"/>
  <c r="AO199" i="10"/>
  <c r="AP199" i="10"/>
  <c r="AQ199" i="10"/>
  <c r="AR199" i="10"/>
  <c r="AS199" i="10"/>
  <c r="S200" i="10"/>
  <c r="T200" i="10"/>
  <c r="U200" i="10"/>
  <c r="V200" i="10"/>
  <c r="W200" i="10"/>
  <c r="X200" i="10"/>
  <c r="Y200" i="10"/>
  <c r="Z200" i="10"/>
  <c r="AA200" i="10"/>
  <c r="AB200" i="10"/>
  <c r="AC200" i="10"/>
  <c r="AD200" i="10"/>
  <c r="AE200" i="10"/>
  <c r="AF200" i="10"/>
  <c r="AG200" i="10"/>
  <c r="AH200" i="10"/>
  <c r="AI200" i="10"/>
  <c r="AJ200" i="10"/>
  <c r="AK200" i="10"/>
  <c r="AL200" i="10"/>
  <c r="AM200" i="10"/>
  <c r="AN200" i="10"/>
  <c r="AO200" i="10"/>
  <c r="AP200" i="10"/>
  <c r="AQ200" i="10"/>
  <c r="AR200" i="10"/>
  <c r="AS200" i="10"/>
  <c r="S201" i="10"/>
  <c r="T201" i="10"/>
  <c r="U201" i="10"/>
  <c r="V201" i="10"/>
  <c r="W201" i="10"/>
  <c r="X201" i="10"/>
  <c r="Y201" i="10"/>
  <c r="Z201" i="10"/>
  <c r="AA201" i="10"/>
  <c r="AB201" i="10"/>
  <c r="AC201" i="10"/>
  <c r="AD201" i="10"/>
  <c r="AE201" i="10"/>
  <c r="AF201" i="10"/>
  <c r="AG201" i="10"/>
  <c r="AH201" i="10"/>
  <c r="AI201" i="10"/>
  <c r="AJ201" i="10"/>
  <c r="AK201" i="10"/>
  <c r="AL201" i="10"/>
  <c r="AM201" i="10"/>
  <c r="AN201" i="10"/>
  <c r="AO201" i="10"/>
  <c r="AP201" i="10"/>
  <c r="AQ201" i="10"/>
  <c r="AR201" i="10"/>
  <c r="AS201" i="10"/>
  <c r="S202" i="10"/>
  <c r="T202" i="10"/>
  <c r="U202" i="10"/>
  <c r="V202" i="10"/>
  <c r="W202" i="10"/>
  <c r="X202" i="10"/>
  <c r="Y202" i="10"/>
  <c r="Z202" i="10"/>
  <c r="AA202" i="10"/>
  <c r="AB202" i="10"/>
  <c r="AC202" i="10"/>
  <c r="AD202" i="10"/>
  <c r="AE202" i="10"/>
  <c r="AF202" i="10"/>
  <c r="AG202" i="10"/>
  <c r="AH202" i="10"/>
  <c r="AI202" i="10"/>
  <c r="AJ202" i="10"/>
  <c r="AK202" i="10"/>
  <c r="AL202" i="10"/>
  <c r="AM202" i="10"/>
  <c r="AN202" i="10"/>
  <c r="AO202" i="10"/>
  <c r="AP202" i="10"/>
  <c r="AQ202" i="10"/>
  <c r="AR202" i="10"/>
  <c r="AS202" i="10"/>
  <c r="S203" i="10"/>
  <c r="T203" i="10"/>
  <c r="U203" i="10"/>
  <c r="V203" i="10"/>
  <c r="W203" i="10"/>
  <c r="X203" i="10"/>
  <c r="Y203" i="10"/>
  <c r="Z203" i="10"/>
  <c r="AA203" i="10"/>
  <c r="AB203" i="10"/>
  <c r="AC203" i="10"/>
  <c r="AD203" i="10"/>
  <c r="AE203" i="10"/>
  <c r="AF203" i="10"/>
  <c r="AG203" i="10"/>
  <c r="AH203" i="10"/>
  <c r="AI203" i="10"/>
  <c r="AJ203" i="10"/>
  <c r="AK203" i="10"/>
  <c r="AL203" i="10"/>
  <c r="AM203" i="10"/>
  <c r="AN203" i="10"/>
  <c r="AO203" i="10"/>
  <c r="AP203" i="10"/>
  <c r="AQ203" i="10"/>
  <c r="AR203" i="10"/>
  <c r="AS203" i="10"/>
  <c r="S204" i="10"/>
  <c r="T204" i="10"/>
  <c r="U204" i="10"/>
  <c r="V204" i="10"/>
  <c r="W204" i="10"/>
  <c r="X204" i="10"/>
  <c r="Y204" i="10"/>
  <c r="Z204" i="10"/>
  <c r="AA204" i="10"/>
  <c r="AB204" i="10"/>
  <c r="AC204" i="10"/>
  <c r="AD204" i="10"/>
  <c r="AE204" i="10"/>
  <c r="AF204" i="10"/>
  <c r="AG204" i="10"/>
  <c r="AH204" i="10"/>
  <c r="AI204" i="10"/>
  <c r="AJ204" i="10"/>
  <c r="AK204" i="10"/>
  <c r="AL204" i="10"/>
  <c r="AM204" i="10"/>
  <c r="AN204" i="10"/>
  <c r="AO204" i="10"/>
  <c r="AP204" i="10"/>
  <c r="AQ204" i="10"/>
  <c r="AR204" i="10"/>
  <c r="AS204" i="10"/>
  <c r="S205" i="10"/>
  <c r="T205" i="10"/>
  <c r="U205" i="10"/>
  <c r="V205" i="10"/>
  <c r="W205" i="10"/>
  <c r="X205" i="10"/>
  <c r="Y205" i="10"/>
  <c r="Z205" i="10"/>
  <c r="AA205" i="10"/>
  <c r="AB205" i="10"/>
  <c r="AC205" i="10"/>
  <c r="AD205" i="10"/>
  <c r="AE205" i="10"/>
  <c r="AF205" i="10"/>
  <c r="AG205" i="10"/>
  <c r="AH205" i="10"/>
  <c r="AI205" i="10"/>
  <c r="AJ205" i="10"/>
  <c r="AK205" i="10"/>
  <c r="AL205" i="10"/>
  <c r="AM205" i="10"/>
  <c r="AN205" i="10"/>
  <c r="AO205" i="10"/>
  <c r="AP205" i="10"/>
  <c r="AQ205" i="10"/>
  <c r="AR205" i="10"/>
  <c r="AS205" i="10"/>
  <c r="S206" i="10"/>
  <c r="T206" i="10"/>
  <c r="U206" i="10"/>
  <c r="V206" i="10"/>
  <c r="W206" i="10"/>
  <c r="X206" i="10"/>
  <c r="Y206" i="10"/>
  <c r="Z206" i="10"/>
  <c r="AA206" i="10"/>
  <c r="AB206" i="10"/>
  <c r="AC206" i="10"/>
  <c r="AD206" i="10"/>
  <c r="AE206" i="10"/>
  <c r="AF206" i="10"/>
  <c r="AG206" i="10"/>
  <c r="AH206" i="10"/>
  <c r="AI206" i="10"/>
  <c r="AJ206" i="10"/>
  <c r="AK206" i="10"/>
  <c r="AL206" i="10"/>
  <c r="AM206" i="10"/>
  <c r="AN206" i="10"/>
  <c r="AO206" i="10"/>
  <c r="AP206" i="10"/>
  <c r="AQ206" i="10"/>
  <c r="AR206" i="10"/>
  <c r="AS206" i="10"/>
  <c r="S207" i="10"/>
  <c r="T207" i="10"/>
  <c r="U207" i="10"/>
  <c r="V207" i="10"/>
  <c r="W207" i="10"/>
  <c r="X207" i="10"/>
  <c r="Y207" i="10"/>
  <c r="Z207" i="10"/>
  <c r="AA207" i="10"/>
  <c r="AB207" i="10"/>
  <c r="AC207" i="10"/>
  <c r="AD207" i="10"/>
  <c r="AE207" i="10"/>
  <c r="AF207" i="10"/>
  <c r="AG207" i="10"/>
  <c r="AH207" i="10"/>
  <c r="AI207" i="10"/>
  <c r="AJ207" i="10"/>
  <c r="AK207" i="10"/>
  <c r="AL207" i="10"/>
  <c r="AM207" i="10"/>
  <c r="AN207" i="10"/>
  <c r="AO207" i="10"/>
  <c r="AP207" i="10"/>
  <c r="AQ207" i="10"/>
  <c r="AR207" i="10"/>
  <c r="AS207" i="10"/>
  <c r="S208" i="10"/>
  <c r="T208" i="10"/>
  <c r="U208" i="10"/>
  <c r="V208" i="10"/>
  <c r="W208" i="10"/>
  <c r="X208" i="10"/>
  <c r="Y208" i="10"/>
  <c r="Z208" i="10"/>
  <c r="AA208" i="10"/>
  <c r="AB208" i="10"/>
  <c r="AC208" i="10"/>
  <c r="AD208" i="10"/>
  <c r="AE208" i="10"/>
  <c r="AF208" i="10"/>
  <c r="AG208" i="10"/>
  <c r="AH208" i="10"/>
  <c r="AI208" i="10"/>
  <c r="AJ208" i="10"/>
  <c r="AK208" i="10"/>
  <c r="AL208" i="10"/>
  <c r="AM208" i="10"/>
  <c r="AN208" i="10"/>
  <c r="AO208" i="10"/>
  <c r="AP208" i="10"/>
  <c r="AQ208" i="10"/>
  <c r="AR208" i="10"/>
  <c r="AS208" i="10"/>
  <c r="S209" i="10"/>
  <c r="T209" i="10"/>
  <c r="U209" i="10"/>
  <c r="V209" i="10"/>
  <c r="W209" i="10"/>
  <c r="X209" i="10"/>
  <c r="Y209" i="10"/>
  <c r="Z209" i="10"/>
  <c r="AA209" i="10"/>
  <c r="AB209" i="10"/>
  <c r="AC209" i="10"/>
  <c r="AD209" i="10"/>
  <c r="AE209" i="10"/>
  <c r="AF209" i="10"/>
  <c r="AG209" i="10"/>
  <c r="AH209" i="10"/>
  <c r="AI209" i="10"/>
  <c r="AJ209" i="10"/>
  <c r="AK209" i="10"/>
  <c r="AL209" i="10"/>
  <c r="AM209" i="10"/>
  <c r="AN209" i="10"/>
  <c r="AO209" i="10"/>
  <c r="AP209" i="10"/>
  <c r="AQ209" i="10"/>
  <c r="AR209" i="10"/>
  <c r="AS209" i="10"/>
  <c r="S210" i="10"/>
  <c r="T210" i="10"/>
  <c r="U210" i="10"/>
  <c r="V210" i="10"/>
  <c r="W210" i="10"/>
  <c r="X210" i="10"/>
  <c r="Y210" i="10"/>
  <c r="Z210" i="10"/>
  <c r="AA210" i="10"/>
  <c r="AB210" i="10"/>
  <c r="AC210" i="10"/>
  <c r="AD210" i="10"/>
  <c r="AE210" i="10"/>
  <c r="AF210" i="10"/>
  <c r="AG210" i="10"/>
  <c r="AH210" i="10"/>
  <c r="AI210" i="10"/>
  <c r="AJ210" i="10"/>
  <c r="AK210" i="10"/>
  <c r="AL210" i="10"/>
  <c r="AM210" i="10"/>
  <c r="AN210" i="10"/>
  <c r="AO210" i="10"/>
  <c r="AP210" i="10"/>
  <c r="AQ210" i="10"/>
  <c r="AR210" i="10"/>
  <c r="AS210" i="10"/>
  <c r="S211" i="10"/>
  <c r="T211" i="10"/>
  <c r="U211" i="10"/>
  <c r="V211" i="10"/>
  <c r="W211" i="10"/>
  <c r="X211" i="10"/>
  <c r="Y211" i="10"/>
  <c r="Z211" i="10"/>
  <c r="AA211" i="10"/>
  <c r="AB211" i="10"/>
  <c r="AC211" i="10"/>
  <c r="AD211" i="10"/>
  <c r="AE211" i="10"/>
  <c r="AF211" i="10"/>
  <c r="AG211" i="10"/>
  <c r="AH211" i="10"/>
  <c r="AI211" i="10"/>
  <c r="AJ211" i="10"/>
  <c r="AK211" i="10"/>
  <c r="AL211" i="10"/>
  <c r="AM211" i="10"/>
  <c r="AN211" i="10"/>
  <c r="AO211" i="10"/>
  <c r="AP211" i="10"/>
  <c r="AQ211" i="10"/>
  <c r="AR211" i="10"/>
  <c r="AS211" i="10"/>
  <c r="S212" i="10"/>
  <c r="T212" i="10"/>
  <c r="U212" i="10"/>
  <c r="V212" i="10"/>
  <c r="W212" i="10"/>
  <c r="X212" i="10"/>
  <c r="Y212" i="10"/>
  <c r="Z212" i="10"/>
  <c r="AA212" i="10"/>
  <c r="AB212" i="10"/>
  <c r="AC212" i="10"/>
  <c r="AD212" i="10"/>
  <c r="AE212" i="10"/>
  <c r="AF212" i="10"/>
  <c r="AG212" i="10"/>
  <c r="AH212" i="10"/>
  <c r="AI212" i="10"/>
  <c r="AJ212" i="10"/>
  <c r="AK212" i="10"/>
  <c r="AL212" i="10"/>
  <c r="AM212" i="10"/>
  <c r="AN212" i="10"/>
  <c r="AO212" i="10"/>
  <c r="AP212" i="10"/>
  <c r="AQ212" i="10"/>
  <c r="AR212" i="10"/>
  <c r="AS212" i="10"/>
  <c r="S213" i="10"/>
  <c r="T213" i="10"/>
  <c r="U213" i="10"/>
  <c r="V213" i="10"/>
  <c r="W213" i="10"/>
  <c r="X213" i="10"/>
  <c r="Y213" i="10"/>
  <c r="Z213" i="10"/>
  <c r="AA213" i="10"/>
  <c r="AB213" i="10"/>
  <c r="AC213" i="10"/>
  <c r="AD213" i="10"/>
  <c r="AE213" i="10"/>
  <c r="AF213" i="10"/>
  <c r="AG213" i="10"/>
  <c r="AH213" i="10"/>
  <c r="AI213" i="10"/>
  <c r="AJ213" i="10"/>
  <c r="AK213" i="10"/>
  <c r="AL213" i="10"/>
  <c r="AM213" i="10"/>
  <c r="AN213" i="10"/>
  <c r="AO213" i="10"/>
  <c r="AP213" i="10"/>
  <c r="AQ213" i="10"/>
  <c r="AR213" i="10"/>
  <c r="AS213" i="10"/>
  <c r="S214" i="10"/>
  <c r="T214" i="10"/>
  <c r="U214" i="10"/>
  <c r="V214" i="10"/>
  <c r="W214" i="10"/>
  <c r="X214" i="10"/>
  <c r="Y214" i="10"/>
  <c r="Z214" i="10"/>
  <c r="AA214" i="10"/>
  <c r="AB214" i="10"/>
  <c r="AC214" i="10"/>
  <c r="AD214" i="10"/>
  <c r="AE214" i="10"/>
  <c r="AF214" i="10"/>
  <c r="AG214" i="10"/>
  <c r="AH214" i="10"/>
  <c r="AI214" i="10"/>
  <c r="AJ214" i="10"/>
  <c r="AK214" i="10"/>
  <c r="AL214" i="10"/>
  <c r="AM214" i="10"/>
  <c r="AN214" i="10"/>
  <c r="AO214" i="10"/>
  <c r="AP214" i="10"/>
  <c r="AQ214" i="10"/>
  <c r="AR214" i="10"/>
  <c r="AS214" i="10"/>
  <c r="S215" i="10"/>
  <c r="T215" i="10"/>
  <c r="U215" i="10"/>
  <c r="V215" i="10"/>
  <c r="W215" i="10"/>
  <c r="X215" i="10"/>
  <c r="Y215" i="10"/>
  <c r="Z215" i="10"/>
  <c r="AA215" i="10"/>
  <c r="AB215" i="10"/>
  <c r="AC215" i="10"/>
  <c r="AD215" i="10"/>
  <c r="AE215" i="10"/>
  <c r="AF215" i="10"/>
  <c r="AG215" i="10"/>
  <c r="AH215" i="10"/>
  <c r="AI215" i="10"/>
  <c r="AJ215" i="10"/>
  <c r="AK215" i="10"/>
  <c r="AL215" i="10"/>
  <c r="AM215" i="10"/>
  <c r="AN215" i="10"/>
  <c r="AO215" i="10"/>
  <c r="AP215" i="10"/>
  <c r="AQ215" i="10"/>
  <c r="AR215" i="10"/>
  <c r="AS215" i="10"/>
  <c r="S216" i="10"/>
  <c r="T216" i="10"/>
  <c r="U216" i="10"/>
  <c r="V216" i="10"/>
  <c r="W216" i="10"/>
  <c r="X216" i="10"/>
  <c r="Y216" i="10"/>
  <c r="Z216" i="10"/>
  <c r="AA216" i="10"/>
  <c r="AB216" i="10"/>
  <c r="AC216" i="10"/>
  <c r="AD216" i="10"/>
  <c r="AE216" i="10"/>
  <c r="AF216" i="10"/>
  <c r="AG216" i="10"/>
  <c r="AH216" i="10"/>
  <c r="AI216" i="10"/>
  <c r="AJ216" i="10"/>
  <c r="AK216" i="10"/>
  <c r="AL216" i="10"/>
  <c r="AM216" i="10"/>
  <c r="AN216" i="10"/>
  <c r="AO216" i="10"/>
  <c r="AP216" i="10"/>
  <c r="AQ216" i="10"/>
  <c r="AR216" i="10"/>
  <c r="AS216" i="10"/>
  <c r="S217" i="10"/>
  <c r="T217" i="10"/>
  <c r="U217" i="10"/>
  <c r="V217" i="10"/>
  <c r="W217" i="10"/>
  <c r="X217" i="10"/>
  <c r="Y217" i="10"/>
  <c r="Z217" i="10"/>
  <c r="AA217" i="10"/>
  <c r="AB217" i="10"/>
  <c r="AC217" i="10"/>
  <c r="AD217" i="10"/>
  <c r="AE217" i="10"/>
  <c r="AF217" i="10"/>
  <c r="AG217" i="10"/>
  <c r="AH217" i="10"/>
  <c r="AI217" i="10"/>
  <c r="AJ217" i="10"/>
  <c r="AK217" i="10"/>
  <c r="AL217" i="10"/>
  <c r="AM217" i="10"/>
  <c r="AN217" i="10"/>
  <c r="AO217" i="10"/>
  <c r="AP217" i="10"/>
  <c r="AQ217" i="10"/>
  <c r="AR217" i="10"/>
  <c r="AS217" i="10"/>
  <c r="S218" i="10"/>
  <c r="T218" i="10"/>
  <c r="U218" i="10"/>
  <c r="V218" i="10"/>
  <c r="W218" i="10"/>
  <c r="X218" i="10"/>
  <c r="Y218" i="10"/>
  <c r="Z218" i="10"/>
  <c r="AA218" i="10"/>
  <c r="AB218" i="10"/>
  <c r="AC218" i="10"/>
  <c r="AD218" i="10"/>
  <c r="AE218" i="10"/>
  <c r="AF218" i="10"/>
  <c r="AG218" i="10"/>
  <c r="AH218" i="10"/>
  <c r="AI218" i="10"/>
  <c r="AJ218" i="10"/>
  <c r="AK218" i="10"/>
  <c r="AL218" i="10"/>
  <c r="AM218" i="10"/>
  <c r="AN218" i="10"/>
  <c r="AO218" i="10"/>
  <c r="AP218" i="10"/>
  <c r="AQ218" i="10"/>
  <c r="AR218" i="10"/>
  <c r="AS218" i="10"/>
  <c r="S219" i="10"/>
  <c r="T219" i="10"/>
  <c r="U219" i="10"/>
  <c r="V219" i="10"/>
  <c r="W219" i="10"/>
  <c r="X219" i="10"/>
  <c r="Y219" i="10"/>
  <c r="Z219" i="10"/>
  <c r="AA219" i="10"/>
  <c r="AB219" i="10"/>
  <c r="AC219" i="10"/>
  <c r="AD219" i="10"/>
  <c r="AE219" i="10"/>
  <c r="AF219" i="10"/>
  <c r="AG219" i="10"/>
  <c r="AH219" i="10"/>
  <c r="AI219" i="10"/>
  <c r="AJ219" i="10"/>
  <c r="AK219" i="10"/>
  <c r="AL219" i="10"/>
  <c r="AM219" i="10"/>
  <c r="AN219" i="10"/>
  <c r="AO219" i="10"/>
  <c r="AP219" i="10"/>
  <c r="AQ219" i="10"/>
  <c r="AR219" i="10"/>
  <c r="AS219" i="10"/>
  <c r="S220" i="10"/>
  <c r="T220" i="10"/>
  <c r="U220" i="10"/>
  <c r="V220" i="10"/>
  <c r="W220" i="10"/>
  <c r="X220" i="10"/>
  <c r="Y220" i="10"/>
  <c r="Z220" i="10"/>
  <c r="AA220" i="10"/>
  <c r="AB220" i="10"/>
  <c r="AC220" i="10"/>
  <c r="AD220" i="10"/>
  <c r="AE220" i="10"/>
  <c r="AF220" i="10"/>
  <c r="AG220" i="10"/>
  <c r="AH220" i="10"/>
  <c r="AI220" i="10"/>
  <c r="AJ220" i="10"/>
  <c r="AK220" i="10"/>
  <c r="AL220" i="10"/>
  <c r="AM220" i="10"/>
  <c r="AN220" i="10"/>
  <c r="AO220" i="10"/>
  <c r="AP220" i="10"/>
  <c r="AQ220" i="10"/>
  <c r="AR220" i="10"/>
  <c r="AS220" i="10"/>
  <c r="S221" i="10"/>
  <c r="T221" i="10"/>
  <c r="U221" i="10"/>
  <c r="V221" i="10"/>
  <c r="W221" i="10"/>
  <c r="X221" i="10"/>
  <c r="Y221" i="10"/>
  <c r="Z221" i="10"/>
  <c r="AA221" i="10"/>
  <c r="AB221" i="10"/>
  <c r="AC221" i="10"/>
  <c r="AD221" i="10"/>
  <c r="AE221" i="10"/>
  <c r="AF221" i="10"/>
  <c r="AG221" i="10"/>
  <c r="AH221" i="10"/>
  <c r="AI221" i="10"/>
  <c r="AJ221" i="10"/>
  <c r="AK221" i="10"/>
  <c r="AL221" i="10"/>
  <c r="AM221" i="10"/>
  <c r="AN221" i="10"/>
  <c r="AO221" i="10"/>
  <c r="AP221" i="10"/>
  <c r="AQ221" i="10"/>
  <c r="AR221" i="10"/>
  <c r="AS221" i="10"/>
  <c r="S222" i="10"/>
  <c r="T222" i="10"/>
  <c r="U222" i="10"/>
  <c r="V222" i="10"/>
  <c r="W222" i="10"/>
  <c r="X222" i="10"/>
  <c r="Y222" i="10"/>
  <c r="Z222" i="10"/>
  <c r="AA222" i="10"/>
  <c r="AB222" i="10"/>
  <c r="AC222" i="10"/>
  <c r="AD222" i="10"/>
  <c r="AE222" i="10"/>
  <c r="AF222" i="10"/>
  <c r="AG222" i="10"/>
  <c r="AH222" i="10"/>
  <c r="AI222" i="10"/>
  <c r="AJ222" i="10"/>
  <c r="AK222" i="10"/>
  <c r="AL222" i="10"/>
  <c r="AM222" i="10"/>
  <c r="AN222" i="10"/>
  <c r="AO222" i="10"/>
  <c r="AP222" i="10"/>
  <c r="AQ222" i="10"/>
  <c r="AR222" i="10"/>
  <c r="AS222" i="10"/>
  <c r="R195" i="10"/>
  <c r="R185" i="10"/>
  <c r="R222" i="10"/>
  <c r="R221" i="10"/>
  <c r="R220" i="10"/>
  <c r="R219" i="10"/>
  <c r="R218" i="10"/>
  <c r="R217" i="10"/>
  <c r="R216" i="10"/>
  <c r="R215" i="10"/>
  <c r="R214" i="10"/>
  <c r="R213" i="10"/>
  <c r="R212" i="10"/>
  <c r="R211" i="10"/>
  <c r="R210" i="10"/>
  <c r="R209" i="10"/>
  <c r="R208" i="10"/>
  <c r="R207" i="10"/>
  <c r="R206" i="10"/>
  <c r="R205" i="10"/>
  <c r="R204" i="10"/>
  <c r="R202" i="10"/>
  <c r="R203" i="10"/>
  <c r="R201" i="10"/>
  <c r="R200" i="10"/>
  <c r="R199" i="10"/>
  <c r="R198" i="10"/>
  <c r="R197" i="10"/>
  <c r="R196" i="10"/>
  <c r="R194" i="10"/>
  <c r="R192" i="10"/>
  <c r="R193" i="10"/>
  <c r="R191" i="10"/>
  <c r="R190" i="10"/>
  <c r="R189" i="10"/>
  <c r="R188" i="10"/>
  <c r="R187" i="10"/>
  <c r="R186" i="10"/>
  <c r="S174" i="11"/>
  <c r="T174" i="11"/>
  <c r="U174" i="11"/>
  <c r="V174" i="11"/>
  <c r="W174" i="11"/>
  <c r="X174" i="11"/>
  <c r="Y174" i="11"/>
  <c r="Z174" i="11"/>
  <c r="AA174" i="11"/>
  <c r="AB174" i="11"/>
  <c r="AC174" i="11"/>
  <c r="AD174" i="11"/>
  <c r="S173" i="11"/>
  <c r="T173" i="11"/>
  <c r="U173" i="11"/>
  <c r="V173" i="11"/>
  <c r="W173" i="11"/>
  <c r="X173" i="11"/>
  <c r="Y173" i="11"/>
  <c r="Z173" i="11"/>
  <c r="AA173" i="11"/>
  <c r="AB173" i="11"/>
  <c r="AC173" i="11"/>
  <c r="AD173" i="11"/>
  <c r="S172" i="11"/>
  <c r="T172" i="11"/>
  <c r="U172" i="11"/>
  <c r="V172" i="11"/>
  <c r="W172" i="11"/>
  <c r="X172" i="11"/>
  <c r="Y172" i="11"/>
  <c r="Z172" i="11"/>
  <c r="AA172" i="11"/>
  <c r="AB172" i="11"/>
  <c r="AC172" i="11"/>
  <c r="AD172" i="11"/>
  <c r="S171" i="11"/>
  <c r="T171" i="11"/>
  <c r="U171" i="11"/>
  <c r="V171" i="11"/>
  <c r="W171" i="11"/>
  <c r="X171" i="11"/>
  <c r="Y171" i="11"/>
  <c r="Z171" i="11"/>
  <c r="AA171" i="11"/>
  <c r="AB171" i="11"/>
  <c r="AC171" i="11"/>
  <c r="AD171" i="11"/>
  <c r="S170" i="11"/>
  <c r="T170" i="11"/>
  <c r="U170" i="11"/>
  <c r="V170" i="11"/>
  <c r="W170" i="11"/>
  <c r="X170" i="11"/>
  <c r="Y170" i="11"/>
  <c r="Z170" i="11"/>
  <c r="AA170" i="11"/>
  <c r="AB170" i="11"/>
  <c r="AC170" i="11"/>
  <c r="AD170" i="11"/>
  <c r="S169" i="11"/>
  <c r="T169" i="11"/>
  <c r="U169" i="11"/>
  <c r="V169" i="11"/>
  <c r="W169" i="11"/>
  <c r="X169" i="11"/>
  <c r="Y169" i="11"/>
  <c r="Z169" i="11"/>
  <c r="AA169" i="11"/>
  <c r="AB169" i="11"/>
  <c r="AC169" i="11"/>
  <c r="AD169" i="11"/>
  <c r="S168" i="11"/>
  <c r="T168" i="11"/>
  <c r="U168" i="11"/>
  <c r="V168" i="11"/>
  <c r="W168" i="11"/>
  <c r="X168" i="11"/>
  <c r="Y168" i="11"/>
  <c r="Z168" i="11"/>
  <c r="AA168" i="11"/>
  <c r="AB168" i="11"/>
  <c r="AC168" i="11"/>
  <c r="AD168" i="11"/>
  <c r="S167" i="11"/>
  <c r="T167" i="11"/>
  <c r="U167" i="11"/>
  <c r="V167" i="11"/>
  <c r="W167" i="11"/>
  <c r="X167" i="11"/>
  <c r="Y167" i="11"/>
  <c r="Z167" i="11"/>
  <c r="AA167" i="11"/>
  <c r="AB167" i="11"/>
  <c r="AC167" i="11"/>
  <c r="AD167" i="11"/>
  <c r="S166" i="11"/>
  <c r="T166" i="11"/>
  <c r="U166" i="11"/>
  <c r="V166" i="11"/>
  <c r="W166" i="11"/>
  <c r="X166" i="11"/>
  <c r="Y166" i="11"/>
  <c r="Z166" i="11"/>
  <c r="AA166" i="11"/>
  <c r="AB166" i="11"/>
  <c r="AC166" i="11"/>
  <c r="AD166" i="11"/>
  <c r="S165" i="11"/>
  <c r="T165" i="11"/>
  <c r="U165" i="11"/>
  <c r="V165" i="11"/>
  <c r="W165" i="11"/>
  <c r="X165" i="11"/>
  <c r="Y165" i="11"/>
  <c r="Z165" i="11"/>
  <c r="AA165" i="11"/>
  <c r="AB165" i="11"/>
  <c r="AC165" i="11"/>
  <c r="AD165" i="11"/>
  <c r="S164" i="11"/>
  <c r="T164" i="11"/>
  <c r="U164" i="11"/>
  <c r="V164" i="11"/>
  <c r="W164" i="11"/>
  <c r="X164" i="11"/>
  <c r="Y164" i="11"/>
  <c r="Z164" i="11"/>
  <c r="AA164" i="11"/>
  <c r="AB164" i="11"/>
  <c r="AC164" i="11"/>
  <c r="AD164" i="11"/>
  <c r="S163" i="11"/>
  <c r="T163" i="11"/>
  <c r="U163" i="11"/>
  <c r="V163" i="11"/>
  <c r="W163" i="11"/>
  <c r="X163" i="11"/>
  <c r="Y163" i="11"/>
  <c r="Z163" i="11"/>
  <c r="AA163" i="11"/>
  <c r="AB163" i="11"/>
  <c r="AC163" i="11"/>
  <c r="AD163" i="11"/>
  <c r="S162" i="11"/>
  <c r="T162" i="11"/>
  <c r="U162" i="11"/>
  <c r="V162" i="11"/>
  <c r="W162" i="11"/>
  <c r="X162" i="11"/>
  <c r="Y162" i="11"/>
  <c r="Z162" i="11"/>
  <c r="AA162" i="11"/>
  <c r="AB162" i="11"/>
  <c r="AC162" i="11"/>
  <c r="AD162" i="11"/>
  <c r="S161" i="11"/>
  <c r="T161" i="11"/>
  <c r="U161" i="11"/>
  <c r="V161" i="11"/>
  <c r="W161" i="11"/>
  <c r="X161" i="11"/>
  <c r="Y161" i="11"/>
  <c r="Z161" i="11"/>
  <c r="AA161" i="11"/>
  <c r="AB161" i="11"/>
  <c r="AC161" i="11"/>
  <c r="AD161" i="11"/>
  <c r="S160" i="11"/>
  <c r="T160" i="11"/>
  <c r="U160" i="11"/>
  <c r="V160" i="11"/>
  <c r="W160" i="11"/>
  <c r="X160" i="11"/>
  <c r="Y160" i="11"/>
  <c r="Z160" i="11"/>
  <c r="AA160" i="11"/>
  <c r="AB160" i="11"/>
  <c r="AC160" i="11"/>
  <c r="AD160" i="11"/>
  <c r="AB159" i="11"/>
  <c r="S159" i="11"/>
  <c r="T159" i="11"/>
  <c r="U159" i="11"/>
  <c r="V159" i="11"/>
  <c r="W159" i="11"/>
  <c r="X159" i="11"/>
  <c r="Y159" i="11"/>
  <c r="Z159" i="11"/>
  <c r="AA159" i="11"/>
  <c r="AC159" i="11"/>
  <c r="AD159" i="11"/>
  <c r="S158" i="11"/>
  <c r="T158" i="11"/>
  <c r="U158" i="11"/>
  <c r="V158" i="11"/>
  <c r="W158" i="11"/>
  <c r="X158" i="11"/>
  <c r="Y158" i="11"/>
  <c r="Z158" i="11"/>
  <c r="AA158" i="11"/>
  <c r="AB158" i="11"/>
  <c r="AC158" i="11"/>
  <c r="AD158" i="11"/>
  <c r="S157" i="11"/>
  <c r="T157" i="11"/>
  <c r="U157" i="11"/>
  <c r="V157" i="11"/>
  <c r="W157" i="11"/>
  <c r="X157" i="11"/>
  <c r="Y157" i="11"/>
  <c r="Z157" i="11"/>
  <c r="AA157" i="11"/>
  <c r="AB157" i="11"/>
  <c r="AC157" i="11"/>
  <c r="AD157" i="11"/>
  <c r="S156" i="11"/>
  <c r="T156" i="11"/>
  <c r="U156" i="11"/>
  <c r="V156" i="11"/>
  <c r="W156" i="11"/>
  <c r="X156" i="11"/>
  <c r="Y156" i="11"/>
  <c r="Z156" i="11"/>
  <c r="AA156" i="11"/>
  <c r="AB156" i="11"/>
  <c r="AC156" i="11"/>
  <c r="AD156" i="11"/>
  <c r="S155" i="11"/>
  <c r="T155" i="11"/>
  <c r="U155" i="11"/>
  <c r="V155" i="11"/>
  <c r="W155" i="11"/>
  <c r="X155" i="11"/>
  <c r="Y155" i="11"/>
  <c r="Z155" i="11"/>
  <c r="AA155" i="11"/>
  <c r="AB155" i="11"/>
  <c r="AC155" i="11"/>
  <c r="AD155" i="11"/>
  <c r="S154" i="11"/>
  <c r="T154" i="11"/>
  <c r="U154" i="11"/>
  <c r="V154" i="11"/>
  <c r="W154" i="11"/>
  <c r="X154" i="11"/>
  <c r="Y154" i="11"/>
  <c r="Z154" i="11"/>
  <c r="AA154" i="11"/>
  <c r="AB154" i="11"/>
  <c r="AC154" i="11"/>
  <c r="AD154" i="11"/>
  <c r="S153" i="11"/>
  <c r="T153" i="11"/>
  <c r="U153" i="11"/>
  <c r="V153" i="11"/>
  <c r="W153" i="11"/>
  <c r="X153" i="11"/>
  <c r="Y153" i="11"/>
  <c r="Z153" i="11"/>
  <c r="AA153" i="11"/>
  <c r="AB153" i="11"/>
  <c r="AC153" i="11"/>
  <c r="AD153" i="11"/>
  <c r="S152" i="11"/>
  <c r="T152" i="11"/>
  <c r="U152" i="11"/>
  <c r="V152" i="11"/>
  <c r="W152" i="11"/>
  <c r="X152" i="11"/>
  <c r="Y152" i="11"/>
  <c r="Z152" i="11"/>
  <c r="AA152" i="11"/>
  <c r="AB152" i="11"/>
  <c r="AC152" i="11"/>
  <c r="AD152" i="11"/>
  <c r="S151" i="11"/>
  <c r="T151" i="11"/>
  <c r="U151" i="11"/>
  <c r="V151" i="11"/>
  <c r="W151" i="11"/>
  <c r="X151" i="11"/>
  <c r="Y151" i="11"/>
  <c r="Z151" i="11"/>
  <c r="AA151" i="11"/>
  <c r="AB151" i="11"/>
  <c r="AC151" i="11"/>
  <c r="AD151" i="11"/>
  <c r="S150" i="11"/>
  <c r="T150" i="11"/>
  <c r="U150" i="11"/>
  <c r="V150" i="11"/>
  <c r="W150" i="11"/>
  <c r="X150" i="11"/>
  <c r="Y150" i="11"/>
  <c r="Z150" i="11"/>
  <c r="AA150" i="11"/>
  <c r="AB150" i="11"/>
  <c r="AC150" i="11"/>
  <c r="AD150" i="11"/>
  <c r="S149" i="11"/>
  <c r="T149" i="11"/>
  <c r="U149" i="11"/>
  <c r="V149" i="11"/>
  <c r="W149" i="11"/>
  <c r="X149" i="11"/>
  <c r="Y149" i="11"/>
  <c r="Z149" i="11"/>
  <c r="AA149" i="11"/>
  <c r="AB149" i="11"/>
  <c r="AC149" i="11"/>
  <c r="AD149" i="11"/>
  <c r="S148" i="11"/>
  <c r="T148" i="11"/>
  <c r="U148" i="11"/>
  <c r="V148" i="11"/>
  <c r="W148" i="11"/>
  <c r="X148" i="11"/>
  <c r="Y148" i="11"/>
  <c r="Z148" i="11"/>
  <c r="AA148" i="11"/>
  <c r="AB148" i="11"/>
  <c r="AC148" i="11"/>
  <c r="AD148" i="11"/>
  <c r="R157" i="11"/>
  <c r="S147" i="11"/>
  <c r="T147" i="11"/>
  <c r="U147" i="11"/>
  <c r="V147" i="11"/>
  <c r="W147" i="11"/>
  <c r="X147" i="11"/>
  <c r="Y147" i="11"/>
  <c r="Z147" i="11"/>
  <c r="AA147" i="11"/>
  <c r="AB147" i="11"/>
  <c r="AC147" i="11"/>
  <c r="AD147" i="11"/>
  <c r="R147" i="11"/>
  <c r="R148" i="11"/>
  <c r="R149" i="11"/>
  <c r="R150" i="11"/>
  <c r="R151" i="11"/>
  <c r="R152" i="11"/>
  <c r="R153" i="11"/>
  <c r="R154" i="11"/>
  <c r="R155" i="11"/>
  <c r="R156" i="11"/>
  <c r="R158" i="11"/>
  <c r="R159" i="11"/>
  <c r="R160" i="11"/>
  <c r="R161" i="11"/>
  <c r="R162" i="11"/>
  <c r="R163" i="11"/>
  <c r="R164" i="11"/>
  <c r="R165" i="11"/>
  <c r="R166" i="11"/>
  <c r="R167" i="11"/>
  <c r="R168" i="11"/>
  <c r="R169" i="11"/>
  <c r="R170" i="11"/>
  <c r="R171" i="11"/>
  <c r="R172" i="11"/>
  <c r="R173" i="11"/>
  <c r="R174" i="11"/>
  <c r="S143" i="11"/>
  <c r="T143" i="11"/>
  <c r="U143" i="11"/>
  <c r="V143" i="11"/>
  <c r="W143" i="11"/>
  <c r="X143" i="11"/>
  <c r="Y143" i="11"/>
  <c r="Z143" i="11"/>
  <c r="AA143" i="11"/>
  <c r="AB143" i="11"/>
  <c r="AC143" i="11"/>
  <c r="AD143" i="11"/>
  <c r="S142" i="11"/>
  <c r="T142" i="11"/>
  <c r="U142" i="11"/>
  <c r="V142" i="11"/>
  <c r="W142" i="11"/>
  <c r="X142" i="11"/>
  <c r="Y142" i="11"/>
  <c r="Z142" i="11"/>
  <c r="AA142" i="11"/>
  <c r="AB142" i="11"/>
  <c r="AC142" i="11"/>
  <c r="AD142" i="11"/>
  <c r="S141" i="11"/>
  <c r="T141" i="11"/>
  <c r="U141" i="11"/>
  <c r="V141" i="11"/>
  <c r="W141" i="11"/>
  <c r="X141" i="11"/>
  <c r="Y141" i="11"/>
  <c r="Z141" i="11"/>
  <c r="AA141" i="11"/>
  <c r="AB141" i="11"/>
  <c r="AC141" i="11"/>
  <c r="AD141" i="11"/>
  <c r="S140" i="11"/>
  <c r="T140" i="11"/>
  <c r="U140" i="11"/>
  <c r="V140" i="11"/>
  <c r="W140" i="11"/>
  <c r="X140" i="11"/>
  <c r="Y140" i="11"/>
  <c r="Z140" i="11"/>
  <c r="AA140" i="11"/>
  <c r="AB140" i="11"/>
  <c r="AC140" i="11"/>
  <c r="AD140" i="11"/>
  <c r="S139" i="11"/>
  <c r="T139" i="11"/>
  <c r="U139" i="11"/>
  <c r="V139" i="11"/>
  <c r="W139" i="11"/>
  <c r="X139" i="11"/>
  <c r="Y139" i="11"/>
  <c r="Z139" i="11"/>
  <c r="AA139" i="11"/>
  <c r="AB139" i="11"/>
  <c r="AC139" i="11"/>
  <c r="AD139" i="11"/>
  <c r="S138" i="11"/>
  <c r="T138" i="11"/>
  <c r="U138" i="11"/>
  <c r="V138" i="11"/>
  <c r="W138" i="11"/>
  <c r="X138" i="11"/>
  <c r="Y138" i="11"/>
  <c r="Z138" i="11"/>
  <c r="AA138" i="11"/>
  <c r="AB138" i="11"/>
  <c r="AC138" i="11"/>
  <c r="AD138" i="11"/>
  <c r="S137" i="11"/>
  <c r="T137" i="11"/>
  <c r="U137" i="11"/>
  <c r="V137" i="11"/>
  <c r="W137" i="11"/>
  <c r="X137" i="11"/>
  <c r="Y137" i="11"/>
  <c r="Z137" i="11"/>
  <c r="AA137" i="11"/>
  <c r="AB137" i="11"/>
  <c r="AC137" i="11"/>
  <c r="AD137" i="11"/>
  <c r="S136" i="11"/>
  <c r="T136" i="11"/>
  <c r="U136" i="11"/>
  <c r="V136" i="11"/>
  <c r="W136" i="11"/>
  <c r="X136" i="11"/>
  <c r="Y136" i="11"/>
  <c r="Z136" i="11"/>
  <c r="AA136" i="11"/>
  <c r="AB136" i="11"/>
  <c r="AC136" i="11"/>
  <c r="AD136" i="11"/>
  <c r="S135" i="11"/>
  <c r="T135" i="11"/>
  <c r="U135" i="11"/>
  <c r="V135" i="11"/>
  <c r="W135" i="11"/>
  <c r="X135" i="11"/>
  <c r="Y135" i="11"/>
  <c r="Z135" i="11"/>
  <c r="AA135" i="11"/>
  <c r="AB135" i="11"/>
  <c r="AC135" i="11"/>
  <c r="AD135" i="11"/>
  <c r="S134" i="11"/>
  <c r="T134" i="11"/>
  <c r="U134" i="11"/>
  <c r="V134" i="11"/>
  <c r="W134" i="11"/>
  <c r="X134" i="11"/>
  <c r="Y134" i="11"/>
  <c r="Z134" i="11"/>
  <c r="AA134" i="11"/>
  <c r="AB134" i="11"/>
  <c r="AC134" i="11"/>
  <c r="AD134" i="11"/>
  <c r="S133" i="11"/>
  <c r="T133" i="11"/>
  <c r="U133" i="11"/>
  <c r="V133" i="11"/>
  <c r="W133" i="11"/>
  <c r="X133" i="11"/>
  <c r="Y133" i="11"/>
  <c r="Z133" i="11"/>
  <c r="AA133" i="11"/>
  <c r="AB133" i="11"/>
  <c r="AC133" i="11"/>
  <c r="AD133" i="11"/>
  <c r="S132" i="11"/>
  <c r="T132" i="11"/>
  <c r="U132" i="11"/>
  <c r="V132" i="11"/>
  <c r="W132" i="11"/>
  <c r="X132" i="11"/>
  <c r="Y132" i="11"/>
  <c r="Z132" i="11"/>
  <c r="AA132" i="11"/>
  <c r="AB132" i="11"/>
  <c r="AC132" i="11"/>
  <c r="AD132" i="11"/>
  <c r="S131" i="11"/>
  <c r="T131" i="11"/>
  <c r="U131" i="11"/>
  <c r="V131" i="11"/>
  <c r="W131" i="11"/>
  <c r="X131" i="11"/>
  <c r="Y131" i="11"/>
  <c r="Z131" i="11"/>
  <c r="AA131" i="11"/>
  <c r="AB131" i="11"/>
  <c r="AC131" i="11"/>
  <c r="AD131" i="11"/>
  <c r="S130" i="11"/>
  <c r="T130" i="11"/>
  <c r="U130" i="11"/>
  <c r="V130" i="11"/>
  <c r="W130" i="11"/>
  <c r="X130" i="11"/>
  <c r="Y130" i="11"/>
  <c r="Z130" i="11"/>
  <c r="AA130" i="11"/>
  <c r="AB130" i="11"/>
  <c r="AC130" i="11"/>
  <c r="AD130" i="11"/>
  <c r="S129" i="11"/>
  <c r="T129" i="11"/>
  <c r="U129" i="11"/>
  <c r="V129" i="11"/>
  <c r="W129" i="11"/>
  <c r="X129" i="11"/>
  <c r="Y129" i="11"/>
  <c r="Z129" i="11"/>
  <c r="AA129" i="11"/>
  <c r="AB129" i="11"/>
  <c r="AC129" i="11"/>
  <c r="AD129" i="11"/>
  <c r="S128" i="11"/>
  <c r="T128" i="11"/>
  <c r="U128" i="11"/>
  <c r="V128" i="11"/>
  <c r="W128" i="11"/>
  <c r="X128" i="11"/>
  <c r="Y128" i="11"/>
  <c r="Z128" i="11"/>
  <c r="AA128" i="11"/>
  <c r="AB128" i="11"/>
  <c r="AC128" i="11"/>
  <c r="AD128" i="11"/>
  <c r="S127" i="11"/>
  <c r="T127" i="11"/>
  <c r="U127" i="11"/>
  <c r="V127" i="11"/>
  <c r="W127" i="11"/>
  <c r="X127" i="11"/>
  <c r="Y127" i="11"/>
  <c r="Z127" i="11"/>
  <c r="AA127" i="11"/>
  <c r="AB127" i="11"/>
  <c r="AC127" i="11"/>
  <c r="AD127" i="11"/>
  <c r="T126" i="11"/>
  <c r="S126" i="11"/>
  <c r="U126" i="11"/>
  <c r="V126" i="11"/>
  <c r="W126" i="11"/>
  <c r="X126" i="11"/>
  <c r="Y126" i="11"/>
  <c r="Z126" i="11"/>
  <c r="AA126" i="11"/>
  <c r="AB126" i="11"/>
  <c r="AC126" i="11"/>
  <c r="AD126" i="11"/>
  <c r="S125" i="11"/>
  <c r="T125" i="11"/>
  <c r="U125" i="11"/>
  <c r="V125" i="11"/>
  <c r="W125" i="11"/>
  <c r="X125" i="11"/>
  <c r="Y125" i="11"/>
  <c r="Z125" i="11"/>
  <c r="AA125" i="11"/>
  <c r="AB125" i="11"/>
  <c r="AC125" i="11"/>
  <c r="AD125" i="11"/>
  <c r="R144" i="10"/>
  <c r="S124" i="11"/>
  <c r="T124" i="11"/>
  <c r="U124" i="11"/>
  <c r="V124" i="11"/>
  <c r="W124" i="11"/>
  <c r="X124" i="11"/>
  <c r="Y124" i="11"/>
  <c r="Z124" i="11"/>
  <c r="AA124" i="11"/>
  <c r="AB124" i="11"/>
  <c r="AC124" i="11"/>
  <c r="AD124" i="11"/>
  <c r="S123" i="11"/>
  <c r="T123" i="11"/>
  <c r="U123" i="11"/>
  <c r="V123" i="11"/>
  <c r="W123" i="11"/>
  <c r="X123" i="11"/>
  <c r="Y123" i="11"/>
  <c r="Z123" i="11"/>
  <c r="AA123" i="11"/>
  <c r="AB123" i="11"/>
  <c r="AC123" i="11"/>
  <c r="AD123" i="11"/>
  <c r="S122" i="11"/>
  <c r="T122" i="11"/>
  <c r="U122" i="11"/>
  <c r="V122" i="11"/>
  <c r="W122" i="11"/>
  <c r="X122" i="11"/>
  <c r="Y122" i="11"/>
  <c r="Z122" i="11"/>
  <c r="AA122" i="11"/>
  <c r="AB122" i="11"/>
  <c r="AC122" i="11"/>
  <c r="AD122" i="11"/>
  <c r="S121" i="11"/>
  <c r="T121" i="11"/>
  <c r="U121" i="11"/>
  <c r="V121" i="11"/>
  <c r="W121" i="11"/>
  <c r="X121" i="11"/>
  <c r="Y121" i="11"/>
  <c r="Z121" i="11"/>
  <c r="AA121" i="11"/>
  <c r="AB121" i="11"/>
  <c r="AC121" i="11"/>
  <c r="AD121" i="11"/>
  <c r="S120" i="11"/>
  <c r="T120" i="11"/>
  <c r="U120" i="11"/>
  <c r="V120" i="11"/>
  <c r="W120" i="11"/>
  <c r="X120" i="11"/>
  <c r="Y120" i="11"/>
  <c r="Z120" i="11"/>
  <c r="AA120" i="11"/>
  <c r="AB120" i="11"/>
  <c r="AC120" i="11"/>
  <c r="AD120" i="11"/>
  <c r="R119" i="11"/>
  <c r="S119" i="11"/>
  <c r="T119" i="11"/>
  <c r="U119" i="11"/>
  <c r="V119" i="11"/>
  <c r="W119" i="11"/>
  <c r="X119" i="11"/>
  <c r="Y119" i="11"/>
  <c r="Z119" i="11"/>
  <c r="AA119" i="11"/>
  <c r="AB119" i="11"/>
  <c r="AC119" i="11"/>
  <c r="AD119" i="11"/>
  <c r="S118" i="11"/>
  <c r="T118" i="11"/>
  <c r="U118" i="11"/>
  <c r="V118" i="11"/>
  <c r="W118" i="11"/>
  <c r="X118" i="11"/>
  <c r="Y118" i="11"/>
  <c r="Z118" i="11"/>
  <c r="AA118" i="11"/>
  <c r="AB118" i="11"/>
  <c r="AC118" i="11"/>
  <c r="AD118" i="11"/>
  <c r="S117" i="11"/>
  <c r="T117" i="11"/>
  <c r="U117" i="11"/>
  <c r="V117" i="11"/>
  <c r="W117" i="11"/>
  <c r="X117" i="11"/>
  <c r="Y117" i="11"/>
  <c r="Z117" i="11"/>
  <c r="AA117" i="11"/>
  <c r="AB117" i="11"/>
  <c r="AC117" i="11"/>
  <c r="AD117" i="11"/>
  <c r="R117" i="11"/>
  <c r="U116" i="11"/>
  <c r="S116" i="11"/>
  <c r="T116" i="11"/>
  <c r="V116" i="11"/>
  <c r="X116" i="11"/>
  <c r="R116" i="11"/>
  <c r="R118"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S74" i="11"/>
  <c r="T74" i="11"/>
  <c r="U74" i="11"/>
  <c r="V74" i="11"/>
  <c r="W74" i="11"/>
  <c r="X74" i="11"/>
  <c r="Y74" i="11"/>
  <c r="Z74" i="11"/>
  <c r="AA74" i="11"/>
  <c r="AB74" i="11"/>
  <c r="AC74" i="11"/>
  <c r="AD74" i="11"/>
  <c r="S75" i="11"/>
  <c r="T75" i="11"/>
  <c r="U75" i="11"/>
  <c r="V75" i="11"/>
  <c r="W75" i="11"/>
  <c r="X75" i="11"/>
  <c r="Y75" i="11"/>
  <c r="Z75" i="11"/>
  <c r="AA75" i="11"/>
  <c r="AB75" i="11"/>
  <c r="AC75" i="11"/>
  <c r="AD75" i="11"/>
  <c r="S76" i="11"/>
  <c r="T76" i="11"/>
  <c r="U76" i="11"/>
  <c r="V76" i="11"/>
  <c r="W76" i="11"/>
  <c r="X76" i="11"/>
  <c r="Y76" i="11"/>
  <c r="Z76" i="11"/>
  <c r="AA76" i="11"/>
  <c r="AB76" i="11"/>
  <c r="AC76" i="11"/>
  <c r="AD76" i="11"/>
  <c r="S77" i="11"/>
  <c r="T77" i="11"/>
  <c r="U77" i="11"/>
  <c r="V77" i="11"/>
  <c r="W77" i="11"/>
  <c r="X77" i="11"/>
  <c r="Y77" i="11"/>
  <c r="Z77" i="11"/>
  <c r="AA77" i="11"/>
  <c r="AB77" i="11"/>
  <c r="AC77" i="11"/>
  <c r="AD77" i="11"/>
  <c r="S78" i="11"/>
  <c r="T78" i="11"/>
  <c r="U78" i="11"/>
  <c r="V78" i="11"/>
  <c r="W78" i="11"/>
  <c r="X78" i="11"/>
  <c r="Y78" i="11"/>
  <c r="Z78" i="11"/>
  <c r="AA78" i="11"/>
  <c r="AB78" i="11"/>
  <c r="AC78" i="11"/>
  <c r="AD78" i="11"/>
  <c r="S79" i="11"/>
  <c r="T79" i="11"/>
  <c r="U79" i="11"/>
  <c r="V79" i="11"/>
  <c r="W79" i="11"/>
  <c r="X79" i="11"/>
  <c r="Y79" i="11"/>
  <c r="Z79" i="11"/>
  <c r="AA79" i="11"/>
  <c r="AB79" i="11"/>
  <c r="AC79" i="11"/>
  <c r="AD79" i="11"/>
  <c r="S80" i="11"/>
  <c r="T80" i="11"/>
  <c r="U80" i="11"/>
  <c r="V80" i="11"/>
  <c r="W80" i="11"/>
  <c r="X80" i="11"/>
  <c r="Y80" i="11"/>
  <c r="Z80" i="11"/>
  <c r="AA80" i="11"/>
  <c r="AB80" i="11"/>
  <c r="AC80" i="11"/>
  <c r="AD80" i="11"/>
  <c r="S81" i="11"/>
  <c r="T81" i="11"/>
  <c r="U81" i="11"/>
  <c r="V81" i="11"/>
  <c r="W81" i="11"/>
  <c r="X81" i="11"/>
  <c r="Y81" i="11"/>
  <c r="Z81" i="11"/>
  <c r="AA81" i="11"/>
  <c r="AB81" i="11"/>
  <c r="AC81" i="11"/>
  <c r="AD81" i="11"/>
  <c r="S82" i="11"/>
  <c r="T82" i="11"/>
  <c r="U82" i="11"/>
  <c r="V82" i="11"/>
  <c r="W82" i="11"/>
  <c r="X82" i="11"/>
  <c r="Y82" i="11"/>
  <c r="Z82" i="11"/>
  <c r="AA82" i="11"/>
  <c r="AB82" i="11"/>
  <c r="AC82" i="11"/>
  <c r="AD82" i="11"/>
  <c r="S83" i="11"/>
  <c r="T83" i="11"/>
  <c r="U83" i="11"/>
  <c r="V83" i="11"/>
  <c r="W83" i="11"/>
  <c r="X83" i="11"/>
  <c r="Y83" i="11"/>
  <c r="Z83" i="11"/>
  <c r="AA83" i="11"/>
  <c r="AB83" i="11"/>
  <c r="AC83" i="11"/>
  <c r="AD83" i="11"/>
  <c r="S84" i="11"/>
  <c r="T84" i="11"/>
  <c r="U84" i="11"/>
  <c r="V84" i="11"/>
  <c r="W84" i="11"/>
  <c r="X84" i="11"/>
  <c r="Y84" i="11"/>
  <c r="Z84" i="11"/>
  <c r="AA84" i="11"/>
  <c r="AB84" i="11"/>
  <c r="AC84" i="11"/>
  <c r="AD84" i="11"/>
  <c r="S85" i="11"/>
  <c r="T85" i="11"/>
  <c r="U85" i="11"/>
  <c r="V85" i="11"/>
  <c r="W85" i="11"/>
  <c r="X85" i="11"/>
  <c r="Y85" i="11"/>
  <c r="Z85" i="11"/>
  <c r="AA85" i="11"/>
  <c r="AB85" i="11"/>
  <c r="AC85" i="11"/>
  <c r="AD85" i="11"/>
  <c r="S86" i="11"/>
  <c r="T86" i="11"/>
  <c r="U86" i="11"/>
  <c r="V86" i="11"/>
  <c r="W86" i="11"/>
  <c r="X86" i="11"/>
  <c r="Y86" i="11"/>
  <c r="Z86" i="11"/>
  <c r="AA86" i="11"/>
  <c r="AB86" i="11"/>
  <c r="AC86" i="11"/>
  <c r="AD86" i="11"/>
  <c r="S87" i="11"/>
  <c r="T87" i="11"/>
  <c r="U87" i="11"/>
  <c r="V87" i="11"/>
  <c r="W87" i="11"/>
  <c r="X87" i="11"/>
  <c r="Y87" i="11"/>
  <c r="Z87" i="11"/>
  <c r="AA87" i="11"/>
  <c r="AB87" i="11"/>
  <c r="AC87" i="11"/>
  <c r="AD87" i="11"/>
  <c r="S88" i="11"/>
  <c r="T88" i="11"/>
  <c r="U88" i="11"/>
  <c r="V88" i="11"/>
  <c r="W88" i="11"/>
  <c r="X88" i="11"/>
  <c r="Y88" i="11"/>
  <c r="Z88" i="11"/>
  <c r="AA88" i="11"/>
  <c r="AB88" i="11"/>
  <c r="AC88" i="11"/>
  <c r="AD88" i="11"/>
  <c r="S89" i="11"/>
  <c r="T89" i="11"/>
  <c r="U89" i="11"/>
  <c r="V89" i="11"/>
  <c r="W89" i="11"/>
  <c r="X89" i="11"/>
  <c r="Y89" i="11"/>
  <c r="Z89" i="11"/>
  <c r="AA89" i="11"/>
  <c r="AB89" i="11"/>
  <c r="AC89" i="11"/>
  <c r="AD89" i="11"/>
  <c r="S90" i="11"/>
  <c r="T90" i="11"/>
  <c r="U90" i="11"/>
  <c r="V90" i="11"/>
  <c r="W90" i="11"/>
  <c r="X90" i="11"/>
  <c r="Y90" i="11"/>
  <c r="Z90" i="11"/>
  <c r="AA90" i="11"/>
  <c r="AB90" i="11"/>
  <c r="AC90" i="11"/>
  <c r="AD90" i="11"/>
  <c r="S91" i="11"/>
  <c r="T91" i="11"/>
  <c r="U91" i="11"/>
  <c r="V91" i="11"/>
  <c r="W91" i="11"/>
  <c r="X91" i="11"/>
  <c r="Y91" i="11"/>
  <c r="Z91" i="11"/>
  <c r="AA91" i="11"/>
  <c r="AB91" i="11"/>
  <c r="AC91" i="11"/>
  <c r="AD91" i="11"/>
  <c r="S92" i="11"/>
  <c r="T92" i="11"/>
  <c r="U92" i="11"/>
  <c r="V92" i="11"/>
  <c r="W92" i="11"/>
  <c r="X92" i="11"/>
  <c r="Y92" i="11"/>
  <c r="Z92" i="11"/>
  <c r="AA92" i="11"/>
  <c r="AB92" i="11"/>
  <c r="AC92" i="11"/>
  <c r="AD92" i="11"/>
  <c r="S93" i="11"/>
  <c r="T93" i="11"/>
  <c r="U93" i="11"/>
  <c r="V93" i="11"/>
  <c r="W93" i="11"/>
  <c r="X93" i="11"/>
  <c r="Y93" i="11"/>
  <c r="Z93" i="11"/>
  <c r="AA93" i="11"/>
  <c r="AB93" i="11"/>
  <c r="AC93" i="11"/>
  <c r="AD93" i="11"/>
  <c r="S94" i="11"/>
  <c r="T94" i="11"/>
  <c r="U94" i="11"/>
  <c r="V94" i="11"/>
  <c r="W94" i="11"/>
  <c r="X94" i="11"/>
  <c r="Y94" i="11"/>
  <c r="Z94" i="11"/>
  <c r="AA94" i="11"/>
  <c r="AB94" i="11"/>
  <c r="AC94" i="11"/>
  <c r="AD94" i="11"/>
  <c r="S95" i="11"/>
  <c r="T95" i="11"/>
  <c r="U95" i="11"/>
  <c r="V95" i="11"/>
  <c r="W95" i="11"/>
  <c r="X95" i="11"/>
  <c r="Y95" i="11"/>
  <c r="Z95" i="11"/>
  <c r="AA95" i="11"/>
  <c r="AB95" i="11"/>
  <c r="AC95" i="11"/>
  <c r="AD95" i="11"/>
  <c r="S96" i="11"/>
  <c r="T96" i="11"/>
  <c r="U96" i="11"/>
  <c r="V96" i="11"/>
  <c r="W96" i="11"/>
  <c r="X96" i="11"/>
  <c r="Y96" i="11"/>
  <c r="Z96" i="11"/>
  <c r="AA96" i="11"/>
  <c r="AB96" i="11"/>
  <c r="AC96" i="11"/>
  <c r="AD96" i="11"/>
  <c r="S97" i="11"/>
  <c r="T97" i="11"/>
  <c r="U97" i="11"/>
  <c r="V97" i="11"/>
  <c r="W97" i="11"/>
  <c r="X97" i="11"/>
  <c r="Y97" i="11"/>
  <c r="Z97" i="11"/>
  <c r="AA97" i="11"/>
  <c r="AB97" i="11"/>
  <c r="AC97" i="11"/>
  <c r="AD97" i="11"/>
  <c r="S98" i="11"/>
  <c r="T98" i="11"/>
  <c r="U98" i="11"/>
  <c r="V98" i="11"/>
  <c r="W98" i="11"/>
  <c r="X98" i="11"/>
  <c r="Y98" i="11"/>
  <c r="Z98" i="11"/>
  <c r="AA98" i="11"/>
  <c r="AB98" i="11"/>
  <c r="AC98" i="11"/>
  <c r="AD98" i="11"/>
  <c r="S99" i="11"/>
  <c r="T99" i="11"/>
  <c r="U99" i="11"/>
  <c r="V99" i="11"/>
  <c r="W99" i="11"/>
  <c r="X99" i="11"/>
  <c r="Y99" i="11"/>
  <c r="Z99" i="11"/>
  <c r="AA99" i="11"/>
  <c r="AB99" i="11"/>
  <c r="AC99" i="11"/>
  <c r="AD99" i="11"/>
  <c r="S100" i="11"/>
  <c r="T100" i="11"/>
  <c r="U100" i="11"/>
  <c r="V100" i="11"/>
  <c r="W100" i="11"/>
  <c r="X100" i="11"/>
  <c r="Y100" i="11"/>
  <c r="Z100" i="11"/>
  <c r="AA100" i="11"/>
  <c r="AB100" i="11"/>
  <c r="AC100" i="11"/>
  <c r="AD100" i="11"/>
  <c r="S101" i="11"/>
  <c r="T101" i="11"/>
  <c r="U101" i="11"/>
  <c r="V101" i="11"/>
  <c r="W101" i="11"/>
  <c r="X101" i="11"/>
  <c r="Y101" i="11"/>
  <c r="Z101" i="11"/>
  <c r="AA101" i="11"/>
  <c r="AB101" i="11"/>
  <c r="AC101" i="11"/>
  <c r="AD101" i="11"/>
  <c r="S102" i="11"/>
  <c r="T102" i="11"/>
  <c r="U102" i="11"/>
  <c r="V102" i="11"/>
  <c r="W102" i="11"/>
  <c r="X102" i="11"/>
  <c r="Y102" i="11"/>
  <c r="Z102" i="11"/>
  <c r="AA102" i="11"/>
  <c r="AB102" i="11"/>
  <c r="AC102" i="11"/>
  <c r="AD102" i="11"/>
  <c r="S103" i="11"/>
  <c r="T103" i="11"/>
  <c r="U103" i="11"/>
  <c r="V103" i="11"/>
  <c r="W103" i="11"/>
  <c r="X103" i="11"/>
  <c r="Y103" i="11"/>
  <c r="Z103" i="11"/>
  <c r="AA103" i="11"/>
  <c r="AB103" i="11"/>
  <c r="AC103" i="11"/>
  <c r="AD103" i="11"/>
  <c r="S104" i="11"/>
  <c r="T104" i="11"/>
  <c r="U104" i="11"/>
  <c r="V104" i="11"/>
  <c r="W104" i="11"/>
  <c r="X104" i="11"/>
  <c r="Y104" i="11"/>
  <c r="Z104" i="11"/>
  <c r="AA104" i="11"/>
  <c r="AB104" i="11"/>
  <c r="AC104" i="11"/>
  <c r="AD104" i="11"/>
  <c r="S105" i="11"/>
  <c r="T105" i="11"/>
  <c r="U105" i="11"/>
  <c r="V105" i="11"/>
  <c r="W105" i="11"/>
  <c r="X105" i="11"/>
  <c r="Y105" i="11"/>
  <c r="Z105" i="11"/>
  <c r="AA105" i="11"/>
  <c r="AB105" i="11"/>
  <c r="AC105" i="11"/>
  <c r="AD105" i="11"/>
  <c r="S106" i="11"/>
  <c r="T106" i="11"/>
  <c r="U106" i="11"/>
  <c r="V106" i="11"/>
  <c r="W106" i="11"/>
  <c r="X106" i="11"/>
  <c r="Y106" i="11"/>
  <c r="Z106" i="11"/>
  <c r="AA106" i="11"/>
  <c r="AB106" i="11"/>
  <c r="AC106" i="11"/>
  <c r="AD106" i="11"/>
  <c r="S107" i="11"/>
  <c r="T107" i="11"/>
  <c r="U107" i="11"/>
  <c r="V107" i="11"/>
  <c r="W107" i="11"/>
  <c r="X107" i="11"/>
  <c r="Y107" i="11"/>
  <c r="Z107" i="11"/>
  <c r="AA107" i="11"/>
  <c r="AB107" i="11"/>
  <c r="AC107" i="11"/>
  <c r="AD107" i="11"/>
  <c r="S108" i="11"/>
  <c r="T108" i="11"/>
  <c r="U108" i="11"/>
  <c r="V108" i="11"/>
  <c r="W108" i="11"/>
  <c r="X108" i="11"/>
  <c r="Y108" i="11"/>
  <c r="Z108" i="11"/>
  <c r="AA108" i="11"/>
  <c r="AB108" i="11"/>
  <c r="AC108" i="11"/>
  <c r="AD108" i="11"/>
  <c r="S109" i="11"/>
  <c r="T109" i="11"/>
  <c r="U109" i="11"/>
  <c r="V109" i="11"/>
  <c r="W109" i="11"/>
  <c r="X109" i="11"/>
  <c r="Y109" i="11"/>
  <c r="Z109" i="11"/>
  <c r="AA109" i="11"/>
  <c r="AB109" i="11"/>
  <c r="AC109" i="11"/>
  <c r="AD109" i="11"/>
  <c r="S110" i="11"/>
  <c r="T110" i="11"/>
  <c r="U110" i="11"/>
  <c r="V110" i="11"/>
  <c r="W110" i="11"/>
  <c r="X110" i="11"/>
  <c r="Y110" i="11"/>
  <c r="Z110" i="11"/>
  <c r="AA110" i="11"/>
  <c r="AB110" i="11"/>
  <c r="AC110" i="11"/>
  <c r="AD110" i="11"/>
  <c r="S111" i="11"/>
  <c r="T111" i="11"/>
  <c r="U111" i="11"/>
  <c r="V111" i="11"/>
  <c r="W111" i="11"/>
  <c r="X111" i="11"/>
  <c r="Y111" i="11"/>
  <c r="Z111" i="11"/>
  <c r="AA111" i="11"/>
  <c r="AB111" i="11"/>
  <c r="AC111" i="11"/>
  <c r="AD111" i="11"/>
  <c r="R111" i="11"/>
  <c r="R110" i="11"/>
  <c r="R109" i="11"/>
  <c r="R108" i="11"/>
  <c r="R107" i="11"/>
  <c r="R106" i="11"/>
  <c r="R105" i="11"/>
  <c r="R103" i="11"/>
  <c r="R104" i="11"/>
  <c r="R102" i="11"/>
  <c r="R101" i="11"/>
  <c r="R99" i="11"/>
  <c r="R100"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6" i="10"/>
  <c r="R61" i="10"/>
  <c r="S61" i="10"/>
  <c r="T61" i="10"/>
  <c r="U61" i="10"/>
  <c r="V61" i="10"/>
  <c r="W61" i="10"/>
  <c r="X61" i="10"/>
  <c r="Y61" i="10"/>
  <c r="Z61" i="10"/>
  <c r="AA61" i="10"/>
  <c r="AB61" i="10"/>
  <c r="AC61" i="10"/>
  <c r="AD61" i="10"/>
  <c r="R62" i="10"/>
  <c r="S62" i="10"/>
  <c r="T62" i="10"/>
  <c r="U62" i="10"/>
  <c r="V62" i="10"/>
  <c r="W62" i="10"/>
  <c r="X62" i="10"/>
  <c r="Y62" i="10"/>
  <c r="Z62" i="10"/>
  <c r="AA62" i="10"/>
  <c r="AB62" i="10"/>
  <c r="AC62" i="10"/>
  <c r="AD62" i="10"/>
  <c r="R63" i="10"/>
  <c r="S63" i="10"/>
  <c r="T63" i="10"/>
  <c r="U63" i="10"/>
  <c r="V63" i="10"/>
  <c r="W63" i="10"/>
  <c r="X63" i="10"/>
  <c r="Y63" i="10"/>
  <c r="Z63" i="10"/>
  <c r="AA63" i="10"/>
  <c r="AB63" i="10"/>
  <c r="AC63" i="10"/>
  <c r="AD63" i="10"/>
  <c r="R64" i="10"/>
  <c r="S64" i="10"/>
  <c r="T64" i="10"/>
  <c r="U64" i="10"/>
  <c r="V64" i="10"/>
  <c r="W64" i="10"/>
  <c r="X64" i="10"/>
  <c r="Y64" i="10"/>
  <c r="Z64" i="10"/>
  <c r="AA64" i="10"/>
  <c r="AB64" i="10"/>
  <c r="AC64" i="10"/>
  <c r="AD64" i="10"/>
  <c r="R65" i="10"/>
  <c r="S65" i="10"/>
  <c r="T65" i="10"/>
  <c r="U65" i="10"/>
  <c r="V65" i="10"/>
  <c r="W65" i="10"/>
  <c r="X65" i="10"/>
  <c r="Y65" i="10"/>
  <c r="Z65" i="10"/>
  <c r="AA65" i="10"/>
  <c r="AB65" i="10"/>
  <c r="AC65" i="10"/>
  <c r="AD65" i="10"/>
  <c r="R66" i="10"/>
  <c r="S66" i="10"/>
  <c r="T66" i="10"/>
  <c r="U66" i="10"/>
  <c r="V66" i="10"/>
  <c r="W66" i="10"/>
  <c r="X66" i="10"/>
  <c r="Y66" i="10"/>
  <c r="Z66" i="10"/>
  <c r="AA66" i="10"/>
  <c r="AB66" i="10"/>
  <c r="AC66" i="10"/>
  <c r="AD66" i="10"/>
  <c r="R67" i="10"/>
  <c r="S67" i="10"/>
  <c r="T67" i="10"/>
  <c r="U67" i="10"/>
  <c r="V67" i="10"/>
  <c r="W67" i="10"/>
  <c r="X67" i="10"/>
  <c r="Y67" i="10"/>
  <c r="Z67" i="10"/>
  <c r="AA67" i="10"/>
  <c r="AB67" i="10"/>
  <c r="AC67" i="10"/>
  <c r="AD67" i="10"/>
  <c r="R68" i="10"/>
  <c r="S68" i="10"/>
  <c r="T68" i="10"/>
  <c r="U68" i="10"/>
  <c r="V68" i="10"/>
  <c r="W68" i="10"/>
  <c r="X68" i="10"/>
  <c r="Y68" i="10"/>
  <c r="Z68" i="10"/>
  <c r="AA68" i="10"/>
  <c r="AB68" i="10"/>
  <c r="AC68" i="10"/>
  <c r="AD68" i="10"/>
  <c r="R69" i="10"/>
  <c r="S69" i="10"/>
  <c r="T69" i="10"/>
  <c r="U69" i="10"/>
  <c r="V69" i="10"/>
  <c r="W69" i="10"/>
  <c r="X69" i="10"/>
  <c r="Y69" i="10"/>
  <c r="Z69" i="10"/>
  <c r="AA69" i="10"/>
  <c r="AB69" i="10"/>
  <c r="AC69" i="10"/>
  <c r="AD69" i="10"/>
  <c r="R70" i="10"/>
  <c r="S70" i="10"/>
  <c r="T70" i="10"/>
  <c r="U70" i="10"/>
  <c r="V70" i="10"/>
  <c r="W70" i="10"/>
  <c r="X70" i="10"/>
  <c r="Y70" i="10"/>
  <c r="Z70" i="10"/>
  <c r="AA70" i="10"/>
  <c r="AB70" i="10"/>
  <c r="AC70" i="10"/>
  <c r="AD70" i="10"/>
  <c r="R71" i="10"/>
  <c r="S71" i="10"/>
  <c r="T71" i="10"/>
  <c r="U71" i="10"/>
  <c r="V71" i="10"/>
  <c r="W71" i="10"/>
  <c r="X71" i="10"/>
  <c r="Y71" i="10"/>
  <c r="Z71" i="10"/>
  <c r="AA71" i="10"/>
  <c r="AB71" i="10"/>
  <c r="AC71" i="10"/>
  <c r="AD71" i="10"/>
  <c r="R72" i="10"/>
  <c r="S72" i="10"/>
  <c r="T72" i="10"/>
  <c r="U72" i="10"/>
  <c r="V72" i="10"/>
  <c r="W72" i="10"/>
  <c r="X72" i="10"/>
  <c r="Y72" i="10"/>
  <c r="Z72" i="10"/>
  <c r="AA72" i="10"/>
  <c r="AB72" i="10"/>
  <c r="AC72" i="10"/>
  <c r="AD72" i="10"/>
  <c r="S60" i="10"/>
  <c r="T60" i="10"/>
  <c r="U60" i="10"/>
  <c r="V60" i="10"/>
  <c r="W60" i="10"/>
  <c r="X60" i="10"/>
  <c r="Y60" i="10"/>
  <c r="Z60" i="10"/>
  <c r="AA60" i="10"/>
  <c r="AB60" i="10"/>
  <c r="AC60" i="10"/>
  <c r="AD60" i="10"/>
  <c r="R60" i="10"/>
  <c r="R59" i="11"/>
  <c r="S59" i="11"/>
  <c r="T59" i="11"/>
  <c r="U59" i="11"/>
  <c r="V59" i="11"/>
  <c r="W59" i="11"/>
  <c r="X59" i="11"/>
  <c r="Y59" i="11"/>
  <c r="Z59" i="11"/>
  <c r="AA59" i="11"/>
  <c r="AB59" i="11"/>
  <c r="AC59" i="11"/>
  <c r="AD59" i="11"/>
  <c r="R60" i="11"/>
  <c r="S60" i="11"/>
  <c r="T60" i="11"/>
  <c r="U60" i="11"/>
  <c r="V60" i="11"/>
  <c r="W60" i="11"/>
  <c r="X60" i="11"/>
  <c r="Y60" i="11"/>
  <c r="Z60" i="11"/>
  <c r="AA60" i="11"/>
  <c r="AB60" i="11"/>
  <c r="AC60" i="11"/>
  <c r="AD60" i="11"/>
  <c r="R61" i="11"/>
  <c r="S61" i="11"/>
  <c r="T61" i="11"/>
  <c r="U61" i="11"/>
  <c r="V61" i="11"/>
  <c r="W61" i="11"/>
  <c r="X61" i="11"/>
  <c r="Y61" i="11"/>
  <c r="Z61" i="11"/>
  <c r="AA61" i="11"/>
  <c r="AB61" i="11"/>
  <c r="AC61" i="11"/>
  <c r="AD61" i="11"/>
  <c r="R62" i="11"/>
  <c r="S62" i="11"/>
  <c r="T62" i="11"/>
  <c r="U62" i="11"/>
  <c r="V62" i="11"/>
  <c r="W62" i="11"/>
  <c r="X62" i="11"/>
  <c r="Y62" i="11"/>
  <c r="Z62" i="11"/>
  <c r="AA62" i="11"/>
  <c r="AB62" i="11"/>
  <c r="AC62" i="11"/>
  <c r="AD62" i="11"/>
  <c r="R63" i="11"/>
  <c r="S63" i="11"/>
  <c r="T63" i="11"/>
  <c r="U63" i="11"/>
  <c r="V63" i="11"/>
  <c r="W63" i="11"/>
  <c r="X63" i="11"/>
  <c r="Y63" i="11"/>
  <c r="Z63" i="11"/>
  <c r="AA63" i="11"/>
  <c r="AB63" i="11"/>
  <c r="AC63" i="11"/>
  <c r="AD63" i="11"/>
  <c r="R64" i="11"/>
  <c r="S64" i="11"/>
  <c r="T64" i="11"/>
  <c r="U64" i="11"/>
  <c r="V64" i="11"/>
  <c r="W64" i="11"/>
  <c r="X64" i="11"/>
  <c r="Y64" i="11"/>
  <c r="Z64" i="11"/>
  <c r="AA64" i="11"/>
  <c r="AB64" i="11"/>
  <c r="AC64" i="11"/>
  <c r="AD64" i="11"/>
  <c r="R65" i="11"/>
  <c r="S65" i="11"/>
  <c r="T65" i="11"/>
  <c r="U65" i="11"/>
  <c r="V65" i="11"/>
  <c r="W65" i="11"/>
  <c r="X65" i="11"/>
  <c r="Y65" i="11"/>
  <c r="Z65" i="11"/>
  <c r="AA65" i="11"/>
  <c r="AB65" i="11"/>
  <c r="AC65" i="11"/>
  <c r="AD65" i="11"/>
  <c r="R66" i="11"/>
  <c r="S66" i="11"/>
  <c r="T66" i="11"/>
  <c r="U66" i="11"/>
  <c r="V66" i="11"/>
  <c r="W66" i="11"/>
  <c r="X66" i="11"/>
  <c r="Y66" i="11"/>
  <c r="Z66" i="11"/>
  <c r="AA66" i="11"/>
  <c r="AB66" i="11"/>
  <c r="AC66" i="11"/>
  <c r="AD66" i="11"/>
  <c r="R67" i="11"/>
  <c r="S67" i="11"/>
  <c r="T67" i="11"/>
  <c r="U67" i="11"/>
  <c r="V67" i="11"/>
  <c r="W67" i="11"/>
  <c r="X67" i="11"/>
  <c r="Y67" i="11"/>
  <c r="Z67" i="11"/>
  <c r="AA67" i="11"/>
  <c r="AB67" i="11"/>
  <c r="AC67" i="11"/>
  <c r="AD67" i="11"/>
  <c r="R68" i="11"/>
  <c r="S68" i="11"/>
  <c r="T68" i="11"/>
  <c r="U68" i="11"/>
  <c r="V68" i="11"/>
  <c r="W68" i="11"/>
  <c r="X68" i="11"/>
  <c r="Y68" i="11"/>
  <c r="Z68" i="11"/>
  <c r="AA68" i="11"/>
  <c r="AB68" i="11"/>
  <c r="AC68" i="11"/>
  <c r="AD68" i="11"/>
  <c r="R69" i="11"/>
  <c r="S69" i="11"/>
  <c r="T69" i="11"/>
  <c r="U69" i="11"/>
  <c r="V69" i="11"/>
  <c r="W69" i="11"/>
  <c r="X69" i="11"/>
  <c r="Y69" i="11"/>
  <c r="Z69" i="11"/>
  <c r="AA69" i="11"/>
  <c r="AB69" i="11"/>
  <c r="AC69" i="11"/>
  <c r="AD69" i="11"/>
  <c r="R70" i="11"/>
  <c r="S70" i="11"/>
  <c r="T70" i="11"/>
  <c r="U70" i="11"/>
  <c r="V70" i="11"/>
  <c r="W70" i="11"/>
  <c r="X70" i="11"/>
  <c r="Y70" i="11"/>
  <c r="Z70" i="11"/>
  <c r="AA70" i="11"/>
  <c r="AB70" i="11"/>
  <c r="AC70" i="11"/>
  <c r="AD70" i="11"/>
  <c r="S58" i="11"/>
  <c r="T58" i="11"/>
  <c r="U58" i="11"/>
  <c r="V58" i="11"/>
  <c r="W58" i="11"/>
  <c r="X58" i="11"/>
  <c r="Y58" i="11"/>
  <c r="Z58" i="11"/>
  <c r="AA58" i="11"/>
  <c r="AB58" i="11"/>
  <c r="AC58" i="11"/>
  <c r="AD58" i="11"/>
  <c r="R58" i="11"/>
  <c r="R121" i="10"/>
  <c r="R149" i="10"/>
  <c r="R132" i="10"/>
  <c r="S132" i="10"/>
  <c r="T132" i="10"/>
  <c r="U132" i="10"/>
  <c r="V132" i="10"/>
  <c r="W132" i="10"/>
  <c r="X132" i="10"/>
  <c r="Y132" i="10"/>
  <c r="Z132" i="10"/>
  <c r="AA132" i="10"/>
  <c r="AB132" i="10"/>
  <c r="AB118" i="10"/>
  <c r="AB119" i="10"/>
  <c r="AB120" i="10"/>
  <c r="AB121" i="10"/>
  <c r="AB122" i="10"/>
  <c r="AB123" i="10"/>
  <c r="AB124" i="10"/>
  <c r="AB125" i="10"/>
  <c r="AB126" i="10"/>
  <c r="AB127" i="10"/>
  <c r="AB128" i="10"/>
  <c r="AB129" i="10"/>
  <c r="AB130" i="10"/>
  <c r="AB131" i="10"/>
  <c r="AB133" i="10"/>
  <c r="AB134" i="10"/>
  <c r="AB135" i="10"/>
  <c r="AB136" i="10"/>
  <c r="AB137" i="10"/>
  <c r="AB138" i="10"/>
  <c r="AB139" i="10"/>
  <c r="AB140" i="10"/>
  <c r="AB141" i="10"/>
  <c r="AB142" i="10"/>
  <c r="AB143" i="10"/>
  <c r="AB144" i="10"/>
  <c r="AB145" i="10"/>
  <c r="S108" i="10"/>
  <c r="U174" i="10"/>
  <c r="S103" i="10"/>
  <c r="R103" i="10"/>
  <c r="S96" i="10"/>
  <c r="T96" i="10"/>
  <c r="U96" i="10"/>
  <c r="V96" i="10"/>
  <c r="W96" i="10"/>
  <c r="X96" i="10"/>
  <c r="Y96" i="10"/>
  <c r="Z96" i="10"/>
  <c r="AA96" i="10"/>
  <c r="AB96" i="10"/>
  <c r="AC96" i="10"/>
  <c r="AD96" i="10"/>
  <c r="S97" i="10"/>
  <c r="T97" i="10"/>
  <c r="U97" i="10"/>
  <c r="V97" i="10"/>
  <c r="W97" i="10"/>
  <c r="X97" i="10"/>
  <c r="Y97" i="10"/>
  <c r="Z97" i="10"/>
  <c r="AA97" i="10"/>
  <c r="AB97" i="10"/>
  <c r="AC97" i="10"/>
  <c r="AD97" i="10"/>
  <c r="S98" i="10"/>
  <c r="T98" i="10"/>
  <c r="U98" i="10"/>
  <c r="V98" i="10"/>
  <c r="W98" i="10"/>
  <c r="X98" i="10"/>
  <c r="Y98" i="10"/>
  <c r="Z98" i="10"/>
  <c r="AA98" i="10"/>
  <c r="AB98" i="10"/>
  <c r="AC98" i="10"/>
  <c r="AD98" i="10"/>
  <c r="S99" i="10"/>
  <c r="T99" i="10"/>
  <c r="U99" i="10"/>
  <c r="V99" i="10"/>
  <c r="W99" i="10"/>
  <c r="X99" i="10"/>
  <c r="Y99" i="10"/>
  <c r="Z99" i="10"/>
  <c r="AA99" i="10"/>
  <c r="AB99" i="10"/>
  <c r="AC99" i="10"/>
  <c r="AD99" i="10"/>
  <c r="S100" i="10"/>
  <c r="T100" i="10"/>
  <c r="U100" i="10"/>
  <c r="V100" i="10"/>
  <c r="W100" i="10"/>
  <c r="X100" i="10"/>
  <c r="Y100" i="10"/>
  <c r="Z100" i="10"/>
  <c r="AA100" i="10"/>
  <c r="AB100" i="10"/>
  <c r="AC100" i="10"/>
  <c r="AD100" i="10"/>
  <c r="S101" i="10"/>
  <c r="T101" i="10"/>
  <c r="U101" i="10"/>
  <c r="V101" i="10"/>
  <c r="W101" i="10"/>
  <c r="X101" i="10"/>
  <c r="Y101" i="10"/>
  <c r="Z101" i="10"/>
  <c r="AA101" i="10"/>
  <c r="AB101" i="10"/>
  <c r="AC101" i="10"/>
  <c r="AD101" i="10"/>
  <c r="S102" i="10"/>
  <c r="T102" i="10"/>
  <c r="U102" i="10"/>
  <c r="V102" i="10"/>
  <c r="W102" i="10"/>
  <c r="X102" i="10"/>
  <c r="Y102" i="10"/>
  <c r="Z102" i="10"/>
  <c r="AA102" i="10"/>
  <c r="AB102" i="10"/>
  <c r="AC102" i="10"/>
  <c r="AD102" i="10"/>
  <c r="T103" i="10"/>
  <c r="U103" i="10"/>
  <c r="V103" i="10"/>
  <c r="W103" i="10"/>
  <c r="X103" i="10"/>
  <c r="Y103" i="10"/>
  <c r="Z103" i="10"/>
  <c r="AA103" i="10"/>
  <c r="AB103" i="10"/>
  <c r="AC103" i="10"/>
  <c r="AD103" i="10"/>
  <c r="S104" i="10"/>
  <c r="T104" i="10"/>
  <c r="U104" i="10"/>
  <c r="V104" i="10"/>
  <c r="W104" i="10"/>
  <c r="X104" i="10"/>
  <c r="Y104" i="10"/>
  <c r="Z104" i="10"/>
  <c r="AA104" i="10"/>
  <c r="AB104" i="10"/>
  <c r="AC104" i="10"/>
  <c r="AD104" i="10"/>
  <c r="S105" i="10"/>
  <c r="T105" i="10"/>
  <c r="U105" i="10"/>
  <c r="V105" i="10"/>
  <c r="W105" i="10"/>
  <c r="X105" i="10"/>
  <c r="Y105" i="10"/>
  <c r="Z105" i="10"/>
  <c r="AA105" i="10"/>
  <c r="AB105" i="10"/>
  <c r="AC105" i="10"/>
  <c r="AD105" i="10"/>
  <c r="S106" i="10"/>
  <c r="T106" i="10"/>
  <c r="U106" i="10"/>
  <c r="V106" i="10"/>
  <c r="W106" i="10"/>
  <c r="X106" i="10"/>
  <c r="Y106" i="10"/>
  <c r="Z106" i="10"/>
  <c r="AA106" i="10"/>
  <c r="AB106" i="10"/>
  <c r="AC106" i="10"/>
  <c r="AD106" i="10"/>
  <c r="S107" i="10"/>
  <c r="T107" i="10"/>
  <c r="U107" i="10"/>
  <c r="V107" i="10"/>
  <c r="W107" i="10"/>
  <c r="X107" i="10"/>
  <c r="Y107" i="10"/>
  <c r="Z107" i="10"/>
  <c r="AA107" i="10"/>
  <c r="AB107" i="10"/>
  <c r="AC107" i="10"/>
  <c r="AD107" i="10"/>
  <c r="T108" i="10"/>
  <c r="U108" i="10"/>
  <c r="V108" i="10"/>
  <c r="W108" i="10"/>
  <c r="X108" i="10"/>
  <c r="Y108" i="10"/>
  <c r="Z108" i="10"/>
  <c r="AA108" i="10"/>
  <c r="AB108" i="10"/>
  <c r="AC108" i="10"/>
  <c r="AD108" i="10"/>
  <c r="S109" i="10"/>
  <c r="T109" i="10"/>
  <c r="U109" i="10"/>
  <c r="V109" i="10"/>
  <c r="W109" i="10"/>
  <c r="X109" i="10"/>
  <c r="Y109" i="10"/>
  <c r="Z109" i="10"/>
  <c r="AA109" i="10"/>
  <c r="AB109" i="10"/>
  <c r="AC109" i="10"/>
  <c r="AD109" i="10"/>
  <c r="S110" i="10"/>
  <c r="T110" i="10"/>
  <c r="U110" i="10"/>
  <c r="V110" i="10"/>
  <c r="W110" i="10"/>
  <c r="X110" i="10"/>
  <c r="Y110" i="10"/>
  <c r="Z110" i="10"/>
  <c r="AA110" i="10"/>
  <c r="AB110" i="10"/>
  <c r="AC110" i="10"/>
  <c r="AD110" i="10"/>
  <c r="S111" i="10"/>
  <c r="T111" i="10"/>
  <c r="U111" i="10"/>
  <c r="V111" i="10"/>
  <c r="W111" i="10"/>
  <c r="X111" i="10"/>
  <c r="Y111" i="10"/>
  <c r="Z111" i="10"/>
  <c r="AA111" i="10"/>
  <c r="AB111" i="10"/>
  <c r="AC111" i="10"/>
  <c r="AD111" i="10"/>
  <c r="S112" i="10"/>
  <c r="T112" i="10"/>
  <c r="U112" i="10"/>
  <c r="V112" i="10"/>
  <c r="W112" i="10"/>
  <c r="X112" i="10"/>
  <c r="Y112" i="10"/>
  <c r="Z112" i="10"/>
  <c r="AA112" i="10"/>
  <c r="AB112" i="10"/>
  <c r="AC112" i="10"/>
  <c r="AD112" i="10"/>
  <c r="S113" i="10"/>
  <c r="T113" i="10"/>
  <c r="U113" i="10"/>
  <c r="V113" i="10"/>
  <c r="W113" i="10"/>
  <c r="X113" i="10"/>
  <c r="Y113" i="10"/>
  <c r="Z113" i="10"/>
  <c r="AA113" i="10"/>
  <c r="AB113" i="10"/>
  <c r="AC113" i="10"/>
  <c r="AD113" i="10"/>
  <c r="R113" i="10"/>
  <c r="R112" i="10"/>
  <c r="R111" i="10"/>
  <c r="R110" i="10"/>
  <c r="R109" i="10"/>
  <c r="R108" i="10"/>
  <c r="R107" i="10"/>
  <c r="R106" i="10"/>
  <c r="R105" i="10"/>
  <c r="R104" i="10"/>
  <c r="R102" i="10"/>
  <c r="R101" i="10"/>
  <c r="R100" i="10"/>
  <c r="R99" i="10"/>
  <c r="R98" i="10"/>
  <c r="R97" i="10"/>
  <c r="R96" i="10"/>
  <c r="S87" i="10"/>
  <c r="T87" i="10"/>
  <c r="U87" i="10"/>
  <c r="V87" i="10"/>
  <c r="W87" i="10"/>
  <c r="X87" i="10"/>
  <c r="Y87" i="10"/>
  <c r="Z87" i="10"/>
  <c r="AA87" i="10"/>
  <c r="AB87" i="10"/>
  <c r="AC87" i="10"/>
  <c r="AD87" i="10"/>
  <c r="S88" i="10"/>
  <c r="T88" i="10"/>
  <c r="U88" i="10"/>
  <c r="V88" i="10"/>
  <c r="W88" i="10"/>
  <c r="X88" i="10"/>
  <c r="Y88" i="10"/>
  <c r="Z88" i="10"/>
  <c r="AA88" i="10"/>
  <c r="AB88" i="10"/>
  <c r="AC88" i="10"/>
  <c r="AD88" i="10"/>
  <c r="S89" i="10"/>
  <c r="T89" i="10"/>
  <c r="U89" i="10"/>
  <c r="V89" i="10"/>
  <c r="W89" i="10"/>
  <c r="X89" i="10"/>
  <c r="Y89" i="10"/>
  <c r="Z89" i="10"/>
  <c r="AA89" i="10"/>
  <c r="AB89" i="10"/>
  <c r="AC89" i="10"/>
  <c r="AD89" i="10"/>
  <c r="S90" i="10"/>
  <c r="T90" i="10"/>
  <c r="U90" i="10"/>
  <c r="V90" i="10"/>
  <c r="W90" i="10"/>
  <c r="X90" i="10"/>
  <c r="Y90" i="10"/>
  <c r="Z90" i="10"/>
  <c r="AA90" i="10"/>
  <c r="AB90" i="10"/>
  <c r="AC90" i="10"/>
  <c r="AD90" i="10"/>
  <c r="S91" i="10"/>
  <c r="T91" i="10"/>
  <c r="U91" i="10"/>
  <c r="V91" i="10"/>
  <c r="W91" i="10"/>
  <c r="X91" i="10"/>
  <c r="Y91" i="10"/>
  <c r="Z91" i="10"/>
  <c r="AA91" i="10"/>
  <c r="AB91" i="10"/>
  <c r="AC91" i="10"/>
  <c r="AD91" i="10"/>
  <c r="S92" i="10"/>
  <c r="T92" i="10"/>
  <c r="U92" i="10"/>
  <c r="V92" i="10"/>
  <c r="W92" i="10"/>
  <c r="X92" i="10"/>
  <c r="Y92" i="10"/>
  <c r="Z92" i="10"/>
  <c r="AA92" i="10"/>
  <c r="AB92" i="10"/>
  <c r="AC92" i="10"/>
  <c r="AD92" i="10"/>
  <c r="S93" i="10"/>
  <c r="T93" i="10"/>
  <c r="U93" i="10"/>
  <c r="V93" i="10"/>
  <c r="W93" i="10"/>
  <c r="X93" i="10"/>
  <c r="Y93" i="10"/>
  <c r="Z93" i="10"/>
  <c r="AA93" i="10"/>
  <c r="AB93" i="10"/>
  <c r="AC93" i="10"/>
  <c r="AD93" i="10"/>
  <c r="S94" i="10"/>
  <c r="T94" i="10"/>
  <c r="U94" i="10"/>
  <c r="V94" i="10"/>
  <c r="W94" i="10"/>
  <c r="X94" i="10"/>
  <c r="Y94" i="10"/>
  <c r="Z94" i="10"/>
  <c r="AA94" i="10"/>
  <c r="AB94" i="10"/>
  <c r="AC94" i="10"/>
  <c r="AD94" i="10"/>
  <c r="S95" i="10"/>
  <c r="T95" i="10"/>
  <c r="U95" i="10"/>
  <c r="V95" i="10"/>
  <c r="W95" i="10"/>
  <c r="X95" i="10"/>
  <c r="Y95" i="10"/>
  <c r="Z95" i="10"/>
  <c r="AA95" i="10"/>
  <c r="AB95" i="10"/>
  <c r="AC95" i="10"/>
  <c r="AD95" i="10"/>
  <c r="R95" i="10"/>
  <c r="R94" i="10"/>
  <c r="R93" i="10"/>
  <c r="R92" i="10"/>
  <c r="R91" i="10"/>
  <c r="R90" i="10"/>
  <c r="R89" i="10"/>
  <c r="U83" i="10" s="1"/>
  <c r="R88" i="10"/>
  <c r="R87" i="10"/>
  <c r="R86" i="10"/>
  <c r="S81" i="10"/>
  <c r="T81" i="10"/>
  <c r="U81" i="10"/>
  <c r="V81" i="10"/>
  <c r="W81" i="10"/>
  <c r="X81" i="10"/>
  <c r="Y81" i="10"/>
  <c r="Z81" i="10"/>
  <c r="AA81" i="10"/>
  <c r="AB81" i="10"/>
  <c r="AC81" i="10"/>
  <c r="AD81" i="10"/>
  <c r="R81" i="10"/>
  <c r="S78" i="10"/>
  <c r="T78" i="10"/>
  <c r="U78" i="10"/>
  <c r="V78" i="10"/>
  <c r="W78" i="10"/>
  <c r="X78" i="10"/>
  <c r="Y78" i="10"/>
  <c r="Z78" i="10"/>
  <c r="AA78" i="10"/>
  <c r="AB78" i="10"/>
  <c r="AC78" i="10"/>
  <c r="AD78" i="10"/>
  <c r="S79" i="10"/>
  <c r="T79" i="10"/>
  <c r="U79" i="10"/>
  <c r="V79" i="10"/>
  <c r="W79" i="10"/>
  <c r="X79" i="10"/>
  <c r="Y79" i="10"/>
  <c r="Z79" i="10"/>
  <c r="AA79" i="10"/>
  <c r="AB79" i="10"/>
  <c r="AC79" i="10"/>
  <c r="AD79" i="10"/>
  <c r="S80" i="10"/>
  <c r="T80" i="10"/>
  <c r="U80" i="10"/>
  <c r="V80" i="10"/>
  <c r="W80" i="10"/>
  <c r="X80" i="10"/>
  <c r="Y80" i="10"/>
  <c r="Z80" i="10"/>
  <c r="AA80" i="10"/>
  <c r="AB80" i="10"/>
  <c r="AC80" i="10"/>
  <c r="AD80" i="10"/>
  <c r="S82" i="10"/>
  <c r="T82" i="10"/>
  <c r="U82" i="10"/>
  <c r="V82" i="10"/>
  <c r="W82" i="10"/>
  <c r="X82" i="10"/>
  <c r="Y82" i="10"/>
  <c r="Z82" i="10"/>
  <c r="AA82" i="10"/>
  <c r="AB82" i="10"/>
  <c r="AC82" i="10"/>
  <c r="AD82" i="10"/>
  <c r="S83" i="10"/>
  <c r="T83" i="10"/>
  <c r="S84" i="10"/>
  <c r="T84" i="10"/>
  <c r="U84" i="10"/>
  <c r="V84" i="10"/>
  <c r="W84" i="10"/>
  <c r="X84" i="10"/>
  <c r="Y84" i="10"/>
  <c r="Z84" i="10"/>
  <c r="AA84" i="10"/>
  <c r="AB84" i="10"/>
  <c r="AC84" i="10"/>
  <c r="AD84" i="10"/>
  <c r="S85" i="10"/>
  <c r="T85" i="10"/>
  <c r="U85" i="10"/>
  <c r="V85" i="10"/>
  <c r="W85" i="10"/>
  <c r="X85" i="10"/>
  <c r="Y85" i="10"/>
  <c r="Z85" i="10"/>
  <c r="AA85" i="10"/>
  <c r="AB85" i="10"/>
  <c r="AC85" i="10"/>
  <c r="AD85" i="10"/>
  <c r="S86" i="10"/>
  <c r="T86" i="10"/>
  <c r="U86" i="10"/>
  <c r="V86" i="10"/>
  <c r="W86" i="10"/>
  <c r="X86" i="10"/>
  <c r="Y86" i="10"/>
  <c r="Z86" i="10"/>
  <c r="AA86" i="10"/>
  <c r="AB86" i="10"/>
  <c r="AC86" i="10"/>
  <c r="AD86" i="10"/>
  <c r="R85" i="10"/>
  <c r="R84" i="10"/>
  <c r="R83" i="10"/>
  <c r="R82" i="10"/>
  <c r="R80" i="10"/>
  <c r="R79" i="10"/>
  <c r="R78" i="10"/>
  <c r="S77" i="10"/>
  <c r="T77" i="10"/>
  <c r="U77" i="10"/>
  <c r="V77" i="10"/>
  <c r="W77" i="10"/>
  <c r="X77" i="10"/>
  <c r="Y77" i="10"/>
  <c r="Z77" i="10"/>
  <c r="AA77" i="10"/>
  <c r="AB77" i="10"/>
  <c r="AC77" i="10"/>
  <c r="AD77" i="10"/>
  <c r="R77" i="10"/>
  <c r="S76" i="10"/>
  <c r="T76" i="10"/>
  <c r="U76" i="10"/>
  <c r="V76" i="10"/>
  <c r="W76" i="10"/>
  <c r="X76" i="10"/>
  <c r="Y76" i="10"/>
  <c r="Z76" i="10"/>
  <c r="AA76" i="10"/>
  <c r="AB76" i="10"/>
  <c r="AC76" i="10"/>
  <c r="AD76" i="10"/>
  <c r="S173" i="10"/>
  <c r="S149" i="10"/>
  <c r="T149" i="10"/>
  <c r="U149" i="10"/>
  <c r="V149" i="10"/>
  <c r="W149" i="10"/>
  <c r="X149" i="10"/>
  <c r="Y149" i="10"/>
  <c r="Z149" i="10"/>
  <c r="AA149" i="10"/>
  <c r="AB149" i="10"/>
  <c r="AC149" i="10"/>
  <c r="R150" i="10"/>
  <c r="S150" i="10"/>
  <c r="T150" i="10"/>
  <c r="U150" i="10"/>
  <c r="V150" i="10"/>
  <c r="W150" i="10"/>
  <c r="X150" i="10"/>
  <c r="Y150" i="10"/>
  <c r="Z150" i="10"/>
  <c r="AA150" i="10"/>
  <c r="AB150" i="10"/>
  <c r="AC150" i="10"/>
  <c r="R151" i="10"/>
  <c r="S151" i="10"/>
  <c r="T151" i="10"/>
  <c r="U151" i="10"/>
  <c r="V151" i="10"/>
  <c r="W151" i="10"/>
  <c r="X151" i="10"/>
  <c r="Y151" i="10"/>
  <c r="Z151" i="10"/>
  <c r="AA151" i="10"/>
  <c r="AB151" i="10"/>
  <c r="AC151" i="10"/>
  <c r="R152" i="10"/>
  <c r="S152" i="10"/>
  <c r="T152" i="10"/>
  <c r="U152" i="10"/>
  <c r="V152" i="10"/>
  <c r="W152" i="10"/>
  <c r="X152" i="10"/>
  <c r="Y152" i="10"/>
  <c r="Z152" i="10"/>
  <c r="AA152" i="10"/>
  <c r="AB152" i="10"/>
  <c r="AC152" i="10"/>
  <c r="R153" i="10"/>
  <c r="S153" i="10"/>
  <c r="T153" i="10"/>
  <c r="U153" i="10"/>
  <c r="V153" i="10"/>
  <c r="W153" i="10"/>
  <c r="X153" i="10"/>
  <c r="Y153" i="10"/>
  <c r="Z153" i="10"/>
  <c r="AA153" i="10"/>
  <c r="AB153" i="10"/>
  <c r="AC153" i="10"/>
  <c r="R154" i="10"/>
  <c r="S154" i="10"/>
  <c r="T154" i="10"/>
  <c r="U154" i="10"/>
  <c r="V154" i="10"/>
  <c r="W154" i="10"/>
  <c r="X154" i="10"/>
  <c r="Y154" i="10"/>
  <c r="Z154" i="10"/>
  <c r="AA154" i="10"/>
  <c r="AB154" i="10"/>
  <c r="AC154" i="10"/>
  <c r="R155" i="10"/>
  <c r="S155" i="10"/>
  <c r="T155" i="10"/>
  <c r="U155" i="10"/>
  <c r="V155" i="10"/>
  <c r="W155" i="10"/>
  <c r="X155" i="10"/>
  <c r="Y155" i="10"/>
  <c r="Z155" i="10"/>
  <c r="AA155" i="10"/>
  <c r="AB155" i="10"/>
  <c r="AC155" i="10"/>
  <c r="R156" i="10"/>
  <c r="S156" i="10"/>
  <c r="T156" i="10"/>
  <c r="U156" i="10"/>
  <c r="V156" i="10"/>
  <c r="W156" i="10"/>
  <c r="X156" i="10"/>
  <c r="Y156" i="10"/>
  <c r="Z156" i="10"/>
  <c r="AA156" i="10"/>
  <c r="AB156" i="10"/>
  <c r="AC156" i="10"/>
  <c r="R157" i="10"/>
  <c r="S157" i="10"/>
  <c r="T157" i="10"/>
  <c r="U157" i="10"/>
  <c r="V157" i="10"/>
  <c r="W157" i="10"/>
  <c r="X157" i="10"/>
  <c r="Y157" i="10"/>
  <c r="Z157" i="10"/>
  <c r="AA157" i="10"/>
  <c r="AB157" i="10"/>
  <c r="AC157" i="10"/>
  <c r="R158" i="10"/>
  <c r="S158" i="10"/>
  <c r="T158" i="10"/>
  <c r="U158" i="10"/>
  <c r="V158" i="10"/>
  <c r="W158" i="10"/>
  <c r="X158" i="10"/>
  <c r="Y158" i="10"/>
  <c r="Z158" i="10"/>
  <c r="AA158" i="10"/>
  <c r="AB158" i="10"/>
  <c r="AC158" i="10"/>
  <c r="R159" i="10"/>
  <c r="S159" i="10"/>
  <c r="T159" i="10"/>
  <c r="U159" i="10"/>
  <c r="V159" i="10"/>
  <c r="W159" i="10"/>
  <c r="X159" i="10"/>
  <c r="Y159" i="10"/>
  <c r="Z159" i="10"/>
  <c r="AA159" i="10"/>
  <c r="AB159" i="10"/>
  <c r="AC159" i="10"/>
  <c r="R160" i="10"/>
  <c r="S160" i="10"/>
  <c r="T160" i="10"/>
  <c r="U160" i="10"/>
  <c r="V160" i="10"/>
  <c r="W160" i="10"/>
  <c r="X160" i="10"/>
  <c r="Y160" i="10"/>
  <c r="Z160" i="10"/>
  <c r="AA160" i="10"/>
  <c r="AB160" i="10"/>
  <c r="AC160" i="10"/>
  <c r="R161" i="10"/>
  <c r="S161" i="10"/>
  <c r="T161" i="10"/>
  <c r="U161" i="10"/>
  <c r="V161" i="10"/>
  <c r="W161" i="10"/>
  <c r="X161" i="10"/>
  <c r="Y161" i="10"/>
  <c r="Z161" i="10"/>
  <c r="AA161" i="10"/>
  <c r="AB161" i="10"/>
  <c r="AC161" i="10"/>
  <c r="R162" i="10"/>
  <c r="S162" i="10"/>
  <c r="T162" i="10"/>
  <c r="U162" i="10"/>
  <c r="V162" i="10"/>
  <c r="W162" i="10"/>
  <c r="X162" i="10"/>
  <c r="Y162" i="10"/>
  <c r="Z162" i="10"/>
  <c r="AA162" i="10"/>
  <c r="AB162" i="10"/>
  <c r="AC162" i="10"/>
  <c r="R163" i="10"/>
  <c r="S163" i="10"/>
  <c r="T163" i="10"/>
  <c r="U163" i="10"/>
  <c r="V163" i="10"/>
  <c r="W163" i="10"/>
  <c r="X163" i="10"/>
  <c r="Y163" i="10"/>
  <c r="Z163" i="10"/>
  <c r="AA163" i="10"/>
  <c r="AB163" i="10"/>
  <c r="AC163" i="10"/>
  <c r="R164" i="10"/>
  <c r="S164" i="10"/>
  <c r="T164" i="10"/>
  <c r="U164" i="10"/>
  <c r="V164" i="10"/>
  <c r="W164" i="10"/>
  <c r="X164" i="10"/>
  <c r="Y164" i="10"/>
  <c r="Z164" i="10"/>
  <c r="AA164" i="10"/>
  <c r="AB164" i="10"/>
  <c r="AC164" i="10"/>
  <c r="R165" i="10"/>
  <c r="S165" i="10"/>
  <c r="T165" i="10"/>
  <c r="U165" i="10"/>
  <c r="V165" i="10"/>
  <c r="W165" i="10"/>
  <c r="X165" i="10"/>
  <c r="Y165" i="10"/>
  <c r="Z165" i="10"/>
  <c r="AA165" i="10"/>
  <c r="AB165" i="10"/>
  <c r="AC165" i="10"/>
  <c r="R166" i="10"/>
  <c r="S166" i="10"/>
  <c r="T166" i="10"/>
  <c r="U166" i="10"/>
  <c r="V166" i="10"/>
  <c r="W166" i="10"/>
  <c r="X166" i="10"/>
  <c r="Y166" i="10"/>
  <c r="Z166" i="10"/>
  <c r="AA166" i="10"/>
  <c r="AB166" i="10"/>
  <c r="AC166" i="10"/>
  <c r="R167" i="10"/>
  <c r="S167" i="10"/>
  <c r="T167" i="10"/>
  <c r="U167" i="10"/>
  <c r="V167" i="10"/>
  <c r="W167" i="10"/>
  <c r="X167" i="10"/>
  <c r="Y167" i="10"/>
  <c r="Z167" i="10"/>
  <c r="AA167" i="10"/>
  <c r="AB167" i="10"/>
  <c r="AC167" i="10"/>
  <c r="R168" i="10"/>
  <c r="S168" i="10"/>
  <c r="T168" i="10"/>
  <c r="U168" i="10"/>
  <c r="V168" i="10"/>
  <c r="W168" i="10"/>
  <c r="X168" i="10"/>
  <c r="Y168" i="10"/>
  <c r="Z168" i="10"/>
  <c r="AA168" i="10"/>
  <c r="AB168" i="10"/>
  <c r="AC168" i="10"/>
  <c r="R169" i="10"/>
  <c r="S169" i="10"/>
  <c r="T169" i="10"/>
  <c r="U169" i="10"/>
  <c r="V169" i="10"/>
  <c r="W169" i="10"/>
  <c r="X169" i="10"/>
  <c r="Y169" i="10"/>
  <c r="Z169" i="10"/>
  <c r="AA169" i="10"/>
  <c r="AB169" i="10"/>
  <c r="AC169" i="10"/>
  <c r="R170" i="10"/>
  <c r="S170" i="10"/>
  <c r="T170" i="10"/>
  <c r="U170" i="10"/>
  <c r="V170" i="10"/>
  <c r="W170" i="10"/>
  <c r="X170" i="10"/>
  <c r="Y170" i="10"/>
  <c r="Z170" i="10"/>
  <c r="AA170" i="10"/>
  <c r="AB170" i="10"/>
  <c r="AC170" i="10"/>
  <c r="R171" i="10"/>
  <c r="S171" i="10"/>
  <c r="T171" i="10"/>
  <c r="U171" i="10"/>
  <c r="V171" i="10"/>
  <c r="W171" i="10"/>
  <c r="X171" i="10"/>
  <c r="Y171" i="10"/>
  <c r="Z171" i="10"/>
  <c r="AA171" i="10"/>
  <c r="AB171" i="10"/>
  <c r="AC171" i="10"/>
  <c r="R172" i="10"/>
  <c r="S172" i="10"/>
  <c r="T172" i="10"/>
  <c r="U172" i="10"/>
  <c r="V172" i="10"/>
  <c r="W172" i="10"/>
  <c r="X172" i="10"/>
  <c r="Y172" i="10"/>
  <c r="Z172" i="10"/>
  <c r="AA172" i="10"/>
  <c r="AB172" i="10"/>
  <c r="AC172" i="10"/>
  <c r="R173" i="10"/>
  <c r="T173" i="10"/>
  <c r="U173" i="10"/>
  <c r="V173" i="10"/>
  <c r="W173" i="10"/>
  <c r="X173" i="10"/>
  <c r="Y173" i="10"/>
  <c r="Z173" i="10"/>
  <c r="AA173" i="10"/>
  <c r="AB173" i="10"/>
  <c r="AC173" i="10"/>
  <c r="R174" i="10"/>
  <c r="S174" i="10"/>
  <c r="T174" i="10"/>
  <c r="V174" i="10"/>
  <c r="W174" i="10"/>
  <c r="X174" i="10"/>
  <c r="Y174" i="10"/>
  <c r="Z174" i="10"/>
  <c r="AA174" i="10"/>
  <c r="AB174" i="10"/>
  <c r="AC174" i="10"/>
  <c r="R175" i="10"/>
  <c r="S175" i="10"/>
  <c r="T175" i="10"/>
  <c r="U175" i="10"/>
  <c r="V175" i="10"/>
  <c r="W175" i="10"/>
  <c r="X175" i="10"/>
  <c r="Y175" i="10"/>
  <c r="Z175" i="10"/>
  <c r="AA175" i="10"/>
  <c r="AB175" i="10"/>
  <c r="AC175" i="10"/>
  <c r="R176" i="10"/>
  <c r="S176" i="10"/>
  <c r="T176" i="10"/>
  <c r="U176" i="10"/>
  <c r="V176" i="10"/>
  <c r="W176" i="10"/>
  <c r="X176" i="10"/>
  <c r="Y176" i="10"/>
  <c r="Z176" i="10"/>
  <c r="AA176" i="10"/>
  <c r="AB176" i="10"/>
  <c r="AC176" i="10"/>
  <c r="S118" i="10"/>
  <c r="T118" i="10"/>
  <c r="U118" i="10"/>
  <c r="V118" i="10"/>
  <c r="W118" i="10"/>
  <c r="X118" i="10"/>
  <c r="Y118" i="10"/>
  <c r="Z118" i="10"/>
  <c r="AA118" i="10"/>
  <c r="AC118" i="10"/>
  <c r="S119" i="10"/>
  <c r="T119" i="10"/>
  <c r="U119" i="10"/>
  <c r="V119" i="10"/>
  <c r="W119" i="10"/>
  <c r="X119" i="10"/>
  <c r="Y119" i="10"/>
  <c r="Z119" i="10"/>
  <c r="AA119" i="10"/>
  <c r="AC119" i="10"/>
  <c r="S120" i="10"/>
  <c r="T120" i="10"/>
  <c r="U120" i="10"/>
  <c r="V120" i="10"/>
  <c r="W120" i="10"/>
  <c r="X120" i="10"/>
  <c r="Y120" i="10"/>
  <c r="Z120" i="10"/>
  <c r="AA120" i="10"/>
  <c r="AC120" i="10"/>
  <c r="S121" i="10"/>
  <c r="T121" i="10"/>
  <c r="U121" i="10"/>
  <c r="V121" i="10"/>
  <c r="W121" i="10"/>
  <c r="X121" i="10"/>
  <c r="Y121" i="10"/>
  <c r="Z121" i="10"/>
  <c r="AA121" i="10"/>
  <c r="AC121" i="10"/>
  <c r="S122" i="10"/>
  <c r="T122" i="10"/>
  <c r="U122" i="10"/>
  <c r="V122" i="10"/>
  <c r="W122" i="10"/>
  <c r="X122" i="10"/>
  <c r="Y122" i="10"/>
  <c r="Z122" i="10"/>
  <c r="AA122" i="10"/>
  <c r="AC122" i="10"/>
  <c r="S123" i="10"/>
  <c r="T123" i="10"/>
  <c r="U123" i="10"/>
  <c r="V123" i="10"/>
  <c r="W123" i="10"/>
  <c r="X123" i="10"/>
  <c r="Y123" i="10"/>
  <c r="Z123" i="10"/>
  <c r="AA123" i="10"/>
  <c r="AC123" i="10"/>
  <c r="S124" i="10"/>
  <c r="T124" i="10"/>
  <c r="U124" i="10"/>
  <c r="V124" i="10"/>
  <c r="W124" i="10"/>
  <c r="X124" i="10"/>
  <c r="Y124" i="10"/>
  <c r="Z124" i="10"/>
  <c r="AA124" i="10"/>
  <c r="AC124" i="10"/>
  <c r="S125" i="10"/>
  <c r="T125" i="10"/>
  <c r="U125" i="10"/>
  <c r="V125" i="10"/>
  <c r="W125" i="10"/>
  <c r="X125" i="10"/>
  <c r="Y125" i="10"/>
  <c r="Z125" i="10"/>
  <c r="AA125" i="10"/>
  <c r="AC125" i="10"/>
  <c r="S126" i="10"/>
  <c r="T126" i="10"/>
  <c r="U126" i="10"/>
  <c r="V126" i="10"/>
  <c r="W126" i="10"/>
  <c r="X126" i="10"/>
  <c r="Y126" i="10"/>
  <c r="Z126" i="10"/>
  <c r="AA126" i="10"/>
  <c r="AC126" i="10"/>
  <c r="S127" i="10"/>
  <c r="T127" i="10"/>
  <c r="U127" i="10"/>
  <c r="V127" i="10"/>
  <c r="W127" i="10"/>
  <c r="X127" i="10"/>
  <c r="Y127" i="10"/>
  <c r="Z127" i="10"/>
  <c r="AA127" i="10"/>
  <c r="AC127" i="10"/>
  <c r="S128" i="10"/>
  <c r="T128" i="10"/>
  <c r="U128" i="10"/>
  <c r="V128" i="10"/>
  <c r="W128" i="10"/>
  <c r="X128" i="10"/>
  <c r="Y128" i="10"/>
  <c r="Z128" i="10"/>
  <c r="AA128" i="10"/>
  <c r="AC128" i="10"/>
  <c r="S129" i="10"/>
  <c r="T129" i="10"/>
  <c r="U129" i="10"/>
  <c r="V129" i="10"/>
  <c r="W129" i="10"/>
  <c r="X129" i="10"/>
  <c r="Y129" i="10"/>
  <c r="Z129" i="10"/>
  <c r="AA129" i="10"/>
  <c r="AC129" i="10"/>
  <c r="S130" i="10"/>
  <c r="T130" i="10"/>
  <c r="U130" i="10"/>
  <c r="V130" i="10"/>
  <c r="W130" i="10"/>
  <c r="X130" i="10"/>
  <c r="Y130" i="10"/>
  <c r="Z130" i="10"/>
  <c r="AA130" i="10"/>
  <c r="AC130" i="10"/>
  <c r="S131" i="10"/>
  <c r="T131" i="10"/>
  <c r="U131" i="10"/>
  <c r="V131" i="10"/>
  <c r="W131" i="10"/>
  <c r="X131" i="10"/>
  <c r="Y131" i="10"/>
  <c r="Z131" i="10"/>
  <c r="AA131" i="10"/>
  <c r="AC131" i="10"/>
  <c r="S133" i="10"/>
  <c r="T133" i="10"/>
  <c r="U133" i="10"/>
  <c r="V133" i="10"/>
  <c r="W133" i="10"/>
  <c r="X133" i="10"/>
  <c r="Y133" i="10"/>
  <c r="Z133" i="10"/>
  <c r="AA133" i="10"/>
  <c r="AC133" i="10"/>
  <c r="S134" i="10"/>
  <c r="T134" i="10"/>
  <c r="U134" i="10"/>
  <c r="V134" i="10"/>
  <c r="W134" i="10"/>
  <c r="X134" i="10"/>
  <c r="Y134" i="10"/>
  <c r="Z134" i="10"/>
  <c r="AA134" i="10"/>
  <c r="AC134" i="10"/>
  <c r="S135" i="10"/>
  <c r="T135" i="10"/>
  <c r="U135" i="10"/>
  <c r="V135" i="10"/>
  <c r="W135" i="10"/>
  <c r="X135" i="10"/>
  <c r="Y135" i="10"/>
  <c r="Z135" i="10"/>
  <c r="AA135" i="10"/>
  <c r="AC135" i="10"/>
  <c r="S136" i="10"/>
  <c r="T136" i="10"/>
  <c r="U136" i="10"/>
  <c r="V136" i="10"/>
  <c r="W136" i="10"/>
  <c r="X136" i="10"/>
  <c r="Y136" i="10"/>
  <c r="Z136" i="10"/>
  <c r="AA136" i="10"/>
  <c r="AC136" i="10"/>
  <c r="S137" i="10"/>
  <c r="T137" i="10"/>
  <c r="U137" i="10"/>
  <c r="V137" i="10"/>
  <c r="W137" i="10"/>
  <c r="X137" i="10"/>
  <c r="Y137" i="10"/>
  <c r="Z137" i="10"/>
  <c r="AA137" i="10"/>
  <c r="AC137" i="10"/>
  <c r="S138" i="10"/>
  <c r="T138" i="10"/>
  <c r="U138" i="10"/>
  <c r="V138" i="10"/>
  <c r="W138" i="10"/>
  <c r="X138" i="10"/>
  <c r="Y138" i="10"/>
  <c r="Z138" i="10"/>
  <c r="AA138" i="10"/>
  <c r="AC138" i="10"/>
  <c r="S139" i="10"/>
  <c r="T139" i="10"/>
  <c r="U139" i="10"/>
  <c r="V139" i="10"/>
  <c r="W139" i="10"/>
  <c r="X139" i="10"/>
  <c r="Y139" i="10"/>
  <c r="Z139" i="10"/>
  <c r="AA139" i="10"/>
  <c r="AC139" i="10"/>
  <c r="S140" i="10"/>
  <c r="T140" i="10"/>
  <c r="U140" i="10"/>
  <c r="V140" i="10"/>
  <c r="W140" i="10"/>
  <c r="X140" i="10"/>
  <c r="Y140" i="10"/>
  <c r="Z140" i="10"/>
  <c r="AA140" i="10"/>
  <c r="AC140" i="10"/>
  <c r="S141" i="10"/>
  <c r="T141" i="10"/>
  <c r="U141" i="10"/>
  <c r="V141" i="10"/>
  <c r="W141" i="10"/>
  <c r="X141" i="10"/>
  <c r="Y141" i="10"/>
  <c r="Z141" i="10"/>
  <c r="AA141" i="10"/>
  <c r="AC141" i="10"/>
  <c r="S142" i="10"/>
  <c r="T142" i="10"/>
  <c r="U142" i="10"/>
  <c r="V142" i="10"/>
  <c r="W142" i="10"/>
  <c r="X142" i="10"/>
  <c r="Y142" i="10"/>
  <c r="Z142" i="10"/>
  <c r="AA142" i="10"/>
  <c r="AC142" i="10"/>
  <c r="S143" i="10"/>
  <c r="T143" i="10"/>
  <c r="U143" i="10"/>
  <c r="V143" i="10"/>
  <c r="W143" i="10"/>
  <c r="X143" i="10"/>
  <c r="Y143" i="10"/>
  <c r="Z143" i="10"/>
  <c r="AA143" i="10"/>
  <c r="AC143" i="10"/>
  <c r="S144" i="10"/>
  <c r="T144" i="10"/>
  <c r="U144" i="10"/>
  <c r="V144" i="10"/>
  <c r="W144" i="10"/>
  <c r="X144" i="10"/>
  <c r="Y144" i="10"/>
  <c r="Z144" i="10"/>
  <c r="AA144" i="10"/>
  <c r="AC144" i="10"/>
  <c r="S145" i="10"/>
  <c r="T145" i="10"/>
  <c r="U145" i="10"/>
  <c r="V145" i="10"/>
  <c r="W145" i="10"/>
  <c r="X145" i="10"/>
  <c r="Y145" i="10"/>
  <c r="Z145" i="10"/>
  <c r="AA145" i="10"/>
  <c r="AC145" i="10"/>
  <c r="R119" i="10"/>
  <c r="R120" i="10"/>
  <c r="R122" i="10"/>
  <c r="R123" i="10"/>
  <c r="R124" i="10"/>
  <c r="R125" i="10"/>
  <c r="R126" i="10"/>
  <c r="R127" i="10"/>
  <c r="R128" i="10"/>
  <c r="R129" i="10"/>
  <c r="R130" i="10"/>
  <c r="R131" i="10"/>
  <c r="R133" i="10"/>
  <c r="R134" i="10"/>
  <c r="R135" i="10"/>
  <c r="R136" i="10"/>
  <c r="R137" i="10"/>
  <c r="R138" i="10"/>
  <c r="R139" i="10"/>
  <c r="R140" i="10"/>
  <c r="R141" i="10"/>
  <c r="R142" i="10"/>
  <c r="R143" i="10"/>
  <c r="R145" i="10"/>
  <c r="R118" i="10"/>
  <c r="G118" i="16"/>
  <c r="G119" i="16"/>
  <c r="G120" i="16"/>
  <c r="G121" i="16"/>
  <c r="G122" i="16"/>
  <c r="G123" i="16"/>
  <c r="G124" i="16"/>
  <c r="G125" i="16"/>
  <c r="G126" i="16"/>
  <c r="G127" i="16"/>
  <c r="G128" i="16"/>
  <c r="G129" i="16"/>
  <c r="G117" i="16"/>
  <c r="G113" i="16"/>
  <c r="G102" i="16"/>
  <c r="G103" i="16"/>
  <c r="G104" i="16"/>
  <c r="G105" i="16"/>
  <c r="G106" i="16"/>
  <c r="G107" i="16"/>
  <c r="G108" i="16"/>
  <c r="G109" i="16"/>
  <c r="G110" i="16"/>
  <c r="G111" i="16"/>
  <c r="G112" i="16"/>
  <c r="G101" i="16"/>
  <c r="D151" i="16"/>
  <c r="D150" i="16"/>
  <c r="D149" i="16"/>
  <c r="D148" i="16"/>
  <c r="C91" i="15"/>
  <c r="C22" i="15"/>
  <c r="C23" i="15"/>
  <c r="C66" i="15"/>
  <c r="C67" i="15"/>
  <c r="C49" i="15"/>
  <c r="C51" i="15"/>
  <c r="C50" i="15"/>
  <c r="N48" i="15"/>
  <c r="C69" i="15"/>
  <c r="C68" i="15"/>
  <c r="C52" i="15"/>
  <c r="C25" i="15"/>
  <c r="C24" i="15"/>
  <c r="C132" i="15"/>
  <c r="C126" i="15"/>
  <c r="C108" i="15"/>
  <c r="C98" i="15"/>
  <c r="D90" i="15"/>
  <c r="E90" i="15"/>
  <c r="F90" i="15"/>
  <c r="G90" i="15"/>
  <c r="H90" i="15"/>
  <c r="I90" i="15"/>
  <c r="J90" i="15"/>
  <c r="K90" i="15"/>
  <c r="L90" i="15"/>
  <c r="M90" i="15"/>
  <c r="N90" i="15"/>
  <c r="O90" i="15"/>
  <c r="D89" i="15"/>
  <c r="E89" i="15"/>
  <c r="F89" i="15"/>
  <c r="G89" i="15"/>
  <c r="H89" i="15"/>
  <c r="I89" i="15"/>
  <c r="J89" i="15"/>
  <c r="K89" i="15"/>
  <c r="L89" i="15"/>
  <c r="M89" i="15"/>
  <c r="N89" i="15"/>
  <c r="O89" i="15"/>
  <c r="C90" i="15"/>
  <c r="C89" i="15"/>
  <c r="J65" i="15"/>
  <c r="J64" i="15"/>
  <c r="D65" i="15"/>
  <c r="E65" i="15"/>
  <c r="F65" i="15"/>
  <c r="G65" i="15"/>
  <c r="H65" i="15"/>
  <c r="I65" i="15"/>
  <c r="K65" i="15"/>
  <c r="L65" i="15"/>
  <c r="M65" i="15"/>
  <c r="N65" i="15"/>
  <c r="O65" i="15"/>
  <c r="D64" i="15"/>
  <c r="E64" i="15"/>
  <c r="F64" i="15"/>
  <c r="G64" i="15"/>
  <c r="H64" i="15"/>
  <c r="I64" i="15"/>
  <c r="K64" i="15"/>
  <c r="L64" i="15"/>
  <c r="M64" i="15"/>
  <c r="N64" i="15"/>
  <c r="O64" i="15"/>
  <c r="C65" i="15"/>
  <c r="C64" i="15"/>
  <c r="D48" i="15"/>
  <c r="E48" i="15"/>
  <c r="F48" i="15"/>
  <c r="G48" i="15"/>
  <c r="H48" i="15"/>
  <c r="I48" i="15"/>
  <c r="J48" i="15"/>
  <c r="K48" i="15"/>
  <c r="L48" i="15"/>
  <c r="M48" i="15"/>
  <c r="O48" i="15"/>
  <c r="N47" i="15"/>
  <c r="D47" i="15"/>
  <c r="E47" i="15"/>
  <c r="F47" i="15"/>
  <c r="G47" i="15"/>
  <c r="H47" i="15"/>
  <c r="I47" i="15"/>
  <c r="J47" i="15"/>
  <c r="K47" i="15"/>
  <c r="L47" i="15"/>
  <c r="M47" i="15"/>
  <c r="C48" i="15"/>
  <c r="C47" i="15"/>
  <c r="D21" i="15"/>
  <c r="E21" i="15"/>
  <c r="F21" i="15"/>
  <c r="G21" i="15"/>
  <c r="H21" i="15"/>
  <c r="I21" i="15"/>
  <c r="J21" i="15"/>
  <c r="K21" i="15"/>
  <c r="L21" i="15"/>
  <c r="M21" i="15"/>
  <c r="N21" i="15"/>
  <c r="O21" i="15"/>
  <c r="C21" i="15"/>
  <c r="D20" i="15"/>
  <c r="E20" i="15"/>
  <c r="F20" i="15"/>
  <c r="G20" i="15"/>
  <c r="H20" i="15"/>
  <c r="I20" i="15"/>
  <c r="J20" i="15"/>
  <c r="K20" i="15"/>
  <c r="L20" i="15"/>
  <c r="M20" i="15"/>
  <c r="N20" i="15"/>
  <c r="O20" i="15"/>
  <c r="C20" i="15"/>
  <c r="O288" i="16"/>
  <c r="N288" i="16"/>
  <c r="O287" i="16"/>
  <c r="N287" i="16"/>
  <c r="O286" i="16"/>
  <c r="N286" i="16"/>
  <c r="M286" i="16"/>
  <c r="O285" i="16"/>
  <c r="N285" i="16"/>
  <c r="O284" i="16"/>
  <c r="N284" i="16"/>
  <c r="M284" i="16"/>
  <c r="L284" i="16"/>
  <c r="O283" i="16"/>
  <c r="N283" i="16"/>
  <c r="M283" i="16"/>
  <c r="O282" i="16"/>
  <c r="N282" i="16"/>
  <c r="M282" i="16"/>
  <c r="N281" i="16"/>
  <c r="O281" i="16"/>
  <c r="O280" i="16"/>
  <c r="N280" i="16"/>
  <c r="O279" i="16"/>
  <c r="N279" i="16"/>
  <c r="O278" i="16"/>
  <c r="N278" i="16"/>
  <c r="O277" i="16"/>
  <c r="N277" i="16"/>
  <c r="O276" i="16"/>
  <c r="N276" i="16"/>
  <c r="O275" i="16"/>
  <c r="N275" i="16"/>
  <c r="O274" i="16"/>
  <c r="N274" i="16"/>
  <c r="O273" i="16"/>
  <c r="N273" i="16"/>
  <c r="O272" i="16"/>
  <c r="N272" i="16"/>
  <c r="O271" i="16"/>
  <c r="N271" i="16"/>
  <c r="O270" i="16"/>
  <c r="N270" i="16"/>
  <c r="O269" i="16"/>
  <c r="N269" i="16"/>
  <c r="O268" i="16"/>
  <c r="N268" i="16"/>
  <c r="O267" i="16"/>
  <c r="N267" i="16"/>
  <c r="O266" i="16"/>
  <c r="N266" i="16"/>
  <c r="O265" i="16"/>
  <c r="N265" i="16"/>
  <c r="O264" i="16"/>
  <c r="N264" i="16"/>
  <c r="O263" i="16"/>
  <c r="N263" i="16"/>
  <c r="M263" i="16"/>
  <c r="O262" i="16"/>
  <c r="N262" i="16"/>
  <c r="M262" i="16"/>
  <c r="O261" i="16"/>
  <c r="N261" i="16"/>
  <c r="O260" i="16"/>
  <c r="N260" i="16"/>
  <c r="O259" i="16"/>
  <c r="N259" i="16"/>
  <c r="O258" i="16"/>
  <c r="O257" i="16"/>
  <c r="O256" i="16"/>
  <c r="O255" i="16"/>
  <c r="O254" i="16"/>
  <c r="O253" i="16"/>
  <c r="O252" i="16"/>
  <c r="O251" i="16"/>
  <c r="D288" i="16"/>
  <c r="E288" i="16"/>
  <c r="F288" i="16"/>
  <c r="G288" i="16"/>
  <c r="H288" i="16"/>
  <c r="I288" i="16"/>
  <c r="J288" i="16"/>
  <c r="K288" i="16"/>
  <c r="L288" i="16"/>
  <c r="M288" i="16"/>
  <c r="C288" i="16"/>
  <c r="D287" i="16"/>
  <c r="E287" i="16"/>
  <c r="F287" i="16"/>
  <c r="G287" i="16"/>
  <c r="H287" i="16"/>
  <c r="I287" i="16"/>
  <c r="J287" i="16"/>
  <c r="K287" i="16"/>
  <c r="L287" i="16"/>
  <c r="M287" i="16"/>
  <c r="C287" i="16"/>
  <c r="D286" i="16"/>
  <c r="E286" i="16"/>
  <c r="F286" i="16"/>
  <c r="G286" i="16"/>
  <c r="H286" i="16"/>
  <c r="I286" i="16"/>
  <c r="J286" i="16"/>
  <c r="K286" i="16"/>
  <c r="L286" i="16"/>
  <c r="C286" i="16"/>
  <c r="D285" i="16"/>
  <c r="E285" i="16"/>
  <c r="F285" i="16"/>
  <c r="G285" i="16"/>
  <c r="H285" i="16"/>
  <c r="I285" i="16"/>
  <c r="J285" i="16"/>
  <c r="K285" i="16"/>
  <c r="L285" i="16"/>
  <c r="M285" i="16"/>
  <c r="C285" i="16"/>
  <c r="D284" i="16"/>
  <c r="E284" i="16"/>
  <c r="F284" i="16"/>
  <c r="G284" i="16"/>
  <c r="H284" i="16"/>
  <c r="I284" i="16"/>
  <c r="J284" i="16"/>
  <c r="K284" i="16"/>
  <c r="C284" i="16"/>
  <c r="D283" i="16"/>
  <c r="E283" i="16"/>
  <c r="F283" i="16"/>
  <c r="G283" i="16"/>
  <c r="H283" i="16"/>
  <c r="I283" i="16"/>
  <c r="J283" i="16"/>
  <c r="K283" i="16"/>
  <c r="L283" i="16"/>
  <c r="C283" i="16"/>
  <c r="D282" i="16"/>
  <c r="E282" i="16"/>
  <c r="F282" i="16"/>
  <c r="G282" i="16"/>
  <c r="H282" i="16"/>
  <c r="I282" i="16"/>
  <c r="J282" i="16"/>
  <c r="K282" i="16"/>
  <c r="L282" i="16"/>
  <c r="C282" i="16"/>
  <c r="D281" i="16"/>
  <c r="E281" i="16"/>
  <c r="F281" i="16"/>
  <c r="G281" i="16"/>
  <c r="H281" i="16"/>
  <c r="I281" i="16"/>
  <c r="J281" i="16"/>
  <c r="K281" i="16"/>
  <c r="L281" i="16"/>
  <c r="M281" i="16"/>
  <c r="C281" i="16"/>
  <c r="D280" i="16"/>
  <c r="E280" i="16"/>
  <c r="F280" i="16"/>
  <c r="G280" i="16"/>
  <c r="H280" i="16"/>
  <c r="I280" i="16"/>
  <c r="J280" i="16"/>
  <c r="K280" i="16"/>
  <c r="L280" i="16"/>
  <c r="M280" i="16"/>
  <c r="C280" i="16"/>
  <c r="D279" i="16"/>
  <c r="E279" i="16"/>
  <c r="F279" i="16"/>
  <c r="G279" i="16"/>
  <c r="H279" i="16"/>
  <c r="I279" i="16"/>
  <c r="J279" i="16"/>
  <c r="K279" i="16"/>
  <c r="L279" i="16"/>
  <c r="M279" i="16"/>
  <c r="C279" i="16"/>
  <c r="D278" i="16"/>
  <c r="E278" i="16"/>
  <c r="F278" i="16"/>
  <c r="G278" i="16"/>
  <c r="H278" i="16"/>
  <c r="I278" i="16"/>
  <c r="J278" i="16"/>
  <c r="K278" i="16"/>
  <c r="L278" i="16"/>
  <c r="M278" i="16"/>
  <c r="C278" i="16"/>
  <c r="D277" i="16"/>
  <c r="E277" i="16"/>
  <c r="F277" i="16"/>
  <c r="G277" i="16"/>
  <c r="H277" i="16"/>
  <c r="I277" i="16"/>
  <c r="J277" i="16"/>
  <c r="K277" i="16"/>
  <c r="L277" i="16"/>
  <c r="M277" i="16"/>
  <c r="C277" i="16"/>
  <c r="D276" i="16"/>
  <c r="E276" i="16"/>
  <c r="F276" i="16"/>
  <c r="G276" i="16"/>
  <c r="H276" i="16"/>
  <c r="I276" i="16"/>
  <c r="J276" i="16"/>
  <c r="K276" i="16"/>
  <c r="L276" i="16"/>
  <c r="M276" i="16"/>
  <c r="C276" i="16"/>
  <c r="D275" i="16"/>
  <c r="E275" i="16"/>
  <c r="F275" i="16"/>
  <c r="G275" i="16"/>
  <c r="H275" i="16"/>
  <c r="I275" i="16"/>
  <c r="J275" i="16"/>
  <c r="K275" i="16"/>
  <c r="L275" i="16"/>
  <c r="M275" i="16"/>
  <c r="C275" i="16"/>
  <c r="D274" i="16"/>
  <c r="E274" i="16"/>
  <c r="F274" i="16"/>
  <c r="G274" i="16"/>
  <c r="H274" i="16"/>
  <c r="I274" i="16"/>
  <c r="J274" i="16"/>
  <c r="K274" i="16"/>
  <c r="L274" i="16"/>
  <c r="M274" i="16"/>
  <c r="C274" i="16"/>
  <c r="D273" i="16"/>
  <c r="E273" i="16"/>
  <c r="F273" i="16"/>
  <c r="G273" i="16"/>
  <c r="H273" i="16"/>
  <c r="I273" i="16"/>
  <c r="J273" i="16"/>
  <c r="K273" i="16"/>
  <c r="L273" i="16"/>
  <c r="M273" i="16"/>
  <c r="C273" i="16"/>
  <c r="D272" i="16"/>
  <c r="E272" i="16"/>
  <c r="F272" i="16"/>
  <c r="G272" i="16"/>
  <c r="H272" i="16"/>
  <c r="I272" i="16"/>
  <c r="J272" i="16"/>
  <c r="K272" i="16"/>
  <c r="L272" i="16"/>
  <c r="M272" i="16"/>
  <c r="C272" i="16"/>
  <c r="D271" i="16"/>
  <c r="E271" i="16"/>
  <c r="F271" i="16"/>
  <c r="G271" i="16"/>
  <c r="H271" i="16"/>
  <c r="I271" i="16"/>
  <c r="J271" i="16"/>
  <c r="K271" i="16"/>
  <c r="L271" i="16"/>
  <c r="M271" i="16"/>
  <c r="C271" i="16"/>
  <c r="D270" i="16"/>
  <c r="E270" i="16"/>
  <c r="F270" i="16"/>
  <c r="G270" i="16"/>
  <c r="H270" i="16"/>
  <c r="I270" i="16"/>
  <c r="J270" i="16"/>
  <c r="K270" i="16"/>
  <c r="L270" i="16"/>
  <c r="M270" i="16"/>
  <c r="C270" i="16"/>
  <c r="D269" i="16"/>
  <c r="E269" i="16"/>
  <c r="F269" i="16"/>
  <c r="G269" i="16"/>
  <c r="H269" i="16"/>
  <c r="I269" i="16"/>
  <c r="J269" i="16"/>
  <c r="K269" i="16"/>
  <c r="L269" i="16"/>
  <c r="M269" i="16"/>
  <c r="C269" i="16"/>
  <c r="D268" i="16"/>
  <c r="E268" i="16"/>
  <c r="F268" i="16"/>
  <c r="G268" i="16"/>
  <c r="H268" i="16"/>
  <c r="I268" i="16"/>
  <c r="J268" i="16"/>
  <c r="K268" i="16"/>
  <c r="L268" i="16"/>
  <c r="M268" i="16"/>
  <c r="C268" i="16"/>
  <c r="D267" i="16"/>
  <c r="E267" i="16"/>
  <c r="F267" i="16"/>
  <c r="G267" i="16"/>
  <c r="H267" i="16"/>
  <c r="I267" i="16"/>
  <c r="J267" i="16"/>
  <c r="K267" i="16"/>
  <c r="L267" i="16"/>
  <c r="M267" i="16"/>
  <c r="C267" i="16"/>
  <c r="D266" i="16"/>
  <c r="E266" i="16"/>
  <c r="F266" i="16"/>
  <c r="G266" i="16"/>
  <c r="H266" i="16"/>
  <c r="I266" i="16"/>
  <c r="J266" i="16"/>
  <c r="K266" i="16"/>
  <c r="L266" i="16"/>
  <c r="M266" i="16"/>
  <c r="C266" i="16"/>
  <c r="D265" i="16"/>
  <c r="E265" i="16"/>
  <c r="F265" i="16"/>
  <c r="G265" i="16"/>
  <c r="H265" i="16"/>
  <c r="I265" i="16"/>
  <c r="J265" i="16"/>
  <c r="K265" i="16"/>
  <c r="L265" i="16"/>
  <c r="M265" i="16"/>
  <c r="C265" i="16"/>
  <c r="D264" i="16"/>
  <c r="E264" i="16"/>
  <c r="F264" i="16"/>
  <c r="G264" i="16"/>
  <c r="H264" i="16"/>
  <c r="I264" i="16"/>
  <c r="J264" i="16"/>
  <c r="K264" i="16"/>
  <c r="L264" i="16"/>
  <c r="M264" i="16"/>
  <c r="C264" i="16"/>
  <c r="D263" i="16"/>
  <c r="E263" i="16"/>
  <c r="F263" i="16"/>
  <c r="G263" i="16"/>
  <c r="H263" i="16"/>
  <c r="I263" i="16"/>
  <c r="J263" i="16"/>
  <c r="K263" i="16"/>
  <c r="L263" i="16"/>
  <c r="C263" i="16"/>
  <c r="D262" i="16"/>
  <c r="E262" i="16"/>
  <c r="F262" i="16"/>
  <c r="G262" i="16"/>
  <c r="H262" i="16"/>
  <c r="I262" i="16"/>
  <c r="J262" i="16"/>
  <c r="K262" i="16"/>
  <c r="L262" i="16"/>
  <c r="C262" i="16"/>
  <c r="D261" i="16"/>
  <c r="E261" i="16"/>
  <c r="F261" i="16"/>
  <c r="G261" i="16"/>
  <c r="H261" i="16"/>
  <c r="I261" i="16"/>
  <c r="J261" i="16"/>
  <c r="K261" i="16"/>
  <c r="L261" i="16"/>
  <c r="M261" i="16"/>
  <c r="C261" i="16"/>
  <c r="D260" i="16"/>
  <c r="E260" i="16"/>
  <c r="F260" i="16"/>
  <c r="G260" i="16"/>
  <c r="H260" i="16"/>
  <c r="I260" i="16"/>
  <c r="J260" i="16"/>
  <c r="K260" i="16"/>
  <c r="L260" i="16"/>
  <c r="M260" i="16"/>
  <c r="C260" i="16"/>
  <c r="D259" i="16"/>
  <c r="E259" i="16"/>
  <c r="F259" i="16"/>
  <c r="G259" i="16"/>
  <c r="H259" i="16"/>
  <c r="I259" i="16"/>
  <c r="J259" i="16"/>
  <c r="K259" i="16"/>
  <c r="L259" i="16"/>
  <c r="M259" i="16"/>
  <c r="C259" i="16"/>
  <c r="D258" i="16"/>
  <c r="E258" i="16"/>
  <c r="F258" i="16"/>
  <c r="G258" i="16"/>
  <c r="H258" i="16"/>
  <c r="I258" i="16"/>
  <c r="J258" i="16"/>
  <c r="K258" i="16"/>
  <c r="L258" i="16"/>
  <c r="M258" i="16"/>
  <c r="N258" i="16"/>
  <c r="C258" i="16"/>
  <c r="D257" i="16"/>
  <c r="E257" i="16"/>
  <c r="F257" i="16"/>
  <c r="G257" i="16"/>
  <c r="H257" i="16"/>
  <c r="I257" i="16"/>
  <c r="J257" i="16"/>
  <c r="K257" i="16"/>
  <c r="L257" i="16"/>
  <c r="M257" i="16"/>
  <c r="N257" i="16"/>
  <c r="C257" i="16"/>
  <c r="D256" i="16"/>
  <c r="E256" i="16"/>
  <c r="F256" i="16"/>
  <c r="G256" i="16"/>
  <c r="H256" i="16"/>
  <c r="I256" i="16"/>
  <c r="J256" i="16"/>
  <c r="K256" i="16"/>
  <c r="L256" i="16"/>
  <c r="M256" i="16"/>
  <c r="N256" i="16"/>
  <c r="C256" i="16"/>
  <c r="D255" i="16"/>
  <c r="E255" i="16"/>
  <c r="F255" i="16"/>
  <c r="G255" i="16"/>
  <c r="H255" i="16"/>
  <c r="I255" i="16"/>
  <c r="J255" i="16"/>
  <c r="K255" i="16"/>
  <c r="L255" i="16"/>
  <c r="M255" i="16"/>
  <c r="N255" i="16"/>
  <c r="C255" i="16"/>
  <c r="D254" i="16"/>
  <c r="E254" i="16"/>
  <c r="F254" i="16"/>
  <c r="G254" i="16"/>
  <c r="H254" i="16"/>
  <c r="I254" i="16"/>
  <c r="J254" i="16"/>
  <c r="K254" i="16"/>
  <c r="L254" i="16"/>
  <c r="M254" i="16"/>
  <c r="N254" i="16"/>
  <c r="C254" i="16"/>
  <c r="D253" i="16"/>
  <c r="E253" i="16"/>
  <c r="F253" i="16"/>
  <c r="G253" i="16"/>
  <c r="H253" i="16"/>
  <c r="I253" i="16"/>
  <c r="J253" i="16"/>
  <c r="K253" i="16"/>
  <c r="L253" i="16"/>
  <c r="M253" i="16"/>
  <c r="N253" i="16"/>
  <c r="C253" i="16"/>
  <c r="D252" i="16"/>
  <c r="E252" i="16"/>
  <c r="F252" i="16"/>
  <c r="G252" i="16"/>
  <c r="H252" i="16"/>
  <c r="I252" i="16"/>
  <c r="J252" i="16"/>
  <c r="K252" i="16"/>
  <c r="L252" i="16"/>
  <c r="M252" i="16"/>
  <c r="N252" i="16"/>
  <c r="C252" i="16"/>
  <c r="D251" i="16"/>
  <c r="E251" i="16"/>
  <c r="F251" i="16"/>
  <c r="G251" i="16"/>
  <c r="H251" i="16"/>
  <c r="I251" i="16"/>
  <c r="J251" i="16"/>
  <c r="K251" i="16"/>
  <c r="L251" i="16"/>
  <c r="M251" i="16"/>
  <c r="N251" i="16"/>
  <c r="C251" i="16"/>
  <c r="O84" i="16"/>
  <c r="O85" i="16"/>
  <c r="O86" i="16"/>
  <c r="O87" i="16"/>
  <c r="O88" i="16"/>
  <c r="O89" i="16"/>
  <c r="O90" i="16"/>
  <c r="O91" i="16"/>
  <c r="O92" i="16"/>
  <c r="O93" i="16"/>
  <c r="O94" i="16"/>
  <c r="O95" i="16"/>
  <c r="N84" i="16"/>
  <c r="N85" i="16"/>
  <c r="N86" i="16"/>
  <c r="N87" i="16"/>
  <c r="N88" i="16"/>
  <c r="N89" i="16"/>
  <c r="N90" i="16"/>
  <c r="N91" i="16"/>
  <c r="N92" i="16"/>
  <c r="N93" i="16"/>
  <c r="N94" i="16"/>
  <c r="N95" i="16"/>
  <c r="M84" i="16"/>
  <c r="M85" i="16"/>
  <c r="M86" i="16"/>
  <c r="M87" i="16"/>
  <c r="M88" i="16"/>
  <c r="M89" i="16"/>
  <c r="M90" i="16"/>
  <c r="M91" i="16"/>
  <c r="M92" i="16"/>
  <c r="M93" i="16"/>
  <c r="M94" i="16"/>
  <c r="M95" i="16"/>
  <c r="L84" i="16"/>
  <c r="L85" i="16"/>
  <c r="L86" i="16"/>
  <c r="L87" i="16"/>
  <c r="L88" i="16"/>
  <c r="L89" i="16"/>
  <c r="L90" i="16"/>
  <c r="L91" i="16"/>
  <c r="L92" i="16"/>
  <c r="L93" i="16"/>
  <c r="L94" i="16"/>
  <c r="L95" i="16"/>
  <c r="K95" i="16"/>
  <c r="K84" i="16"/>
  <c r="K85" i="16"/>
  <c r="K86" i="16"/>
  <c r="K87" i="16"/>
  <c r="K88" i="16"/>
  <c r="K89" i="16"/>
  <c r="K90" i="16"/>
  <c r="K91" i="16"/>
  <c r="K92" i="16"/>
  <c r="K93" i="16"/>
  <c r="K94" i="16"/>
  <c r="J84" i="16"/>
  <c r="J85" i="16"/>
  <c r="J86" i="16"/>
  <c r="J87" i="16"/>
  <c r="J88" i="16"/>
  <c r="J89" i="16"/>
  <c r="J90" i="16"/>
  <c r="J91" i="16"/>
  <c r="J92" i="16"/>
  <c r="J93" i="16"/>
  <c r="J94" i="16"/>
  <c r="J95" i="16"/>
  <c r="I84" i="16"/>
  <c r="I85" i="16"/>
  <c r="I86" i="16"/>
  <c r="I87" i="16"/>
  <c r="I88" i="16"/>
  <c r="I89" i="16"/>
  <c r="I90" i="16"/>
  <c r="I91" i="16"/>
  <c r="I92" i="16"/>
  <c r="I93" i="16"/>
  <c r="I94" i="16"/>
  <c r="I95" i="16"/>
  <c r="H84" i="16"/>
  <c r="H85" i="16"/>
  <c r="H86" i="16"/>
  <c r="H87" i="16"/>
  <c r="H88" i="16"/>
  <c r="H89" i="16"/>
  <c r="H90" i="16"/>
  <c r="H91" i="16"/>
  <c r="H92" i="16"/>
  <c r="H93" i="16"/>
  <c r="H94" i="16"/>
  <c r="H95" i="16"/>
  <c r="G84" i="16"/>
  <c r="G85" i="16"/>
  <c r="G86" i="16"/>
  <c r="G87" i="16"/>
  <c r="G88" i="16"/>
  <c r="G89" i="16"/>
  <c r="G90" i="16"/>
  <c r="G91" i="16"/>
  <c r="G92" i="16"/>
  <c r="G93" i="16"/>
  <c r="G94" i="16"/>
  <c r="G95" i="16"/>
  <c r="F84" i="16"/>
  <c r="F85" i="16"/>
  <c r="F86" i="16"/>
  <c r="F87" i="16"/>
  <c r="F88" i="16"/>
  <c r="F89" i="16"/>
  <c r="F90" i="16"/>
  <c r="F91" i="16"/>
  <c r="F92" i="16"/>
  <c r="F93" i="16"/>
  <c r="F94" i="16"/>
  <c r="F95" i="16"/>
  <c r="G83" i="16"/>
  <c r="H83" i="16"/>
  <c r="I83" i="16"/>
  <c r="J83" i="16"/>
  <c r="K83" i="16"/>
  <c r="L83" i="16"/>
  <c r="M83" i="16"/>
  <c r="N83" i="16"/>
  <c r="O83" i="16"/>
  <c r="F83" i="16"/>
  <c r="E84" i="16"/>
  <c r="E85" i="16"/>
  <c r="E86" i="16"/>
  <c r="E87" i="16"/>
  <c r="E88" i="16"/>
  <c r="E89" i="16"/>
  <c r="E90" i="16"/>
  <c r="E91" i="16"/>
  <c r="E92" i="16"/>
  <c r="E93" i="16"/>
  <c r="E94" i="16"/>
  <c r="E95" i="16"/>
  <c r="E83" i="16"/>
  <c r="D95" i="16"/>
  <c r="D83" i="16"/>
  <c r="D84" i="16"/>
  <c r="D85" i="16"/>
  <c r="D86" i="16"/>
  <c r="D87" i="16"/>
  <c r="D88" i="16"/>
  <c r="D89" i="16"/>
  <c r="D90" i="16"/>
  <c r="D91" i="16"/>
  <c r="D92" i="16"/>
  <c r="D93" i="16"/>
  <c r="D94" i="16"/>
  <c r="C84" i="16"/>
  <c r="C85" i="16"/>
  <c r="C86" i="16"/>
  <c r="C87" i="16"/>
  <c r="C88" i="16"/>
  <c r="C89" i="16"/>
  <c r="C90" i="16"/>
  <c r="C91" i="16"/>
  <c r="C92" i="16"/>
  <c r="C93" i="16"/>
  <c r="C94" i="16"/>
  <c r="C95" i="16"/>
  <c r="C83" i="16"/>
  <c r="AP68" i="16"/>
  <c r="AP67" i="16"/>
  <c r="AP69" i="16"/>
  <c r="AP70" i="16"/>
  <c r="AP71" i="16"/>
  <c r="AP72" i="16"/>
  <c r="AP73" i="16"/>
  <c r="AP74" i="16"/>
  <c r="AP75" i="16"/>
  <c r="AP76" i="16"/>
  <c r="AP77" i="16"/>
  <c r="AP78" i="16"/>
  <c r="AP79" i="16"/>
  <c r="AO67" i="16"/>
  <c r="E67" i="16"/>
  <c r="C50" i="16"/>
  <c r="C51" i="16"/>
  <c r="C52" i="16"/>
  <c r="C53" i="16"/>
  <c r="C54" i="16"/>
  <c r="C55" i="16"/>
  <c r="C56" i="16"/>
  <c r="C57" i="16"/>
  <c r="C58" i="16"/>
  <c r="C59" i="16"/>
  <c r="C60" i="16"/>
  <c r="C61" i="16"/>
  <c r="C62" i="16"/>
  <c r="AP63" i="16"/>
  <c r="I63" i="16"/>
  <c r="C13" i="9"/>
  <c r="M24" i="16"/>
  <c r="N24" i="16" s="1"/>
  <c r="M23" i="16"/>
  <c r="N23" i="16" s="1"/>
  <c r="M22" i="16"/>
  <c r="N22" i="16" s="1"/>
  <c r="M21" i="16"/>
  <c r="N21" i="16" s="1"/>
  <c r="M20" i="16"/>
  <c r="N20" i="16" s="1"/>
  <c r="M19" i="16"/>
  <c r="N19" i="16" s="1"/>
  <c r="M18" i="16"/>
  <c r="N18" i="16" s="1"/>
  <c r="M17" i="16"/>
  <c r="N17" i="16" s="1"/>
  <c r="M16" i="16"/>
  <c r="N16" i="16" s="1"/>
  <c r="M15" i="16"/>
  <c r="N15" i="16" s="1"/>
  <c r="M14" i="16"/>
  <c r="N14" i="16" s="1"/>
  <c r="M13" i="16"/>
  <c r="N13" i="16" s="1"/>
  <c r="M12" i="16"/>
  <c r="N12" i="16" s="1"/>
  <c r="G22" i="16"/>
  <c r="H22" i="16" s="1"/>
  <c r="G21" i="16"/>
  <c r="G20" i="16"/>
  <c r="H20" i="16" s="1"/>
  <c r="G19" i="16"/>
  <c r="H19" i="16" s="1"/>
  <c r="G18" i="16"/>
  <c r="H18" i="16" s="1"/>
  <c r="G17" i="16"/>
  <c r="H17" i="16" s="1"/>
  <c r="G16" i="16"/>
  <c r="H16" i="16" s="1"/>
  <c r="G15" i="16"/>
  <c r="H15" i="16" s="1"/>
  <c r="G14" i="16"/>
  <c r="H14" i="16" s="1"/>
  <c r="G13" i="16"/>
  <c r="H13" i="16" s="1"/>
  <c r="G12" i="16"/>
  <c r="H12" i="16" s="1"/>
  <c r="E22" i="16"/>
  <c r="F22" i="16" s="1"/>
  <c r="E21" i="16"/>
  <c r="F21" i="16" s="1"/>
  <c r="E20" i="16"/>
  <c r="E19" i="16"/>
  <c r="F19" i="16" s="1"/>
  <c r="E18" i="16"/>
  <c r="F18" i="16" s="1"/>
  <c r="E17" i="16"/>
  <c r="F17" i="16" s="1"/>
  <c r="E16" i="16"/>
  <c r="F16" i="16" s="1"/>
  <c r="E15" i="16"/>
  <c r="F15" i="16" s="1"/>
  <c r="E14" i="16"/>
  <c r="F14" i="16" s="1"/>
  <c r="E13" i="16"/>
  <c r="F13" i="16" s="1"/>
  <c r="E12" i="16"/>
  <c r="F12" i="16" s="1"/>
  <c r="C22" i="16"/>
  <c r="D22" i="16" s="1"/>
  <c r="C21" i="16"/>
  <c r="D21" i="16" s="1"/>
  <c r="C20" i="16"/>
  <c r="D20" i="16" s="1"/>
  <c r="C19" i="16"/>
  <c r="D19" i="16" s="1"/>
  <c r="C18" i="16"/>
  <c r="D18" i="16" s="1"/>
  <c r="C17" i="16"/>
  <c r="D17" i="16" s="1"/>
  <c r="C16" i="16"/>
  <c r="D16" i="16" s="1"/>
  <c r="C15" i="16"/>
  <c r="D15" i="16" s="1"/>
  <c r="C14" i="16"/>
  <c r="D14" i="16" s="1"/>
  <c r="C13" i="16"/>
  <c r="D13" i="16" s="1"/>
  <c r="C12" i="16"/>
  <c r="D12" i="16" s="1"/>
  <c r="G24" i="16"/>
  <c r="H24" i="16" s="1"/>
  <c r="E23" i="16"/>
  <c r="F23" i="16" s="1"/>
  <c r="E24" i="16"/>
  <c r="F24" i="16" s="1"/>
  <c r="C24" i="16"/>
  <c r="D24" i="16" s="1"/>
  <c r="D19" i="20"/>
  <c r="E19" i="20" s="1"/>
  <c r="C10" i="20"/>
  <c r="G54" i="7"/>
  <c r="G59" i="7" a="1"/>
  <c r="G59" i="7" s="1"/>
  <c r="G56" i="7"/>
  <c r="G55" i="7" a="1"/>
  <c r="G55" i="7" s="1"/>
  <c r="I110" i="14"/>
  <c r="J110" i="14"/>
  <c r="K110" i="14"/>
  <c r="M110" i="14"/>
  <c r="G109" i="14"/>
  <c r="G111" i="14" s="1"/>
  <c r="N109" i="14"/>
  <c r="J109" i="14"/>
  <c r="F109" i="14"/>
  <c r="F111" i="14" s="1"/>
  <c r="H109" i="14"/>
  <c r="H111" i="14" s="1"/>
  <c r="K109" i="14"/>
  <c r="K111" i="14" s="1"/>
  <c r="L109" i="14"/>
  <c r="L111" i="14" s="1"/>
  <c r="I109" i="14"/>
  <c r="I111" i="14" s="1"/>
  <c r="Q109" i="14"/>
  <c r="Q111" i="14" s="1"/>
  <c r="M109" i="14"/>
  <c r="M111" i="14" s="1"/>
  <c r="O109" i="14"/>
  <c r="O111" i="14" s="1"/>
  <c r="P109" i="14"/>
  <c r="P111" i="14" s="1"/>
  <c r="D47" i="14"/>
  <c r="E47" i="14"/>
  <c r="L51" i="9"/>
  <c r="O180" i="17"/>
  <c r="O181" i="17"/>
  <c r="O182" i="17"/>
  <c r="O183" i="17"/>
  <c r="O184" i="17"/>
  <c r="O185" i="17"/>
  <c r="O186" i="17"/>
  <c r="O187" i="17"/>
  <c r="O188" i="17"/>
  <c r="O179" i="17"/>
  <c r="N180" i="17"/>
  <c r="N181" i="17"/>
  <c r="N182" i="17"/>
  <c r="N183" i="17"/>
  <c r="N184" i="17"/>
  <c r="N185" i="17"/>
  <c r="N186" i="17"/>
  <c r="N187" i="17"/>
  <c r="N188" i="17"/>
  <c r="N179" i="17"/>
  <c r="M180" i="17"/>
  <c r="M181" i="17"/>
  <c r="M182" i="17"/>
  <c r="M183" i="17"/>
  <c r="M184" i="17"/>
  <c r="M185" i="17"/>
  <c r="M186" i="17"/>
  <c r="M187" i="17"/>
  <c r="M188" i="17"/>
  <c r="M179" i="17"/>
  <c r="L180" i="17"/>
  <c r="L181" i="17"/>
  <c r="L182" i="17"/>
  <c r="L183" i="17"/>
  <c r="L184" i="17"/>
  <c r="L185" i="17"/>
  <c r="L186" i="17"/>
  <c r="L187" i="17"/>
  <c r="L188" i="17"/>
  <c r="L179" i="17"/>
  <c r="K180" i="17"/>
  <c r="K181" i="17"/>
  <c r="K182" i="17"/>
  <c r="K183" i="17"/>
  <c r="K184" i="17"/>
  <c r="K185" i="17"/>
  <c r="K186" i="17"/>
  <c r="K187" i="17"/>
  <c r="K188" i="17"/>
  <c r="K179" i="17"/>
  <c r="O454" i="16"/>
  <c r="N453" i="16"/>
  <c r="N452" i="16"/>
  <c r="N451" i="16"/>
  <c r="N450" i="16"/>
  <c r="N449" i="16"/>
  <c r="N448" i="16"/>
  <c r="N447" i="16"/>
  <c r="N446" i="16"/>
  <c r="N445" i="16"/>
  <c r="N444" i="16"/>
  <c r="N443" i="16"/>
  <c r="N442" i="16"/>
  <c r="M453" i="16"/>
  <c r="M452" i="16"/>
  <c r="M451" i="16"/>
  <c r="M450" i="16"/>
  <c r="M449" i="16"/>
  <c r="M448" i="16"/>
  <c r="M447" i="16"/>
  <c r="M446" i="16"/>
  <c r="M445" i="16"/>
  <c r="M444" i="16"/>
  <c r="M443" i="16"/>
  <c r="M442" i="16"/>
  <c r="L453" i="16"/>
  <c r="L452" i="16"/>
  <c r="L451" i="16"/>
  <c r="L450" i="16"/>
  <c r="L449" i="16"/>
  <c r="L448" i="16"/>
  <c r="L447" i="16"/>
  <c r="L446" i="16"/>
  <c r="L445" i="16"/>
  <c r="L444" i="16"/>
  <c r="L443" i="16"/>
  <c r="L442" i="16"/>
  <c r="K453" i="16"/>
  <c r="K452" i="16"/>
  <c r="K451" i="16"/>
  <c r="K450" i="16"/>
  <c r="K449" i="16"/>
  <c r="K448" i="16"/>
  <c r="K447" i="16"/>
  <c r="K446" i="16"/>
  <c r="K445" i="16"/>
  <c r="K444" i="16"/>
  <c r="K443" i="16"/>
  <c r="K442" i="16"/>
  <c r="H442" i="16"/>
  <c r="H443" i="16"/>
  <c r="H444" i="16"/>
  <c r="H445" i="16"/>
  <c r="H446" i="16"/>
  <c r="H447" i="16"/>
  <c r="H448" i="16"/>
  <c r="H449" i="16"/>
  <c r="H450" i="16"/>
  <c r="H451" i="16"/>
  <c r="H452" i="16"/>
  <c r="H453" i="16"/>
  <c r="D246" i="16"/>
  <c r="E246" i="16"/>
  <c r="F246" i="16"/>
  <c r="G246" i="16"/>
  <c r="H246" i="16"/>
  <c r="I246" i="16"/>
  <c r="J246" i="16"/>
  <c r="K246" i="16"/>
  <c r="L246" i="16"/>
  <c r="M246" i="16"/>
  <c r="N246" i="16"/>
  <c r="O246" i="16"/>
  <c r="C246" i="16"/>
  <c r="C42" i="12"/>
  <c r="C40" i="12"/>
  <c r="C47" i="11"/>
  <c r="C47" i="10"/>
  <c r="C50" i="8"/>
  <c r="C49" i="8"/>
  <c r="N100" i="8"/>
  <c r="M100" i="8"/>
  <c r="K100" i="8"/>
  <c r="I100" i="8"/>
  <c r="H100" i="8"/>
  <c r="G100" i="8"/>
  <c r="F100" i="8"/>
  <c r="E100" i="8"/>
  <c r="D100" i="8"/>
  <c r="P79" i="5"/>
  <c r="V27" i="22" s="1"/>
  <c r="Y79" i="5"/>
  <c r="AE27" i="22" s="1"/>
  <c r="T79" i="5"/>
  <c r="Z27" i="22" s="1"/>
  <c r="E79" i="5"/>
  <c r="K27" i="22" s="1"/>
  <c r="F79" i="5"/>
  <c r="L27" i="22" s="1"/>
  <c r="G79" i="5"/>
  <c r="M27" i="22" s="1"/>
  <c r="H79" i="5"/>
  <c r="N27" i="22" s="1"/>
  <c r="I79" i="5"/>
  <c r="O27" i="22" s="1"/>
  <c r="J79" i="5"/>
  <c r="P27" i="22" s="1"/>
  <c r="K79" i="5"/>
  <c r="Q27" i="22" s="1"/>
  <c r="L79" i="5"/>
  <c r="R27" i="22" s="1"/>
  <c r="M79" i="5"/>
  <c r="S27" i="22" s="1"/>
  <c r="N79" i="5"/>
  <c r="T27" i="22" s="1"/>
  <c r="O79" i="5"/>
  <c r="U27" i="22" s="1"/>
  <c r="Q79" i="5"/>
  <c r="W27" i="22" s="1"/>
  <c r="R79" i="5"/>
  <c r="X27" i="22" s="1"/>
  <c r="S79" i="5"/>
  <c r="Y27" i="22" s="1"/>
  <c r="U79" i="5"/>
  <c r="AA27" i="22" s="1"/>
  <c r="V79" i="5"/>
  <c r="AB27" i="22" s="1"/>
  <c r="W79" i="5"/>
  <c r="AC27" i="22" s="1"/>
  <c r="X79" i="5"/>
  <c r="AD27" i="22" s="1"/>
  <c r="Z79" i="5"/>
  <c r="AF27" i="22" s="1"/>
  <c r="AA79" i="5"/>
  <c r="AG27" i="22" s="1"/>
  <c r="AB79" i="5"/>
  <c r="AH27" i="22" s="1"/>
  <c r="AC79" i="5"/>
  <c r="AI27" i="22" s="1"/>
  <c r="AD79" i="5"/>
  <c r="AJ27" i="22" s="1"/>
  <c r="AE79" i="5"/>
  <c r="AK27" i="22" s="1"/>
  <c r="D79" i="5"/>
  <c r="J27" i="22" s="1"/>
  <c r="D204" i="16"/>
  <c r="E204" i="16"/>
  <c r="F204" i="16"/>
  <c r="G204" i="16"/>
  <c r="H204" i="16"/>
  <c r="I204" i="16"/>
  <c r="J204" i="16"/>
  <c r="K204" i="16"/>
  <c r="L204" i="16"/>
  <c r="M204" i="16"/>
  <c r="N204" i="16"/>
  <c r="O204" i="16"/>
  <c r="C204" i="16"/>
  <c r="C50" i="9"/>
  <c r="G6" i="23"/>
  <c r="G7" i="23"/>
  <c r="G8" i="23"/>
  <c r="G9" i="23"/>
  <c r="H9" i="23" s="1"/>
  <c r="G5" i="23"/>
  <c r="I50" i="9"/>
  <c r="E50" i="9"/>
  <c r="F50" i="9"/>
  <c r="G50" i="9"/>
  <c r="D50" i="9"/>
  <c r="C54" i="7"/>
  <c r="E55" i="7"/>
  <c r="I65" i="7"/>
  <c r="C55" i="7"/>
  <c r="C53" i="7"/>
  <c r="G63" i="7"/>
  <c r="G61" i="7"/>
  <c r="G60" i="7" a="1"/>
  <c r="G60" i="7" s="1"/>
  <c r="E56" i="7"/>
  <c r="E57" i="7"/>
  <c r="E58" i="7"/>
  <c r="E59" i="7"/>
  <c r="E60" i="7"/>
  <c r="E61" i="7"/>
  <c r="E54" i="7"/>
  <c r="E53" i="7"/>
  <c r="I62" i="7"/>
  <c r="I58" i="7"/>
  <c r="I55" i="7"/>
  <c r="I53" i="7"/>
  <c r="I54" i="7"/>
  <c r="I56" i="7"/>
  <c r="I57" i="7"/>
  <c r="I59" i="7"/>
  <c r="I60" i="7"/>
  <c r="I61" i="7"/>
  <c r="I63" i="7"/>
  <c r="I64" i="7"/>
  <c r="G57" i="7"/>
  <c r="AI15" i="7"/>
  <c r="AF12" i="7"/>
  <c r="AC48" i="7"/>
  <c r="P556" i="26"/>
  <c r="D20" i="20"/>
  <c r="E20" i="20" s="1"/>
  <c r="D21" i="20"/>
  <c r="E21" i="20" s="1"/>
  <c r="D22" i="20"/>
  <c r="E22" i="20" s="1"/>
  <c r="D23" i="20"/>
  <c r="E23" i="20" s="1"/>
  <c r="D24" i="20"/>
  <c r="E24" i="20" s="1"/>
  <c r="D25" i="20"/>
  <c r="E25" i="20" s="1"/>
  <c r="D26" i="20"/>
  <c r="E26" i="20" s="1"/>
  <c r="D27" i="20"/>
  <c r="E27" i="20" s="1"/>
  <c r="D28" i="20"/>
  <c r="E28" i="20" s="1"/>
  <c r="D29" i="20"/>
  <c r="E29" i="20" s="1"/>
  <c r="D30" i="20"/>
  <c r="E30" i="20" s="1"/>
  <c r="D31" i="20"/>
  <c r="E31" i="20" s="1"/>
  <c r="D32" i="20"/>
  <c r="E32" i="20" s="1"/>
  <c r="D33" i="20"/>
  <c r="E33" i="20" s="1"/>
  <c r="D34" i="20"/>
  <c r="E34" i="20" s="1"/>
  <c r="D35" i="20"/>
  <c r="E35" i="20" s="1"/>
  <c r="D36" i="20"/>
  <c r="E36" i="20" s="1"/>
  <c r="D37" i="20"/>
  <c r="E37" i="20" s="1"/>
  <c r="D38" i="20"/>
  <c r="E38" i="20" s="1"/>
  <c r="D39" i="20"/>
  <c r="E39" i="20" s="1"/>
  <c r="M24" i="20"/>
  <c r="N24" i="20" s="1"/>
  <c r="M23" i="20"/>
  <c r="M25" i="20"/>
  <c r="M26" i="20"/>
  <c r="M27" i="20"/>
  <c r="M28" i="20"/>
  <c r="M29" i="20"/>
  <c r="N29" i="20" s="1"/>
  <c r="M30" i="20"/>
  <c r="M31" i="20"/>
  <c r="M32" i="20"/>
  <c r="M33" i="20"/>
  <c r="N33" i="20" s="1"/>
  <c r="M34" i="20"/>
  <c r="M35" i="20"/>
  <c r="M36" i="20"/>
  <c r="M37" i="20"/>
  <c r="N37" i="20" s="1"/>
  <c r="M38" i="20"/>
  <c r="M39" i="20"/>
  <c r="M40" i="20"/>
  <c r="M22" i="20"/>
  <c r="N22" i="20" s="1"/>
  <c r="C13" i="20"/>
  <c r="C12" i="20"/>
  <c r="C11" i="20"/>
  <c r="H6" i="23"/>
  <c r="H7" i="23"/>
  <c r="P537" i="26"/>
  <c r="P539" i="26"/>
  <c r="P540" i="26"/>
  <c r="P541" i="26"/>
  <c r="P542" i="26"/>
  <c r="P506" i="26"/>
  <c r="P507" i="26"/>
  <c r="P491" i="26"/>
  <c r="P448" i="26"/>
  <c r="P449" i="26"/>
  <c r="P450" i="26"/>
  <c r="P432" i="26"/>
  <c r="P434" i="26"/>
  <c r="P435" i="26"/>
  <c r="P436" i="26"/>
  <c r="P420" i="26"/>
  <c r="P421" i="26"/>
  <c r="P422" i="26"/>
  <c r="P417" i="26"/>
  <c r="P405" i="26"/>
  <c r="P406" i="26"/>
  <c r="P407" i="26"/>
  <c r="P408" i="26"/>
  <c r="P390" i="26"/>
  <c r="P393" i="26"/>
  <c r="P394" i="26"/>
  <c r="P379" i="26"/>
  <c r="P380" i="26"/>
  <c r="P375" i="26"/>
  <c r="P364" i="26"/>
  <c r="P365" i="26"/>
  <c r="P366" i="26"/>
  <c r="P361" i="26"/>
  <c r="P350" i="26"/>
  <c r="P351" i="26"/>
  <c r="P352" i="26"/>
  <c r="P336" i="26"/>
  <c r="P337" i="26"/>
  <c r="P338" i="26"/>
  <c r="P320" i="26"/>
  <c r="P323" i="26"/>
  <c r="P324" i="26"/>
  <c r="P319" i="26"/>
  <c r="P306" i="26"/>
  <c r="P308" i="26"/>
  <c r="P309" i="26"/>
  <c r="P310" i="26"/>
  <c r="P294" i="26"/>
  <c r="P295" i="26"/>
  <c r="P296" i="26"/>
  <c r="P280" i="26"/>
  <c r="P281" i="26"/>
  <c r="P282" i="26"/>
  <c r="P266" i="26"/>
  <c r="P267" i="26"/>
  <c r="P268" i="26"/>
  <c r="P252" i="26"/>
  <c r="P249" i="26"/>
  <c r="P238" i="26"/>
  <c r="P240" i="26"/>
  <c r="P223" i="26"/>
  <c r="P224" i="26"/>
  <c r="P209" i="26"/>
  <c r="P210" i="26"/>
  <c r="P195" i="26"/>
  <c r="P196" i="26"/>
  <c r="P182" i="26"/>
  <c r="P178" i="26"/>
  <c r="P165" i="26"/>
  <c r="P166" i="26"/>
  <c r="P167" i="26"/>
  <c r="P168" i="26"/>
  <c r="P169" i="26"/>
  <c r="P170" i="26"/>
  <c r="P171" i="26"/>
  <c r="P172" i="26"/>
  <c r="P173" i="26"/>
  <c r="P174" i="26"/>
  <c r="P164" i="26"/>
  <c r="P152" i="26"/>
  <c r="P153" i="26"/>
  <c r="P136" i="26"/>
  <c r="P137" i="26"/>
  <c r="P138" i="26"/>
  <c r="P139" i="26"/>
  <c r="P140" i="26"/>
  <c r="P141" i="26"/>
  <c r="P142" i="26"/>
  <c r="P143" i="26"/>
  <c r="P144" i="26"/>
  <c r="P145" i="26"/>
  <c r="P135" i="26"/>
  <c r="P109" i="26"/>
  <c r="P110" i="26"/>
  <c r="P111" i="26"/>
  <c r="P112" i="26"/>
  <c r="P113" i="26"/>
  <c r="P114" i="26"/>
  <c r="P115" i="26"/>
  <c r="P116" i="26"/>
  <c r="P117" i="26"/>
  <c r="P118" i="26"/>
  <c r="P108" i="26"/>
  <c r="P97" i="26"/>
  <c r="P98" i="26"/>
  <c r="P99" i="26"/>
  <c r="P81" i="26"/>
  <c r="P82" i="26"/>
  <c r="P83" i="26"/>
  <c r="P84" i="26"/>
  <c r="P85" i="26"/>
  <c r="P86" i="26"/>
  <c r="P87" i="26"/>
  <c r="P88" i="26"/>
  <c r="P89" i="26"/>
  <c r="P90" i="26"/>
  <c r="P80" i="26"/>
  <c r="P66" i="26"/>
  <c r="P67" i="26"/>
  <c r="P68" i="26"/>
  <c r="P69" i="26"/>
  <c r="P70" i="26"/>
  <c r="P71" i="26"/>
  <c r="P72" i="26"/>
  <c r="P73" i="26"/>
  <c r="P74" i="26"/>
  <c r="P75" i="26"/>
  <c r="P76" i="26"/>
  <c r="P65" i="26"/>
  <c r="P51" i="26"/>
  <c r="P52" i="26"/>
  <c r="P53" i="26"/>
  <c r="P54" i="26"/>
  <c r="P55" i="26"/>
  <c r="P56" i="26"/>
  <c r="P57" i="26"/>
  <c r="P58" i="26"/>
  <c r="P59" i="26"/>
  <c r="P60" i="26"/>
  <c r="P61" i="26"/>
  <c r="P37" i="26"/>
  <c r="P38" i="26"/>
  <c r="P39" i="26"/>
  <c r="P40" i="26"/>
  <c r="P41" i="26"/>
  <c r="P42" i="26"/>
  <c r="P43" i="26"/>
  <c r="P44" i="26"/>
  <c r="P45" i="26"/>
  <c r="P46" i="26"/>
  <c r="P36" i="26"/>
  <c r="P23" i="26"/>
  <c r="P24" i="26"/>
  <c r="P25" i="26"/>
  <c r="P26" i="26"/>
  <c r="P27" i="26"/>
  <c r="P28" i="26"/>
  <c r="P29" i="26"/>
  <c r="P30" i="26"/>
  <c r="P31" i="26"/>
  <c r="P32" i="26"/>
  <c r="P22" i="26"/>
  <c r="D61" i="6"/>
  <c r="AL59" i="5"/>
  <c r="AL47" i="5"/>
  <c r="AL48" i="5"/>
  <c r="AL49" i="5"/>
  <c r="AL50" i="5"/>
  <c r="AL51" i="5"/>
  <c r="AL52" i="5"/>
  <c r="AL53" i="5"/>
  <c r="AL54" i="5"/>
  <c r="AL55" i="5"/>
  <c r="AL56" i="5"/>
  <c r="AL57" i="5"/>
  <c r="AL58" i="5"/>
  <c r="H76"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7" i="5"/>
  <c r="H78" i="5"/>
  <c r="N28" i="22" s="1"/>
  <c r="G42" i="5"/>
  <c r="H8" i="23"/>
  <c r="H5" i="23"/>
  <c r="D76" i="6"/>
  <c r="Q56" i="6"/>
  <c r="AU92" i="6"/>
  <c r="AR98" i="6"/>
  <c r="AO98" i="6"/>
  <c r="D80" i="6"/>
  <c r="D83" i="6"/>
  <c r="AI95" i="6"/>
  <c r="AJ95" i="6" s="1"/>
  <c r="M61" i="6"/>
  <c r="M62" i="6"/>
  <c r="M63" i="6"/>
  <c r="M64" i="6"/>
  <c r="M65" i="6"/>
  <c r="M66" i="6"/>
  <c r="M67" i="6"/>
  <c r="M68" i="6"/>
  <c r="M71" i="6"/>
  <c r="M69" i="6"/>
  <c r="M70" i="6"/>
  <c r="M72" i="6"/>
  <c r="M73" i="6"/>
  <c r="M74" i="6"/>
  <c r="M75" i="6"/>
  <c r="M76" i="6"/>
  <c r="M60" i="6"/>
  <c r="M57" i="6"/>
  <c r="M58" i="6"/>
  <c r="M56" i="6"/>
  <c r="J58" i="6"/>
  <c r="J57" i="6"/>
  <c r="J56" i="6"/>
  <c r="J55" i="6"/>
  <c r="G57" i="6"/>
  <c r="AX57" i="6"/>
  <c r="AX59" i="6"/>
  <c r="AU57" i="6"/>
  <c r="AR56" i="6"/>
  <c r="AS56" i="6" s="1"/>
  <c r="AR55" i="6"/>
  <c r="AO57" i="6"/>
  <c r="AO61" i="6"/>
  <c r="AJ62" i="6"/>
  <c r="AO56" i="6"/>
  <c r="AL61" i="6"/>
  <c r="AI68" i="6"/>
  <c r="AJ68" i="6" s="1"/>
  <c r="AF67" i="6"/>
  <c r="AC55" i="6"/>
  <c r="Z55" i="6"/>
  <c r="W58" i="6"/>
  <c r="W57" i="6"/>
  <c r="W56" i="6"/>
  <c r="W55" i="6"/>
  <c r="T58" i="6"/>
  <c r="T57" i="6"/>
  <c r="Q65" i="6"/>
  <c r="R65" i="6" s="1"/>
  <c r="W88" i="6"/>
  <c r="G60" i="6"/>
  <c r="G61" i="6"/>
  <c r="AU82" i="6"/>
  <c r="AV82" i="6" s="1"/>
  <c r="AU81" i="6"/>
  <c r="AR92" i="6"/>
  <c r="AR67" i="6"/>
  <c r="AS67" i="6" s="1"/>
  <c r="AO93" i="6"/>
  <c r="AL91" i="6"/>
  <c r="Z74" i="6"/>
  <c r="Z75" i="6"/>
  <c r="Z76" i="6"/>
  <c r="Z77" i="6"/>
  <c r="Z78" i="6"/>
  <c r="Z79" i="6"/>
  <c r="Z73" i="6"/>
  <c r="Z80" i="6"/>
  <c r="Z81" i="6"/>
  <c r="Z82" i="6"/>
  <c r="Z83" i="6"/>
  <c r="Z84" i="6"/>
  <c r="Z85" i="6"/>
  <c r="Z86" i="6"/>
  <c r="Z87" i="6"/>
  <c r="Z88" i="6"/>
  <c r="Z89" i="6"/>
  <c r="Z90" i="6"/>
  <c r="Z91" i="6"/>
  <c r="Z92" i="6"/>
  <c r="Z93" i="6"/>
  <c r="Z94" i="6"/>
  <c r="Z95" i="6"/>
  <c r="Z96" i="6"/>
  <c r="Z97" i="6"/>
  <c r="Z98" i="6"/>
  <c r="Z99" i="6"/>
  <c r="Z72" i="6"/>
  <c r="W74" i="6"/>
  <c r="W73" i="6"/>
  <c r="W75" i="6"/>
  <c r="W76" i="6"/>
  <c r="W77" i="6"/>
  <c r="W78" i="6"/>
  <c r="W79" i="6"/>
  <c r="W80" i="6"/>
  <c r="W81" i="6"/>
  <c r="W82" i="6"/>
  <c r="W83" i="6"/>
  <c r="W84" i="6"/>
  <c r="W85" i="6"/>
  <c r="W86" i="6"/>
  <c r="W87" i="6"/>
  <c r="W89" i="6"/>
  <c r="W90" i="6"/>
  <c r="W91" i="6"/>
  <c r="W92" i="6"/>
  <c r="W93" i="6"/>
  <c r="W94" i="6"/>
  <c r="W95" i="6"/>
  <c r="W96" i="6"/>
  <c r="W97" i="6"/>
  <c r="W98" i="6"/>
  <c r="W99" i="6"/>
  <c r="W72" i="6"/>
  <c r="T94" i="6"/>
  <c r="T93" i="6"/>
  <c r="T95" i="6"/>
  <c r="Q64" i="6"/>
  <c r="R64" i="6" s="1"/>
  <c r="Q95" i="6"/>
  <c r="Q91" i="6"/>
  <c r="Q92" i="6"/>
  <c r="Q93" i="6"/>
  <c r="Q94" i="6"/>
  <c r="Q90" i="6"/>
  <c r="D81" i="6"/>
  <c r="AR61" i="6"/>
  <c r="AS61" i="6" s="1"/>
  <c r="AR82" i="6"/>
  <c r="AO86" i="6"/>
  <c r="AO62" i="6"/>
  <c r="AL65" i="6"/>
  <c r="AL81" i="6"/>
  <c r="AI66" i="6"/>
  <c r="AJ66" i="6" s="1"/>
  <c r="AI92" i="6"/>
  <c r="AJ92" i="6" s="1"/>
  <c r="AF66" i="6"/>
  <c r="AF79" i="6"/>
  <c r="AC63" i="6"/>
  <c r="AC68" i="6"/>
  <c r="AC82" i="6"/>
  <c r="Z57" i="6"/>
  <c r="Z58" i="6"/>
  <c r="T60" i="6"/>
  <c r="U60" i="6"/>
  <c r="T59" i="6"/>
  <c r="U59" i="6" s="1"/>
  <c r="Q75" i="6"/>
  <c r="G62" i="6"/>
  <c r="G59" i="6"/>
  <c r="D60" i="6"/>
  <c r="G54" i="6"/>
  <c r="D63" i="6"/>
  <c r="D62" i="6"/>
  <c r="D64" i="6"/>
  <c r="D66" i="6"/>
  <c r="D65" i="6"/>
  <c r="D67" i="6"/>
  <c r="D68" i="6"/>
  <c r="D72" i="6"/>
  <c r="D69" i="6"/>
  <c r="D73" i="6"/>
  <c r="D74" i="6"/>
  <c r="D70" i="6"/>
  <c r="D71" i="6"/>
  <c r="D77" i="6"/>
  <c r="D75" i="6"/>
  <c r="D78" i="6"/>
  <c r="D84" i="6"/>
  <c r="D85" i="6"/>
  <c r="D86" i="6"/>
  <c r="D82" i="6"/>
  <c r="D79" i="6"/>
  <c r="D87" i="6"/>
  <c r="D88" i="6"/>
  <c r="D89" i="6"/>
  <c r="D90" i="6"/>
  <c r="D91" i="6"/>
  <c r="D92" i="6"/>
  <c r="D93" i="6"/>
  <c r="BA72" i="6"/>
  <c r="BB72" i="6" s="1"/>
  <c r="AU72" i="6"/>
  <c r="BA55" i="6"/>
  <c r="BB55" i="6" s="1"/>
  <c r="BA75" i="6"/>
  <c r="BB75" i="6" s="1"/>
  <c r="BA73" i="6"/>
  <c r="BB73" i="6" s="1"/>
  <c r="BA74" i="6"/>
  <c r="BB74" i="6" s="1"/>
  <c r="BA76" i="6"/>
  <c r="BB76" i="6" s="1"/>
  <c r="BA57" i="6"/>
  <c r="BB57" i="6" s="1"/>
  <c r="BA56" i="6"/>
  <c r="AX72" i="6"/>
  <c r="AX78" i="6"/>
  <c r="AX73" i="6"/>
  <c r="AY73" i="6" s="1"/>
  <c r="AX77" i="6"/>
  <c r="AX75" i="6"/>
  <c r="AX76" i="6"/>
  <c r="AX74" i="6"/>
  <c r="AY74" i="6" s="1"/>
  <c r="AX56" i="6"/>
  <c r="AX58" i="6"/>
  <c r="AX55" i="6"/>
  <c r="AU91" i="6"/>
  <c r="AU83" i="6"/>
  <c r="AU90" i="6"/>
  <c r="AV90" i="6" s="1"/>
  <c r="AU77" i="6"/>
  <c r="AV77" i="6" s="1"/>
  <c r="AU75" i="6"/>
  <c r="AU73" i="6"/>
  <c r="AU89" i="6"/>
  <c r="AV89" i="6" s="1"/>
  <c r="AU88" i="6"/>
  <c r="AV88" i="6" s="1"/>
  <c r="AU87" i="6"/>
  <c r="AU79" i="6"/>
  <c r="AU76" i="6"/>
  <c r="AU78" i="6"/>
  <c r="AV78" i="6" s="1"/>
  <c r="AU74" i="6"/>
  <c r="AU80" i="6"/>
  <c r="AU84" i="6"/>
  <c r="AV84" i="6" s="1"/>
  <c r="AU86" i="6"/>
  <c r="AV86" i="6" s="1"/>
  <c r="AU85" i="6"/>
  <c r="AU59" i="6"/>
  <c r="AU56" i="6"/>
  <c r="AU62" i="6"/>
  <c r="AU58" i="6"/>
  <c r="AU60" i="6"/>
  <c r="AU61" i="6"/>
  <c r="AU55" i="6"/>
  <c r="AR75" i="6"/>
  <c r="AR83" i="6"/>
  <c r="AR91" i="6"/>
  <c r="AS91" i="6" s="1"/>
  <c r="AR72" i="6"/>
  <c r="AS72" i="6" s="1"/>
  <c r="AR95" i="6"/>
  <c r="AR96" i="6"/>
  <c r="AR79" i="6"/>
  <c r="AS79" i="6" s="1"/>
  <c r="AR84" i="6"/>
  <c r="AR94" i="6"/>
  <c r="AR88" i="6"/>
  <c r="AR81" i="6"/>
  <c r="AS81" i="6" s="1"/>
  <c r="AR93" i="6"/>
  <c r="AS93" i="6" s="1"/>
  <c r="AR80" i="6"/>
  <c r="AR73" i="6"/>
  <c r="AR77" i="6"/>
  <c r="AS77" i="6" s="1"/>
  <c r="AR89" i="6"/>
  <c r="AS89" i="6" s="1"/>
  <c r="AR74" i="6"/>
  <c r="AR76" i="6"/>
  <c r="AR86" i="6"/>
  <c r="AS86" i="6" s="1"/>
  <c r="AR97" i="6"/>
  <c r="AS97" i="6" s="1"/>
  <c r="AR85" i="6"/>
  <c r="AR87" i="6"/>
  <c r="AR90" i="6"/>
  <c r="AS90" i="6" s="1"/>
  <c r="AR78" i="6"/>
  <c r="AS78" i="6" s="1"/>
  <c r="AR60" i="6"/>
  <c r="AS60" i="6" s="1"/>
  <c r="AR59" i="6"/>
  <c r="AS59" i="6" s="1"/>
  <c r="AR63" i="6"/>
  <c r="AS63" i="6" s="1"/>
  <c r="AR64" i="6"/>
  <c r="AS64" i="6" s="1"/>
  <c r="AR65" i="6"/>
  <c r="AS65" i="6" s="1"/>
  <c r="AR62" i="6"/>
  <c r="AS62" i="6" s="1"/>
  <c r="AR58" i="6"/>
  <c r="AS58" i="6" s="1"/>
  <c r="AR57" i="6"/>
  <c r="AS57" i="6" s="1"/>
  <c r="AR66" i="6"/>
  <c r="AO66" i="6"/>
  <c r="AO60" i="6"/>
  <c r="AO55" i="6"/>
  <c r="AO64" i="6"/>
  <c r="AO65" i="6"/>
  <c r="AO59" i="6"/>
  <c r="AO63" i="6"/>
  <c r="AO58" i="6"/>
  <c r="AO74" i="6"/>
  <c r="AO73" i="6"/>
  <c r="AO75" i="6"/>
  <c r="AO72" i="6"/>
  <c r="AO94" i="6"/>
  <c r="AO96" i="6"/>
  <c r="AO88" i="6"/>
  <c r="AO90" i="6"/>
  <c r="AO92" i="6"/>
  <c r="AO84" i="6"/>
  <c r="AO87" i="6"/>
  <c r="AO76" i="6"/>
  <c r="AO82" i="6"/>
  <c r="AO91" i="6"/>
  <c r="AO77" i="6"/>
  <c r="AO78" i="6"/>
  <c r="AO79" i="6"/>
  <c r="AO97" i="6"/>
  <c r="AO81" i="6"/>
  <c r="AO85" i="6"/>
  <c r="AO83" i="6"/>
  <c r="AO80" i="6"/>
  <c r="AO89" i="6"/>
  <c r="AO95" i="6"/>
  <c r="AL79" i="6"/>
  <c r="AM79" i="6" s="1"/>
  <c r="AL73" i="6"/>
  <c r="AL77" i="6"/>
  <c r="AL74" i="6"/>
  <c r="AL84" i="6"/>
  <c r="AM84" i="6" s="1"/>
  <c r="AL96" i="6"/>
  <c r="AL75" i="6"/>
  <c r="AL87" i="6"/>
  <c r="AL78" i="6"/>
  <c r="AM78" i="6" s="1"/>
  <c r="AL86" i="6"/>
  <c r="AL95" i="6"/>
  <c r="AL93" i="6"/>
  <c r="AL80" i="6"/>
  <c r="AM80" i="6" s="1"/>
  <c r="AL82" i="6"/>
  <c r="AL94" i="6"/>
  <c r="AL90" i="6"/>
  <c r="AL85" i="6"/>
  <c r="AM85" i="6" s="1"/>
  <c r="AL88" i="6"/>
  <c r="AL89" i="6"/>
  <c r="AL76" i="6"/>
  <c r="AL97" i="6"/>
  <c r="AM97" i="6" s="1"/>
  <c r="AL92" i="6"/>
  <c r="AL83" i="6"/>
  <c r="AL72" i="6"/>
  <c r="AL64" i="6"/>
  <c r="AL68" i="6"/>
  <c r="AL55" i="6"/>
  <c r="AL56" i="6"/>
  <c r="AL67" i="6"/>
  <c r="AL60" i="6"/>
  <c r="AL59" i="6"/>
  <c r="AL66" i="6"/>
  <c r="AL63" i="6"/>
  <c r="AL62" i="6"/>
  <c r="AL58" i="6"/>
  <c r="AL57" i="6"/>
  <c r="AI80" i="6"/>
  <c r="AJ80" i="6" s="1"/>
  <c r="AI76" i="6"/>
  <c r="AJ76" i="6" s="1"/>
  <c r="AI79" i="6"/>
  <c r="AJ79" i="6" s="1"/>
  <c r="AI74" i="6"/>
  <c r="AJ74" i="6" s="1"/>
  <c r="AI93" i="6"/>
  <c r="AJ93" i="6"/>
  <c r="AI82" i="6"/>
  <c r="AJ82" i="6" s="1"/>
  <c r="AI85" i="6"/>
  <c r="AJ85" i="6"/>
  <c r="AI87" i="6"/>
  <c r="AJ87" i="6" s="1"/>
  <c r="AI73" i="6"/>
  <c r="AJ73" i="6" s="1"/>
  <c r="AI90" i="6"/>
  <c r="AJ90" i="6" s="1"/>
  <c r="AI77" i="6"/>
  <c r="AJ77" i="6" s="1"/>
  <c r="AI88" i="6"/>
  <c r="AJ88" i="6" s="1"/>
  <c r="AI78" i="6"/>
  <c r="AJ78" i="6"/>
  <c r="AI84" i="6"/>
  <c r="AJ84" i="6" s="1"/>
  <c r="AI91" i="6"/>
  <c r="AJ91" i="6" s="1"/>
  <c r="AI86" i="6"/>
  <c r="AJ86" i="6" s="1"/>
  <c r="AI81" i="6"/>
  <c r="AJ81" i="6" s="1"/>
  <c r="AI94" i="6"/>
  <c r="AJ94" i="6" s="1"/>
  <c r="AI89" i="6"/>
  <c r="AJ89" i="6" s="1"/>
  <c r="AI83" i="6"/>
  <c r="AJ83" i="6" s="1"/>
  <c r="AI75" i="6"/>
  <c r="AJ75" i="6"/>
  <c r="AI72" i="6"/>
  <c r="AJ72" i="6" s="1"/>
  <c r="AF72" i="6"/>
  <c r="AI67" i="6"/>
  <c r="AI63" i="6"/>
  <c r="AJ63" i="6" s="1"/>
  <c r="AI59" i="6"/>
  <c r="AJ59" i="6" s="1"/>
  <c r="AI61" i="6"/>
  <c r="AJ61" i="6" s="1"/>
  <c r="AI57" i="6"/>
  <c r="AJ57" i="6" s="1"/>
  <c r="AI65" i="6"/>
  <c r="AJ65" i="6" s="1"/>
  <c r="AI56" i="6"/>
  <c r="AJ56" i="6" s="1"/>
  <c r="AI60" i="6"/>
  <c r="AJ60" i="6" s="1"/>
  <c r="AI55" i="6"/>
  <c r="AJ55" i="6" s="1"/>
  <c r="AI64" i="6"/>
  <c r="AJ64" i="6" s="1"/>
  <c r="AI58" i="6"/>
  <c r="AJ58" i="6" s="1"/>
  <c r="AF94" i="6"/>
  <c r="AF76" i="6"/>
  <c r="AF73" i="6"/>
  <c r="AF85" i="6"/>
  <c r="AF88" i="6"/>
  <c r="AF75" i="6"/>
  <c r="AF83" i="6"/>
  <c r="AF89" i="6"/>
  <c r="AF93" i="6"/>
  <c r="AF78" i="6"/>
  <c r="AF77" i="6"/>
  <c r="AF91" i="6"/>
  <c r="AF90" i="6"/>
  <c r="AF82" i="6"/>
  <c r="AF95" i="6"/>
  <c r="AF81" i="6"/>
  <c r="AF92" i="6"/>
  <c r="AF86" i="6"/>
  <c r="AF80" i="6"/>
  <c r="AF84" i="6"/>
  <c r="AF96" i="6"/>
  <c r="AF87" i="6"/>
  <c r="AF74" i="6"/>
  <c r="AC74" i="6"/>
  <c r="AC76" i="6"/>
  <c r="AC77" i="6"/>
  <c r="AC78" i="6"/>
  <c r="AC79" i="6"/>
  <c r="AC80" i="6"/>
  <c r="AC81" i="6"/>
  <c r="AC83" i="6"/>
  <c r="AC84" i="6"/>
  <c r="AC75" i="6"/>
  <c r="AC85" i="6"/>
  <c r="AC86" i="6"/>
  <c r="AC87" i="6"/>
  <c r="AC88" i="6"/>
  <c r="AC89" i="6"/>
  <c r="AC90" i="6"/>
  <c r="AC91" i="6"/>
  <c r="AC92" i="6"/>
  <c r="AC93" i="6"/>
  <c r="AC94" i="6"/>
  <c r="AC95" i="6"/>
  <c r="AC96" i="6"/>
  <c r="AC97" i="6"/>
  <c r="AC72" i="6"/>
  <c r="AF57" i="6"/>
  <c r="AF63" i="6"/>
  <c r="AF65" i="6"/>
  <c r="AF55" i="6"/>
  <c r="AF61" i="6"/>
  <c r="AF59" i="6"/>
  <c r="AF64" i="6"/>
  <c r="AF62" i="6"/>
  <c r="AF58" i="6"/>
  <c r="AF60" i="6"/>
  <c r="AF56" i="6"/>
  <c r="AC73" i="6"/>
  <c r="AC57" i="6"/>
  <c r="Z64" i="6"/>
  <c r="Z68" i="6"/>
  <c r="Z67" i="6"/>
  <c r="Z65" i="6"/>
  <c r="Z66" i="6"/>
  <c r="W63" i="6"/>
  <c r="W67" i="6"/>
  <c r="W65" i="6"/>
  <c r="W66" i="6"/>
  <c r="T89" i="6"/>
  <c r="T81" i="6"/>
  <c r="T76" i="6"/>
  <c r="T88" i="6"/>
  <c r="T77" i="6"/>
  <c r="T82" i="6"/>
  <c r="T84" i="6"/>
  <c r="T78" i="6"/>
  <c r="T80" i="6"/>
  <c r="T86" i="6"/>
  <c r="T85" i="6"/>
  <c r="T91" i="6"/>
  <c r="T90" i="6"/>
  <c r="T73" i="6"/>
  <c r="T92" i="6"/>
  <c r="T74" i="6"/>
  <c r="T87" i="6"/>
  <c r="T79" i="6"/>
  <c r="T72" i="6"/>
  <c r="T83" i="6"/>
  <c r="T62" i="6"/>
  <c r="T63" i="6"/>
  <c r="T61" i="6"/>
  <c r="T56" i="6"/>
  <c r="U56" i="6" s="1"/>
  <c r="T55" i="6"/>
  <c r="Q84" i="6"/>
  <c r="Q82" i="6"/>
  <c r="Q85" i="6"/>
  <c r="Q80" i="6"/>
  <c r="Q89" i="6"/>
  <c r="Q87" i="6"/>
  <c r="Q81" i="6"/>
  <c r="Q88" i="6"/>
  <c r="Q76" i="6"/>
  <c r="Q78" i="6"/>
  <c r="Q74" i="6"/>
  <c r="Q86" i="6"/>
  <c r="Q83" i="6"/>
  <c r="Q77" i="6"/>
  <c r="Q73" i="6"/>
  <c r="Q79" i="6"/>
  <c r="Q72" i="6"/>
  <c r="Q55" i="6"/>
  <c r="R55" i="6" s="1"/>
  <c r="Q59" i="6"/>
  <c r="Q57" i="6"/>
  <c r="R57" i="6" s="1"/>
  <c r="Q62" i="6"/>
  <c r="R62" i="6" s="1"/>
  <c r="Q61" i="6"/>
  <c r="Q60" i="6"/>
  <c r="Q63" i="6"/>
  <c r="R63" i="6" s="1"/>
  <c r="Q58" i="6"/>
  <c r="J81" i="6"/>
  <c r="J82" i="6"/>
  <c r="J80" i="6"/>
  <c r="J79" i="6"/>
  <c r="J78" i="6"/>
  <c r="K78" i="6" s="1"/>
  <c r="J66" i="6"/>
  <c r="J67" i="6"/>
  <c r="J68" i="6"/>
  <c r="J77" i="6"/>
  <c r="J70" i="6"/>
  <c r="J76" i="6"/>
  <c r="J74" i="6"/>
  <c r="J73" i="6"/>
  <c r="J61" i="6"/>
  <c r="J71" i="6"/>
  <c r="J75" i="6"/>
  <c r="J60" i="6"/>
  <c r="J62" i="6"/>
  <c r="J69" i="6"/>
  <c r="J72" i="6"/>
  <c r="J65" i="6"/>
  <c r="J59" i="6"/>
  <c r="J64" i="6"/>
  <c r="J63" i="6"/>
  <c r="G77" i="6"/>
  <c r="G76" i="6"/>
  <c r="G75" i="6"/>
  <c r="G74" i="6"/>
  <c r="G73" i="6"/>
  <c r="G72" i="6"/>
  <c r="G71" i="6"/>
  <c r="G69" i="6"/>
  <c r="G66" i="6"/>
  <c r="G67" i="6"/>
  <c r="G78" i="6"/>
  <c r="H78" i="6" s="1"/>
  <c r="G84" i="6"/>
  <c r="G80" i="6"/>
  <c r="G82" i="6"/>
  <c r="G83" i="6"/>
  <c r="G81" i="6"/>
  <c r="G79" i="6"/>
  <c r="G70" i="6"/>
  <c r="G56" i="6"/>
  <c r="G64" i="6"/>
  <c r="G65" i="6"/>
  <c r="G63" i="6"/>
  <c r="G58" i="6"/>
  <c r="G68" i="6"/>
  <c r="D99" i="8"/>
  <c r="C49" i="9"/>
  <c r="N23" i="20"/>
  <c r="N25" i="20"/>
  <c r="N26" i="20"/>
  <c r="N27" i="20"/>
  <c r="N28" i="20"/>
  <c r="N30" i="20"/>
  <c r="N31" i="20"/>
  <c r="N32" i="20"/>
  <c r="N34" i="20"/>
  <c r="N35" i="20"/>
  <c r="N36" i="20"/>
  <c r="N38" i="20"/>
  <c r="N39" i="20"/>
  <c r="N40" i="20"/>
  <c r="C39" i="12"/>
  <c r="C46" i="11"/>
  <c r="C46" i="10"/>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BA59" i="5"/>
  <c r="BA47" i="5"/>
  <c r="BA58" i="5"/>
  <c r="BA57" i="5"/>
  <c r="BA56" i="5"/>
  <c r="BA55" i="5"/>
  <c r="BA54" i="5"/>
  <c r="BA53" i="5"/>
  <c r="BA52" i="5"/>
  <c r="BA51" i="5"/>
  <c r="BA50" i="5"/>
  <c r="BA49" i="5"/>
  <c r="BA48" i="5"/>
  <c r="AI59" i="5"/>
  <c r="AI57" i="5"/>
  <c r="AI56" i="5"/>
  <c r="AI55" i="5"/>
  <c r="AI54" i="5"/>
  <c r="AI53" i="5"/>
  <c r="AI52" i="5"/>
  <c r="AI51" i="5"/>
  <c r="AI50" i="5"/>
  <c r="AI49" i="5"/>
  <c r="AI48" i="5"/>
  <c r="AI47" i="5"/>
  <c r="E42" i="5"/>
  <c r="BI59" i="5"/>
  <c r="BH59" i="5"/>
  <c r="BG59" i="5"/>
  <c r="BF59" i="5"/>
  <c r="BE59" i="5"/>
  <c r="BD59" i="5"/>
  <c r="BC59" i="5"/>
  <c r="BB59" i="5"/>
  <c r="AZ59" i="5"/>
  <c r="AY59" i="5"/>
  <c r="AX59" i="5"/>
  <c r="AW59" i="5"/>
  <c r="AV59" i="5"/>
  <c r="AU59" i="5"/>
  <c r="AT59" i="5"/>
  <c r="AS59" i="5"/>
  <c r="AR59" i="5"/>
  <c r="AQ59" i="5"/>
  <c r="AP59" i="5"/>
  <c r="AO59" i="5"/>
  <c r="AN59" i="5"/>
  <c r="AM59" i="5"/>
  <c r="AK59" i="5"/>
  <c r="AJ59" i="5"/>
  <c r="AH59" i="5"/>
  <c r="AH58" i="5"/>
  <c r="AJ57" i="5"/>
  <c r="AK57" i="5"/>
  <c r="AM57" i="5"/>
  <c r="AN57" i="5"/>
  <c r="AO57" i="5"/>
  <c r="AP57" i="5"/>
  <c r="AQ57" i="5"/>
  <c r="AR57" i="5"/>
  <c r="AS57" i="5"/>
  <c r="AT57" i="5"/>
  <c r="AU57" i="5"/>
  <c r="AV57" i="5"/>
  <c r="AW57" i="5"/>
  <c r="AX57" i="5"/>
  <c r="AY57" i="5"/>
  <c r="AZ57" i="5"/>
  <c r="BB57" i="5"/>
  <c r="BC57" i="5"/>
  <c r="BD57" i="5"/>
  <c r="BE57" i="5"/>
  <c r="BF57" i="5"/>
  <c r="BG57" i="5"/>
  <c r="BH57" i="5"/>
  <c r="BI57" i="5"/>
  <c r="AH57" i="5"/>
  <c r="AJ56" i="5"/>
  <c r="AK56" i="5"/>
  <c r="AM56" i="5"/>
  <c r="AN56" i="5"/>
  <c r="AO56" i="5"/>
  <c r="AP56" i="5"/>
  <c r="AQ56" i="5"/>
  <c r="AR56" i="5"/>
  <c r="AS56" i="5"/>
  <c r="AT56" i="5"/>
  <c r="AU56" i="5"/>
  <c r="AV56" i="5"/>
  <c r="AW56" i="5"/>
  <c r="AX56" i="5"/>
  <c r="AY56" i="5"/>
  <c r="AZ56" i="5"/>
  <c r="BB56" i="5"/>
  <c r="BC56" i="5"/>
  <c r="BD56" i="5"/>
  <c r="BE56" i="5"/>
  <c r="BF56" i="5"/>
  <c r="BG56" i="5"/>
  <c r="BH56" i="5"/>
  <c r="BI56" i="5"/>
  <c r="AH56" i="5"/>
  <c r="AJ55" i="5"/>
  <c r="AK55" i="5"/>
  <c r="AM55" i="5"/>
  <c r="AN55" i="5"/>
  <c r="AO55" i="5"/>
  <c r="AP55" i="5"/>
  <c r="AQ55" i="5"/>
  <c r="AR55" i="5"/>
  <c r="AS55" i="5"/>
  <c r="AT55" i="5"/>
  <c r="AU55" i="5"/>
  <c r="AV55" i="5"/>
  <c r="AW55" i="5"/>
  <c r="AX55" i="5"/>
  <c r="AY55" i="5"/>
  <c r="AZ55" i="5"/>
  <c r="BB55" i="5"/>
  <c r="BC55" i="5"/>
  <c r="BD55" i="5"/>
  <c r="BE55" i="5"/>
  <c r="BF55" i="5"/>
  <c r="BG55" i="5"/>
  <c r="BH55" i="5"/>
  <c r="BI55" i="5"/>
  <c r="AH55" i="5"/>
  <c r="AJ54" i="5"/>
  <c r="AK54" i="5"/>
  <c r="AM54" i="5"/>
  <c r="AN54" i="5"/>
  <c r="AO54" i="5"/>
  <c r="AP54" i="5"/>
  <c r="AQ54" i="5"/>
  <c r="AR54" i="5"/>
  <c r="AS54" i="5"/>
  <c r="AT54" i="5"/>
  <c r="AU54" i="5"/>
  <c r="AV54" i="5"/>
  <c r="AW54" i="5"/>
  <c r="AX54" i="5"/>
  <c r="AY54" i="5"/>
  <c r="AZ54" i="5"/>
  <c r="BB54" i="5"/>
  <c r="BC54" i="5"/>
  <c r="BD54" i="5"/>
  <c r="BE54" i="5"/>
  <c r="BF54" i="5"/>
  <c r="BG54" i="5"/>
  <c r="BH54" i="5"/>
  <c r="BI54" i="5"/>
  <c r="AH54" i="5"/>
  <c r="AJ53" i="5"/>
  <c r="AK53" i="5"/>
  <c r="AM53" i="5"/>
  <c r="AN53" i="5"/>
  <c r="AO53" i="5"/>
  <c r="AP53" i="5"/>
  <c r="AQ53" i="5"/>
  <c r="AR53" i="5"/>
  <c r="AS53" i="5"/>
  <c r="AT53" i="5"/>
  <c r="AU53" i="5"/>
  <c r="AV53" i="5"/>
  <c r="AW53" i="5"/>
  <c r="AX53" i="5"/>
  <c r="AY53" i="5"/>
  <c r="AZ53" i="5"/>
  <c r="BB53" i="5"/>
  <c r="BC53" i="5"/>
  <c r="BD53" i="5"/>
  <c r="BE53" i="5"/>
  <c r="BF53" i="5"/>
  <c r="BG53" i="5"/>
  <c r="BH53" i="5"/>
  <c r="BI53" i="5"/>
  <c r="AH53" i="5"/>
  <c r="AJ52" i="5"/>
  <c r="AK52" i="5"/>
  <c r="AM52" i="5"/>
  <c r="AN52" i="5"/>
  <c r="AO52" i="5"/>
  <c r="AP52" i="5"/>
  <c r="AQ52" i="5"/>
  <c r="AR52" i="5"/>
  <c r="AS52" i="5"/>
  <c r="AT52" i="5"/>
  <c r="AU52" i="5"/>
  <c r="AV52" i="5"/>
  <c r="AW52" i="5"/>
  <c r="AX52" i="5"/>
  <c r="AY52" i="5"/>
  <c r="AZ52" i="5"/>
  <c r="BB52" i="5"/>
  <c r="BC52" i="5"/>
  <c r="BD52" i="5"/>
  <c r="BE52" i="5"/>
  <c r="BF52" i="5"/>
  <c r="BG52" i="5"/>
  <c r="BH52" i="5"/>
  <c r="BI52" i="5"/>
  <c r="AH52" i="5"/>
  <c r="AJ51" i="5"/>
  <c r="AK51" i="5"/>
  <c r="AM51" i="5"/>
  <c r="AN51" i="5"/>
  <c r="AO51" i="5"/>
  <c r="AP51" i="5"/>
  <c r="AQ51" i="5"/>
  <c r="AR51" i="5"/>
  <c r="AS51" i="5"/>
  <c r="AT51" i="5"/>
  <c r="AU51" i="5"/>
  <c r="AV51" i="5"/>
  <c r="AW51" i="5"/>
  <c r="AX51" i="5"/>
  <c r="AY51" i="5"/>
  <c r="AZ51" i="5"/>
  <c r="BB51" i="5"/>
  <c r="BC51" i="5"/>
  <c r="BD51" i="5"/>
  <c r="BE51" i="5"/>
  <c r="BF51" i="5"/>
  <c r="BG51" i="5"/>
  <c r="BH51" i="5"/>
  <c r="BI51" i="5"/>
  <c r="AH51" i="5"/>
  <c r="AJ50" i="5"/>
  <c r="AK50" i="5"/>
  <c r="AM50" i="5"/>
  <c r="AN50" i="5"/>
  <c r="AO50" i="5"/>
  <c r="AP50" i="5"/>
  <c r="AQ50" i="5"/>
  <c r="AR50" i="5"/>
  <c r="AS50" i="5"/>
  <c r="AT50" i="5"/>
  <c r="AU50" i="5"/>
  <c r="AV50" i="5"/>
  <c r="AW50" i="5"/>
  <c r="AX50" i="5"/>
  <c r="AY50" i="5"/>
  <c r="AZ50" i="5"/>
  <c r="BB50" i="5"/>
  <c r="BC50" i="5"/>
  <c r="BD50" i="5"/>
  <c r="BE50" i="5"/>
  <c r="BF50" i="5"/>
  <c r="BG50" i="5"/>
  <c r="BH50" i="5"/>
  <c r="BI50" i="5"/>
  <c r="AH50" i="5"/>
  <c r="AJ49" i="5"/>
  <c r="AK49" i="5"/>
  <c r="AM49" i="5"/>
  <c r="AN49" i="5"/>
  <c r="AO49" i="5"/>
  <c r="AP49" i="5"/>
  <c r="AQ49" i="5"/>
  <c r="AR49" i="5"/>
  <c r="AS49" i="5"/>
  <c r="AT49" i="5"/>
  <c r="AU49" i="5"/>
  <c r="AV49" i="5"/>
  <c r="AW49" i="5"/>
  <c r="AX49" i="5"/>
  <c r="AY49" i="5"/>
  <c r="AZ49" i="5"/>
  <c r="BB49" i="5"/>
  <c r="BC49" i="5"/>
  <c r="BD49" i="5"/>
  <c r="BE49" i="5"/>
  <c r="BF49" i="5"/>
  <c r="BG49" i="5"/>
  <c r="BH49" i="5"/>
  <c r="BI49" i="5"/>
  <c r="AH49" i="5"/>
  <c r="AJ48" i="5"/>
  <c r="AK48" i="5"/>
  <c r="AM48" i="5"/>
  <c r="AN48" i="5"/>
  <c r="AO48" i="5"/>
  <c r="AP48" i="5"/>
  <c r="AQ48" i="5"/>
  <c r="AR48" i="5"/>
  <c r="AS48" i="5"/>
  <c r="AT48" i="5"/>
  <c r="AU48" i="5"/>
  <c r="AV48" i="5"/>
  <c r="AW48" i="5"/>
  <c r="AX48" i="5"/>
  <c r="AY48" i="5"/>
  <c r="AZ48" i="5"/>
  <c r="BB48" i="5"/>
  <c r="BC48" i="5"/>
  <c r="BD48" i="5"/>
  <c r="BE48" i="5"/>
  <c r="BF48" i="5"/>
  <c r="BG48" i="5"/>
  <c r="BH48" i="5"/>
  <c r="BI48" i="5"/>
  <c r="AH48" i="5"/>
  <c r="AJ47" i="5"/>
  <c r="AK47" i="5"/>
  <c r="AM47" i="5"/>
  <c r="AN47" i="5"/>
  <c r="AO47" i="5"/>
  <c r="AP47" i="5"/>
  <c r="AQ47" i="5"/>
  <c r="AR47" i="5"/>
  <c r="AS47" i="5"/>
  <c r="AT47" i="5"/>
  <c r="AU47" i="5"/>
  <c r="AV47" i="5"/>
  <c r="AW47" i="5"/>
  <c r="AX47" i="5"/>
  <c r="AY47" i="5"/>
  <c r="AZ47" i="5"/>
  <c r="BB47" i="5"/>
  <c r="BC47" i="5"/>
  <c r="BD47" i="5"/>
  <c r="BE47" i="5"/>
  <c r="BF47" i="5"/>
  <c r="BG47" i="5"/>
  <c r="BH47" i="5"/>
  <c r="BI47" i="5"/>
  <c r="AH47" i="5"/>
  <c r="R98" i="14"/>
  <c r="AK33" i="21"/>
  <c r="AK32" i="21"/>
  <c r="AJ32" i="21"/>
  <c r="AI32" i="21"/>
  <c r="AF32" i="21"/>
  <c r="AE32" i="21"/>
  <c r="AD32" i="21"/>
  <c r="AB32" i="21"/>
  <c r="Y32" i="21"/>
  <c r="W32" i="21"/>
  <c r="V32" i="21"/>
  <c r="U32" i="21"/>
  <c r="P32" i="21"/>
  <c r="O32" i="21"/>
  <c r="K32" i="21"/>
  <c r="J32" i="21"/>
  <c r="L28" i="21"/>
  <c r="K28" i="21"/>
  <c r="J28" i="21"/>
  <c r="I28" i="21"/>
  <c r="L29" i="21"/>
  <c r="K29" i="21"/>
  <c r="J29" i="21"/>
  <c r="I29" i="21"/>
  <c r="G14" i="20"/>
  <c r="G15" i="20"/>
  <c r="G13" i="20"/>
  <c r="AE78" i="5"/>
  <c r="Y78" i="5"/>
  <c r="T78" i="5"/>
  <c r="Z28" i="22" s="1"/>
  <c r="P78" i="5"/>
  <c r="E78" i="5"/>
  <c r="F78" i="5"/>
  <c r="G78" i="5"/>
  <c r="M28" i="22" s="1"/>
  <c r="I78" i="5"/>
  <c r="O28" i="22" s="1"/>
  <c r="J78" i="5"/>
  <c r="P28" i="22" s="1"/>
  <c r="K78" i="5"/>
  <c r="L78" i="5"/>
  <c r="M78" i="5"/>
  <c r="S28" i="22" s="1"/>
  <c r="N78" i="5"/>
  <c r="O78" i="5"/>
  <c r="U28" i="22" s="1"/>
  <c r="Q78" i="5"/>
  <c r="W28" i="22" s="1"/>
  <c r="R78" i="5"/>
  <c r="S78" i="5"/>
  <c r="Y28" i="22" s="1"/>
  <c r="U78" i="5"/>
  <c r="V78" i="5"/>
  <c r="AB28" i="22" s="1"/>
  <c r="X78" i="5"/>
  <c r="AD28" i="22" s="1"/>
  <c r="Z78" i="5"/>
  <c r="AF28" i="22" s="1"/>
  <c r="AA78" i="5"/>
  <c r="AB78" i="5"/>
  <c r="AH28" i="22" s="1"/>
  <c r="AC78" i="5"/>
  <c r="AI28" i="22" s="1"/>
  <c r="AD78" i="5"/>
  <c r="AJ28" i="22" s="1"/>
  <c r="D78" i="5"/>
  <c r="D46" i="14"/>
  <c r="C46" i="14"/>
  <c r="H99" i="8"/>
  <c r="F99" i="8"/>
  <c r="N99" i="8"/>
  <c r="M99" i="8"/>
  <c r="L99" i="8"/>
  <c r="K99" i="8"/>
  <c r="J99" i="8"/>
  <c r="I99" i="8"/>
  <c r="G99" i="8"/>
  <c r="E99" i="8"/>
  <c r="C99" i="8"/>
  <c r="AF20" i="7"/>
  <c r="AF48" i="7"/>
  <c r="AC47" i="7"/>
  <c r="G64" i="7" a="1"/>
  <c r="G64" i="7" s="1"/>
  <c r="G62" i="7" a="1"/>
  <c r="G62" i="7" s="1"/>
  <c r="G451" i="16"/>
  <c r="F451" i="16"/>
  <c r="E451" i="16"/>
  <c r="D451" i="16"/>
  <c r="C451" i="16"/>
  <c r="C442" i="16"/>
  <c r="E49" i="9"/>
  <c r="D49" i="9"/>
  <c r="J69" i="14"/>
  <c r="J68" i="14"/>
  <c r="J67" i="14"/>
  <c r="J66" i="14"/>
  <c r="J65" i="14"/>
  <c r="J64" i="14"/>
  <c r="J63" i="14"/>
  <c r="J62" i="14"/>
  <c r="J61" i="14"/>
  <c r="J60" i="14"/>
  <c r="J59" i="14"/>
  <c r="J58" i="14"/>
  <c r="G69" i="14"/>
  <c r="G68" i="14"/>
  <c r="G67" i="14"/>
  <c r="G66" i="14"/>
  <c r="G65" i="14"/>
  <c r="G64" i="14"/>
  <c r="G63" i="14"/>
  <c r="G62" i="14"/>
  <c r="G61" i="14"/>
  <c r="G60" i="14"/>
  <c r="G59" i="14"/>
  <c r="G58" i="14"/>
  <c r="I58" i="14" s="1"/>
  <c r="F180" i="17"/>
  <c r="F181" i="17"/>
  <c r="F182" i="17"/>
  <c r="F183" i="17"/>
  <c r="F184" i="17"/>
  <c r="F185" i="17"/>
  <c r="F186" i="17"/>
  <c r="F187" i="17"/>
  <c r="F188" i="17"/>
  <c r="F179" i="17"/>
  <c r="F453" i="16"/>
  <c r="F452" i="16"/>
  <c r="F450" i="16"/>
  <c r="F449" i="16"/>
  <c r="F448" i="16"/>
  <c r="F447" i="16"/>
  <c r="F446" i="16"/>
  <c r="F445" i="16"/>
  <c r="F444" i="16"/>
  <c r="F443" i="16"/>
  <c r="F442" i="16"/>
  <c r="D188" i="17"/>
  <c r="E188" i="17"/>
  <c r="G188" i="17"/>
  <c r="H188" i="17"/>
  <c r="C188" i="17"/>
  <c r="D187" i="17"/>
  <c r="E187" i="17"/>
  <c r="G187" i="17"/>
  <c r="H187" i="17"/>
  <c r="C187" i="17"/>
  <c r="D186" i="17"/>
  <c r="E186" i="17"/>
  <c r="G186" i="17"/>
  <c r="H186" i="17"/>
  <c r="C186" i="17"/>
  <c r="D185" i="17"/>
  <c r="E185" i="17"/>
  <c r="G185" i="17"/>
  <c r="H185" i="17"/>
  <c r="C185" i="17"/>
  <c r="D184" i="17"/>
  <c r="E184" i="17"/>
  <c r="G184" i="17"/>
  <c r="H184" i="17"/>
  <c r="C184" i="17"/>
  <c r="D183" i="17"/>
  <c r="E183" i="17"/>
  <c r="G183" i="17"/>
  <c r="H183" i="17"/>
  <c r="C183" i="17"/>
  <c r="D182" i="17"/>
  <c r="E182" i="17"/>
  <c r="G182" i="17"/>
  <c r="H182" i="17"/>
  <c r="C182" i="17"/>
  <c r="D181" i="17"/>
  <c r="E181" i="17"/>
  <c r="G181" i="17"/>
  <c r="H181" i="17"/>
  <c r="C181" i="17"/>
  <c r="D180" i="17"/>
  <c r="E180" i="17"/>
  <c r="G180" i="17"/>
  <c r="H180" i="17"/>
  <c r="C180" i="17"/>
  <c r="C179" i="17"/>
  <c r="D179" i="17"/>
  <c r="E179" i="17"/>
  <c r="G179" i="17"/>
  <c r="H179" i="17"/>
  <c r="I24" i="16"/>
  <c r="J24" i="16" s="1"/>
  <c r="I22" i="16"/>
  <c r="J22" i="16" s="1"/>
  <c r="C23" i="16"/>
  <c r="D23" i="16" s="1"/>
  <c r="D245" i="16"/>
  <c r="E245" i="16"/>
  <c r="F245" i="16"/>
  <c r="G245" i="16"/>
  <c r="H245" i="16"/>
  <c r="I245" i="16"/>
  <c r="J245" i="16"/>
  <c r="K245" i="16"/>
  <c r="L245" i="16"/>
  <c r="M245" i="16"/>
  <c r="N245" i="16"/>
  <c r="O245" i="16"/>
  <c r="C245" i="16"/>
  <c r="C203" i="16"/>
  <c r="D203" i="16"/>
  <c r="E203" i="16"/>
  <c r="F203" i="16"/>
  <c r="G203" i="16"/>
  <c r="H203" i="16"/>
  <c r="I203" i="16"/>
  <c r="J203" i="16"/>
  <c r="K203" i="16"/>
  <c r="L203" i="16"/>
  <c r="M203" i="16"/>
  <c r="N203" i="16"/>
  <c r="O203" i="16"/>
  <c r="BB56" i="6"/>
  <c r="G453" i="16"/>
  <c r="G452" i="16"/>
  <c r="G450" i="16"/>
  <c r="G449" i="16"/>
  <c r="G448" i="16"/>
  <c r="G447" i="16"/>
  <c r="G446" i="16"/>
  <c r="G445" i="16"/>
  <c r="G444" i="16"/>
  <c r="G443" i="16"/>
  <c r="G442" i="16"/>
  <c r="E453" i="16"/>
  <c r="E452" i="16"/>
  <c r="E450" i="16"/>
  <c r="E449" i="16"/>
  <c r="E448" i="16"/>
  <c r="E447" i="16"/>
  <c r="E446" i="16"/>
  <c r="E445" i="16"/>
  <c r="E444" i="16"/>
  <c r="E443" i="16"/>
  <c r="E442" i="16"/>
  <c r="D453" i="16"/>
  <c r="D452" i="16"/>
  <c r="D450" i="16"/>
  <c r="D449" i="16"/>
  <c r="D448" i="16"/>
  <c r="D447" i="16"/>
  <c r="D446" i="16"/>
  <c r="D445" i="16"/>
  <c r="D444" i="16"/>
  <c r="D443" i="16"/>
  <c r="D442" i="16"/>
  <c r="C453" i="16"/>
  <c r="C452" i="16"/>
  <c r="C450" i="16"/>
  <c r="C449" i="16"/>
  <c r="C448" i="16"/>
  <c r="C447" i="16"/>
  <c r="C446" i="16"/>
  <c r="C445" i="16"/>
  <c r="C444" i="16"/>
  <c r="C443" i="16"/>
  <c r="C426" i="16"/>
  <c r="C312" i="16"/>
  <c r="K49" i="9"/>
  <c r="G49" i="9"/>
  <c r="F103" i="9" s="1"/>
  <c r="F49" i="9"/>
  <c r="AV92" i="6"/>
  <c r="AS98" i="6"/>
  <c r="W76" i="16"/>
  <c r="N72" i="16"/>
  <c r="F67" i="16"/>
  <c r="G67" i="16"/>
  <c r="H67" i="16"/>
  <c r="I67" i="16"/>
  <c r="J67" i="16"/>
  <c r="K67" i="16"/>
  <c r="L67" i="16"/>
  <c r="M67" i="16"/>
  <c r="N67" i="16"/>
  <c r="O67" i="16"/>
  <c r="P67" i="16"/>
  <c r="Q67" i="16"/>
  <c r="R67" i="16"/>
  <c r="S67" i="16"/>
  <c r="T67" i="16"/>
  <c r="U67" i="16"/>
  <c r="V67" i="16"/>
  <c r="W67" i="16"/>
  <c r="X67" i="16"/>
  <c r="Y67" i="16"/>
  <c r="Z67" i="16"/>
  <c r="AA67" i="16"/>
  <c r="AB67" i="16"/>
  <c r="AC67" i="16"/>
  <c r="AD67" i="16"/>
  <c r="AE67" i="16"/>
  <c r="AF67" i="16"/>
  <c r="AG67" i="16"/>
  <c r="AH67" i="16"/>
  <c r="AI67" i="16"/>
  <c r="AJ67" i="16"/>
  <c r="AK67" i="16"/>
  <c r="AL67" i="16"/>
  <c r="AM67" i="16"/>
  <c r="AN67" i="16"/>
  <c r="F68" i="16"/>
  <c r="G68" i="16"/>
  <c r="H68" i="16"/>
  <c r="I68" i="16"/>
  <c r="J68" i="16"/>
  <c r="K68" i="16"/>
  <c r="L68" i="16"/>
  <c r="M68" i="16"/>
  <c r="N68" i="16"/>
  <c r="O68" i="16"/>
  <c r="P68" i="16"/>
  <c r="Q68" i="16"/>
  <c r="R68" i="16"/>
  <c r="S68" i="16"/>
  <c r="T68" i="16"/>
  <c r="U68" i="16"/>
  <c r="V68" i="16"/>
  <c r="W68" i="16"/>
  <c r="X68" i="16"/>
  <c r="Y68" i="16"/>
  <c r="Z68" i="16"/>
  <c r="AA68" i="16"/>
  <c r="AB68" i="16"/>
  <c r="AC68" i="16"/>
  <c r="AD68" i="16"/>
  <c r="AE68" i="16"/>
  <c r="AF68" i="16"/>
  <c r="AG68" i="16"/>
  <c r="AH68" i="16"/>
  <c r="AI68" i="16"/>
  <c r="AJ68" i="16"/>
  <c r="AK68" i="16"/>
  <c r="AL68" i="16"/>
  <c r="AM68" i="16"/>
  <c r="AN68" i="16"/>
  <c r="AO68" i="16"/>
  <c r="F69" i="16"/>
  <c r="G69" i="16"/>
  <c r="H69" i="16"/>
  <c r="I69" i="16"/>
  <c r="J69" i="16"/>
  <c r="K69" i="16"/>
  <c r="L69" i="16"/>
  <c r="M69" i="16"/>
  <c r="N69" i="16"/>
  <c r="O69" i="16"/>
  <c r="P69" i="16"/>
  <c r="Q69" i="16"/>
  <c r="R69" i="16"/>
  <c r="S69" i="16"/>
  <c r="T69" i="16"/>
  <c r="U69" i="16"/>
  <c r="V69" i="16"/>
  <c r="W69" i="16"/>
  <c r="X69" i="16"/>
  <c r="Y69" i="16"/>
  <c r="Z69" i="16"/>
  <c r="AA69" i="16"/>
  <c r="AB69" i="16"/>
  <c r="AC69" i="16"/>
  <c r="AD69" i="16"/>
  <c r="AE69" i="16"/>
  <c r="AF69" i="16"/>
  <c r="AG69" i="16"/>
  <c r="AH69" i="16"/>
  <c r="AI69" i="16"/>
  <c r="AJ69" i="16"/>
  <c r="AK69" i="16"/>
  <c r="AL69" i="16"/>
  <c r="AM69" i="16"/>
  <c r="AN69" i="16"/>
  <c r="AO69" i="16"/>
  <c r="F70" i="16"/>
  <c r="G70" i="16"/>
  <c r="H70" i="16"/>
  <c r="I70" i="16"/>
  <c r="J70" i="16"/>
  <c r="K70" i="16"/>
  <c r="L70" i="16"/>
  <c r="M70" i="16"/>
  <c r="N70" i="16"/>
  <c r="O70" i="16"/>
  <c r="P70" i="16"/>
  <c r="Q70" i="16"/>
  <c r="R70" i="16"/>
  <c r="S70" i="16"/>
  <c r="T70" i="16"/>
  <c r="U70" i="16"/>
  <c r="V70" i="16"/>
  <c r="W70" i="16"/>
  <c r="X70" i="16"/>
  <c r="Y70" i="16"/>
  <c r="Z70" i="16"/>
  <c r="AA70" i="16"/>
  <c r="AB70" i="16"/>
  <c r="AC70" i="16"/>
  <c r="AD70" i="16"/>
  <c r="AE70" i="16"/>
  <c r="AF70" i="16"/>
  <c r="AG70" i="16"/>
  <c r="AH70" i="16"/>
  <c r="AI70" i="16"/>
  <c r="AJ70" i="16"/>
  <c r="AK70" i="16"/>
  <c r="AL70" i="16"/>
  <c r="AM70" i="16"/>
  <c r="AN70" i="16"/>
  <c r="AO70" i="16"/>
  <c r="F71" i="16"/>
  <c r="G71" i="16"/>
  <c r="H71" i="16"/>
  <c r="I71" i="16"/>
  <c r="J71" i="16"/>
  <c r="K71" i="16"/>
  <c r="L71" i="16"/>
  <c r="M71" i="16"/>
  <c r="N71" i="16"/>
  <c r="O71" i="16"/>
  <c r="P71" i="16"/>
  <c r="Q71" i="16"/>
  <c r="R71" i="16"/>
  <c r="S71" i="16"/>
  <c r="T71" i="16"/>
  <c r="U71" i="16"/>
  <c r="V71" i="16"/>
  <c r="W71" i="16"/>
  <c r="X71" i="16"/>
  <c r="Y71" i="16"/>
  <c r="Z71" i="16"/>
  <c r="AA71" i="16"/>
  <c r="AB71" i="16"/>
  <c r="AC71" i="16"/>
  <c r="AD71" i="16"/>
  <c r="AE71" i="16"/>
  <c r="AF71" i="16"/>
  <c r="AG71" i="16"/>
  <c r="AH71" i="16"/>
  <c r="AI71" i="16"/>
  <c r="AJ71" i="16"/>
  <c r="AK71" i="16"/>
  <c r="AL71" i="16"/>
  <c r="AM71" i="16"/>
  <c r="AN71" i="16"/>
  <c r="AO71" i="16"/>
  <c r="F72" i="16"/>
  <c r="G72" i="16"/>
  <c r="H72" i="16"/>
  <c r="I72" i="16"/>
  <c r="J72" i="16"/>
  <c r="K72" i="16"/>
  <c r="L72" i="16"/>
  <c r="M72" i="16"/>
  <c r="O72" i="16"/>
  <c r="P72" i="16"/>
  <c r="Q72" i="16"/>
  <c r="R72" i="16"/>
  <c r="S72" i="16"/>
  <c r="T72" i="16"/>
  <c r="U72" i="16"/>
  <c r="V72" i="16"/>
  <c r="W72" i="16"/>
  <c r="X72" i="16"/>
  <c r="Y72" i="16"/>
  <c r="Z72" i="16"/>
  <c r="AA72" i="16"/>
  <c r="AB72" i="16"/>
  <c r="AC72" i="16"/>
  <c r="AD72" i="16"/>
  <c r="AE72" i="16"/>
  <c r="AF72" i="16"/>
  <c r="AG72" i="16"/>
  <c r="AH72" i="16"/>
  <c r="AI72" i="16"/>
  <c r="AJ72" i="16"/>
  <c r="AK72" i="16"/>
  <c r="AL72" i="16"/>
  <c r="AM72" i="16"/>
  <c r="AN72" i="16"/>
  <c r="AO72" i="16"/>
  <c r="F73" i="16"/>
  <c r="G73" i="16"/>
  <c r="H73" i="16"/>
  <c r="I73" i="16"/>
  <c r="J73" i="16"/>
  <c r="K73" i="16"/>
  <c r="L73" i="16"/>
  <c r="M73" i="16"/>
  <c r="N73" i="16"/>
  <c r="O73" i="16"/>
  <c r="P73" i="16"/>
  <c r="Q73" i="16"/>
  <c r="R73" i="16"/>
  <c r="S73" i="16"/>
  <c r="T73" i="16"/>
  <c r="U73" i="16"/>
  <c r="V73" i="16"/>
  <c r="W73" i="16"/>
  <c r="X73" i="16"/>
  <c r="Y73" i="16"/>
  <c r="Z73" i="16"/>
  <c r="AA73" i="16"/>
  <c r="AB73" i="16"/>
  <c r="AC73" i="16"/>
  <c r="AD73" i="16"/>
  <c r="AE73" i="16"/>
  <c r="AF73" i="16"/>
  <c r="AG73" i="16"/>
  <c r="AH73" i="16"/>
  <c r="AI73" i="16"/>
  <c r="AJ73" i="16"/>
  <c r="AK73" i="16"/>
  <c r="AL73" i="16"/>
  <c r="AM73" i="16"/>
  <c r="AN73" i="16"/>
  <c r="AO73" i="16"/>
  <c r="F74" i="16"/>
  <c r="G74" i="16"/>
  <c r="H74" i="16"/>
  <c r="I74" i="16"/>
  <c r="J74" i="16"/>
  <c r="K74" i="16"/>
  <c r="L74" i="16"/>
  <c r="M74" i="16"/>
  <c r="N74" i="16"/>
  <c r="O74" i="16"/>
  <c r="P74" i="16"/>
  <c r="Q74" i="16"/>
  <c r="R74" i="16"/>
  <c r="S74" i="16"/>
  <c r="T74" i="16"/>
  <c r="U74" i="16"/>
  <c r="V74" i="16"/>
  <c r="W74" i="16"/>
  <c r="X74" i="16"/>
  <c r="Y74" i="16"/>
  <c r="Z74" i="16"/>
  <c r="AA74" i="16"/>
  <c r="AB74" i="16"/>
  <c r="AC74" i="16"/>
  <c r="AD74" i="16"/>
  <c r="AE74" i="16"/>
  <c r="AF74" i="16"/>
  <c r="AG74" i="16"/>
  <c r="AH74" i="16"/>
  <c r="AI74" i="16"/>
  <c r="AJ74" i="16"/>
  <c r="AK74" i="16"/>
  <c r="AL74" i="16"/>
  <c r="AM74" i="16"/>
  <c r="AN74" i="16"/>
  <c r="AO74" i="16"/>
  <c r="F75" i="16"/>
  <c r="G75" i="16"/>
  <c r="H75" i="16"/>
  <c r="I75" i="16"/>
  <c r="J75" i="16"/>
  <c r="K75" i="16"/>
  <c r="L75" i="16"/>
  <c r="M75" i="16"/>
  <c r="N75" i="16"/>
  <c r="O75" i="16"/>
  <c r="P75" i="16"/>
  <c r="Q75" i="16"/>
  <c r="R75" i="16"/>
  <c r="S75" i="16"/>
  <c r="T75" i="16"/>
  <c r="U75" i="16"/>
  <c r="V75" i="16"/>
  <c r="W75" i="16"/>
  <c r="X75" i="16"/>
  <c r="Y75" i="16"/>
  <c r="Z75" i="16"/>
  <c r="AA75" i="16"/>
  <c r="AB75" i="16"/>
  <c r="AC75" i="16"/>
  <c r="AD75" i="16"/>
  <c r="AE75" i="16"/>
  <c r="AF75" i="16"/>
  <c r="AG75" i="16"/>
  <c r="AH75" i="16"/>
  <c r="AI75" i="16"/>
  <c r="AJ75" i="16"/>
  <c r="AK75" i="16"/>
  <c r="AL75" i="16"/>
  <c r="AM75" i="16"/>
  <c r="AN75" i="16"/>
  <c r="AO75" i="16"/>
  <c r="F76" i="16"/>
  <c r="G76" i="16"/>
  <c r="H76" i="16"/>
  <c r="I76" i="16"/>
  <c r="J76" i="16"/>
  <c r="K76" i="16"/>
  <c r="L76" i="16"/>
  <c r="M76" i="16"/>
  <c r="N76" i="16"/>
  <c r="O76" i="16"/>
  <c r="P76" i="16"/>
  <c r="Q76" i="16"/>
  <c r="R76" i="16"/>
  <c r="S76" i="16"/>
  <c r="T76" i="16"/>
  <c r="U76" i="16"/>
  <c r="V76" i="16"/>
  <c r="X76" i="16"/>
  <c r="Y76" i="16"/>
  <c r="Z76" i="16"/>
  <c r="AA76" i="16"/>
  <c r="AB76" i="16"/>
  <c r="AC76" i="16"/>
  <c r="AD76" i="16"/>
  <c r="AE76" i="16"/>
  <c r="AF76" i="16"/>
  <c r="AG76" i="16"/>
  <c r="AH76" i="16"/>
  <c r="AI76" i="16"/>
  <c r="AJ76" i="16"/>
  <c r="AK76" i="16"/>
  <c r="AL76" i="16"/>
  <c r="AM76" i="16"/>
  <c r="AN76" i="16"/>
  <c r="AO76" i="16"/>
  <c r="F77" i="16"/>
  <c r="G77" i="16"/>
  <c r="H77" i="16"/>
  <c r="I77" i="16"/>
  <c r="J77" i="16"/>
  <c r="K77" i="16"/>
  <c r="L77" i="16"/>
  <c r="M77" i="16"/>
  <c r="N77" i="16"/>
  <c r="O77" i="16"/>
  <c r="P77" i="16"/>
  <c r="Q77" i="16"/>
  <c r="R77" i="16"/>
  <c r="S77" i="16"/>
  <c r="T77" i="16"/>
  <c r="U77" i="16"/>
  <c r="V77" i="16"/>
  <c r="W77" i="16"/>
  <c r="X77" i="16"/>
  <c r="Y77" i="16"/>
  <c r="Z77" i="16"/>
  <c r="AA77" i="16"/>
  <c r="AB77" i="16"/>
  <c r="AC77" i="16"/>
  <c r="AD77" i="16"/>
  <c r="AE77" i="16"/>
  <c r="AF77" i="16"/>
  <c r="AG77" i="16"/>
  <c r="AH77" i="16"/>
  <c r="AI77" i="16"/>
  <c r="AJ77" i="16"/>
  <c r="AK77" i="16"/>
  <c r="AL77" i="16"/>
  <c r="AM77" i="16"/>
  <c r="AN77" i="16"/>
  <c r="AO77" i="16"/>
  <c r="F78" i="16"/>
  <c r="G78" i="16"/>
  <c r="H78" i="16"/>
  <c r="I78" i="16"/>
  <c r="J78" i="16"/>
  <c r="K78" i="16"/>
  <c r="L78" i="16"/>
  <c r="M78" i="16"/>
  <c r="N78" i="16"/>
  <c r="O78" i="16"/>
  <c r="P78" i="16"/>
  <c r="Q78" i="16"/>
  <c r="R78" i="16"/>
  <c r="S78" i="16"/>
  <c r="T78" i="16"/>
  <c r="U78" i="16"/>
  <c r="V78" i="16"/>
  <c r="W78" i="16"/>
  <c r="X78" i="16"/>
  <c r="Y78" i="16"/>
  <c r="Z78" i="16"/>
  <c r="AA78" i="16"/>
  <c r="AB78" i="16"/>
  <c r="AC78" i="16"/>
  <c r="AD78" i="16"/>
  <c r="AE78" i="16"/>
  <c r="AF78" i="16"/>
  <c r="AG78" i="16"/>
  <c r="AH78" i="16"/>
  <c r="AI78" i="16"/>
  <c r="AJ78" i="16"/>
  <c r="AK78" i="16"/>
  <c r="AL78" i="16"/>
  <c r="AM78" i="16"/>
  <c r="AN78" i="16"/>
  <c r="AO78" i="16"/>
  <c r="F79" i="16"/>
  <c r="G79" i="16"/>
  <c r="H79" i="16"/>
  <c r="I79" i="16"/>
  <c r="J79" i="16"/>
  <c r="K79" i="16"/>
  <c r="L79" i="16"/>
  <c r="M79" i="16"/>
  <c r="N79" i="16"/>
  <c r="O79" i="16"/>
  <c r="P79" i="16"/>
  <c r="Q79" i="16"/>
  <c r="R79" i="16"/>
  <c r="S79" i="16"/>
  <c r="T79" i="16"/>
  <c r="U79" i="16"/>
  <c r="V79" i="16"/>
  <c r="W79" i="16"/>
  <c r="X79" i="16"/>
  <c r="Y79" i="16"/>
  <c r="Z79" i="16"/>
  <c r="AA79" i="16"/>
  <c r="AB79" i="16"/>
  <c r="AC79" i="16"/>
  <c r="AD79" i="16"/>
  <c r="AE79" i="16"/>
  <c r="AF79" i="16"/>
  <c r="AG79" i="16"/>
  <c r="AH79" i="16"/>
  <c r="AI79" i="16"/>
  <c r="AJ79" i="16"/>
  <c r="AK79" i="16"/>
  <c r="AL79" i="16"/>
  <c r="AM79" i="16"/>
  <c r="AN79" i="16"/>
  <c r="AO79" i="16"/>
  <c r="N244" i="16"/>
  <c r="M244" i="16"/>
  <c r="L244" i="16"/>
  <c r="K244" i="16"/>
  <c r="J244" i="16"/>
  <c r="I244" i="16"/>
  <c r="H244" i="16"/>
  <c r="G244" i="16"/>
  <c r="F244" i="16"/>
  <c r="E244" i="16"/>
  <c r="D244" i="16"/>
  <c r="C244" i="16"/>
  <c r="N243" i="16"/>
  <c r="M243" i="16"/>
  <c r="L243" i="16"/>
  <c r="K243" i="16"/>
  <c r="J243" i="16"/>
  <c r="I243" i="16"/>
  <c r="H243" i="16"/>
  <c r="G243" i="16"/>
  <c r="F243" i="16"/>
  <c r="E243" i="16"/>
  <c r="D243" i="16"/>
  <c r="C243" i="16"/>
  <c r="N242" i="16"/>
  <c r="M242" i="16"/>
  <c r="L242" i="16"/>
  <c r="K242" i="16"/>
  <c r="J242" i="16"/>
  <c r="I242" i="16"/>
  <c r="H242" i="16"/>
  <c r="G242" i="16"/>
  <c r="F242" i="16"/>
  <c r="E242" i="16"/>
  <c r="D242" i="16"/>
  <c r="C242" i="16"/>
  <c r="N241" i="16"/>
  <c r="M241" i="16"/>
  <c r="L241" i="16"/>
  <c r="K241" i="16"/>
  <c r="J241" i="16"/>
  <c r="I241" i="16"/>
  <c r="H241" i="16"/>
  <c r="G241" i="16"/>
  <c r="F241" i="16"/>
  <c r="E241" i="16"/>
  <c r="D241" i="16"/>
  <c r="C241" i="16"/>
  <c r="N240" i="16"/>
  <c r="M240" i="16"/>
  <c r="L240" i="16"/>
  <c r="K240" i="16"/>
  <c r="J240" i="16"/>
  <c r="I240" i="16"/>
  <c r="H240" i="16"/>
  <c r="G240" i="16"/>
  <c r="F240" i="16"/>
  <c r="E240" i="16"/>
  <c r="D240" i="16"/>
  <c r="C240" i="16"/>
  <c r="N239" i="16"/>
  <c r="M239" i="16"/>
  <c r="L239" i="16"/>
  <c r="K239" i="16"/>
  <c r="J239" i="16"/>
  <c r="I239" i="16"/>
  <c r="H239" i="16"/>
  <c r="G239" i="16"/>
  <c r="F239" i="16"/>
  <c r="E239" i="16"/>
  <c r="D239" i="16"/>
  <c r="C239" i="16"/>
  <c r="N238" i="16"/>
  <c r="M238" i="16"/>
  <c r="L238" i="16"/>
  <c r="K238" i="16"/>
  <c r="J238" i="16"/>
  <c r="I238" i="16"/>
  <c r="H238" i="16"/>
  <c r="G238" i="16"/>
  <c r="F238" i="16"/>
  <c r="E238" i="16"/>
  <c r="D238" i="16"/>
  <c r="C238" i="16"/>
  <c r="N237" i="16"/>
  <c r="M237" i="16"/>
  <c r="L237" i="16"/>
  <c r="K237" i="16"/>
  <c r="J237" i="16"/>
  <c r="I237" i="16"/>
  <c r="H237" i="16"/>
  <c r="G237" i="16"/>
  <c r="F237" i="16"/>
  <c r="E237" i="16"/>
  <c r="D237" i="16"/>
  <c r="C237" i="16"/>
  <c r="N236" i="16"/>
  <c r="M236" i="16"/>
  <c r="L236" i="16"/>
  <c r="K236" i="16"/>
  <c r="J236" i="16"/>
  <c r="I236" i="16"/>
  <c r="H236" i="16"/>
  <c r="G236" i="16"/>
  <c r="F236" i="16"/>
  <c r="E236" i="16"/>
  <c r="D236" i="16"/>
  <c r="C236" i="16"/>
  <c r="N235" i="16"/>
  <c r="M235" i="16"/>
  <c r="L235" i="16"/>
  <c r="K235" i="16"/>
  <c r="J235" i="16"/>
  <c r="I235" i="16"/>
  <c r="H235" i="16"/>
  <c r="G235" i="16"/>
  <c r="F235" i="16"/>
  <c r="E235" i="16"/>
  <c r="D235" i="16"/>
  <c r="C235" i="16"/>
  <c r="N234" i="16"/>
  <c r="M234" i="16"/>
  <c r="L234" i="16"/>
  <c r="K234" i="16"/>
  <c r="J234" i="16"/>
  <c r="I234" i="16"/>
  <c r="H234" i="16"/>
  <c r="G234" i="16"/>
  <c r="F234" i="16"/>
  <c r="E234" i="16"/>
  <c r="D234" i="16"/>
  <c r="C234" i="16"/>
  <c r="O233" i="16"/>
  <c r="N233" i="16"/>
  <c r="M233" i="16"/>
  <c r="L233" i="16"/>
  <c r="K233" i="16"/>
  <c r="J233" i="16"/>
  <c r="I233" i="16"/>
  <c r="H233" i="16"/>
  <c r="G233" i="16"/>
  <c r="F233" i="16"/>
  <c r="E233" i="16"/>
  <c r="D233" i="16"/>
  <c r="C233" i="16"/>
  <c r="N232" i="16"/>
  <c r="M232" i="16"/>
  <c r="L232" i="16"/>
  <c r="K232" i="16"/>
  <c r="J232" i="16"/>
  <c r="I232" i="16"/>
  <c r="H232" i="16"/>
  <c r="G232" i="16"/>
  <c r="F232" i="16"/>
  <c r="E232" i="16"/>
  <c r="D232" i="16"/>
  <c r="C232" i="16"/>
  <c r="N231" i="16"/>
  <c r="M231" i="16"/>
  <c r="L231" i="16"/>
  <c r="K231" i="16"/>
  <c r="J231" i="16"/>
  <c r="I231" i="16"/>
  <c r="H231" i="16"/>
  <c r="G231" i="16"/>
  <c r="F231" i="16"/>
  <c r="E231" i="16"/>
  <c r="D231" i="16"/>
  <c r="C231" i="16"/>
  <c r="N230" i="16"/>
  <c r="M230" i="16"/>
  <c r="L230" i="16"/>
  <c r="K230" i="16"/>
  <c r="J230" i="16"/>
  <c r="I230" i="16"/>
  <c r="H230" i="16"/>
  <c r="G230" i="16"/>
  <c r="F230" i="16"/>
  <c r="E230" i="16"/>
  <c r="D230" i="16"/>
  <c r="C230" i="16"/>
  <c r="N229" i="16"/>
  <c r="M229" i="16"/>
  <c r="L229" i="16"/>
  <c r="K229" i="16"/>
  <c r="J229" i="16"/>
  <c r="I229" i="16"/>
  <c r="H229" i="16"/>
  <c r="G229" i="16"/>
  <c r="F229" i="16"/>
  <c r="E229" i="16"/>
  <c r="D229" i="16"/>
  <c r="C229" i="16"/>
  <c r="N228" i="16"/>
  <c r="M228" i="16"/>
  <c r="L228" i="16"/>
  <c r="K228" i="16"/>
  <c r="J228" i="16"/>
  <c r="I228" i="16"/>
  <c r="H228" i="16"/>
  <c r="G228" i="16"/>
  <c r="F228" i="16"/>
  <c r="E228" i="16"/>
  <c r="D228" i="16"/>
  <c r="C228" i="16"/>
  <c r="N227" i="16"/>
  <c r="M227" i="16"/>
  <c r="L227" i="16"/>
  <c r="K227" i="16"/>
  <c r="J227" i="16"/>
  <c r="I227" i="16"/>
  <c r="H227" i="16"/>
  <c r="G227" i="16"/>
  <c r="F227" i="16"/>
  <c r="E227" i="16"/>
  <c r="D227" i="16"/>
  <c r="C227" i="16"/>
  <c r="O226" i="16"/>
  <c r="N226" i="16"/>
  <c r="M226" i="16"/>
  <c r="L226" i="16"/>
  <c r="K226" i="16"/>
  <c r="J226" i="16"/>
  <c r="I226" i="16"/>
  <c r="H226" i="16"/>
  <c r="G226" i="16"/>
  <c r="F226" i="16"/>
  <c r="E226" i="16"/>
  <c r="D226" i="16"/>
  <c r="C226" i="16"/>
  <c r="N225" i="16"/>
  <c r="M225" i="16"/>
  <c r="L225" i="16"/>
  <c r="K225" i="16"/>
  <c r="J225" i="16"/>
  <c r="I225" i="16"/>
  <c r="H225" i="16"/>
  <c r="G225" i="16"/>
  <c r="F225" i="16"/>
  <c r="E225" i="16"/>
  <c r="D225" i="16"/>
  <c r="C225" i="16"/>
  <c r="O224" i="16"/>
  <c r="N224" i="16"/>
  <c r="M224" i="16"/>
  <c r="L224" i="16"/>
  <c r="K224" i="16"/>
  <c r="J224" i="16"/>
  <c r="I224" i="16"/>
  <c r="H224" i="16"/>
  <c r="G224" i="16"/>
  <c r="F224" i="16"/>
  <c r="E224" i="16"/>
  <c r="D224" i="16"/>
  <c r="C224" i="16"/>
  <c r="O223" i="16"/>
  <c r="N223" i="16"/>
  <c r="M223" i="16"/>
  <c r="L223" i="16"/>
  <c r="K223" i="16"/>
  <c r="J223" i="16"/>
  <c r="I223" i="16"/>
  <c r="H223" i="16"/>
  <c r="G223" i="16"/>
  <c r="F223" i="16"/>
  <c r="E223" i="16"/>
  <c r="D223" i="16"/>
  <c r="C223" i="16"/>
  <c r="O222" i="16"/>
  <c r="N222" i="16"/>
  <c r="M222" i="16"/>
  <c r="L222" i="16"/>
  <c r="K222" i="16"/>
  <c r="J222" i="16"/>
  <c r="I222" i="16"/>
  <c r="H222" i="16"/>
  <c r="G222" i="16"/>
  <c r="F222" i="16"/>
  <c r="E222" i="16"/>
  <c r="D222" i="16"/>
  <c r="C222" i="16"/>
  <c r="O221" i="16"/>
  <c r="N221" i="16"/>
  <c r="M221" i="16"/>
  <c r="L221" i="16"/>
  <c r="K221" i="16"/>
  <c r="J221" i="16"/>
  <c r="I221" i="16"/>
  <c r="H221" i="16"/>
  <c r="G221" i="16"/>
  <c r="F221" i="16"/>
  <c r="E221" i="16"/>
  <c r="D221" i="16"/>
  <c r="C221" i="16"/>
  <c r="O220" i="16"/>
  <c r="N220" i="16"/>
  <c r="M220" i="16"/>
  <c r="L220" i="16"/>
  <c r="K220" i="16"/>
  <c r="J220" i="16"/>
  <c r="I220" i="16"/>
  <c r="H220" i="16"/>
  <c r="G220" i="16"/>
  <c r="F220" i="16"/>
  <c r="E220" i="16"/>
  <c r="D220" i="16"/>
  <c r="C220" i="16"/>
  <c r="O219" i="16"/>
  <c r="N219" i="16"/>
  <c r="M219" i="16"/>
  <c r="L219" i="16"/>
  <c r="K219" i="16"/>
  <c r="J219" i="16"/>
  <c r="I219" i="16"/>
  <c r="H219" i="16"/>
  <c r="G219" i="16"/>
  <c r="F219" i="16"/>
  <c r="E219" i="16"/>
  <c r="D219" i="16"/>
  <c r="C219" i="16"/>
  <c r="O218" i="16"/>
  <c r="N218" i="16"/>
  <c r="M218" i="16"/>
  <c r="L218" i="16"/>
  <c r="K218" i="16"/>
  <c r="J218" i="16"/>
  <c r="I218" i="16"/>
  <c r="H218" i="16"/>
  <c r="G218" i="16"/>
  <c r="F218" i="16"/>
  <c r="E218" i="16"/>
  <c r="D218" i="16"/>
  <c r="C218" i="16"/>
  <c r="O217" i="16"/>
  <c r="N217" i="16"/>
  <c r="M217" i="16"/>
  <c r="L217" i="16"/>
  <c r="K217" i="16"/>
  <c r="J217" i="16"/>
  <c r="I217" i="16"/>
  <c r="H217" i="16"/>
  <c r="G217" i="16"/>
  <c r="F217" i="16"/>
  <c r="E217" i="16"/>
  <c r="D217" i="16"/>
  <c r="C217" i="16"/>
  <c r="O216" i="16"/>
  <c r="N216" i="16"/>
  <c r="M216" i="16"/>
  <c r="L216" i="16"/>
  <c r="K216" i="16"/>
  <c r="J216" i="16"/>
  <c r="I216" i="16"/>
  <c r="H216" i="16"/>
  <c r="G216" i="16"/>
  <c r="F216" i="16"/>
  <c r="E216" i="16"/>
  <c r="D216" i="16"/>
  <c r="C216" i="16"/>
  <c r="O215" i="16"/>
  <c r="N215" i="16"/>
  <c r="M215" i="16"/>
  <c r="L215" i="16"/>
  <c r="K215" i="16"/>
  <c r="J215" i="16"/>
  <c r="I215" i="16"/>
  <c r="H215" i="16"/>
  <c r="G215" i="16"/>
  <c r="F215" i="16"/>
  <c r="E215" i="16"/>
  <c r="D215" i="16"/>
  <c r="C215" i="16"/>
  <c r="O214" i="16"/>
  <c r="N214" i="16"/>
  <c r="M214" i="16"/>
  <c r="L214" i="16"/>
  <c r="K214" i="16"/>
  <c r="J214" i="16"/>
  <c r="I214" i="16"/>
  <c r="H214" i="16"/>
  <c r="G214" i="16"/>
  <c r="F214" i="16"/>
  <c r="E214" i="16"/>
  <c r="D214" i="16"/>
  <c r="C214" i="16"/>
  <c r="O213" i="16"/>
  <c r="N213" i="16"/>
  <c r="M213" i="16"/>
  <c r="L213" i="16"/>
  <c r="K213" i="16"/>
  <c r="J213" i="16"/>
  <c r="I213" i="16"/>
  <c r="H213" i="16"/>
  <c r="G213" i="16"/>
  <c r="F213" i="16"/>
  <c r="E213" i="16"/>
  <c r="D213" i="16"/>
  <c r="C213" i="16"/>
  <c r="O212" i="16"/>
  <c r="N212" i="16"/>
  <c r="M212" i="16"/>
  <c r="L212" i="16"/>
  <c r="K212" i="16"/>
  <c r="J212" i="16"/>
  <c r="I212" i="16"/>
  <c r="H212" i="16"/>
  <c r="G212" i="16"/>
  <c r="F212" i="16"/>
  <c r="E212" i="16"/>
  <c r="D212" i="16"/>
  <c r="C212" i="16"/>
  <c r="O211" i="16"/>
  <c r="N211" i="16"/>
  <c r="M211" i="16"/>
  <c r="L211" i="16"/>
  <c r="K211" i="16"/>
  <c r="J211" i="16"/>
  <c r="I211" i="16"/>
  <c r="H211" i="16"/>
  <c r="G211" i="16"/>
  <c r="F211" i="16"/>
  <c r="E211" i="16"/>
  <c r="D211" i="16"/>
  <c r="C211" i="16"/>
  <c r="O210" i="16"/>
  <c r="N210" i="16"/>
  <c r="M210" i="16"/>
  <c r="L210" i="16"/>
  <c r="K210" i="16"/>
  <c r="J210" i="16"/>
  <c r="I210" i="16"/>
  <c r="H210" i="16"/>
  <c r="G210" i="16"/>
  <c r="F210" i="16"/>
  <c r="E210" i="16"/>
  <c r="D210" i="16"/>
  <c r="C210" i="16"/>
  <c r="O209" i="16"/>
  <c r="N209" i="16"/>
  <c r="M209" i="16"/>
  <c r="L209" i="16"/>
  <c r="K209" i="16"/>
  <c r="J209" i="16"/>
  <c r="I209" i="16"/>
  <c r="H209" i="16"/>
  <c r="G209" i="16"/>
  <c r="F209" i="16"/>
  <c r="E209" i="16"/>
  <c r="D209" i="16"/>
  <c r="C209" i="16"/>
  <c r="O191" i="16"/>
  <c r="O184" i="16"/>
  <c r="O182" i="16"/>
  <c r="O181" i="16"/>
  <c r="O180" i="16"/>
  <c r="D202" i="16"/>
  <c r="E202" i="16"/>
  <c r="F202" i="16"/>
  <c r="G202" i="16"/>
  <c r="H202" i="16"/>
  <c r="I202" i="16"/>
  <c r="J202" i="16"/>
  <c r="K202" i="16"/>
  <c r="L202" i="16"/>
  <c r="M202" i="16"/>
  <c r="N202" i="16"/>
  <c r="C202" i="16"/>
  <c r="D201" i="16"/>
  <c r="E201" i="16"/>
  <c r="F201" i="16"/>
  <c r="G201" i="16"/>
  <c r="H201" i="16"/>
  <c r="I201" i="16"/>
  <c r="J201" i="16"/>
  <c r="K201" i="16"/>
  <c r="L201" i="16"/>
  <c r="M201" i="16"/>
  <c r="N201" i="16"/>
  <c r="C201" i="16"/>
  <c r="D200" i="16"/>
  <c r="E200" i="16"/>
  <c r="F200" i="16"/>
  <c r="G200" i="16"/>
  <c r="H200" i="16"/>
  <c r="I200" i="16"/>
  <c r="J200" i="16"/>
  <c r="K200" i="16"/>
  <c r="L200" i="16"/>
  <c r="M200" i="16"/>
  <c r="N200" i="16"/>
  <c r="C200" i="16"/>
  <c r="D199" i="16"/>
  <c r="E199" i="16"/>
  <c r="F199" i="16"/>
  <c r="G199" i="16"/>
  <c r="H199" i="16"/>
  <c r="I199" i="16"/>
  <c r="J199" i="16"/>
  <c r="K199" i="16"/>
  <c r="L199" i="16"/>
  <c r="M199" i="16"/>
  <c r="N199" i="16"/>
  <c r="C199" i="16"/>
  <c r="D198" i="16"/>
  <c r="E198" i="16"/>
  <c r="F198" i="16"/>
  <c r="G198" i="16"/>
  <c r="H198" i="16"/>
  <c r="I198" i="16"/>
  <c r="J198" i="16"/>
  <c r="K198" i="16"/>
  <c r="L198" i="16"/>
  <c r="M198" i="16"/>
  <c r="N198" i="16"/>
  <c r="C198" i="16"/>
  <c r="D197" i="16"/>
  <c r="E197" i="16"/>
  <c r="F197" i="16"/>
  <c r="G197" i="16"/>
  <c r="H197" i="16"/>
  <c r="I197" i="16"/>
  <c r="J197" i="16"/>
  <c r="K197" i="16"/>
  <c r="L197" i="16"/>
  <c r="M197" i="16"/>
  <c r="N197" i="16"/>
  <c r="C197" i="16"/>
  <c r="D196" i="16"/>
  <c r="E196" i="16"/>
  <c r="F196" i="16"/>
  <c r="G196" i="16"/>
  <c r="H196" i="16"/>
  <c r="I196" i="16"/>
  <c r="J196" i="16"/>
  <c r="K196" i="16"/>
  <c r="L196" i="16"/>
  <c r="M196" i="16"/>
  <c r="N196" i="16"/>
  <c r="C196" i="16"/>
  <c r="D195" i="16"/>
  <c r="E195" i="16"/>
  <c r="F195" i="16"/>
  <c r="G195" i="16"/>
  <c r="H195" i="16"/>
  <c r="I195" i="16"/>
  <c r="J195" i="16"/>
  <c r="K195" i="16"/>
  <c r="L195" i="16"/>
  <c r="M195" i="16"/>
  <c r="N195" i="16"/>
  <c r="C195" i="16"/>
  <c r="D194" i="16"/>
  <c r="E194" i="16"/>
  <c r="F194" i="16"/>
  <c r="G194" i="16"/>
  <c r="H194" i="16"/>
  <c r="I194" i="16"/>
  <c r="J194" i="16"/>
  <c r="K194" i="16"/>
  <c r="L194" i="16"/>
  <c r="M194" i="16"/>
  <c r="N194" i="16"/>
  <c r="C194" i="16"/>
  <c r="D193" i="16"/>
  <c r="E193" i="16"/>
  <c r="F193" i="16"/>
  <c r="G193" i="16"/>
  <c r="H193" i="16"/>
  <c r="I193" i="16"/>
  <c r="J193" i="16"/>
  <c r="K193" i="16"/>
  <c r="L193" i="16"/>
  <c r="M193" i="16"/>
  <c r="N193" i="16"/>
  <c r="C193" i="16"/>
  <c r="D192" i="16"/>
  <c r="E192" i="16"/>
  <c r="F192" i="16"/>
  <c r="G192" i="16"/>
  <c r="H192" i="16"/>
  <c r="I192" i="16"/>
  <c r="J192" i="16"/>
  <c r="K192" i="16"/>
  <c r="L192" i="16"/>
  <c r="M192" i="16"/>
  <c r="N192" i="16"/>
  <c r="C192" i="16"/>
  <c r="D191" i="16"/>
  <c r="E191" i="16"/>
  <c r="F191" i="16"/>
  <c r="G191" i="16"/>
  <c r="H191" i="16"/>
  <c r="I191" i="16"/>
  <c r="J191" i="16"/>
  <c r="K191" i="16"/>
  <c r="L191" i="16"/>
  <c r="M191" i="16"/>
  <c r="N191" i="16"/>
  <c r="C191" i="16"/>
  <c r="D190" i="16"/>
  <c r="E190" i="16"/>
  <c r="F190" i="16"/>
  <c r="G190" i="16"/>
  <c r="H190" i="16"/>
  <c r="I190" i="16"/>
  <c r="J190" i="16"/>
  <c r="K190" i="16"/>
  <c r="L190" i="16"/>
  <c r="M190" i="16"/>
  <c r="N190" i="16"/>
  <c r="C190" i="16"/>
  <c r="D189" i="16"/>
  <c r="E189" i="16"/>
  <c r="F189" i="16"/>
  <c r="G189" i="16"/>
  <c r="H189" i="16"/>
  <c r="I189" i="16"/>
  <c r="J189" i="16"/>
  <c r="K189" i="16"/>
  <c r="L189" i="16"/>
  <c r="M189" i="16"/>
  <c r="N189" i="16"/>
  <c r="C189" i="16"/>
  <c r="D188" i="16"/>
  <c r="E188" i="16"/>
  <c r="F188" i="16"/>
  <c r="G188" i="16"/>
  <c r="H188" i="16"/>
  <c r="I188" i="16"/>
  <c r="J188" i="16"/>
  <c r="K188" i="16"/>
  <c r="L188" i="16"/>
  <c r="M188" i="16"/>
  <c r="N188" i="16"/>
  <c r="C188" i="16"/>
  <c r="D187" i="16"/>
  <c r="E187" i="16"/>
  <c r="F187" i="16"/>
  <c r="G187" i="16"/>
  <c r="H187" i="16"/>
  <c r="I187" i="16"/>
  <c r="J187" i="16"/>
  <c r="K187" i="16"/>
  <c r="L187" i="16"/>
  <c r="M187" i="16"/>
  <c r="N187" i="16"/>
  <c r="C187" i="16"/>
  <c r="D186" i="16"/>
  <c r="E186" i="16"/>
  <c r="F186" i="16"/>
  <c r="G186" i="16"/>
  <c r="H186" i="16"/>
  <c r="I186" i="16"/>
  <c r="J186" i="16"/>
  <c r="K186" i="16"/>
  <c r="L186" i="16"/>
  <c r="M186" i="16"/>
  <c r="N186" i="16"/>
  <c r="C186" i="16"/>
  <c r="D185" i="16"/>
  <c r="E185" i="16"/>
  <c r="F185" i="16"/>
  <c r="G185" i="16"/>
  <c r="H185" i="16"/>
  <c r="I185" i="16"/>
  <c r="J185" i="16"/>
  <c r="K185" i="16"/>
  <c r="L185" i="16"/>
  <c r="M185" i="16"/>
  <c r="N185" i="16"/>
  <c r="C185" i="16"/>
  <c r="D184" i="16"/>
  <c r="E184" i="16"/>
  <c r="F184" i="16"/>
  <c r="G184" i="16"/>
  <c r="H184" i="16"/>
  <c r="I184" i="16"/>
  <c r="J184" i="16"/>
  <c r="K184" i="16"/>
  <c r="L184" i="16"/>
  <c r="M184" i="16"/>
  <c r="N184" i="16"/>
  <c r="C184" i="16"/>
  <c r="D183" i="16"/>
  <c r="E183" i="16"/>
  <c r="F183" i="16"/>
  <c r="G183" i="16"/>
  <c r="H183" i="16"/>
  <c r="I183" i="16"/>
  <c r="J183" i="16"/>
  <c r="K183" i="16"/>
  <c r="L183" i="16"/>
  <c r="M183" i="16"/>
  <c r="N183" i="16"/>
  <c r="C183" i="16"/>
  <c r="D182" i="16"/>
  <c r="E182" i="16"/>
  <c r="F182" i="16"/>
  <c r="G182" i="16"/>
  <c r="H182" i="16"/>
  <c r="I182" i="16"/>
  <c r="J182" i="16"/>
  <c r="K182" i="16"/>
  <c r="L182" i="16"/>
  <c r="M182" i="16"/>
  <c r="N182" i="16"/>
  <c r="C182" i="16"/>
  <c r="D181" i="16"/>
  <c r="E181" i="16"/>
  <c r="F181" i="16"/>
  <c r="G181" i="16"/>
  <c r="H181" i="16"/>
  <c r="I181" i="16"/>
  <c r="J181" i="16"/>
  <c r="K181" i="16"/>
  <c r="L181" i="16"/>
  <c r="M181" i="16"/>
  <c r="N181" i="16"/>
  <c r="C181" i="16"/>
  <c r="D180" i="16"/>
  <c r="E180" i="16"/>
  <c r="F180" i="16"/>
  <c r="G180" i="16"/>
  <c r="H180" i="16"/>
  <c r="I180" i="16"/>
  <c r="J180" i="16"/>
  <c r="K180" i="16"/>
  <c r="L180" i="16"/>
  <c r="M180" i="16"/>
  <c r="N180" i="16"/>
  <c r="C180" i="16"/>
  <c r="D179" i="16"/>
  <c r="E179" i="16"/>
  <c r="F179" i="16"/>
  <c r="G179" i="16"/>
  <c r="H179" i="16"/>
  <c r="I179" i="16"/>
  <c r="J179" i="16"/>
  <c r="K179" i="16"/>
  <c r="L179" i="16"/>
  <c r="M179" i="16"/>
  <c r="N179" i="16"/>
  <c r="O179" i="16"/>
  <c r="C179" i="16"/>
  <c r="D178" i="16"/>
  <c r="E178" i="16"/>
  <c r="F178" i="16"/>
  <c r="G178" i="16"/>
  <c r="H178" i="16"/>
  <c r="I178" i="16"/>
  <c r="J178" i="16"/>
  <c r="K178" i="16"/>
  <c r="L178" i="16"/>
  <c r="M178" i="16"/>
  <c r="N178" i="16"/>
  <c r="O178" i="16"/>
  <c r="C178" i="16"/>
  <c r="D177" i="16"/>
  <c r="E177" i="16"/>
  <c r="F177" i="16"/>
  <c r="G177" i="16"/>
  <c r="H177" i="16"/>
  <c r="I177" i="16"/>
  <c r="J177" i="16"/>
  <c r="K177" i="16"/>
  <c r="L177" i="16"/>
  <c r="M177" i="16"/>
  <c r="N177" i="16"/>
  <c r="O177" i="16"/>
  <c r="C177" i="16"/>
  <c r="D176" i="16"/>
  <c r="E176" i="16"/>
  <c r="F176" i="16"/>
  <c r="G176" i="16"/>
  <c r="H176" i="16"/>
  <c r="I176" i="16"/>
  <c r="J176" i="16"/>
  <c r="K176" i="16"/>
  <c r="L176" i="16"/>
  <c r="M176" i="16"/>
  <c r="N176" i="16"/>
  <c r="O176" i="16"/>
  <c r="C176" i="16"/>
  <c r="D175" i="16"/>
  <c r="E175" i="16"/>
  <c r="F175" i="16"/>
  <c r="G175" i="16"/>
  <c r="H175" i="16"/>
  <c r="I175" i="16"/>
  <c r="J175" i="16"/>
  <c r="K175" i="16"/>
  <c r="L175" i="16"/>
  <c r="M175" i="16"/>
  <c r="N175" i="16"/>
  <c r="O175" i="16"/>
  <c r="C175" i="16"/>
  <c r="D174" i="16"/>
  <c r="E174" i="16"/>
  <c r="F174" i="16"/>
  <c r="G174" i="16"/>
  <c r="H174" i="16"/>
  <c r="I174" i="16"/>
  <c r="J174" i="16"/>
  <c r="K174" i="16"/>
  <c r="L174" i="16"/>
  <c r="M174" i="16"/>
  <c r="N174" i="16"/>
  <c r="O174" i="16"/>
  <c r="C174" i="16"/>
  <c r="D173" i="16"/>
  <c r="E173" i="16"/>
  <c r="F173" i="16"/>
  <c r="G173" i="16"/>
  <c r="H173" i="16"/>
  <c r="I173" i="16"/>
  <c r="J173" i="16"/>
  <c r="K173" i="16"/>
  <c r="L173" i="16"/>
  <c r="M173" i="16"/>
  <c r="N173" i="16"/>
  <c r="O173" i="16"/>
  <c r="C173" i="16"/>
  <c r="D172" i="16"/>
  <c r="E172" i="16"/>
  <c r="F172" i="16"/>
  <c r="G172" i="16"/>
  <c r="H172" i="16"/>
  <c r="I172" i="16"/>
  <c r="J172" i="16"/>
  <c r="K172" i="16"/>
  <c r="L172" i="16"/>
  <c r="M172" i="16"/>
  <c r="N172" i="16"/>
  <c r="O172" i="16"/>
  <c r="C172" i="16"/>
  <c r="D171" i="16"/>
  <c r="E171" i="16"/>
  <c r="F171" i="16"/>
  <c r="G171" i="16"/>
  <c r="H171" i="16"/>
  <c r="I171" i="16"/>
  <c r="J171" i="16"/>
  <c r="K171" i="16"/>
  <c r="L171" i="16"/>
  <c r="M171" i="16"/>
  <c r="N171" i="16"/>
  <c r="O171" i="16"/>
  <c r="C171" i="16"/>
  <c r="D170" i="16"/>
  <c r="E170" i="16"/>
  <c r="F170" i="16"/>
  <c r="G170" i="16"/>
  <c r="H170" i="16"/>
  <c r="I170" i="16"/>
  <c r="J170" i="16"/>
  <c r="K170" i="16"/>
  <c r="L170" i="16"/>
  <c r="M170" i="16"/>
  <c r="N170" i="16"/>
  <c r="O170" i="16"/>
  <c r="C170" i="16"/>
  <c r="D169" i="16"/>
  <c r="E169" i="16"/>
  <c r="F169" i="16"/>
  <c r="G169" i="16"/>
  <c r="H169" i="16"/>
  <c r="I169" i="16"/>
  <c r="J169" i="16"/>
  <c r="K169" i="16"/>
  <c r="L169" i="16"/>
  <c r="M169" i="16"/>
  <c r="N169" i="16"/>
  <c r="O169" i="16"/>
  <c r="C169" i="16"/>
  <c r="D168" i="16"/>
  <c r="E168" i="16"/>
  <c r="F168" i="16"/>
  <c r="G168" i="16"/>
  <c r="H168" i="16"/>
  <c r="I168" i="16"/>
  <c r="J168" i="16"/>
  <c r="K168" i="16"/>
  <c r="L168" i="16"/>
  <c r="M168" i="16"/>
  <c r="N168" i="16"/>
  <c r="O168" i="16"/>
  <c r="C168" i="16"/>
  <c r="D167" i="16"/>
  <c r="E167" i="16"/>
  <c r="F167" i="16"/>
  <c r="G167" i="16"/>
  <c r="H167" i="16"/>
  <c r="I167" i="16"/>
  <c r="J167" i="16"/>
  <c r="K167" i="16"/>
  <c r="L167" i="16"/>
  <c r="M167" i="16"/>
  <c r="N167" i="16"/>
  <c r="O167" i="16"/>
  <c r="C167" i="16"/>
  <c r="D161" i="16"/>
  <c r="E161" i="16"/>
  <c r="F161" i="16"/>
  <c r="G161" i="16"/>
  <c r="H161" i="16"/>
  <c r="I161" i="16"/>
  <c r="J161" i="16"/>
  <c r="K161" i="16"/>
  <c r="L161" i="16"/>
  <c r="M161" i="16"/>
  <c r="N161" i="16"/>
  <c r="O161" i="16"/>
  <c r="C161" i="16"/>
  <c r="D160" i="16"/>
  <c r="E160" i="16"/>
  <c r="F160" i="16"/>
  <c r="G160" i="16"/>
  <c r="H160" i="16"/>
  <c r="I160" i="16"/>
  <c r="J160" i="16"/>
  <c r="K160" i="16"/>
  <c r="L160" i="16"/>
  <c r="M160" i="16"/>
  <c r="N160" i="16"/>
  <c r="O160" i="16"/>
  <c r="C160" i="16"/>
  <c r="D159" i="16"/>
  <c r="E159" i="16"/>
  <c r="F159" i="16"/>
  <c r="G159" i="16"/>
  <c r="H159" i="16"/>
  <c r="I159" i="16"/>
  <c r="J159" i="16"/>
  <c r="K159" i="16"/>
  <c r="L159" i="16"/>
  <c r="M159" i="16"/>
  <c r="N159" i="16"/>
  <c r="O159" i="16"/>
  <c r="C159" i="16"/>
  <c r="D158" i="16"/>
  <c r="E158" i="16"/>
  <c r="F158" i="16"/>
  <c r="G158" i="16"/>
  <c r="H158" i="16"/>
  <c r="I158" i="16"/>
  <c r="J158" i="16"/>
  <c r="K158" i="16"/>
  <c r="L158" i="16"/>
  <c r="M158" i="16"/>
  <c r="N158" i="16"/>
  <c r="O158" i="16"/>
  <c r="C158" i="16"/>
  <c r="D157" i="16"/>
  <c r="E157" i="16"/>
  <c r="F157" i="16"/>
  <c r="G157" i="16"/>
  <c r="H157" i="16"/>
  <c r="I157" i="16"/>
  <c r="J157" i="16"/>
  <c r="K157" i="16"/>
  <c r="L157" i="16"/>
  <c r="M157" i="16"/>
  <c r="N157" i="16"/>
  <c r="O157" i="16"/>
  <c r="C157" i="16"/>
  <c r="D156" i="16"/>
  <c r="E156" i="16"/>
  <c r="F156" i="16"/>
  <c r="G156" i="16"/>
  <c r="H156" i="16"/>
  <c r="I156" i="16"/>
  <c r="J156" i="16"/>
  <c r="K156" i="16"/>
  <c r="L156" i="16"/>
  <c r="M156" i="16"/>
  <c r="N156" i="16"/>
  <c r="O156" i="16"/>
  <c r="C156" i="16"/>
  <c r="T426" i="16"/>
  <c r="N426" i="16"/>
  <c r="I426" i="16"/>
  <c r="V410" i="16"/>
  <c r="P410" i="16"/>
  <c r="J410" i="16"/>
  <c r="C410" i="16"/>
  <c r="W394" i="16"/>
  <c r="P394" i="16"/>
  <c r="J394" i="16"/>
  <c r="C394" i="16"/>
  <c r="X378" i="16"/>
  <c r="Q378" i="16"/>
  <c r="J378" i="16"/>
  <c r="C378" i="16"/>
  <c r="W362" i="16"/>
  <c r="P362" i="16"/>
  <c r="J362" i="16"/>
  <c r="C362" i="16"/>
  <c r="X346" i="16"/>
  <c r="Q346" i="16"/>
  <c r="J346" i="16"/>
  <c r="C346" i="16"/>
  <c r="U329" i="16"/>
  <c r="O329" i="16"/>
  <c r="I329" i="16"/>
  <c r="C329" i="16"/>
  <c r="U312" i="16"/>
  <c r="I312" i="16"/>
  <c r="I295" i="16"/>
  <c r="U431" i="16"/>
  <c r="C46" i="9"/>
  <c r="F100" i="9" s="1"/>
  <c r="V415" i="16"/>
  <c r="V414" i="16"/>
  <c r="V413" i="16"/>
  <c r="V412" i="16"/>
  <c r="V411" i="16"/>
  <c r="S405" i="16"/>
  <c r="S404" i="16"/>
  <c r="S403" i="16"/>
  <c r="S402" i="16"/>
  <c r="S401" i="16"/>
  <c r="S400" i="16"/>
  <c r="S399" i="16"/>
  <c r="S398" i="16"/>
  <c r="S397" i="16"/>
  <c r="S394" i="16"/>
  <c r="S395" i="16"/>
  <c r="S396" i="16"/>
  <c r="R394" i="16"/>
  <c r="T63" i="16"/>
  <c r="U63" i="16"/>
  <c r="V63" i="16"/>
  <c r="W63" i="16"/>
  <c r="X63" i="16"/>
  <c r="Y63" i="16"/>
  <c r="Z63" i="16"/>
  <c r="AA63" i="16"/>
  <c r="AB63" i="16"/>
  <c r="AC63" i="16"/>
  <c r="AD63" i="16"/>
  <c r="AF63" i="16"/>
  <c r="AG63" i="16"/>
  <c r="AH63" i="16"/>
  <c r="AI63" i="16"/>
  <c r="AJ63" i="16"/>
  <c r="AK63" i="16"/>
  <c r="AL63" i="16"/>
  <c r="AM63" i="16"/>
  <c r="AN63" i="16"/>
  <c r="AO63" i="16"/>
  <c r="J63" i="16"/>
  <c r="K63" i="16"/>
  <c r="L63" i="16"/>
  <c r="M63" i="16"/>
  <c r="N63" i="16"/>
  <c r="O63" i="16"/>
  <c r="P63" i="16"/>
  <c r="Q63" i="16"/>
  <c r="R63" i="16"/>
  <c r="S63" i="16"/>
  <c r="F63" i="16"/>
  <c r="G63" i="16"/>
  <c r="H63" i="16"/>
  <c r="AC66" i="6"/>
  <c r="Z70" i="6"/>
  <c r="R56" i="6"/>
  <c r="U57" i="6"/>
  <c r="AS82" i="6"/>
  <c r="AM81" i="6"/>
  <c r="Z59" i="6"/>
  <c r="AY77" i="6"/>
  <c r="AV91" i="6"/>
  <c r="AV83" i="6"/>
  <c r="AV75" i="6"/>
  <c r="AV87" i="6"/>
  <c r="AV79" i="6"/>
  <c r="AS75" i="6"/>
  <c r="AS95" i="6"/>
  <c r="AS94" i="6"/>
  <c r="AS80" i="6"/>
  <c r="AS74" i="6"/>
  <c r="AS85" i="6"/>
  <c r="AM73" i="6"/>
  <c r="AM96" i="6"/>
  <c r="AM87" i="6"/>
  <c r="AM86" i="6"/>
  <c r="AM82" i="6"/>
  <c r="AM90" i="6"/>
  <c r="AM88" i="6"/>
  <c r="AM92" i="6"/>
  <c r="AM72" i="6"/>
  <c r="AC58" i="6"/>
  <c r="AC60" i="6"/>
  <c r="AC59" i="6"/>
  <c r="AC61" i="6"/>
  <c r="AC65" i="6"/>
  <c r="AC64" i="6"/>
  <c r="AC62" i="6"/>
  <c r="AC56" i="6"/>
  <c r="Z63" i="6"/>
  <c r="Z62" i="6"/>
  <c r="Z56" i="6"/>
  <c r="Z60" i="6"/>
  <c r="Z61" i="6"/>
  <c r="W61" i="6"/>
  <c r="W60" i="6"/>
  <c r="W59" i="6"/>
  <c r="U63" i="6"/>
  <c r="R58" i="6"/>
  <c r="AV80" i="6"/>
  <c r="C34" i="13"/>
  <c r="S60" i="14"/>
  <c r="N111" i="14"/>
  <c r="J111" i="14"/>
  <c r="N98" i="8"/>
  <c r="M98" i="8"/>
  <c r="L98" i="8"/>
  <c r="K98" i="8"/>
  <c r="J98" i="8"/>
  <c r="I98" i="8"/>
  <c r="H98" i="8"/>
  <c r="G98" i="8"/>
  <c r="F98" i="8"/>
  <c r="E98" i="8"/>
  <c r="D98" i="8"/>
  <c r="C98" i="8"/>
  <c r="N97" i="8"/>
  <c r="M97" i="8"/>
  <c r="L97" i="8"/>
  <c r="K97" i="8"/>
  <c r="J97" i="8"/>
  <c r="I97" i="8"/>
  <c r="H97" i="8"/>
  <c r="G97" i="8"/>
  <c r="F97" i="8"/>
  <c r="E97" i="8"/>
  <c r="D97" i="8"/>
  <c r="C97" i="8"/>
  <c r="N96" i="8"/>
  <c r="M96" i="8"/>
  <c r="L96" i="8"/>
  <c r="K96" i="8"/>
  <c r="J96" i="8"/>
  <c r="I96" i="8"/>
  <c r="H96" i="8"/>
  <c r="G96" i="8"/>
  <c r="F96" i="8"/>
  <c r="E96" i="8"/>
  <c r="D96" i="8"/>
  <c r="C96" i="8"/>
  <c r="N95" i="8"/>
  <c r="M95" i="8"/>
  <c r="L95" i="8"/>
  <c r="K95" i="8"/>
  <c r="J95" i="8"/>
  <c r="I95" i="8"/>
  <c r="H95" i="8"/>
  <c r="G95" i="8"/>
  <c r="F95" i="8"/>
  <c r="E95" i="8"/>
  <c r="D95" i="8"/>
  <c r="C95" i="8"/>
  <c r="L93" i="8"/>
  <c r="N94" i="8"/>
  <c r="M94" i="8"/>
  <c r="L94" i="8"/>
  <c r="K94" i="8"/>
  <c r="J94" i="8"/>
  <c r="I94" i="8"/>
  <c r="H94" i="8"/>
  <c r="G94" i="8"/>
  <c r="F94" i="8"/>
  <c r="E94" i="8"/>
  <c r="D94" i="8"/>
  <c r="C94" i="8"/>
  <c r="D92" i="8"/>
  <c r="N93" i="8"/>
  <c r="M93" i="8"/>
  <c r="K93" i="8"/>
  <c r="J93" i="8"/>
  <c r="I93" i="8"/>
  <c r="H93" i="8"/>
  <c r="G93" i="8"/>
  <c r="F93" i="8"/>
  <c r="E93" i="8"/>
  <c r="D93" i="8"/>
  <c r="C93" i="8"/>
  <c r="N92" i="8"/>
  <c r="M92" i="8"/>
  <c r="L92" i="8"/>
  <c r="K92" i="8"/>
  <c r="J92" i="8"/>
  <c r="I92" i="8"/>
  <c r="H92" i="8"/>
  <c r="G92" i="8"/>
  <c r="F92" i="8"/>
  <c r="E92" i="8"/>
  <c r="C92" i="8"/>
  <c r="N91" i="8"/>
  <c r="M91" i="8"/>
  <c r="L91" i="8"/>
  <c r="K91" i="8"/>
  <c r="J91" i="8"/>
  <c r="I91" i="8"/>
  <c r="H91" i="8"/>
  <c r="G91" i="8"/>
  <c r="F91" i="8"/>
  <c r="E91" i="8"/>
  <c r="D91" i="8"/>
  <c r="C91" i="8"/>
  <c r="N90" i="8"/>
  <c r="M90" i="8"/>
  <c r="L90" i="8"/>
  <c r="K90" i="8"/>
  <c r="J90" i="8"/>
  <c r="I90" i="8"/>
  <c r="H90" i="8"/>
  <c r="G90" i="8"/>
  <c r="F90" i="8"/>
  <c r="E90" i="8"/>
  <c r="D90" i="8"/>
  <c r="C90" i="8"/>
  <c r="N89" i="8"/>
  <c r="M89" i="8"/>
  <c r="L89" i="8"/>
  <c r="K89" i="8"/>
  <c r="J89" i="8"/>
  <c r="I89" i="8"/>
  <c r="H89" i="8"/>
  <c r="G89" i="8"/>
  <c r="F89" i="8"/>
  <c r="E89" i="8"/>
  <c r="D89" i="8"/>
  <c r="C89" i="8"/>
  <c r="N88" i="8"/>
  <c r="M88" i="8"/>
  <c r="L88" i="8"/>
  <c r="K88" i="8"/>
  <c r="J88" i="8"/>
  <c r="I88" i="8"/>
  <c r="H88" i="8"/>
  <c r="G88" i="8"/>
  <c r="F88" i="8"/>
  <c r="E88" i="8"/>
  <c r="D88" i="8"/>
  <c r="C88" i="8"/>
  <c r="C87" i="8"/>
  <c r="N87" i="8"/>
  <c r="M87" i="8"/>
  <c r="L87" i="8"/>
  <c r="K87" i="8"/>
  <c r="J87" i="8"/>
  <c r="I87" i="8"/>
  <c r="H87" i="8"/>
  <c r="G87" i="8"/>
  <c r="F87" i="8"/>
  <c r="E87" i="8"/>
  <c r="D87" i="8"/>
  <c r="N86" i="8"/>
  <c r="M86" i="8"/>
  <c r="L86" i="8"/>
  <c r="K86" i="8"/>
  <c r="J86" i="8"/>
  <c r="I86" i="8"/>
  <c r="H86" i="8"/>
  <c r="G86" i="8"/>
  <c r="F86" i="8"/>
  <c r="E86" i="8"/>
  <c r="D86" i="8"/>
  <c r="C86" i="8"/>
  <c r="N85" i="8"/>
  <c r="M85" i="8"/>
  <c r="L85" i="8"/>
  <c r="K85" i="8"/>
  <c r="J85" i="8"/>
  <c r="I85" i="8"/>
  <c r="H85" i="8"/>
  <c r="G85" i="8"/>
  <c r="F85" i="8"/>
  <c r="E85" i="8"/>
  <c r="D85" i="8"/>
  <c r="C85" i="8"/>
  <c r="N84" i="8"/>
  <c r="M84" i="8"/>
  <c r="L84" i="8"/>
  <c r="K84" i="8"/>
  <c r="J84" i="8"/>
  <c r="I84" i="8"/>
  <c r="H84" i="8"/>
  <c r="G84" i="8"/>
  <c r="F84" i="8"/>
  <c r="E84" i="8"/>
  <c r="D84" i="8"/>
  <c r="C84" i="8"/>
  <c r="N83" i="8"/>
  <c r="M83" i="8"/>
  <c r="L83" i="8"/>
  <c r="K83" i="8"/>
  <c r="J83" i="8"/>
  <c r="I83" i="8"/>
  <c r="H83" i="8"/>
  <c r="G83" i="8"/>
  <c r="F83" i="8"/>
  <c r="E83" i="8"/>
  <c r="D83" i="8"/>
  <c r="C83" i="8"/>
  <c r="N82" i="8"/>
  <c r="M82" i="8"/>
  <c r="L82" i="8"/>
  <c r="K82" i="8"/>
  <c r="J82" i="8"/>
  <c r="I82" i="8"/>
  <c r="H82" i="8"/>
  <c r="G82" i="8"/>
  <c r="F82" i="8"/>
  <c r="E82" i="8"/>
  <c r="D82" i="8"/>
  <c r="C82" i="8"/>
  <c r="H80" i="8"/>
  <c r="D81" i="8"/>
  <c r="C81" i="8"/>
  <c r="N81" i="8"/>
  <c r="M81" i="8"/>
  <c r="L81" i="8"/>
  <c r="K81" i="8"/>
  <c r="J81" i="8"/>
  <c r="I81" i="8"/>
  <c r="H81" i="8"/>
  <c r="G81" i="8"/>
  <c r="F81" i="8"/>
  <c r="E81" i="8"/>
  <c r="K80" i="8"/>
  <c r="N80" i="8"/>
  <c r="M80" i="8"/>
  <c r="L80" i="8"/>
  <c r="J80" i="8"/>
  <c r="I80" i="8"/>
  <c r="G80" i="8"/>
  <c r="F80" i="8"/>
  <c r="E80" i="8"/>
  <c r="D80" i="8"/>
  <c r="C80" i="8"/>
  <c r="N79" i="8"/>
  <c r="M79" i="8"/>
  <c r="L79" i="8"/>
  <c r="K79" i="8"/>
  <c r="J79" i="8"/>
  <c r="I79" i="8"/>
  <c r="H79" i="8"/>
  <c r="G79" i="8"/>
  <c r="F79" i="8"/>
  <c r="E79" i="8"/>
  <c r="D79" i="8"/>
  <c r="C79" i="8"/>
  <c r="N78" i="8"/>
  <c r="M78" i="8"/>
  <c r="L78" i="8"/>
  <c r="K78" i="8"/>
  <c r="J78" i="8"/>
  <c r="I78" i="8"/>
  <c r="H78" i="8"/>
  <c r="G78" i="8"/>
  <c r="F78" i="8"/>
  <c r="E78" i="8"/>
  <c r="D78" i="8"/>
  <c r="C78" i="8"/>
  <c r="N77" i="8"/>
  <c r="M77" i="8"/>
  <c r="L77" i="8"/>
  <c r="K77" i="8"/>
  <c r="J77" i="8"/>
  <c r="I77" i="8"/>
  <c r="H77" i="8"/>
  <c r="G77" i="8"/>
  <c r="F77" i="8"/>
  <c r="E77" i="8"/>
  <c r="D77" i="8"/>
  <c r="C77" i="8"/>
  <c r="N76" i="8"/>
  <c r="M76" i="8"/>
  <c r="L76" i="8"/>
  <c r="K76" i="8"/>
  <c r="J76" i="8"/>
  <c r="I76" i="8"/>
  <c r="H76" i="8"/>
  <c r="G76" i="8"/>
  <c r="F76" i="8"/>
  <c r="E76" i="8"/>
  <c r="D76" i="8"/>
  <c r="C76" i="8"/>
  <c r="N75" i="8"/>
  <c r="M75" i="8"/>
  <c r="L75" i="8"/>
  <c r="K75" i="8"/>
  <c r="J75" i="8"/>
  <c r="I75" i="8"/>
  <c r="H75" i="8"/>
  <c r="G75" i="8"/>
  <c r="F75" i="8"/>
  <c r="E75" i="8"/>
  <c r="D75" i="8"/>
  <c r="C75" i="8"/>
  <c r="N74" i="8"/>
  <c r="M74" i="8"/>
  <c r="L74" i="8"/>
  <c r="K74" i="8"/>
  <c r="J74" i="8"/>
  <c r="I74" i="8"/>
  <c r="H74" i="8"/>
  <c r="G74" i="8"/>
  <c r="F74" i="8"/>
  <c r="E74" i="8"/>
  <c r="D74" i="8"/>
  <c r="C74" i="8"/>
  <c r="N73" i="8"/>
  <c r="M73" i="8"/>
  <c r="L72" i="8"/>
  <c r="L73" i="8"/>
  <c r="K73" i="8"/>
  <c r="J73" i="8"/>
  <c r="I73" i="8"/>
  <c r="H73" i="8"/>
  <c r="G73" i="8"/>
  <c r="F73" i="8"/>
  <c r="E73" i="8"/>
  <c r="D73" i="8"/>
  <c r="C73" i="8"/>
  <c r="N72" i="8"/>
  <c r="M72" i="8"/>
  <c r="K72" i="8"/>
  <c r="J72" i="8"/>
  <c r="I72" i="8"/>
  <c r="H72" i="8"/>
  <c r="G72" i="8"/>
  <c r="F72" i="8"/>
  <c r="E72" i="8"/>
  <c r="D72" i="8"/>
  <c r="C72" i="8"/>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8" i="8"/>
  <c r="M68" i="8"/>
  <c r="L68" i="8"/>
  <c r="K68" i="8"/>
  <c r="J68" i="8"/>
  <c r="I68" i="8"/>
  <c r="H68" i="8"/>
  <c r="G68" i="8"/>
  <c r="F68" i="8"/>
  <c r="E68" i="8"/>
  <c r="D68" i="8"/>
  <c r="C68" i="8"/>
  <c r="N67" i="8"/>
  <c r="M67" i="8"/>
  <c r="L67" i="8"/>
  <c r="K67" i="8"/>
  <c r="J67" i="8"/>
  <c r="I67" i="8"/>
  <c r="H67" i="8"/>
  <c r="G67" i="8"/>
  <c r="F67" i="8"/>
  <c r="E67" i="8"/>
  <c r="D67" i="8"/>
  <c r="C67" i="8"/>
  <c r="N66" i="8"/>
  <c r="M66" i="8"/>
  <c r="L66" i="8"/>
  <c r="K66" i="8"/>
  <c r="J66" i="8"/>
  <c r="I66" i="8"/>
  <c r="H66" i="8"/>
  <c r="G66" i="8"/>
  <c r="F66" i="8"/>
  <c r="E66" i="8"/>
  <c r="D66" i="8"/>
  <c r="C66" i="8"/>
  <c r="K65" i="8"/>
  <c r="J65" i="8"/>
  <c r="I65" i="8"/>
  <c r="K64" i="8"/>
  <c r="J64" i="8"/>
  <c r="N65" i="8"/>
  <c r="M65" i="8"/>
  <c r="L65" i="8"/>
  <c r="H65" i="8"/>
  <c r="G65" i="8"/>
  <c r="F65" i="8"/>
  <c r="E65" i="8"/>
  <c r="D65" i="8"/>
  <c r="C65" i="8"/>
  <c r="N64" i="8"/>
  <c r="M64" i="8"/>
  <c r="L64" i="8"/>
  <c r="I64" i="8"/>
  <c r="H64" i="8"/>
  <c r="G64" i="8"/>
  <c r="F64" i="8"/>
  <c r="E64" i="8"/>
  <c r="D64" i="8"/>
  <c r="C64" i="8"/>
  <c r="K34" i="19"/>
  <c r="L34" i="19"/>
  <c r="M34" i="19"/>
  <c r="P34" i="19"/>
  <c r="Q34" i="19"/>
  <c r="T34" i="19"/>
  <c r="V34" i="19"/>
  <c r="W34" i="19"/>
  <c r="X34" i="19"/>
  <c r="Y34" i="19"/>
  <c r="Z34" i="19"/>
  <c r="AC34" i="19"/>
  <c r="AE34" i="19"/>
  <c r="AF34" i="19"/>
  <c r="AG34" i="19"/>
  <c r="AJ34" i="19"/>
  <c r="AK34" i="19"/>
  <c r="K31" i="19"/>
  <c r="K25" i="19"/>
  <c r="L25" i="19"/>
  <c r="M25" i="19"/>
  <c r="J25" i="19"/>
  <c r="U165" i="17"/>
  <c r="V165" i="17"/>
  <c r="U166" i="17"/>
  <c r="V166" i="17"/>
  <c r="U167" i="17"/>
  <c r="V167" i="17"/>
  <c r="U168" i="17"/>
  <c r="V168" i="17"/>
  <c r="U169" i="17"/>
  <c r="V169" i="17"/>
  <c r="U170" i="17"/>
  <c r="V170" i="17"/>
  <c r="U171" i="17"/>
  <c r="V171" i="17"/>
  <c r="U172" i="17"/>
  <c r="V172" i="17"/>
  <c r="U173" i="17"/>
  <c r="V173" i="17"/>
  <c r="U174" i="17"/>
  <c r="V174" i="17"/>
  <c r="T166" i="17"/>
  <c r="T167" i="17"/>
  <c r="T168" i="17"/>
  <c r="T169" i="17"/>
  <c r="T170" i="17"/>
  <c r="T171" i="17"/>
  <c r="T172" i="17"/>
  <c r="T173" i="17"/>
  <c r="T174" i="17"/>
  <c r="T165" i="17"/>
  <c r="O165" i="17"/>
  <c r="P165" i="17"/>
  <c r="Q165" i="17"/>
  <c r="O166" i="17"/>
  <c r="P166" i="17"/>
  <c r="Q166" i="17"/>
  <c r="O167" i="17"/>
  <c r="P167" i="17"/>
  <c r="Q167" i="17"/>
  <c r="O168" i="17"/>
  <c r="P168" i="17"/>
  <c r="Q168" i="17"/>
  <c r="O169" i="17"/>
  <c r="P169" i="17"/>
  <c r="Q169" i="17"/>
  <c r="O170" i="17"/>
  <c r="P170" i="17"/>
  <c r="Q170" i="17"/>
  <c r="O171" i="17"/>
  <c r="P171" i="17"/>
  <c r="Q171" i="17"/>
  <c r="O172" i="17"/>
  <c r="P172" i="17"/>
  <c r="Q172" i="17"/>
  <c r="O173" i="17"/>
  <c r="P173" i="17"/>
  <c r="Q173" i="17"/>
  <c r="N166" i="17"/>
  <c r="N167" i="17"/>
  <c r="N168" i="17"/>
  <c r="N169" i="17"/>
  <c r="N170" i="17"/>
  <c r="N171" i="17"/>
  <c r="N172" i="17"/>
  <c r="N173" i="17"/>
  <c r="N165" i="17"/>
  <c r="J165" i="17"/>
  <c r="K165" i="17"/>
  <c r="J166" i="17"/>
  <c r="K166" i="17"/>
  <c r="J167" i="17"/>
  <c r="K167" i="17"/>
  <c r="J168" i="17"/>
  <c r="K168" i="17"/>
  <c r="J169" i="17"/>
  <c r="K169" i="17"/>
  <c r="J170" i="17"/>
  <c r="K170" i="17"/>
  <c r="J171" i="17"/>
  <c r="K171" i="17"/>
  <c r="J172" i="17"/>
  <c r="K172" i="17"/>
  <c r="J173" i="17"/>
  <c r="K173" i="17"/>
  <c r="I166" i="17"/>
  <c r="I167" i="17"/>
  <c r="I168" i="17"/>
  <c r="I169" i="17"/>
  <c r="I170" i="17"/>
  <c r="I171" i="17"/>
  <c r="I172" i="17"/>
  <c r="I173" i="17"/>
  <c r="I165" i="17"/>
  <c r="D165" i="17"/>
  <c r="E165" i="17"/>
  <c r="F165" i="17"/>
  <c r="D166" i="17"/>
  <c r="E166" i="17"/>
  <c r="F166" i="17"/>
  <c r="D167" i="17"/>
  <c r="E167" i="17"/>
  <c r="F167" i="17"/>
  <c r="D168" i="17"/>
  <c r="E168" i="17"/>
  <c r="F168" i="17"/>
  <c r="D169" i="17"/>
  <c r="E169" i="17"/>
  <c r="F169" i="17"/>
  <c r="D170" i="17"/>
  <c r="E170" i="17"/>
  <c r="F170" i="17"/>
  <c r="D171" i="17"/>
  <c r="E171" i="17"/>
  <c r="F171" i="17"/>
  <c r="D172" i="17"/>
  <c r="E172" i="17"/>
  <c r="F172" i="17"/>
  <c r="C166" i="17"/>
  <c r="C167" i="17"/>
  <c r="C168" i="17"/>
  <c r="C169" i="17"/>
  <c r="C170" i="17"/>
  <c r="C171" i="17"/>
  <c r="C172" i="17"/>
  <c r="C165" i="17"/>
  <c r="W150" i="17"/>
  <c r="X150" i="17"/>
  <c r="Y150" i="17"/>
  <c r="Z150" i="17"/>
  <c r="W151" i="17"/>
  <c r="X151" i="17"/>
  <c r="Y151" i="17"/>
  <c r="Z151" i="17"/>
  <c r="W152" i="17"/>
  <c r="X152" i="17"/>
  <c r="Y152" i="17"/>
  <c r="Z152" i="17"/>
  <c r="W153" i="17"/>
  <c r="X153" i="17"/>
  <c r="Y153" i="17"/>
  <c r="Z153" i="17"/>
  <c r="W154" i="17"/>
  <c r="X154" i="17"/>
  <c r="Y154" i="17"/>
  <c r="Z154" i="17"/>
  <c r="W155" i="17"/>
  <c r="X155" i="17"/>
  <c r="Y155" i="17"/>
  <c r="Z155" i="17"/>
  <c r="W156" i="17"/>
  <c r="X156" i="17"/>
  <c r="Y156" i="17"/>
  <c r="Z156" i="17"/>
  <c r="W157" i="17"/>
  <c r="X157" i="17"/>
  <c r="Y157" i="17"/>
  <c r="Z157" i="17"/>
  <c r="W158" i="17"/>
  <c r="X158" i="17"/>
  <c r="Y158" i="17"/>
  <c r="Z158" i="17"/>
  <c r="W159" i="17"/>
  <c r="X159" i="17"/>
  <c r="Y159" i="17"/>
  <c r="Z159" i="17"/>
  <c r="W160" i="17"/>
  <c r="X160" i="17"/>
  <c r="Y160" i="17"/>
  <c r="Z160" i="17"/>
  <c r="V151" i="17"/>
  <c r="V152" i="17"/>
  <c r="V153" i="17"/>
  <c r="V154" i="17"/>
  <c r="V155" i="17"/>
  <c r="V156" i="17"/>
  <c r="V157" i="17"/>
  <c r="V158" i="17"/>
  <c r="V159" i="17"/>
  <c r="V160" i="17"/>
  <c r="V150" i="17"/>
  <c r="Q150" i="17"/>
  <c r="R150" i="17"/>
  <c r="S150" i="17"/>
  <c r="Q151" i="17"/>
  <c r="R151" i="17"/>
  <c r="S151" i="17"/>
  <c r="Q152" i="17"/>
  <c r="R152" i="17"/>
  <c r="S152" i="17"/>
  <c r="Q153" i="17"/>
  <c r="R153" i="17"/>
  <c r="S153" i="17"/>
  <c r="Q154" i="17"/>
  <c r="R154" i="17"/>
  <c r="S154" i="17"/>
  <c r="Q155" i="17"/>
  <c r="R155" i="17"/>
  <c r="S155" i="17"/>
  <c r="Q156" i="17"/>
  <c r="R156" i="17"/>
  <c r="S156" i="17"/>
  <c r="Q157" i="17"/>
  <c r="R157" i="17"/>
  <c r="S157" i="17"/>
  <c r="P151" i="17"/>
  <c r="P152" i="17"/>
  <c r="P153" i="17"/>
  <c r="P154" i="17"/>
  <c r="P155" i="17"/>
  <c r="P156" i="17"/>
  <c r="P157" i="17"/>
  <c r="P150" i="17"/>
  <c r="K150" i="17"/>
  <c r="L150" i="17"/>
  <c r="M150" i="17"/>
  <c r="K151" i="17"/>
  <c r="L151" i="17"/>
  <c r="M151" i="17"/>
  <c r="K152" i="17"/>
  <c r="L152" i="17"/>
  <c r="M152" i="17"/>
  <c r="K153" i="17"/>
  <c r="L153" i="17"/>
  <c r="M153" i="17"/>
  <c r="K154" i="17"/>
  <c r="L154" i="17"/>
  <c r="M154" i="17"/>
  <c r="K155" i="17"/>
  <c r="L155" i="17"/>
  <c r="M155" i="17"/>
  <c r="K156" i="17"/>
  <c r="L156" i="17"/>
  <c r="M156" i="17"/>
  <c r="K157" i="17"/>
  <c r="L157" i="17"/>
  <c r="M157" i="17"/>
  <c r="K158" i="17"/>
  <c r="L158" i="17"/>
  <c r="M158" i="17"/>
  <c r="J151" i="17"/>
  <c r="J152" i="17"/>
  <c r="J153" i="17"/>
  <c r="J154" i="17"/>
  <c r="J155" i="17"/>
  <c r="J156" i="17"/>
  <c r="J157" i="17"/>
  <c r="J158" i="17"/>
  <c r="J150" i="17"/>
  <c r="D150" i="17"/>
  <c r="E150" i="17"/>
  <c r="F150" i="17"/>
  <c r="G150" i="17"/>
  <c r="D151" i="17"/>
  <c r="E151" i="17"/>
  <c r="F151" i="17"/>
  <c r="G151" i="17"/>
  <c r="D152" i="17"/>
  <c r="E152" i="17"/>
  <c r="F152" i="17"/>
  <c r="G152" i="17"/>
  <c r="D153" i="17"/>
  <c r="E153" i="17"/>
  <c r="F153" i="17"/>
  <c r="G153" i="17"/>
  <c r="D154" i="17"/>
  <c r="E154" i="17"/>
  <c r="F154" i="17"/>
  <c r="G154" i="17"/>
  <c r="D155" i="17"/>
  <c r="E155" i="17"/>
  <c r="F155" i="17"/>
  <c r="G155" i="17"/>
  <c r="D156" i="17"/>
  <c r="E156" i="17"/>
  <c r="F156" i="17"/>
  <c r="G156" i="17"/>
  <c r="D157" i="17"/>
  <c r="E157" i="17"/>
  <c r="F157" i="17"/>
  <c r="G157" i="17"/>
  <c r="D158" i="17"/>
  <c r="E158" i="17"/>
  <c r="F158" i="17"/>
  <c r="G158" i="17"/>
  <c r="C151" i="17"/>
  <c r="C152" i="17"/>
  <c r="C153" i="17"/>
  <c r="C154" i="17"/>
  <c r="C155" i="17"/>
  <c r="C156" i="17"/>
  <c r="C157" i="17"/>
  <c r="C158" i="17"/>
  <c r="C150" i="17"/>
  <c r="X137" i="17"/>
  <c r="Y137" i="17"/>
  <c r="Z137" i="17"/>
  <c r="X138" i="17"/>
  <c r="Y138" i="17"/>
  <c r="Z138" i="17"/>
  <c r="X139" i="17"/>
  <c r="Y139" i="17"/>
  <c r="Z139" i="17"/>
  <c r="X140" i="17"/>
  <c r="Y140" i="17"/>
  <c r="Z140" i="17"/>
  <c r="X141" i="17"/>
  <c r="Y141" i="17"/>
  <c r="Z141" i="17"/>
  <c r="X142" i="17"/>
  <c r="Y142" i="17"/>
  <c r="Z142" i="17"/>
  <c r="X143" i="17"/>
  <c r="Y143" i="17"/>
  <c r="Z143" i="17"/>
  <c r="X144" i="17"/>
  <c r="Y144" i="17"/>
  <c r="Z144" i="17"/>
  <c r="X145" i="17"/>
  <c r="Y145" i="17"/>
  <c r="Z145" i="17"/>
  <c r="W138" i="17"/>
  <c r="W139" i="17"/>
  <c r="W140" i="17"/>
  <c r="W141" i="17"/>
  <c r="W142" i="17"/>
  <c r="W143" i="17"/>
  <c r="W144" i="17"/>
  <c r="W145" i="17"/>
  <c r="W137" i="17"/>
  <c r="Q137" i="17"/>
  <c r="R137" i="17"/>
  <c r="S137" i="17"/>
  <c r="T137" i="17"/>
  <c r="Q138" i="17"/>
  <c r="R138" i="17"/>
  <c r="S138" i="17"/>
  <c r="T138" i="17"/>
  <c r="Q139" i="17"/>
  <c r="R139" i="17"/>
  <c r="S139" i="17"/>
  <c r="T139" i="17"/>
  <c r="Q140" i="17"/>
  <c r="R140" i="17"/>
  <c r="S140" i="17"/>
  <c r="T140" i="17"/>
  <c r="Q141" i="17"/>
  <c r="R141" i="17"/>
  <c r="S141" i="17"/>
  <c r="T141" i="17"/>
  <c r="Q142" i="17"/>
  <c r="R142" i="17"/>
  <c r="S142" i="17"/>
  <c r="T142" i="17"/>
  <c r="Q143" i="17"/>
  <c r="R143" i="17"/>
  <c r="S143" i="17"/>
  <c r="T143" i="17"/>
  <c r="Q144" i="17"/>
  <c r="R144" i="17"/>
  <c r="S144" i="17"/>
  <c r="T144" i="17"/>
  <c r="P138" i="17"/>
  <c r="P139" i="17"/>
  <c r="P140" i="17"/>
  <c r="P141" i="17"/>
  <c r="P142" i="17"/>
  <c r="P143" i="17"/>
  <c r="P144" i="17"/>
  <c r="P137" i="17"/>
  <c r="K137" i="17"/>
  <c r="L137" i="17"/>
  <c r="M137" i="17"/>
  <c r="K138" i="17"/>
  <c r="L138" i="17"/>
  <c r="M138" i="17"/>
  <c r="K139" i="17"/>
  <c r="L139" i="17"/>
  <c r="M139" i="17"/>
  <c r="K140" i="17"/>
  <c r="L140" i="17"/>
  <c r="M140" i="17"/>
  <c r="K141" i="17"/>
  <c r="L141" i="17"/>
  <c r="M141" i="17"/>
  <c r="K142" i="17"/>
  <c r="L142" i="17"/>
  <c r="M142" i="17"/>
  <c r="K143" i="17"/>
  <c r="L143" i="17"/>
  <c r="M143" i="17"/>
  <c r="K144" i="17"/>
  <c r="L144" i="17"/>
  <c r="M144" i="17"/>
  <c r="K145" i="17"/>
  <c r="L145" i="17"/>
  <c r="M145" i="17"/>
  <c r="J138" i="17"/>
  <c r="J139" i="17"/>
  <c r="J140" i="17"/>
  <c r="J141" i="17"/>
  <c r="J142" i="17"/>
  <c r="J143" i="17"/>
  <c r="J144" i="17"/>
  <c r="J145" i="17"/>
  <c r="J137" i="17"/>
  <c r="D138" i="17"/>
  <c r="D137" i="17"/>
  <c r="E137" i="17"/>
  <c r="F137" i="17"/>
  <c r="G137" i="17"/>
  <c r="E138" i="17"/>
  <c r="F138" i="17"/>
  <c r="G138" i="17"/>
  <c r="D139" i="17"/>
  <c r="E139" i="17"/>
  <c r="F139" i="17"/>
  <c r="G139" i="17"/>
  <c r="D140" i="17"/>
  <c r="E140" i="17"/>
  <c r="F140" i="17"/>
  <c r="G140" i="17"/>
  <c r="D141" i="17"/>
  <c r="E141" i="17"/>
  <c r="F141" i="17"/>
  <c r="G141" i="17"/>
  <c r="D142" i="17"/>
  <c r="E142" i="17"/>
  <c r="F142" i="17"/>
  <c r="G142" i="17"/>
  <c r="D143" i="17"/>
  <c r="E143" i="17"/>
  <c r="F143" i="17"/>
  <c r="G143" i="17"/>
  <c r="D144" i="17"/>
  <c r="E144" i="17"/>
  <c r="F144" i="17"/>
  <c r="G144" i="17"/>
  <c r="D145" i="17"/>
  <c r="E145" i="17"/>
  <c r="F145" i="17"/>
  <c r="G145" i="17"/>
  <c r="C138" i="17"/>
  <c r="C139" i="17"/>
  <c r="C140" i="17"/>
  <c r="C141" i="17"/>
  <c r="C142" i="17"/>
  <c r="C143" i="17"/>
  <c r="C144" i="17"/>
  <c r="C145" i="17"/>
  <c r="C137" i="17"/>
  <c r="X124" i="17"/>
  <c r="Y124" i="17"/>
  <c r="Z124" i="17"/>
  <c r="AA124" i="17"/>
  <c r="X125" i="17"/>
  <c r="Y125" i="17"/>
  <c r="Z125" i="17"/>
  <c r="AA125" i="17"/>
  <c r="X126" i="17"/>
  <c r="Y126" i="17"/>
  <c r="Z126" i="17"/>
  <c r="AA126" i="17"/>
  <c r="X127" i="17"/>
  <c r="Y127" i="17"/>
  <c r="Z127" i="17"/>
  <c r="AA127" i="17"/>
  <c r="X128" i="17"/>
  <c r="Y128" i="17"/>
  <c r="Z128" i="17"/>
  <c r="AA128" i="17"/>
  <c r="X129" i="17"/>
  <c r="Y129" i="17"/>
  <c r="Z129" i="17"/>
  <c r="AA129" i="17"/>
  <c r="X130" i="17"/>
  <c r="Y130" i="17"/>
  <c r="Z130" i="17"/>
  <c r="AA130" i="17"/>
  <c r="Y123" i="17"/>
  <c r="Z123" i="17"/>
  <c r="AA123" i="17"/>
  <c r="X123" i="17"/>
  <c r="R123" i="17"/>
  <c r="S123" i="17"/>
  <c r="T123" i="17"/>
  <c r="U123" i="17"/>
  <c r="R124" i="17"/>
  <c r="S124" i="17"/>
  <c r="T124" i="17"/>
  <c r="U124" i="17"/>
  <c r="R125" i="17"/>
  <c r="S125" i="17"/>
  <c r="T125" i="17"/>
  <c r="U125" i="17"/>
  <c r="R126" i="17"/>
  <c r="S126" i="17"/>
  <c r="T126" i="17"/>
  <c r="U126" i="17"/>
  <c r="R127" i="17"/>
  <c r="S127" i="17"/>
  <c r="T127" i="17"/>
  <c r="U127" i="17"/>
  <c r="R128" i="17"/>
  <c r="S128" i="17"/>
  <c r="T128" i="17"/>
  <c r="U128" i="17"/>
  <c r="R129" i="17"/>
  <c r="S129" i="17"/>
  <c r="T129" i="17"/>
  <c r="U129" i="17"/>
  <c r="R130" i="17"/>
  <c r="S130" i="17"/>
  <c r="T130" i="17"/>
  <c r="U130" i="17"/>
  <c r="Q124" i="17"/>
  <c r="Q125" i="17"/>
  <c r="Q126" i="17"/>
  <c r="Q127" i="17"/>
  <c r="Q128" i="17"/>
  <c r="Q129" i="17"/>
  <c r="Q130" i="17"/>
  <c r="Q123" i="17"/>
  <c r="K123" i="17"/>
  <c r="L123" i="17"/>
  <c r="M123" i="17"/>
  <c r="N123" i="17"/>
  <c r="K124" i="17"/>
  <c r="L124" i="17"/>
  <c r="M124" i="17"/>
  <c r="N124" i="17"/>
  <c r="K125" i="17"/>
  <c r="L125" i="17"/>
  <c r="M125" i="17"/>
  <c r="N125" i="17"/>
  <c r="K126" i="17"/>
  <c r="L126" i="17"/>
  <c r="M126" i="17"/>
  <c r="N126" i="17"/>
  <c r="K127" i="17"/>
  <c r="L127" i="17"/>
  <c r="M127" i="17"/>
  <c r="N127" i="17"/>
  <c r="K128" i="17"/>
  <c r="L128" i="17"/>
  <c r="M128" i="17"/>
  <c r="N128" i="17"/>
  <c r="K129" i="17"/>
  <c r="L129" i="17"/>
  <c r="M129" i="17"/>
  <c r="N129" i="17"/>
  <c r="K130" i="17"/>
  <c r="L130" i="17"/>
  <c r="M130" i="17"/>
  <c r="N130" i="17"/>
  <c r="K131" i="17"/>
  <c r="L131" i="17"/>
  <c r="M131" i="17"/>
  <c r="N131" i="17"/>
  <c r="K132" i="17"/>
  <c r="L132" i="17"/>
  <c r="M132" i="17"/>
  <c r="N132" i="17"/>
  <c r="J124" i="17"/>
  <c r="J125" i="17"/>
  <c r="J126" i="17"/>
  <c r="J127" i="17"/>
  <c r="J128" i="17"/>
  <c r="J129" i="17"/>
  <c r="J130" i="17"/>
  <c r="J131" i="17"/>
  <c r="J132" i="17"/>
  <c r="J123" i="17"/>
  <c r="D123" i="17"/>
  <c r="E123" i="17"/>
  <c r="F123" i="17"/>
  <c r="G123" i="17"/>
  <c r="D124" i="17"/>
  <c r="E124" i="17"/>
  <c r="F124" i="17"/>
  <c r="G124" i="17"/>
  <c r="D125" i="17"/>
  <c r="E125" i="17"/>
  <c r="F125" i="17"/>
  <c r="G125" i="17"/>
  <c r="D126" i="17"/>
  <c r="E126" i="17"/>
  <c r="F126" i="17"/>
  <c r="G126" i="17"/>
  <c r="D127" i="17"/>
  <c r="E127" i="17"/>
  <c r="F127" i="17"/>
  <c r="G127" i="17"/>
  <c r="D128" i="17"/>
  <c r="E128" i="17"/>
  <c r="F128" i="17"/>
  <c r="G128" i="17"/>
  <c r="D129" i="17"/>
  <c r="E129" i="17"/>
  <c r="F129" i="17"/>
  <c r="G129" i="17"/>
  <c r="D130" i="17"/>
  <c r="E130" i="17"/>
  <c r="F130" i="17"/>
  <c r="G130" i="17"/>
  <c r="C124" i="17"/>
  <c r="C125" i="17"/>
  <c r="C126" i="17"/>
  <c r="C127" i="17"/>
  <c r="C128" i="17"/>
  <c r="C129" i="17"/>
  <c r="C130" i="17"/>
  <c r="C123" i="17"/>
  <c r="X110" i="17"/>
  <c r="Y110" i="17"/>
  <c r="Z110" i="17"/>
  <c r="AA110" i="17"/>
  <c r="X111" i="17"/>
  <c r="Y111" i="17"/>
  <c r="Z111" i="17"/>
  <c r="AA111" i="17"/>
  <c r="X112" i="17"/>
  <c r="Y112" i="17"/>
  <c r="Z112" i="17"/>
  <c r="AA112" i="17"/>
  <c r="X113" i="17"/>
  <c r="Y113" i="17"/>
  <c r="Z113" i="17"/>
  <c r="AA113" i="17"/>
  <c r="X114" i="17"/>
  <c r="Y114" i="17"/>
  <c r="Z114" i="17"/>
  <c r="AA114" i="17"/>
  <c r="X115" i="17"/>
  <c r="Y115" i="17"/>
  <c r="Z115" i="17"/>
  <c r="AA115" i="17"/>
  <c r="X116" i="17"/>
  <c r="Y116" i="17"/>
  <c r="Z116" i="17"/>
  <c r="AA116" i="17"/>
  <c r="X117" i="17"/>
  <c r="Y117" i="17"/>
  <c r="Z117" i="17"/>
  <c r="AA117" i="17"/>
  <c r="W111" i="17"/>
  <c r="W112" i="17"/>
  <c r="W113" i="17"/>
  <c r="W114" i="17"/>
  <c r="W115" i="17"/>
  <c r="W116" i="17"/>
  <c r="W117" i="17"/>
  <c r="W110" i="17"/>
  <c r="P117" i="17"/>
  <c r="Q110" i="17"/>
  <c r="P111" i="17"/>
  <c r="Q111" i="17"/>
  <c r="R111" i="17"/>
  <c r="S111" i="17"/>
  <c r="T111" i="17"/>
  <c r="P112" i="17"/>
  <c r="Q112" i="17"/>
  <c r="R112" i="17"/>
  <c r="S112" i="17"/>
  <c r="T112" i="17"/>
  <c r="P113" i="17"/>
  <c r="Q113" i="17"/>
  <c r="R113" i="17"/>
  <c r="S113" i="17"/>
  <c r="T113" i="17"/>
  <c r="P114" i="17"/>
  <c r="Q114" i="17"/>
  <c r="R114" i="17"/>
  <c r="S114" i="17"/>
  <c r="T114" i="17"/>
  <c r="P115" i="17"/>
  <c r="Q115" i="17"/>
  <c r="R115" i="17"/>
  <c r="S115" i="17"/>
  <c r="T115" i="17"/>
  <c r="P116" i="17"/>
  <c r="Q116" i="17"/>
  <c r="R116" i="17"/>
  <c r="S116" i="17"/>
  <c r="T116" i="17"/>
  <c r="Q117" i="17"/>
  <c r="R117" i="17"/>
  <c r="S117" i="17"/>
  <c r="T117" i="17"/>
  <c r="R110" i="17"/>
  <c r="S110" i="17"/>
  <c r="T110" i="17"/>
  <c r="P110" i="17"/>
  <c r="K110" i="17"/>
  <c r="L110" i="17"/>
  <c r="M110" i="17"/>
  <c r="K111" i="17"/>
  <c r="L111" i="17"/>
  <c r="M111" i="17"/>
  <c r="K112" i="17"/>
  <c r="L112" i="17"/>
  <c r="M112" i="17"/>
  <c r="K113" i="17"/>
  <c r="L113" i="17"/>
  <c r="M113" i="17"/>
  <c r="K114" i="17"/>
  <c r="L114" i="17"/>
  <c r="M114" i="17"/>
  <c r="K115" i="17"/>
  <c r="L115" i="17"/>
  <c r="M115" i="17"/>
  <c r="K116" i="17"/>
  <c r="L116" i="17"/>
  <c r="M116" i="17"/>
  <c r="K117" i="17"/>
  <c r="L117" i="17"/>
  <c r="M117" i="17"/>
  <c r="K118" i="17"/>
  <c r="L118" i="17"/>
  <c r="M118" i="17"/>
  <c r="J111" i="17"/>
  <c r="J112" i="17"/>
  <c r="J113" i="17"/>
  <c r="J114" i="17"/>
  <c r="J115" i="17"/>
  <c r="J116" i="17"/>
  <c r="J117" i="17"/>
  <c r="J118" i="17"/>
  <c r="J110" i="17"/>
  <c r="D110" i="17"/>
  <c r="E110" i="17"/>
  <c r="F110" i="17"/>
  <c r="G110" i="17"/>
  <c r="D111" i="17"/>
  <c r="E111" i="17"/>
  <c r="F111" i="17"/>
  <c r="G111" i="17"/>
  <c r="D112" i="17"/>
  <c r="E112" i="17"/>
  <c r="F112" i="17"/>
  <c r="G112" i="17"/>
  <c r="D113" i="17"/>
  <c r="E113" i="17"/>
  <c r="F113" i="17"/>
  <c r="G113" i="17"/>
  <c r="D114" i="17"/>
  <c r="E114" i="17"/>
  <c r="F114" i="17"/>
  <c r="G114" i="17"/>
  <c r="D115" i="17"/>
  <c r="E115" i="17"/>
  <c r="F115" i="17"/>
  <c r="G115" i="17"/>
  <c r="D116" i="17"/>
  <c r="E116" i="17"/>
  <c r="F116" i="17"/>
  <c r="G116" i="17"/>
  <c r="D117" i="17"/>
  <c r="E117" i="17"/>
  <c r="F117" i="17"/>
  <c r="G117" i="17"/>
  <c r="C111" i="17"/>
  <c r="C112" i="17"/>
  <c r="C113" i="17"/>
  <c r="C114" i="17"/>
  <c r="C115" i="17"/>
  <c r="C116" i="17"/>
  <c r="C117" i="17"/>
  <c r="C110" i="17"/>
  <c r="Y97" i="17"/>
  <c r="Z97" i="17"/>
  <c r="AA97" i="17"/>
  <c r="AB97" i="17"/>
  <c r="Y98" i="17"/>
  <c r="Z98" i="17"/>
  <c r="AA98" i="17"/>
  <c r="AB98" i="17"/>
  <c r="Y99" i="17"/>
  <c r="Z99" i="17"/>
  <c r="AA99" i="17"/>
  <c r="AB99" i="17"/>
  <c r="Y100" i="17"/>
  <c r="Z100" i="17"/>
  <c r="AA100" i="17"/>
  <c r="AB100" i="17"/>
  <c r="Y101" i="17"/>
  <c r="Z101" i="17"/>
  <c r="AA101" i="17"/>
  <c r="AB101" i="17"/>
  <c r="Y102" i="17"/>
  <c r="Z102" i="17"/>
  <c r="AA102" i="17"/>
  <c r="AB102" i="17"/>
  <c r="Y103" i="17"/>
  <c r="Z103" i="17"/>
  <c r="AA103" i="17"/>
  <c r="AB103" i="17"/>
  <c r="Y104" i="17"/>
  <c r="Z104" i="17"/>
  <c r="AA104" i="17"/>
  <c r="AB104" i="17"/>
  <c r="Y105" i="17"/>
  <c r="Z105" i="17"/>
  <c r="AA105" i="17"/>
  <c r="AB105" i="17"/>
  <c r="X98" i="17"/>
  <c r="X99" i="17"/>
  <c r="X100" i="17"/>
  <c r="X101" i="17"/>
  <c r="X102" i="17"/>
  <c r="X103" i="17"/>
  <c r="X104" i="17"/>
  <c r="X105" i="17"/>
  <c r="X97" i="17"/>
  <c r="R97" i="17"/>
  <c r="S97" i="17"/>
  <c r="T97" i="17"/>
  <c r="U97" i="17"/>
  <c r="R98" i="17"/>
  <c r="S98" i="17"/>
  <c r="T98" i="17"/>
  <c r="U98" i="17"/>
  <c r="R99" i="17"/>
  <c r="S99" i="17"/>
  <c r="T99" i="17"/>
  <c r="U99" i="17"/>
  <c r="R100" i="17"/>
  <c r="S100" i="17"/>
  <c r="T100" i="17"/>
  <c r="U100" i="17"/>
  <c r="R101" i="17"/>
  <c r="S101" i="17"/>
  <c r="T101" i="17"/>
  <c r="U101" i="17"/>
  <c r="R102" i="17"/>
  <c r="S102" i="17"/>
  <c r="T102" i="17"/>
  <c r="U102" i="17"/>
  <c r="R103" i="17"/>
  <c r="S103" i="17"/>
  <c r="T103" i="17"/>
  <c r="U103" i="17"/>
  <c r="R104" i="17"/>
  <c r="S104" i="17"/>
  <c r="T104" i="17"/>
  <c r="U104" i="17"/>
  <c r="R105" i="17"/>
  <c r="S105" i="17"/>
  <c r="T105" i="17"/>
  <c r="U105" i="17"/>
  <c r="Q98" i="17"/>
  <c r="Q99" i="17"/>
  <c r="Q100" i="17"/>
  <c r="Q101" i="17"/>
  <c r="Q102" i="17"/>
  <c r="Q103" i="17"/>
  <c r="Q104" i="17"/>
  <c r="Q105" i="17"/>
  <c r="Q97" i="17"/>
  <c r="K97" i="17"/>
  <c r="L97" i="17"/>
  <c r="M97" i="17"/>
  <c r="N97" i="17"/>
  <c r="K98" i="17"/>
  <c r="L98" i="17"/>
  <c r="M98" i="17"/>
  <c r="N98" i="17"/>
  <c r="K99" i="17"/>
  <c r="L99" i="17"/>
  <c r="M99" i="17"/>
  <c r="N99" i="17"/>
  <c r="K100" i="17"/>
  <c r="L100" i="17"/>
  <c r="M100" i="17"/>
  <c r="N100" i="17"/>
  <c r="K101" i="17"/>
  <c r="L101" i="17"/>
  <c r="M101" i="17"/>
  <c r="N101" i="17"/>
  <c r="K102" i="17"/>
  <c r="L102" i="17"/>
  <c r="M102" i="17"/>
  <c r="N102" i="17"/>
  <c r="K103" i="17"/>
  <c r="L103" i="17"/>
  <c r="M103" i="17"/>
  <c r="N103" i="17"/>
  <c r="K104" i="17"/>
  <c r="L104" i="17"/>
  <c r="M104" i="17"/>
  <c r="N104" i="17"/>
  <c r="J98" i="17"/>
  <c r="J99" i="17"/>
  <c r="J100" i="17"/>
  <c r="J101" i="17"/>
  <c r="J102" i="17"/>
  <c r="J103" i="17"/>
  <c r="J104" i="17"/>
  <c r="J97" i="17"/>
  <c r="D97" i="17"/>
  <c r="E97" i="17"/>
  <c r="F97" i="17"/>
  <c r="G97" i="17"/>
  <c r="D98" i="17"/>
  <c r="E98" i="17"/>
  <c r="F98" i="17"/>
  <c r="G98" i="17"/>
  <c r="D99" i="17"/>
  <c r="E99" i="17"/>
  <c r="F99" i="17"/>
  <c r="G99" i="17"/>
  <c r="D100" i="17"/>
  <c r="E100" i="17"/>
  <c r="F100" i="17"/>
  <c r="G100" i="17"/>
  <c r="D101" i="17"/>
  <c r="E101" i="17"/>
  <c r="F101" i="17"/>
  <c r="G101" i="17"/>
  <c r="D102" i="17"/>
  <c r="E102" i="17"/>
  <c r="F102" i="17"/>
  <c r="G102" i="17"/>
  <c r="D103" i="17"/>
  <c r="E103" i="17"/>
  <c r="F103" i="17"/>
  <c r="G103" i="17"/>
  <c r="D104" i="17"/>
  <c r="E104" i="17"/>
  <c r="F104" i="17"/>
  <c r="G104" i="17"/>
  <c r="D105" i="17"/>
  <c r="E105" i="17"/>
  <c r="F105" i="17"/>
  <c r="G105" i="17"/>
  <c r="C98" i="17"/>
  <c r="C99" i="17"/>
  <c r="C100" i="17"/>
  <c r="C101" i="17"/>
  <c r="C102" i="17"/>
  <c r="C103" i="17"/>
  <c r="C104" i="17"/>
  <c r="C105" i="17"/>
  <c r="C97" i="17"/>
  <c r="Y81" i="17"/>
  <c r="Y82" i="17"/>
  <c r="Y83" i="17"/>
  <c r="Y84" i="17"/>
  <c r="Y85" i="17"/>
  <c r="Y86" i="17"/>
  <c r="Y87" i="17"/>
  <c r="Y88" i="17"/>
  <c r="Y80" i="17"/>
  <c r="V80" i="17"/>
  <c r="W80" i="17"/>
  <c r="X80" i="17"/>
  <c r="V81" i="17"/>
  <c r="W81" i="17"/>
  <c r="X81" i="17"/>
  <c r="V82" i="17"/>
  <c r="W82" i="17"/>
  <c r="X82" i="17"/>
  <c r="V83" i="17"/>
  <c r="W83" i="17"/>
  <c r="X83" i="17"/>
  <c r="V84" i="17"/>
  <c r="W84" i="17"/>
  <c r="X84" i="17"/>
  <c r="V85" i="17"/>
  <c r="W85" i="17"/>
  <c r="X85" i="17"/>
  <c r="V86" i="17"/>
  <c r="W86" i="17"/>
  <c r="X86" i="17"/>
  <c r="V87" i="17"/>
  <c r="W87" i="17"/>
  <c r="X87" i="17"/>
  <c r="V88" i="17"/>
  <c r="W88" i="17"/>
  <c r="X88" i="17"/>
  <c r="U81" i="17"/>
  <c r="U82" i="17"/>
  <c r="U83" i="17"/>
  <c r="U84" i="17"/>
  <c r="U85" i="17"/>
  <c r="U86" i="17"/>
  <c r="U87" i="17"/>
  <c r="U88" i="17"/>
  <c r="U80" i="17"/>
  <c r="R81" i="17"/>
  <c r="R82" i="17"/>
  <c r="R83" i="17"/>
  <c r="R84" i="17"/>
  <c r="R85" i="17"/>
  <c r="R86" i="17"/>
  <c r="R87" i="17"/>
  <c r="R80" i="17"/>
  <c r="Q81" i="17"/>
  <c r="Q82" i="17"/>
  <c r="Q83" i="17"/>
  <c r="Q84" i="17"/>
  <c r="Q85" i="17"/>
  <c r="Q86" i="17"/>
  <c r="Q87" i="17"/>
  <c r="Q80" i="17"/>
  <c r="P81" i="17"/>
  <c r="P82" i="17"/>
  <c r="P83" i="17"/>
  <c r="P84" i="17"/>
  <c r="P85" i="17"/>
  <c r="P86" i="17"/>
  <c r="P87" i="17"/>
  <c r="P80" i="17"/>
  <c r="O81" i="17"/>
  <c r="O82" i="17"/>
  <c r="O83" i="17"/>
  <c r="O84" i="17"/>
  <c r="O85" i="17"/>
  <c r="O86" i="17"/>
  <c r="O87" i="17"/>
  <c r="O80" i="17"/>
  <c r="J80" i="17"/>
  <c r="K80" i="17"/>
  <c r="L80" i="17"/>
  <c r="J81" i="17"/>
  <c r="K81" i="17"/>
  <c r="L81" i="17"/>
  <c r="J82" i="17"/>
  <c r="K82" i="17"/>
  <c r="L82" i="17"/>
  <c r="J83" i="17"/>
  <c r="K83" i="17"/>
  <c r="L83" i="17"/>
  <c r="J84" i="17"/>
  <c r="K84" i="17"/>
  <c r="L84" i="17"/>
  <c r="J85" i="17"/>
  <c r="K85" i="17"/>
  <c r="L85" i="17"/>
  <c r="J86" i="17"/>
  <c r="K86" i="17"/>
  <c r="L86" i="17"/>
  <c r="J87" i="17"/>
  <c r="K87" i="17"/>
  <c r="L87" i="17"/>
  <c r="J88" i="17"/>
  <c r="K88" i="17"/>
  <c r="L88" i="17"/>
  <c r="J89" i="17"/>
  <c r="K89" i="17"/>
  <c r="L89" i="17"/>
  <c r="J90" i="17"/>
  <c r="K90" i="17"/>
  <c r="L90" i="17"/>
  <c r="J91" i="17"/>
  <c r="K91" i="17"/>
  <c r="L91" i="17"/>
  <c r="J92" i="17"/>
  <c r="K92" i="17"/>
  <c r="L92" i="17"/>
  <c r="I81" i="17"/>
  <c r="I82" i="17"/>
  <c r="I83" i="17"/>
  <c r="I84" i="17"/>
  <c r="I85" i="17"/>
  <c r="I86" i="17"/>
  <c r="I87" i="17"/>
  <c r="I88" i="17"/>
  <c r="I89" i="17"/>
  <c r="I90" i="17"/>
  <c r="I91" i="17"/>
  <c r="I92" i="17"/>
  <c r="I80" i="17"/>
  <c r="D80" i="17"/>
  <c r="E80" i="17"/>
  <c r="F80" i="17"/>
  <c r="D81" i="17"/>
  <c r="E81" i="17"/>
  <c r="F81" i="17"/>
  <c r="D82" i="17"/>
  <c r="E82" i="17"/>
  <c r="F82" i="17"/>
  <c r="D83" i="17"/>
  <c r="E83" i="17"/>
  <c r="F83" i="17"/>
  <c r="D84" i="17"/>
  <c r="E84" i="17"/>
  <c r="F84" i="17"/>
  <c r="D85" i="17"/>
  <c r="E85" i="17"/>
  <c r="F85" i="17"/>
  <c r="D86" i="17"/>
  <c r="E86" i="17"/>
  <c r="F86" i="17"/>
  <c r="D87" i="17"/>
  <c r="E87" i="17"/>
  <c r="F87" i="17"/>
  <c r="C87" i="17"/>
  <c r="C81" i="17"/>
  <c r="C82" i="17"/>
  <c r="C83" i="17"/>
  <c r="C84" i="17"/>
  <c r="C85" i="17"/>
  <c r="C86" i="17"/>
  <c r="C80" i="17"/>
  <c r="V63" i="17"/>
  <c r="W63" i="17"/>
  <c r="X63" i="17"/>
  <c r="V64" i="17"/>
  <c r="W64" i="17"/>
  <c r="X64" i="17"/>
  <c r="V65" i="17"/>
  <c r="W65" i="17"/>
  <c r="X65" i="17"/>
  <c r="V66" i="17"/>
  <c r="W66" i="17"/>
  <c r="X66" i="17"/>
  <c r="V67" i="17"/>
  <c r="W67" i="17"/>
  <c r="X67" i="17"/>
  <c r="V68" i="17"/>
  <c r="W68" i="17"/>
  <c r="X68" i="17"/>
  <c r="V69" i="17"/>
  <c r="W69" i="17"/>
  <c r="X69" i="17"/>
  <c r="V70" i="17"/>
  <c r="W70" i="17"/>
  <c r="X70" i="17"/>
  <c r="V71" i="17"/>
  <c r="W71" i="17"/>
  <c r="X71" i="17"/>
  <c r="V72" i="17"/>
  <c r="W72" i="17"/>
  <c r="X72" i="17"/>
  <c r="V73" i="17"/>
  <c r="W73" i="17"/>
  <c r="X73" i="17"/>
  <c r="V74" i="17"/>
  <c r="W74" i="17"/>
  <c r="X74" i="17"/>
  <c r="U64" i="17"/>
  <c r="U65" i="17"/>
  <c r="U66" i="17"/>
  <c r="U67" i="17"/>
  <c r="U68" i="17"/>
  <c r="U69" i="17"/>
  <c r="U70" i="17"/>
  <c r="U71" i="17"/>
  <c r="U72" i="17"/>
  <c r="U73" i="17"/>
  <c r="U74" i="17"/>
  <c r="U63" i="17"/>
  <c r="R63" i="17"/>
  <c r="R64" i="17"/>
  <c r="R65" i="17"/>
  <c r="R66" i="17"/>
  <c r="R67" i="17"/>
  <c r="R68" i="17"/>
  <c r="R69" i="17"/>
  <c r="R70" i="17"/>
  <c r="R71" i="17"/>
  <c r="P63" i="17"/>
  <c r="Q63" i="17"/>
  <c r="P64" i="17"/>
  <c r="Q64" i="17"/>
  <c r="P65" i="17"/>
  <c r="Q65" i="17"/>
  <c r="P66" i="17"/>
  <c r="Q66" i="17"/>
  <c r="P67" i="17"/>
  <c r="Q67" i="17"/>
  <c r="P68" i="17"/>
  <c r="Q68" i="17"/>
  <c r="P69" i="17"/>
  <c r="Q69" i="17"/>
  <c r="P70" i="17"/>
  <c r="Q70" i="17"/>
  <c r="P71" i="17"/>
  <c r="Q71" i="17"/>
  <c r="O71" i="17"/>
  <c r="O64" i="17"/>
  <c r="O65" i="17"/>
  <c r="O66" i="17"/>
  <c r="O67" i="17"/>
  <c r="O68" i="17"/>
  <c r="O69" i="17"/>
  <c r="O70" i="17"/>
  <c r="O63" i="17"/>
  <c r="J63" i="17"/>
  <c r="K63" i="17"/>
  <c r="L63" i="17"/>
  <c r="J64" i="17"/>
  <c r="K64" i="17"/>
  <c r="L64" i="17"/>
  <c r="J65" i="17"/>
  <c r="K65" i="17"/>
  <c r="L65" i="17"/>
  <c r="J66" i="17"/>
  <c r="K66" i="17"/>
  <c r="L66" i="17"/>
  <c r="J67" i="17"/>
  <c r="K67" i="17"/>
  <c r="L67" i="17"/>
  <c r="J68" i="17"/>
  <c r="K68" i="17"/>
  <c r="L68" i="17"/>
  <c r="J69" i="17"/>
  <c r="K69" i="17"/>
  <c r="L69" i="17"/>
  <c r="J70" i="17"/>
  <c r="K70" i="17"/>
  <c r="L70" i="17"/>
  <c r="J71" i="17"/>
  <c r="K71" i="17"/>
  <c r="L71" i="17"/>
  <c r="J72" i="17"/>
  <c r="K72" i="17"/>
  <c r="L72" i="17"/>
  <c r="J73" i="17"/>
  <c r="K73" i="17"/>
  <c r="L73" i="17"/>
  <c r="J74" i="17"/>
  <c r="F23" i="17" s="1"/>
  <c r="K74" i="17"/>
  <c r="I23" i="17" s="1"/>
  <c r="L74" i="17"/>
  <c r="J75" i="17"/>
  <c r="F24" i="17" s="1"/>
  <c r="K75" i="17"/>
  <c r="I24" i="17" s="1"/>
  <c r="L75" i="17"/>
  <c r="I64" i="17"/>
  <c r="I65" i="17"/>
  <c r="I66" i="17"/>
  <c r="I67" i="17"/>
  <c r="I68" i="17"/>
  <c r="I69" i="17"/>
  <c r="I70" i="17"/>
  <c r="I71" i="17"/>
  <c r="I72" i="17"/>
  <c r="I73" i="17"/>
  <c r="I74" i="17"/>
  <c r="I75" i="17"/>
  <c r="C24" i="17" s="1"/>
  <c r="I63" i="17"/>
  <c r="D63" i="17"/>
  <c r="E63" i="17"/>
  <c r="F63" i="17"/>
  <c r="D64" i="17"/>
  <c r="E64" i="17"/>
  <c r="F64" i="17"/>
  <c r="D65" i="17"/>
  <c r="E65" i="17"/>
  <c r="F65" i="17"/>
  <c r="D66" i="17"/>
  <c r="E66" i="17"/>
  <c r="F66" i="17"/>
  <c r="D67" i="17"/>
  <c r="E67" i="17"/>
  <c r="F67" i="17"/>
  <c r="D68" i="17"/>
  <c r="E68" i="17"/>
  <c r="F68" i="17"/>
  <c r="D69" i="17"/>
  <c r="E69" i="17"/>
  <c r="F69" i="17"/>
  <c r="D70" i="17"/>
  <c r="E70" i="17"/>
  <c r="F70" i="17"/>
  <c r="D71" i="17"/>
  <c r="E71" i="17"/>
  <c r="F71" i="17"/>
  <c r="C64" i="17"/>
  <c r="C65" i="17"/>
  <c r="C66" i="17"/>
  <c r="C67" i="17"/>
  <c r="C68" i="17"/>
  <c r="C69" i="17"/>
  <c r="C70" i="17"/>
  <c r="C71" i="17"/>
  <c r="C63" i="17"/>
  <c r="V49" i="17"/>
  <c r="W49" i="17"/>
  <c r="X49" i="17"/>
  <c r="V50" i="17"/>
  <c r="W50" i="17"/>
  <c r="X50" i="17"/>
  <c r="V51" i="17"/>
  <c r="W51" i="17"/>
  <c r="X51" i="17"/>
  <c r="V52" i="17"/>
  <c r="W52" i="17"/>
  <c r="X52" i="17"/>
  <c r="V53" i="17"/>
  <c r="W53" i="17"/>
  <c r="X53" i="17"/>
  <c r="V54" i="17"/>
  <c r="W54" i="17"/>
  <c r="X54" i="17"/>
  <c r="V55" i="17"/>
  <c r="W55" i="17"/>
  <c r="X55" i="17"/>
  <c r="V56" i="17"/>
  <c r="W56" i="17"/>
  <c r="X56" i="17"/>
  <c r="V57" i="17"/>
  <c r="W57" i="17"/>
  <c r="X57" i="17"/>
  <c r="V58" i="17"/>
  <c r="W58" i="17"/>
  <c r="X58" i="17"/>
  <c r="U50" i="17"/>
  <c r="U51" i="17"/>
  <c r="U52" i="17"/>
  <c r="U53" i="17"/>
  <c r="U54" i="17"/>
  <c r="U55" i="17"/>
  <c r="U56" i="17"/>
  <c r="U57" i="17"/>
  <c r="U58" i="17"/>
  <c r="U49" i="17"/>
  <c r="P49" i="17"/>
  <c r="Q49" i="17"/>
  <c r="R49" i="17"/>
  <c r="P50" i="17"/>
  <c r="Q50" i="17"/>
  <c r="R50" i="17"/>
  <c r="P51" i="17"/>
  <c r="Q51" i="17"/>
  <c r="R51" i="17"/>
  <c r="P52" i="17"/>
  <c r="Q52" i="17"/>
  <c r="R52" i="17"/>
  <c r="P53" i="17"/>
  <c r="Q53" i="17"/>
  <c r="R53" i="17"/>
  <c r="P54" i="17"/>
  <c r="Q54" i="17"/>
  <c r="R54" i="17"/>
  <c r="P55" i="17"/>
  <c r="Q55" i="17"/>
  <c r="R55" i="17"/>
  <c r="P56" i="17"/>
  <c r="Q56" i="17"/>
  <c r="R56" i="17"/>
  <c r="P57" i="17"/>
  <c r="Q57" i="17"/>
  <c r="R57" i="17"/>
  <c r="O50" i="17"/>
  <c r="O51" i="17"/>
  <c r="O52" i="17"/>
  <c r="O53" i="17"/>
  <c r="O54" i="17"/>
  <c r="O55" i="17"/>
  <c r="O56" i="17"/>
  <c r="O57" i="17"/>
  <c r="O49" i="17"/>
  <c r="I49" i="17"/>
  <c r="J49" i="17"/>
  <c r="K49" i="17"/>
  <c r="L49" i="17"/>
  <c r="J50" i="17"/>
  <c r="K50" i="17"/>
  <c r="L50" i="17"/>
  <c r="J51" i="17"/>
  <c r="K51" i="17"/>
  <c r="L51" i="17"/>
  <c r="J52" i="17"/>
  <c r="K52" i="17"/>
  <c r="L52" i="17"/>
  <c r="J53" i="17"/>
  <c r="K53" i="17"/>
  <c r="L53" i="17"/>
  <c r="J54" i="17"/>
  <c r="K54" i="17"/>
  <c r="L54" i="17"/>
  <c r="J55" i="17"/>
  <c r="K55" i="17"/>
  <c r="L55" i="17"/>
  <c r="J56" i="17"/>
  <c r="K56" i="17"/>
  <c r="L56" i="17"/>
  <c r="J57" i="17"/>
  <c r="K57" i="17"/>
  <c r="L57" i="17"/>
  <c r="J58" i="17"/>
  <c r="K58" i="17"/>
  <c r="L58" i="17"/>
  <c r="I50" i="17"/>
  <c r="I51" i="17"/>
  <c r="I52" i="17"/>
  <c r="I53" i="17"/>
  <c r="I54" i="17"/>
  <c r="I55" i="17"/>
  <c r="I56" i="17"/>
  <c r="I57" i="17"/>
  <c r="I58" i="17"/>
  <c r="F53" i="17"/>
  <c r="D53" i="17"/>
  <c r="E53" i="17"/>
  <c r="D54" i="17"/>
  <c r="E54" i="17"/>
  <c r="F54" i="17"/>
  <c r="D55" i="17"/>
  <c r="E55" i="17"/>
  <c r="F55" i="17"/>
  <c r="D56" i="17"/>
  <c r="E56" i="17"/>
  <c r="F56" i="17"/>
  <c r="C56" i="17"/>
  <c r="C55" i="17"/>
  <c r="C54" i="17"/>
  <c r="C53" i="17"/>
  <c r="D52" i="17"/>
  <c r="E52" i="17"/>
  <c r="F52" i="17"/>
  <c r="C52" i="17"/>
  <c r="D51" i="17"/>
  <c r="E51" i="17"/>
  <c r="F51" i="17"/>
  <c r="C51" i="17"/>
  <c r="D50" i="17"/>
  <c r="E50" i="17"/>
  <c r="F50" i="17"/>
  <c r="C50" i="17"/>
  <c r="C49" i="17"/>
  <c r="D49" i="17"/>
  <c r="E49" i="17"/>
  <c r="F49" i="17"/>
  <c r="L31" i="19"/>
  <c r="M31" i="19"/>
  <c r="P31" i="19"/>
  <c r="Q31" i="19"/>
  <c r="T31" i="19"/>
  <c r="V31" i="19"/>
  <c r="W31" i="19"/>
  <c r="X31" i="19"/>
  <c r="Y31" i="19"/>
  <c r="Z31" i="19"/>
  <c r="AC31" i="19"/>
  <c r="AE31" i="19"/>
  <c r="AF31" i="19"/>
  <c r="AG31" i="19"/>
  <c r="AJ31" i="19"/>
  <c r="AK31" i="19"/>
  <c r="K22" i="19"/>
  <c r="L22" i="19"/>
  <c r="M22" i="19"/>
  <c r="J22" i="19"/>
  <c r="M19" i="19"/>
  <c r="I14" i="20"/>
  <c r="I15" i="20"/>
  <c r="I13" i="20"/>
  <c r="AB29" i="18"/>
  <c r="K29" i="18"/>
  <c r="K32" i="18" s="1"/>
  <c r="L29" i="18"/>
  <c r="L32" i="18" s="1"/>
  <c r="M29" i="18"/>
  <c r="M32" i="18" s="1"/>
  <c r="N29" i="18"/>
  <c r="N32" i="18" s="1"/>
  <c r="O29" i="18"/>
  <c r="P29" i="18"/>
  <c r="P32" i="18" s="1"/>
  <c r="Q29" i="18"/>
  <c r="Q32" i="18" s="1"/>
  <c r="R29" i="18"/>
  <c r="S29" i="18"/>
  <c r="S32" i="18" s="1"/>
  <c r="T29" i="18"/>
  <c r="T32" i="18" s="1"/>
  <c r="U29" i="18"/>
  <c r="V29" i="18"/>
  <c r="V32" i="18" s="1"/>
  <c r="W29" i="18"/>
  <c r="W32" i="18" s="1"/>
  <c r="X29" i="18"/>
  <c r="X32" i="18" s="1"/>
  <c r="Y29" i="18"/>
  <c r="Y32" i="18" s="1"/>
  <c r="Z29" i="18"/>
  <c r="Z32" i="18" s="1"/>
  <c r="AA29" i="18"/>
  <c r="AA32" i="18" s="1"/>
  <c r="AC29" i="18"/>
  <c r="AC32" i="18" s="1"/>
  <c r="AD29" i="18"/>
  <c r="AD32" i="18" s="1"/>
  <c r="AE29" i="18"/>
  <c r="AE32" i="18" s="1"/>
  <c r="AF29" i="18"/>
  <c r="AF32" i="18" s="1"/>
  <c r="AG29" i="18"/>
  <c r="AG32" i="18" s="1"/>
  <c r="AH29" i="18"/>
  <c r="AH32" i="18" s="1"/>
  <c r="AI29" i="18"/>
  <c r="AI32" i="18" s="1"/>
  <c r="AJ29" i="18"/>
  <c r="AJ32" i="18" s="1"/>
  <c r="AK29" i="18"/>
  <c r="AK32" i="18" s="1"/>
  <c r="J29" i="18"/>
  <c r="J32" i="18" s="1"/>
  <c r="L17" i="18"/>
  <c r="L16" i="18"/>
  <c r="L15" i="18"/>
  <c r="L14" i="18"/>
  <c r="K17" i="18"/>
  <c r="K16" i="18"/>
  <c r="K15" i="18"/>
  <c r="K14" i="18"/>
  <c r="J17" i="18"/>
  <c r="J16" i="18"/>
  <c r="J15" i="18"/>
  <c r="J14" i="18"/>
  <c r="BC58" i="5"/>
  <c r="AT58" i="5"/>
  <c r="AI58" i="5"/>
  <c r="AJ58" i="5"/>
  <c r="AK58" i="5"/>
  <c r="AM58" i="5"/>
  <c r="AN58" i="5"/>
  <c r="AO58" i="5"/>
  <c r="AP58" i="5"/>
  <c r="AQ58" i="5"/>
  <c r="AR58" i="5"/>
  <c r="AS58" i="5"/>
  <c r="AU58" i="5"/>
  <c r="AV58" i="5"/>
  <c r="AW58" i="5"/>
  <c r="AX58" i="5"/>
  <c r="AY58" i="5"/>
  <c r="AZ58" i="5"/>
  <c r="BB58" i="5"/>
  <c r="BD58" i="5"/>
  <c r="BE58" i="5"/>
  <c r="BF58" i="5"/>
  <c r="BG58" i="5"/>
  <c r="BH58" i="5"/>
  <c r="BI58" i="5"/>
  <c r="O101" i="14"/>
  <c r="R100" i="14"/>
  <c r="R99" i="14"/>
  <c r="O100" i="14"/>
  <c r="O99" i="14"/>
  <c r="P98" i="14"/>
  <c r="Q98" i="14"/>
  <c r="O98" i="14"/>
  <c r="V101" i="14"/>
  <c r="V100" i="14"/>
  <c r="V99" i="14"/>
  <c r="V98" i="14"/>
  <c r="V97"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C45" i="14"/>
  <c r="C44" i="14"/>
  <c r="C43" i="14"/>
  <c r="C42" i="14"/>
  <c r="C41" i="14"/>
  <c r="C40" i="14"/>
  <c r="C39" i="14"/>
  <c r="C38" i="14"/>
  <c r="C37" i="14"/>
  <c r="C36" i="14"/>
  <c r="C35" i="14"/>
  <c r="C34" i="14"/>
  <c r="C33" i="14"/>
  <c r="C32" i="14"/>
  <c r="C31" i="14"/>
  <c r="C30" i="14"/>
  <c r="C29" i="14"/>
  <c r="C28" i="14"/>
  <c r="C27" i="14"/>
  <c r="C26" i="14"/>
  <c r="C25" i="14"/>
  <c r="C21" i="14"/>
  <c r="C24" i="14"/>
  <c r="C23" i="14"/>
  <c r="C22" i="14"/>
  <c r="C20" i="14"/>
  <c r="C19" i="14"/>
  <c r="C18" i="14"/>
  <c r="C17" i="14"/>
  <c r="C16" i="14"/>
  <c r="C15" i="14"/>
  <c r="C14" i="14"/>
  <c r="C11" i="14"/>
  <c r="C12" i="14"/>
  <c r="C13" i="14"/>
  <c r="C10" i="14"/>
  <c r="V436" i="16"/>
  <c r="V435" i="16"/>
  <c r="V434" i="16"/>
  <c r="V433" i="16"/>
  <c r="V432" i="16"/>
  <c r="V431" i="16"/>
  <c r="V430" i="16"/>
  <c r="V429" i="16"/>
  <c r="V428" i="16"/>
  <c r="V427" i="16"/>
  <c r="V426" i="16"/>
  <c r="U436" i="16"/>
  <c r="U435" i="16"/>
  <c r="U434" i="16"/>
  <c r="U433" i="16"/>
  <c r="U432" i="16"/>
  <c r="U430" i="16"/>
  <c r="U429" i="16"/>
  <c r="U428" i="16"/>
  <c r="U427" i="16"/>
  <c r="U426" i="16"/>
  <c r="T436" i="16"/>
  <c r="T435" i="16"/>
  <c r="T434" i="16"/>
  <c r="T433" i="16"/>
  <c r="T432" i="16"/>
  <c r="T431" i="16"/>
  <c r="T430" i="16"/>
  <c r="T429" i="16"/>
  <c r="T428" i="16"/>
  <c r="T427" i="16"/>
  <c r="Q437" i="16"/>
  <c r="Q436" i="16"/>
  <c r="Q435" i="16"/>
  <c r="Q434" i="16"/>
  <c r="Q433" i="16"/>
  <c r="Q432" i="16"/>
  <c r="Q431" i="16"/>
  <c r="Q430" i="16"/>
  <c r="Q429" i="16"/>
  <c r="Q428" i="16"/>
  <c r="Q427" i="16"/>
  <c r="Q426" i="16"/>
  <c r="P437" i="16"/>
  <c r="P436" i="16"/>
  <c r="P435" i="16"/>
  <c r="P434" i="16"/>
  <c r="P433" i="16"/>
  <c r="P432" i="16"/>
  <c r="P431" i="16"/>
  <c r="P430" i="16"/>
  <c r="P429" i="16"/>
  <c r="P428" i="16"/>
  <c r="P427" i="16"/>
  <c r="P426" i="16"/>
  <c r="O437" i="16"/>
  <c r="O436" i="16"/>
  <c r="O435" i="16"/>
  <c r="O434" i="16"/>
  <c r="O433" i="16"/>
  <c r="O432" i="16"/>
  <c r="O431" i="16"/>
  <c r="O430" i="16"/>
  <c r="O429" i="16"/>
  <c r="O428" i="16"/>
  <c r="O427" i="16"/>
  <c r="O426" i="16"/>
  <c r="N437" i="16"/>
  <c r="N436" i="16"/>
  <c r="N435" i="16"/>
  <c r="N434" i="16"/>
  <c r="N433" i="16"/>
  <c r="N432" i="16"/>
  <c r="N431" i="16"/>
  <c r="N430" i="16"/>
  <c r="N429" i="16"/>
  <c r="N428" i="16"/>
  <c r="N427" i="16"/>
  <c r="K435" i="16"/>
  <c r="K434" i="16"/>
  <c r="K433" i="16"/>
  <c r="K432" i="16"/>
  <c r="K431" i="16"/>
  <c r="K430" i="16"/>
  <c r="K429" i="16"/>
  <c r="K428" i="16"/>
  <c r="K427" i="16"/>
  <c r="K426" i="16"/>
  <c r="J435" i="16"/>
  <c r="J434" i="16"/>
  <c r="J433" i="16"/>
  <c r="J432" i="16"/>
  <c r="J431" i="16"/>
  <c r="J430" i="16"/>
  <c r="J429" i="16"/>
  <c r="J428" i="16"/>
  <c r="J427" i="16"/>
  <c r="J426" i="16"/>
  <c r="I435" i="16"/>
  <c r="I434" i="16"/>
  <c r="I433" i="16"/>
  <c r="I432" i="16"/>
  <c r="I431" i="16"/>
  <c r="I430" i="16"/>
  <c r="I429" i="16"/>
  <c r="I428" i="16"/>
  <c r="I427" i="16"/>
  <c r="F436" i="16"/>
  <c r="F435" i="16"/>
  <c r="F434" i="16"/>
  <c r="F433" i="16"/>
  <c r="F432" i="16"/>
  <c r="F431" i="16"/>
  <c r="F430" i="16"/>
  <c r="F429" i="16"/>
  <c r="F428" i="16"/>
  <c r="F427" i="16"/>
  <c r="F426" i="16"/>
  <c r="E436" i="16"/>
  <c r="E435" i="16"/>
  <c r="E434" i="16"/>
  <c r="E433" i="16"/>
  <c r="E432" i="16"/>
  <c r="E431" i="16"/>
  <c r="E430" i="16"/>
  <c r="E429" i="16"/>
  <c r="E428" i="16"/>
  <c r="E427" i="16"/>
  <c r="E426" i="16"/>
  <c r="D436" i="16"/>
  <c r="D435" i="16"/>
  <c r="D434" i="16"/>
  <c r="D433" i="16"/>
  <c r="D432" i="16"/>
  <c r="D431" i="16"/>
  <c r="D430" i="16"/>
  <c r="D429" i="16"/>
  <c r="D428" i="16"/>
  <c r="D427" i="16"/>
  <c r="D426" i="16"/>
  <c r="C436" i="16"/>
  <c r="C435" i="16"/>
  <c r="C434" i="16"/>
  <c r="C433" i="16"/>
  <c r="C432" i="16"/>
  <c r="C431" i="16"/>
  <c r="C430" i="16"/>
  <c r="C429" i="16"/>
  <c r="C428" i="16"/>
  <c r="C427" i="16"/>
  <c r="Z419" i="16"/>
  <c r="Z421" i="16" s="1"/>
  <c r="Y420" i="16"/>
  <c r="Y419" i="16"/>
  <c r="Y418" i="16"/>
  <c r="Y417" i="16"/>
  <c r="Y416" i="16"/>
  <c r="Y415" i="16"/>
  <c r="Y414" i="16"/>
  <c r="Y413" i="16"/>
  <c r="Y412" i="16"/>
  <c r="Y411" i="16"/>
  <c r="Y410" i="16"/>
  <c r="X420" i="16"/>
  <c r="X419" i="16"/>
  <c r="X418" i="16"/>
  <c r="X417" i="16"/>
  <c r="X416" i="16"/>
  <c r="X415" i="16"/>
  <c r="X414" i="16"/>
  <c r="X413" i="16"/>
  <c r="X412" i="16"/>
  <c r="X411" i="16"/>
  <c r="X410" i="16"/>
  <c r="W420" i="16"/>
  <c r="W419" i="16"/>
  <c r="W418" i="16"/>
  <c r="W417" i="16"/>
  <c r="W416" i="16"/>
  <c r="W415" i="16"/>
  <c r="W414" i="16"/>
  <c r="W413" i="16"/>
  <c r="W412" i="16"/>
  <c r="W411" i="16"/>
  <c r="W410" i="16"/>
  <c r="V420" i="16"/>
  <c r="V419" i="16"/>
  <c r="V418" i="16"/>
  <c r="V417" i="16"/>
  <c r="V416" i="16"/>
  <c r="S421" i="16"/>
  <c r="S420" i="16"/>
  <c r="S419" i="16"/>
  <c r="S418" i="16"/>
  <c r="S417" i="16"/>
  <c r="S416" i="16"/>
  <c r="S415" i="16"/>
  <c r="S414" i="16"/>
  <c r="S413" i="16"/>
  <c r="S412" i="16"/>
  <c r="S411" i="16"/>
  <c r="S410" i="16"/>
  <c r="R421" i="16"/>
  <c r="R420" i="16"/>
  <c r="R419" i="16"/>
  <c r="R418" i="16"/>
  <c r="R417" i="16"/>
  <c r="R416" i="16"/>
  <c r="R415" i="16"/>
  <c r="R414" i="16"/>
  <c r="R413" i="16"/>
  <c r="R412" i="16"/>
  <c r="R411" i="16"/>
  <c r="R410" i="16"/>
  <c r="Q421" i="16"/>
  <c r="Q420" i="16"/>
  <c r="Q419" i="16"/>
  <c r="Q418" i="16"/>
  <c r="Q417" i="16"/>
  <c r="Q416" i="16"/>
  <c r="Q415" i="16"/>
  <c r="Q414" i="16"/>
  <c r="Q413" i="16"/>
  <c r="Q412" i="16"/>
  <c r="Q411" i="16"/>
  <c r="Q410" i="16"/>
  <c r="P421" i="16"/>
  <c r="P420" i="16"/>
  <c r="P419" i="16"/>
  <c r="P418" i="16"/>
  <c r="P417" i="16"/>
  <c r="P416" i="16"/>
  <c r="P415" i="16"/>
  <c r="P414" i="16"/>
  <c r="P413" i="16"/>
  <c r="P412" i="16"/>
  <c r="P411" i="16"/>
  <c r="M421" i="16"/>
  <c r="M420" i="16"/>
  <c r="M419" i="16"/>
  <c r="M418" i="16"/>
  <c r="M417" i="16"/>
  <c r="M416" i="16"/>
  <c r="M415" i="16"/>
  <c r="M414" i="16"/>
  <c r="M413" i="16"/>
  <c r="M412" i="16"/>
  <c r="M411" i="16"/>
  <c r="M410" i="16"/>
  <c r="L421" i="16"/>
  <c r="L420" i="16"/>
  <c r="L419" i="16"/>
  <c r="L418" i="16"/>
  <c r="L417" i="16"/>
  <c r="L416" i="16"/>
  <c r="L415" i="16"/>
  <c r="L414" i="16"/>
  <c r="L413" i="16"/>
  <c r="L412" i="16"/>
  <c r="L411" i="16"/>
  <c r="L410" i="16"/>
  <c r="K421" i="16"/>
  <c r="K420" i="16"/>
  <c r="K419" i="16"/>
  <c r="K418" i="16"/>
  <c r="K417" i="16"/>
  <c r="K416" i="16"/>
  <c r="K415" i="16"/>
  <c r="K414" i="16"/>
  <c r="K413" i="16"/>
  <c r="K412" i="16"/>
  <c r="K411" i="16"/>
  <c r="K410" i="16"/>
  <c r="J421" i="16"/>
  <c r="J420" i="16"/>
  <c r="J419" i="16"/>
  <c r="J418" i="16"/>
  <c r="J417" i="16"/>
  <c r="J416" i="16"/>
  <c r="J415" i="16"/>
  <c r="J414" i="16"/>
  <c r="J413" i="16"/>
  <c r="J412" i="16"/>
  <c r="J411" i="16"/>
  <c r="G421" i="16"/>
  <c r="G420" i="16"/>
  <c r="G419" i="16"/>
  <c r="G418" i="16"/>
  <c r="G417" i="16"/>
  <c r="G416" i="16"/>
  <c r="G415" i="16"/>
  <c r="G414" i="16"/>
  <c r="G413" i="16"/>
  <c r="G412" i="16"/>
  <c r="G411" i="16"/>
  <c r="G410" i="16"/>
  <c r="F421" i="16"/>
  <c r="F420" i="16"/>
  <c r="F419" i="16"/>
  <c r="F418" i="16"/>
  <c r="F417" i="16"/>
  <c r="F416" i="16"/>
  <c r="F415" i="16"/>
  <c r="F414" i="16"/>
  <c r="F413" i="16"/>
  <c r="F412" i="16"/>
  <c r="F411" i="16"/>
  <c r="F410" i="16"/>
  <c r="E421" i="16"/>
  <c r="E420" i="16"/>
  <c r="E419" i="16"/>
  <c r="E418" i="16"/>
  <c r="E417" i="16"/>
  <c r="E416" i="16"/>
  <c r="E415" i="16"/>
  <c r="E414" i="16"/>
  <c r="E413" i="16"/>
  <c r="E412" i="16"/>
  <c r="E411" i="16"/>
  <c r="E410" i="16"/>
  <c r="D421" i="16"/>
  <c r="D420" i="16"/>
  <c r="D419" i="16"/>
  <c r="D418" i="16"/>
  <c r="D417" i="16"/>
  <c r="D416" i="16"/>
  <c r="D415" i="16"/>
  <c r="D414" i="16"/>
  <c r="D413" i="16"/>
  <c r="D412" i="16"/>
  <c r="D411" i="16"/>
  <c r="D410" i="16"/>
  <c r="C421" i="16"/>
  <c r="C420" i="16"/>
  <c r="C419" i="16"/>
  <c r="C418" i="16"/>
  <c r="C417" i="16"/>
  <c r="C416" i="16"/>
  <c r="C415" i="16"/>
  <c r="C414" i="16"/>
  <c r="C413" i="16"/>
  <c r="C412" i="16"/>
  <c r="C411" i="16"/>
  <c r="Z405" i="16"/>
  <c r="Z404" i="16"/>
  <c r="Z403" i="16"/>
  <c r="Z402" i="16"/>
  <c r="Z401" i="16"/>
  <c r="Z400" i="16"/>
  <c r="Z399" i="16"/>
  <c r="Z398" i="16"/>
  <c r="Z397" i="16"/>
  <c r="Z396" i="16"/>
  <c r="Z395" i="16"/>
  <c r="Z394" i="16"/>
  <c r="Y405" i="16"/>
  <c r="Y404" i="16"/>
  <c r="Y403" i="16"/>
  <c r="Y402" i="16"/>
  <c r="Y401" i="16"/>
  <c r="Y400" i="16"/>
  <c r="Y399" i="16"/>
  <c r="Y398" i="16"/>
  <c r="Y397" i="16"/>
  <c r="Y396" i="16"/>
  <c r="Y395" i="16"/>
  <c r="Y394" i="16"/>
  <c r="X405" i="16"/>
  <c r="X404" i="16"/>
  <c r="X403" i="16"/>
  <c r="X402" i="16"/>
  <c r="X401" i="16"/>
  <c r="X400" i="16"/>
  <c r="X399" i="16"/>
  <c r="X398" i="16"/>
  <c r="X397" i="16"/>
  <c r="X396" i="16"/>
  <c r="X395" i="16"/>
  <c r="X394" i="16"/>
  <c r="W405" i="16"/>
  <c r="W404" i="16"/>
  <c r="W403" i="16"/>
  <c r="W402" i="16"/>
  <c r="W401" i="16"/>
  <c r="W400" i="16"/>
  <c r="W399" i="16"/>
  <c r="W398" i="16"/>
  <c r="W397" i="16"/>
  <c r="W396" i="16"/>
  <c r="W395" i="16"/>
  <c r="T405" i="16"/>
  <c r="T404" i="16"/>
  <c r="T403" i="16"/>
  <c r="T402" i="16"/>
  <c r="T401" i="16"/>
  <c r="T400" i="16"/>
  <c r="T399" i="16"/>
  <c r="T398" i="16"/>
  <c r="T397" i="16"/>
  <c r="T396" i="16"/>
  <c r="T395" i="16"/>
  <c r="T394" i="16"/>
  <c r="R405" i="16"/>
  <c r="R404" i="16"/>
  <c r="R403" i="16"/>
  <c r="R402" i="16"/>
  <c r="R401" i="16"/>
  <c r="R400" i="16"/>
  <c r="R399" i="16"/>
  <c r="R398" i="16"/>
  <c r="R397" i="16"/>
  <c r="R396" i="16"/>
  <c r="R395" i="16"/>
  <c r="Q405" i="16"/>
  <c r="Q404" i="16"/>
  <c r="Q403" i="16"/>
  <c r="Q402" i="16"/>
  <c r="Q401" i="16"/>
  <c r="Q400" i="16"/>
  <c r="Q399" i="16"/>
  <c r="Q398" i="16"/>
  <c r="Q397" i="16"/>
  <c r="Q396" i="16"/>
  <c r="Q395" i="16"/>
  <c r="Q394" i="16"/>
  <c r="P405" i="16"/>
  <c r="P404" i="16"/>
  <c r="P403" i="16"/>
  <c r="P402" i="16"/>
  <c r="P401" i="16"/>
  <c r="P400" i="16"/>
  <c r="P399" i="16"/>
  <c r="P398" i="16"/>
  <c r="P397" i="16"/>
  <c r="P396" i="16"/>
  <c r="P395" i="16"/>
  <c r="M405" i="16"/>
  <c r="M404" i="16"/>
  <c r="M403" i="16"/>
  <c r="M402" i="16"/>
  <c r="M401" i="16"/>
  <c r="M400" i="16"/>
  <c r="M399" i="16"/>
  <c r="M398" i="16"/>
  <c r="M397" i="16"/>
  <c r="M396" i="16"/>
  <c r="M395" i="16"/>
  <c r="M394" i="16"/>
  <c r="L405" i="16"/>
  <c r="L404" i="16"/>
  <c r="L403" i="16"/>
  <c r="L402" i="16"/>
  <c r="L401" i="16"/>
  <c r="L400" i="16"/>
  <c r="L399" i="16"/>
  <c r="L398" i="16"/>
  <c r="L397" i="16"/>
  <c r="L396" i="16"/>
  <c r="L395" i="16"/>
  <c r="L394" i="16"/>
  <c r="K405" i="16"/>
  <c r="K404" i="16"/>
  <c r="K403" i="16"/>
  <c r="K402" i="16"/>
  <c r="K401" i="16"/>
  <c r="K400" i="16"/>
  <c r="K399" i="16"/>
  <c r="K398" i="16"/>
  <c r="K397" i="16"/>
  <c r="K396" i="16"/>
  <c r="K395" i="16"/>
  <c r="K394" i="16"/>
  <c r="J405" i="16"/>
  <c r="J404" i="16"/>
  <c r="J403" i="16"/>
  <c r="J402" i="16"/>
  <c r="J401" i="16"/>
  <c r="J400" i="16"/>
  <c r="J399" i="16"/>
  <c r="J398" i="16"/>
  <c r="J397" i="16"/>
  <c r="J396" i="16"/>
  <c r="J395" i="16"/>
  <c r="G405" i="16"/>
  <c r="G404" i="16"/>
  <c r="G403" i="16"/>
  <c r="G402" i="16"/>
  <c r="G401" i="16"/>
  <c r="G400" i="16"/>
  <c r="G399" i="16"/>
  <c r="G398" i="16"/>
  <c r="G397" i="16"/>
  <c r="G396" i="16"/>
  <c r="G395" i="16"/>
  <c r="G394" i="16"/>
  <c r="F405" i="16"/>
  <c r="F404" i="16"/>
  <c r="F403" i="16"/>
  <c r="F402" i="16"/>
  <c r="F401" i="16"/>
  <c r="F400" i="16"/>
  <c r="F399" i="16"/>
  <c r="F398" i="16"/>
  <c r="F397" i="16"/>
  <c r="F396" i="16"/>
  <c r="F395" i="16"/>
  <c r="F394" i="16"/>
  <c r="E405" i="16"/>
  <c r="E404" i="16"/>
  <c r="E403" i="16"/>
  <c r="E402" i="16"/>
  <c r="E401" i="16"/>
  <c r="E400" i="16"/>
  <c r="E399" i="16"/>
  <c r="E398" i="16"/>
  <c r="E397" i="16"/>
  <c r="E396" i="16"/>
  <c r="E395" i="16"/>
  <c r="E394" i="16"/>
  <c r="D405" i="16"/>
  <c r="D404" i="16"/>
  <c r="D403" i="16"/>
  <c r="D402" i="16"/>
  <c r="D401" i="16"/>
  <c r="D400" i="16"/>
  <c r="D399" i="16"/>
  <c r="D398" i="16"/>
  <c r="D397" i="16"/>
  <c r="D396" i="16"/>
  <c r="D395" i="16"/>
  <c r="D394" i="16"/>
  <c r="C405" i="16"/>
  <c r="C404" i="16"/>
  <c r="C403" i="16"/>
  <c r="C402" i="16"/>
  <c r="C401" i="16"/>
  <c r="C400" i="16"/>
  <c r="C399" i="16"/>
  <c r="C398" i="16"/>
  <c r="C397" i="16"/>
  <c r="C396" i="16"/>
  <c r="C395" i="16"/>
  <c r="Z389" i="16"/>
  <c r="AA389" i="16"/>
  <c r="AA388" i="16"/>
  <c r="AA387" i="16"/>
  <c r="AA386" i="16"/>
  <c r="AA385" i="16"/>
  <c r="AA384" i="16"/>
  <c r="AA383" i="16"/>
  <c r="AA382" i="16"/>
  <c r="AA381" i="16"/>
  <c r="AA380" i="16"/>
  <c r="AA379" i="16"/>
  <c r="AA378" i="16"/>
  <c r="Z388" i="16"/>
  <c r="Z387" i="16"/>
  <c r="Z386" i="16"/>
  <c r="Z385" i="16"/>
  <c r="Z384" i="16"/>
  <c r="Z383" i="16"/>
  <c r="Z382" i="16"/>
  <c r="Z381" i="16"/>
  <c r="Z380" i="16"/>
  <c r="Z379" i="16"/>
  <c r="Z378" i="16"/>
  <c r="Y389" i="16"/>
  <c r="Y388" i="16"/>
  <c r="Y387" i="16"/>
  <c r="Y386" i="16"/>
  <c r="Y385" i="16"/>
  <c r="Y384" i="16"/>
  <c r="Y383" i="16"/>
  <c r="Y382" i="16"/>
  <c r="Y381" i="16"/>
  <c r="Y380" i="16"/>
  <c r="Y379" i="16"/>
  <c r="Y378" i="16"/>
  <c r="X389" i="16"/>
  <c r="X388" i="16"/>
  <c r="X387" i="16"/>
  <c r="X386" i="16"/>
  <c r="X385" i="16"/>
  <c r="X384" i="16"/>
  <c r="X383" i="16"/>
  <c r="X382" i="16"/>
  <c r="X381" i="16"/>
  <c r="X380" i="16"/>
  <c r="X379" i="16"/>
  <c r="U389" i="16"/>
  <c r="U388" i="16"/>
  <c r="U387" i="16"/>
  <c r="U386" i="16"/>
  <c r="U385" i="16"/>
  <c r="U384" i="16"/>
  <c r="U383" i="16"/>
  <c r="U382" i="16"/>
  <c r="U381" i="16"/>
  <c r="U380" i="16"/>
  <c r="U379" i="16"/>
  <c r="U378" i="16"/>
  <c r="T389" i="16"/>
  <c r="T388" i="16"/>
  <c r="T387" i="16"/>
  <c r="T386" i="16"/>
  <c r="T385" i="16"/>
  <c r="T384" i="16"/>
  <c r="T383" i="16"/>
  <c r="T382" i="16"/>
  <c r="T381" i="16"/>
  <c r="T380" i="16"/>
  <c r="T379" i="16"/>
  <c r="T378" i="16"/>
  <c r="S389" i="16"/>
  <c r="S388" i="16"/>
  <c r="S387" i="16"/>
  <c r="S386" i="16"/>
  <c r="S385" i="16"/>
  <c r="S384" i="16"/>
  <c r="S383" i="16"/>
  <c r="S382" i="16"/>
  <c r="S381" i="16"/>
  <c r="S380" i="16"/>
  <c r="S379" i="16"/>
  <c r="S378" i="16"/>
  <c r="R389" i="16"/>
  <c r="R388" i="16"/>
  <c r="R387" i="16"/>
  <c r="R386" i="16"/>
  <c r="R385" i="16"/>
  <c r="R384" i="16"/>
  <c r="R383" i="16"/>
  <c r="R382" i="16"/>
  <c r="R381" i="16"/>
  <c r="R380" i="16"/>
  <c r="R379" i="16"/>
  <c r="R378" i="16"/>
  <c r="Q389" i="16"/>
  <c r="Q388" i="16"/>
  <c r="Q387" i="16"/>
  <c r="Q386" i="16"/>
  <c r="Q385" i="16"/>
  <c r="Q384" i="16"/>
  <c r="Q383" i="16"/>
  <c r="Q382" i="16"/>
  <c r="Q381" i="16"/>
  <c r="Q380" i="16"/>
  <c r="Q379" i="16"/>
  <c r="N389" i="16"/>
  <c r="N388" i="16"/>
  <c r="N387" i="16"/>
  <c r="N386" i="16"/>
  <c r="N385" i="16"/>
  <c r="N384" i="16"/>
  <c r="N383" i="16"/>
  <c r="N382" i="16"/>
  <c r="N381" i="16"/>
  <c r="N380" i="16"/>
  <c r="N379" i="16"/>
  <c r="N378" i="16"/>
  <c r="M389" i="16"/>
  <c r="M388" i="16"/>
  <c r="M387" i="16"/>
  <c r="M386" i="16"/>
  <c r="M385" i="16"/>
  <c r="M384" i="16"/>
  <c r="M383" i="16"/>
  <c r="M382" i="16"/>
  <c r="M381" i="16"/>
  <c r="M380" i="16"/>
  <c r="M379" i="16"/>
  <c r="M378" i="16"/>
  <c r="L389" i="16"/>
  <c r="L388" i="16"/>
  <c r="L387" i="16"/>
  <c r="L386" i="16"/>
  <c r="L385" i="16"/>
  <c r="L384" i="16"/>
  <c r="L383" i="16"/>
  <c r="L382" i="16"/>
  <c r="L381" i="16"/>
  <c r="L380" i="16"/>
  <c r="L379" i="16"/>
  <c r="L378" i="16"/>
  <c r="K389" i="16"/>
  <c r="K388" i="16"/>
  <c r="K387" i="16"/>
  <c r="K386" i="16"/>
  <c r="K385" i="16"/>
  <c r="K384" i="16"/>
  <c r="K383" i="16"/>
  <c r="K382" i="16"/>
  <c r="K381" i="16"/>
  <c r="K380" i="16"/>
  <c r="K379" i="16"/>
  <c r="K378" i="16"/>
  <c r="J389" i="16"/>
  <c r="J388" i="16"/>
  <c r="J387" i="16"/>
  <c r="J386" i="16"/>
  <c r="J385" i="16"/>
  <c r="J384" i="16"/>
  <c r="J383" i="16"/>
  <c r="J382" i="16"/>
  <c r="J381" i="16"/>
  <c r="J380" i="16"/>
  <c r="J379" i="16"/>
  <c r="G389" i="16"/>
  <c r="G388" i="16"/>
  <c r="G387" i="16"/>
  <c r="G386" i="16"/>
  <c r="G385" i="16"/>
  <c r="G384" i="16"/>
  <c r="G383" i="16"/>
  <c r="G382" i="16"/>
  <c r="G381" i="16"/>
  <c r="G380" i="16"/>
  <c r="G379" i="16"/>
  <c r="G378" i="16"/>
  <c r="F389" i="16"/>
  <c r="F388" i="16"/>
  <c r="F387" i="16"/>
  <c r="F386" i="16"/>
  <c r="F385" i="16"/>
  <c r="F384" i="16"/>
  <c r="F383" i="16"/>
  <c r="F382" i="16"/>
  <c r="F381" i="16"/>
  <c r="F380" i="16"/>
  <c r="F379" i="16"/>
  <c r="F378" i="16"/>
  <c r="E389" i="16"/>
  <c r="E388" i="16"/>
  <c r="E387" i="16"/>
  <c r="E386" i="16"/>
  <c r="E385" i="16"/>
  <c r="E384" i="16"/>
  <c r="E383" i="16"/>
  <c r="E382" i="16"/>
  <c r="E381" i="16"/>
  <c r="E380" i="16"/>
  <c r="E379" i="16"/>
  <c r="E378" i="16"/>
  <c r="D389" i="16"/>
  <c r="D388" i="16"/>
  <c r="D387" i="16"/>
  <c r="D386" i="16"/>
  <c r="D385" i="16"/>
  <c r="D384" i="16"/>
  <c r="D383" i="16"/>
  <c r="D382" i="16"/>
  <c r="D381" i="16"/>
  <c r="D380" i="16"/>
  <c r="D379" i="16"/>
  <c r="D378" i="16"/>
  <c r="C389" i="16"/>
  <c r="C388" i="16"/>
  <c r="C387" i="16"/>
  <c r="C386" i="16"/>
  <c r="C385" i="16"/>
  <c r="C384" i="16"/>
  <c r="C383" i="16"/>
  <c r="C382" i="16"/>
  <c r="C381" i="16"/>
  <c r="C380" i="16"/>
  <c r="C379" i="16"/>
  <c r="AA373" i="16"/>
  <c r="AA372" i="16"/>
  <c r="AA371" i="16"/>
  <c r="AA370" i="16"/>
  <c r="AA369" i="16"/>
  <c r="AA368" i="16"/>
  <c r="AA367" i="16"/>
  <c r="AA366" i="16"/>
  <c r="AA365" i="16"/>
  <c r="AA364" i="16"/>
  <c r="AA363" i="16"/>
  <c r="AA362" i="16"/>
  <c r="Z373" i="16"/>
  <c r="Z372" i="16"/>
  <c r="Z371" i="16"/>
  <c r="Z370" i="16"/>
  <c r="Z369" i="16"/>
  <c r="Z368" i="16"/>
  <c r="Z367" i="16"/>
  <c r="Z366" i="16"/>
  <c r="Z365" i="16"/>
  <c r="Z364" i="16"/>
  <c r="Z363" i="16"/>
  <c r="Z362" i="16"/>
  <c r="Y373" i="16"/>
  <c r="Y372" i="16"/>
  <c r="Y371" i="16"/>
  <c r="Y370" i="16"/>
  <c r="Y369" i="16"/>
  <c r="Y368" i="16"/>
  <c r="Y367" i="16"/>
  <c r="Y366" i="16"/>
  <c r="Y365" i="16"/>
  <c r="Y364" i="16"/>
  <c r="Y363" i="16"/>
  <c r="Y362" i="16"/>
  <c r="X373" i="16"/>
  <c r="X372" i="16"/>
  <c r="X371" i="16"/>
  <c r="X370" i="16"/>
  <c r="X369" i="16"/>
  <c r="X368" i="16"/>
  <c r="X367" i="16"/>
  <c r="X366" i="16"/>
  <c r="X365" i="16"/>
  <c r="X364" i="16"/>
  <c r="X363" i="16"/>
  <c r="X362" i="16"/>
  <c r="W373" i="16"/>
  <c r="W372" i="16"/>
  <c r="W371" i="16"/>
  <c r="W370" i="16"/>
  <c r="W369" i="16"/>
  <c r="W368" i="16"/>
  <c r="W367" i="16"/>
  <c r="W366" i="16"/>
  <c r="W365" i="16"/>
  <c r="W364" i="16"/>
  <c r="W363" i="16"/>
  <c r="S373" i="16"/>
  <c r="S372" i="16"/>
  <c r="S371" i="16"/>
  <c r="S370" i="16"/>
  <c r="S369" i="16"/>
  <c r="S368" i="16"/>
  <c r="S367" i="16"/>
  <c r="S366" i="16"/>
  <c r="S365" i="16"/>
  <c r="S364" i="16"/>
  <c r="S363" i="16"/>
  <c r="S362" i="16"/>
  <c r="R373" i="16"/>
  <c r="R372" i="16"/>
  <c r="R371" i="16"/>
  <c r="R370" i="16"/>
  <c r="R369" i="16"/>
  <c r="R368" i="16"/>
  <c r="R367" i="16"/>
  <c r="R366" i="16"/>
  <c r="R365" i="16"/>
  <c r="R364" i="16"/>
  <c r="R363" i="16"/>
  <c r="R362" i="16"/>
  <c r="Q373" i="16"/>
  <c r="Q372" i="16"/>
  <c r="Q371" i="16"/>
  <c r="Q370" i="16"/>
  <c r="Q369" i="16"/>
  <c r="Q368" i="16"/>
  <c r="Q367" i="16"/>
  <c r="Q366" i="16"/>
  <c r="Q365" i="16"/>
  <c r="Q364" i="16"/>
  <c r="Q363" i="16"/>
  <c r="Q362" i="16"/>
  <c r="P373" i="16"/>
  <c r="P372" i="16"/>
  <c r="P371" i="16"/>
  <c r="P370" i="16"/>
  <c r="P369" i="16"/>
  <c r="P368" i="16"/>
  <c r="P367" i="16"/>
  <c r="P366" i="16"/>
  <c r="P365" i="16"/>
  <c r="P364" i="16"/>
  <c r="P363" i="16"/>
  <c r="T362" i="16"/>
  <c r="T374" i="16" s="1"/>
  <c r="M373" i="16"/>
  <c r="M372" i="16"/>
  <c r="M371" i="16"/>
  <c r="M370" i="16"/>
  <c r="M369" i="16"/>
  <c r="M368" i="16"/>
  <c r="M367" i="16"/>
  <c r="M366" i="16"/>
  <c r="M365" i="16"/>
  <c r="M364" i="16"/>
  <c r="M363" i="16"/>
  <c r="M362" i="16"/>
  <c r="L373" i="16"/>
  <c r="L372" i="16"/>
  <c r="L371" i="16"/>
  <c r="L370" i="16"/>
  <c r="L369" i="16"/>
  <c r="L368" i="16"/>
  <c r="L367" i="16"/>
  <c r="L366" i="16"/>
  <c r="L365" i="16"/>
  <c r="L364" i="16"/>
  <c r="L363" i="16"/>
  <c r="L362" i="16"/>
  <c r="K373" i="16"/>
  <c r="K372" i="16"/>
  <c r="K371" i="16"/>
  <c r="K370" i="16"/>
  <c r="K369" i="16"/>
  <c r="K368" i="16"/>
  <c r="K367" i="16"/>
  <c r="K366" i="16"/>
  <c r="K365" i="16"/>
  <c r="K364" i="16"/>
  <c r="K363" i="16"/>
  <c r="K362" i="16"/>
  <c r="J373" i="16"/>
  <c r="J372" i="16"/>
  <c r="J371" i="16"/>
  <c r="J370" i="16"/>
  <c r="J369" i="16"/>
  <c r="J368" i="16"/>
  <c r="J367" i="16"/>
  <c r="J366" i="16"/>
  <c r="J365" i="16"/>
  <c r="J364" i="16"/>
  <c r="J363" i="16"/>
  <c r="G373" i="16"/>
  <c r="G372" i="16"/>
  <c r="G371" i="16"/>
  <c r="G370" i="16"/>
  <c r="G369" i="16"/>
  <c r="G368" i="16"/>
  <c r="G367" i="16"/>
  <c r="G366" i="16"/>
  <c r="G365" i="16"/>
  <c r="G364" i="16"/>
  <c r="G363" i="16"/>
  <c r="G362" i="16"/>
  <c r="F373" i="16"/>
  <c r="F372" i="16"/>
  <c r="F371" i="16"/>
  <c r="F370" i="16"/>
  <c r="F369" i="16"/>
  <c r="F368" i="16"/>
  <c r="F367" i="16"/>
  <c r="F366" i="16"/>
  <c r="F365" i="16"/>
  <c r="F364" i="16"/>
  <c r="F363" i="16"/>
  <c r="F362" i="16"/>
  <c r="E373" i="16"/>
  <c r="E372" i="16"/>
  <c r="E371" i="16"/>
  <c r="E370" i="16"/>
  <c r="E369" i="16"/>
  <c r="E368" i="16"/>
  <c r="E367" i="16"/>
  <c r="E366" i="16"/>
  <c r="E365" i="16"/>
  <c r="E364" i="16"/>
  <c r="E363" i="16"/>
  <c r="E362" i="16"/>
  <c r="D373" i="16"/>
  <c r="D372" i="16"/>
  <c r="D371" i="16"/>
  <c r="D370" i="16"/>
  <c r="D369" i="16"/>
  <c r="D368" i="16"/>
  <c r="D367" i="16"/>
  <c r="D366" i="16"/>
  <c r="D365" i="16"/>
  <c r="D364" i="16"/>
  <c r="D363" i="16"/>
  <c r="D362" i="16"/>
  <c r="C373" i="16"/>
  <c r="C372" i="16"/>
  <c r="C371" i="16"/>
  <c r="C370" i="16"/>
  <c r="C369" i="16"/>
  <c r="C368" i="16"/>
  <c r="C367" i="16"/>
  <c r="C366" i="16"/>
  <c r="C365" i="16"/>
  <c r="C364" i="16"/>
  <c r="C363" i="16"/>
  <c r="AB357" i="16"/>
  <c r="AB356" i="16"/>
  <c r="AB355" i="16"/>
  <c r="AB354" i="16"/>
  <c r="AB353" i="16"/>
  <c r="AB352" i="16"/>
  <c r="AB351" i="16"/>
  <c r="AB350" i="16"/>
  <c r="AB349" i="16"/>
  <c r="AB348" i="16"/>
  <c r="AB347" i="16"/>
  <c r="AB346" i="16"/>
  <c r="AA357" i="16"/>
  <c r="AA356" i="16"/>
  <c r="AA355" i="16"/>
  <c r="AA354" i="16"/>
  <c r="AA353" i="16"/>
  <c r="AA352" i="16"/>
  <c r="AA351" i="16"/>
  <c r="AA350" i="16"/>
  <c r="AA349" i="16"/>
  <c r="AA348" i="16"/>
  <c r="AA347" i="16"/>
  <c r="AA346" i="16"/>
  <c r="Z357" i="16"/>
  <c r="Z356" i="16"/>
  <c r="Z355" i="16"/>
  <c r="Z354" i="16"/>
  <c r="Z353" i="16"/>
  <c r="Z352" i="16"/>
  <c r="Z351" i="16"/>
  <c r="Z350" i="16"/>
  <c r="Z349" i="16"/>
  <c r="Z348" i="16"/>
  <c r="Z347" i="16"/>
  <c r="Z346" i="16"/>
  <c r="Y357" i="16"/>
  <c r="Y356" i="16"/>
  <c r="Y355" i="16"/>
  <c r="Y354" i="16"/>
  <c r="Y353" i="16"/>
  <c r="Y352" i="16"/>
  <c r="Y351" i="16"/>
  <c r="Y350" i="16"/>
  <c r="Y349" i="16"/>
  <c r="Y348" i="16"/>
  <c r="Y347" i="16"/>
  <c r="Y346" i="16"/>
  <c r="X357" i="16"/>
  <c r="X356" i="16"/>
  <c r="X355" i="16"/>
  <c r="X354" i="16"/>
  <c r="X353" i="16"/>
  <c r="X352" i="16"/>
  <c r="X351" i="16"/>
  <c r="X350" i="16"/>
  <c r="X349" i="16"/>
  <c r="X348" i="16"/>
  <c r="X347" i="16"/>
  <c r="U357" i="16"/>
  <c r="U356" i="16"/>
  <c r="U355" i="16"/>
  <c r="U354" i="16"/>
  <c r="U353" i="16"/>
  <c r="U352" i="16"/>
  <c r="U351" i="16"/>
  <c r="U350" i="16"/>
  <c r="U349" i="16"/>
  <c r="U348" i="16"/>
  <c r="U347" i="16"/>
  <c r="U346" i="16"/>
  <c r="T357" i="16"/>
  <c r="T356" i="16"/>
  <c r="T355" i="16"/>
  <c r="T354" i="16"/>
  <c r="T353" i="16"/>
  <c r="T352" i="16"/>
  <c r="T351" i="16"/>
  <c r="T350" i="16"/>
  <c r="T349" i="16"/>
  <c r="T348" i="16"/>
  <c r="T347" i="16"/>
  <c r="T346" i="16"/>
  <c r="S357" i="16"/>
  <c r="S356" i="16"/>
  <c r="S355" i="16"/>
  <c r="S354" i="16"/>
  <c r="S353" i="16"/>
  <c r="S352" i="16"/>
  <c r="S351" i="16"/>
  <c r="S350" i="16"/>
  <c r="S349" i="16"/>
  <c r="S348" i="16"/>
  <c r="S347" i="16"/>
  <c r="S346" i="16"/>
  <c r="R357" i="16"/>
  <c r="R356" i="16"/>
  <c r="R355" i="16"/>
  <c r="R354" i="16"/>
  <c r="R353" i="16"/>
  <c r="R352" i="16"/>
  <c r="R351" i="16"/>
  <c r="R350" i="16"/>
  <c r="R349" i="16"/>
  <c r="R348" i="16"/>
  <c r="R347" i="16"/>
  <c r="R346" i="16"/>
  <c r="Q357" i="16"/>
  <c r="Q356" i="16"/>
  <c r="Q355" i="16"/>
  <c r="Q354" i="16"/>
  <c r="Q353" i="16"/>
  <c r="Q352" i="16"/>
  <c r="Q351" i="16"/>
  <c r="Q350" i="16"/>
  <c r="Q349" i="16"/>
  <c r="Q348" i="16"/>
  <c r="Q347" i="16"/>
  <c r="M357" i="16"/>
  <c r="M356" i="16"/>
  <c r="M355" i="16"/>
  <c r="M354" i="16"/>
  <c r="M353" i="16"/>
  <c r="M352" i="16"/>
  <c r="M351" i="16"/>
  <c r="M350" i="16"/>
  <c r="M349" i="16"/>
  <c r="M348" i="16"/>
  <c r="M347" i="16"/>
  <c r="M346" i="16"/>
  <c r="N357" i="16"/>
  <c r="N356" i="16"/>
  <c r="N355" i="16"/>
  <c r="N354" i="16"/>
  <c r="N353" i="16"/>
  <c r="N352" i="16"/>
  <c r="N351" i="16"/>
  <c r="N350" i="16"/>
  <c r="N349" i="16"/>
  <c r="N348" i="16"/>
  <c r="N347" i="16"/>
  <c r="N346" i="16"/>
  <c r="L357" i="16"/>
  <c r="L356" i="16"/>
  <c r="L355" i="16"/>
  <c r="L354" i="16"/>
  <c r="L353" i="16"/>
  <c r="L352" i="16"/>
  <c r="L351" i="16"/>
  <c r="L350" i="16"/>
  <c r="L349" i="16"/>
  <c r="L348" i="16"/>
  <c r="L347" i="16"/>
  <c r="L346" i="16"/>
  <c r="K357" i="16"/>
  <c r="K356" i="16"/>
  <c r="K355" i="16"/>
  <c r="K354" i="16"/>
  <c r="K353" i="16"/>
  <c r="K352" i="16"/>
  <c r="K351" i="16"/>
  <c r="K350" i="16"/>
  <c r="K349" i="16"/>
  <c r="K348" i="16"/>
  <c r="K347" i="16"/>
  <c r="K346" i="16"/>
  <c r="J357" i="16"/>
  <c r="J356" i="16"/>
  <c r="J355" i="16"/>
  <c r="J354" i="16"/>
  <c r="J353" i="16"/>
  <c r="J352" i="16"/>
  <c r="J351" i="16"/>
  <c r="J350" i="16"/>
  <c r="J349" i="16"/>
  <c r="J348" i="16"/>
  <c r="J347" i="16"/>
  <c r="G356" i="16"/>
  <c r="G355" i="16"/>
  <c r="G354" i="16"/>
  <c r="G353" i="16"/>
  <c r="G352" i="16"/>
  <c r="G351" i="16"/>
  <c r="G350" i="16"/>
  <c r="G349" i="16"/>
  <c r="G348" i="16"/>
  <c r="G347" i="16"/>
  <c r="G346" i="16"/>
  <c r="F356" i="16"/>
  <c r="F355" i="16"/>
  <c r="F354" i="16"/>
  <c r="F353" i="16"/>
  <c r="F352" i="16"/>
  <c r="F351" i="16"/>
  <c r="F350" i="16"/>
  <c r="F349" i="16"/>
  <c r="F348" i="16"/>
  <c r="F347" i="16"/>
  <c r="F346" i="16"/>
  <c r="E356" i="16"/>
  <c r="E355" i="16"/>
  <c r="E354" i="16"/>
  <c r="E353" i="16"/>
  <c r="E352" i="16"/>
  <c r="E351" i="16"/>
  <c r="E350" i="16"/>
  <c r="E349" i="16"/>
  <c r="E348" i="16"/>
  <c r="E347" i="16"/>
  <c r="E346" i="16"/>
  <c r="D356" i="16"/>
  <c r="D355" i="16"/>
  <c r="D354" i="16"/>
  <c r="D353" i="16"/>
  <c r="D352" i="16"/>
  <c r="D351" i="16"/>
  <c r="D350" i="16"/>
  <c r="D349" i="16"/>
  <c r="D348" i="16"/>
  <c r="D347" i="16"/>
  <c r="D346" i="16"/>
  <c r="C356" i="16"/>
  <c r="C355" i="16"/>
  <c r="C354" i="16"/>
  <c r="C353" i="16"/>
  <c r="C352" i="16"/>
  <c r="C351" i="16"/>
  <c r="C350" i="16"/>
  <c r="C349" i="16"/>
  <c r="C348" i="16"/>
  <c r="C347" i="16"/>
  <c r="Y339" i="16"/>
  <c r="Y338" i="16"/>
  <c r="Y337" i="16"/>
  <c r="Y336" i="16"/>
  <c r="Y335" i="16"/>
  <c r="Y334" i="16"/>
  <c r="Y333" i="16"/>
  <c r="Y332" i="16"/>
  <c r="Y331" i="16"/>
  <c r="Y330" i="16"/>
  <c r="Y329" i="16"/>
  <c r="X339" i="16"/>
  <c r="X338" i="16"/>
  <c r="X337" i="16"/>
  <c r="X336" i="16"/>
  <c r="X335" i="16"/>
  <c r="X334" i="16"/>
  <c r="X333" i="16"/>
  <c r="X332" i="16"/>
  <c r="X331" i="16"/>
  <c r="X330" i="16"/>
  <c r="X329" i="16"/>
  <c r="W339" i="16"/>
  <c r="W338" i="16"/>
  <c r="W337" i="16"/>
  <c r="W336" i="16"/>
  <c r="W335" i="16"/>
  <c r="W334" i="16"/>
  <c r="W333" i="16"/>
  <c r="W332" i="16"/>
  <c r="W331" i="16"/>
  <c r="W330" i="16"/>
  <c r="W329" i="16"/>
  <c r="V339" i="16"/>
  <c r="V338" i="16"/>
  <c r="V337" i="16"/>
  <c r="V336" i="16"/>
  <c r="V335" i="16"/>
  <c r="V334" i="16"/>
  <c r="V333" i="16"/>
  <c r="V332" i="16"/>
  <c r="V331" i="16"/>
  <c r="V330" i="16"/>
  <c r="V329" i="16"/>
  <c r="U339" i="16"/>
  <c r="U338" i="16"/>
  <c r="U337" i="16"/>
  <c r="U336" i="16"/>
  <c r="U335" i="16"/>
  <c r="U334" i="16"/>
  <c r="U333" i="16"/>
  <c r="U332" i="16"/>
  <c r="U331" i="16"/>
  <c r="U330" i="16"/>
  <c r="R341" i="16"/>
  <c r="R340" i="16"/>
  <c r="R339" i="16"/>
  <c r="R338" i="16"/>
  <c r="R337" i="16"/>
  <c r="R336" i="16"/>
  <c r="R335" i="16"/>
  <c r="R334" i="16"/>
  <c r="R333" i="16"/>
  <c r="R332" i="16"/>
  <c r="R331" i="16"/>
  <c r="R330" i="16"/>
  <c r="R329" i="16"/>
  <c r="Q341" i="16"/>
  <c r="Q340" i="16"/>
  <c r="Q339" i="16"/>
  <c r="Q338" i="16"/>
  <c r="Q337" i="16"/>
  <c r="Q336" i="16"/>
  <c r="Q335" i="16"/>
  <c r="Q334" i="16"/>
  <c r="Q333" i="16"/>
  <c r="Q332" i="16"/>
  <c r="Q331" i="16"/>
  <c r="Q330" i="16"/>
  <c r="Q329" i="16"/>
  <c r="P341" i="16"/>
  <c r="P340" i="16"/>
  <c r="P339" i="16"/>
  <c r="P338" i="16"/>
  <c r="P337" i="16"/>
  <c r="P336" i="16"/>
  <c r="P335" i="16"/>
  <c r="P334" i="16"/>
  <c r="P333" i="16"/>
  <c r="P332" i="16"/>
  <c r="P331" i="16"/>
  <c r="P330" i="16"/>
  <c r="P329" i="16"/>
  <c r="O341" i="16"/>
  <c r="O340" i="16"/>
  <c r="O339" i="16"/>
  <c r="O338" i="16"/>
  <c r="O337" i="16"/>
  <c r="O336" i="16"/>
  <c r="O335" i="16"/>
  <c r="O334" i="16"/>
  <c r="O333" i="16"/>
  <c r="O332" i="16"/>
  <c r="O331" i="16"/>
  <c r="O330" i="16"/>
  <c r="L340" i="16"/>
  <c r="L339" i="16"/>
  <c r="L338" i="16"/>
  <c r="L337" i="16"/>
  <c r="L336" i="16"/>
  <c r="L335" i="16"/>
  <c r="L334" i="16"/>
  <c r="L333" i="16"/>
  <c r="L332" i="16"/>
  <c r="L331" i="16"/>
  <c r="L330" i="16"/>
  <c r="L329" i="16"/>
  <c r="K340" i="16"/>
  <c r="K339" i="16"/>
  <c r="K338" i="16"/>
  <c r="K337" i="16"/>
  <c r="K336" i="16"/>
  <c r="K335" i="16"/>
  <c r="K334" i="16"/>
  <c r="K333" i="16"/>
  <c r="K332" i="16"/>
  <c r="K331" i="16"/>
  <c r="K330" i="16"/>
  <c r="K329" i="16"/>
  <c r="J340" i="16"/>
  <c r="J339" i="16"/>
  <c r="J338" i="16"/>
  <c r="J337" i="16"/>
  <c r="J336" i="16"/>
  <c r="J335" i="16"/>
  <c r="J334" i="16"/>
  <c r="J333" i="16"/>
  <c r="J332" i="16"/>
  <c r="J331" i="16"/>
  <c r="J330" i="16"/>
  <c r="J329" i="16"/>
  <c r="I340" i="16"/>
  <c r="I339" i="16"/>
  <c r="I338" i="16"/>
  <c r="I337" i="16"/>
  <c r="I336" i="16"/>
  <c r="I335" i="16"/>
  <c r="I334" i="16"/>
  <c r="I333" i="16"/>
  <c r="I332" i="16"/>
  <c r="I331" i="16"/>
  <c r="I330" i="16"/>
  <c r="F341" i="16"/>
  <c r="F340" i="16"/>
  <c r="F339" i="16"/>
  <c r="F338" i="16"/>
  <c r="F337" i="16"/>
  <c r="F336" i="16"/>
  <c r="F335" i="16"/>
  <c r="F334" i="16"/>
  <c r="F333" i="16"/>
  <c r="F332" i="16"/>
  <c r="F331" i="16"/>
  <c r="F330" i="16"/>
  <c r="F329" i="16"/>
  <c r="E341" i="16"/>
  <c r="E340" i="16"/>
  <c r="E339" i="16"/>
  <c r="E338" i="16"/>
  <c r="E337" i="16"/>
  <c r="E336" i="16"/>
  <c r="E335" i="16"/>
  <c r="E334" i="16"/>
  <c r="E333" i="16"/>
  <c r="E332" i="16"/>
  <c r="E331" i="16"/>
  <c r="E330" i="16"/>
  <c r="E329" i="16"/>
  <c r="D341" i="16"/>
  <c r="D340" i="16"/>
  <c r="D339" i="16"/>
  <c r="D338" i="16"/>
  <c r="D337" i="16"/>
  <c r="D336" i="16"/>
  <c r="D335" i="16"/>
  <c r="D334" i="16"/>
  <c r="D333" i="16"/>
  <c r="D332" i="16"/>
  <c r="D331" i="16"/>
  <c r="D330" i="16"/>
  <c r="D329" i="16"/>
  <c r="C341" i="16"/>
  <c r="C340" i="16"/>
  <c r="C339" i="16"/>
  <c r="C338" i="16"/>
  <c r="C337" i="16"/>
  <c r="C336" i="16"/>
  <c r="C335" i="16"/>
  <c r="C334" i="16"/>
  <c r="C333" i="16"/>
  <c r="C332" i="16"/>
  <c r="C331" i="16"/>
  <c r="C330" i="16"/>
  <c r="X323" i="16"/>
  <c r="X322" i="16"/>
  <c r="X321" i="16"/>
  <c r="X320" i="16"/>
  <c r="X319" i="16"/>
  <c r="X318" i="16"/>
  <c r="X317" i="16"/>
  <c r="X316" i="16"/>
  <c r="X315" i="16"/>
  <c r="X314" i="16"/>
  <c r="X313" i="16"/>
  <c r="X312" i="16"/>
  <c r="W323" i="16"/>
  <c r="W322" i="16"/>
  <c r="W321" i="16"/>
  <c r="W320" i="16"/>
  <c r="W319" i="16"/>
  <c r="W318" i="16"/>
  <c r="W317" i="16"/>
  <c r="W316" i="16"/>
  <c r="W315" i="16"/>
  <c r="W314" i="16"/>
  <c r="W313" i="16"/>
  <c r="W312" i="16"/>
  <c r="V323" i="16"/>
  <c r="V322" i="16"/>
  <c r="V321" i="16"/>
  <c r="V320" i="16"/>
  <c r="V319" i="16"/>
  <c r="V318" i="16"/>
  <c r="V317" i="16"/>
  <c r="V316" i="16"/>
  <c r="V315" i="16"/>
  <c r="V314" i="16"/>
  <c r="V313" i="16"/>
  <c r="V312" i="16"/>
  <c r="U323" i="16"/>
  <c r="U322" i="16"/>
  <c r="U321" i="16"/>
  <c r="U320" i="16"/>
  <c r="U319" i="16"/>
  <c r="U318" i="16"/>
  <c r="U317" i="16"/>
  <c r="U316" i="16"/>
  <c r="U315" i="16"/>
  <c r="U314" i="16"/>
  <c r="U313" i="16"/>
  <c r="R324" i="16"/>
  <c r="R323" i="16"/>
  <c r="R322" i="16"/>
  <c r="R321" i="16"/>
  <c r="R320" i="16"/>
  <c r="R319" i="16"/>
  <c r="R318" i="16"/>
  <c r="R317" i="16"/>
  <c r="R316" i="16"/>
  <c r="R315" i="16"/>
  <c r="R314" i="16"/>
  <c r="R313" i="16"/>
  <c r="R312" i="16"/>
  <c r="Q324" i="16"/>
  <c r="Q323" i="16"/>
  <c r="Q322" i="16"/>
  <c r="Q321" i="16"/>
  <c r="Q320" i="16"/>
  <c r="Q319" i="16"/>
  <c r="Q318" i="16"/>
  <c r="Q317" i="16"/>
  <c r="Q316" i="16"/>
  <c r="Q315" i="16"/>
  <c r="Q314" i="16"/>
  <c r="Q313" i="16"/>
  <c r="Q312" i="16"/>
  <c r="P324" i="16"/>
  <c r="P323" i="16"/>
  <c r="P322" i="16"/>
  <c r="P321" i="16"/>
  <c r="P320" i="16"/>
  <c r="P319" i="16"/>
  <c r="P318" i="16"/>
  <c r="P317" i="16"/>
  <c r="P316" i="16"/>
  <c r="P315" i="16"/>
  <c r="P314" i="16"/>
  <c r="P313" i="16"/>
  <c r="P312" i="16"/>
  <c r="O324" i="16"/>
  <c r="O323" i="16"/>
  <c r="O322" i="16"/>
  <c r="O321" i="16"/>
  <c r="O320" i="16"/>
  <c r="O319" i="16"/>
  <c r="O318" i="16"/>
  <c r="O317" i="16"/>
  <c r="O316" i="16"/>
  <c r="O315" i="16"/>
  <c r="O314" i="16"/>
  <c r="O313" i="16"/>
  <c r="O312" i="16"/>
  <c r="L323" i="16"/>
  <c r="L322" i="16"/>
  <c r="L321" i="16"/>
  <c r="L320" i="16"/>
  <c r="L319" i="16"/>
  <c r="L318" i="16"/>
  <c r="L317" i="16"/>
  <c r="L316" i="16"/>
  <c r="L315" i="16"/>
  <c r="L314" i="16"/>
  <c r="L313" i="16"/>
  <c r="L312" i="16"/>
  <c r="K323" i="16"/>
  <c r="K322" i="16"/>
  <c r="K321" i="16"/>
  <c r="K320" i="16"/>
  <c r="K319" i="16"/>
  <c r="K318" i="16"/>
  <c r="K317" i="16"/>
  <c r="K316" i="16"/>
  <c r="K315" i="16"/>
  <c r="K314" i="16"/>
  <c r="K313" i="16"/>
  <c r="K312" i="16"/>
  <c r="J323" i="16"/>
  <c r="J322" i="16"/>
  <c r="J321" i="16"/>
  <c r="J320" i="16"/>
  <c r="J319" i="16"/>
  <c r="J318" i="16"/>
  <c r="J317" i="16"/>
  <c r="J316" i="16"/>
  <c r="J315" i="16"/>
  <c r="J314" i="16"/>
  <c r="J313" i="16"/>
  <c r="J312" i="16"/>
  <c r="I323" i="16"/>
  <c r="I322" i="16"/>
  <c r="I321" i="16"/>
  <c r="I320" i="16"/>
  <c r="I319" i="16"/>
  <c r="I318" i="16"/>
  <c r="I317" i="16"/>
  <c r="I316" i="16"/>
  <c r="I315" i="16"/>
  <c r="I314" i="16"/>
  <c r="I313" i="16"/>
  <c r="F324" i="16"/>
  <c r="F323" i="16"/>
  <c r="F322" i="16"/>
  <c r="F321" i="16"/>
  <c r="F320" i="16"/>
  <c r="F319" i="16"/>
  <c r="F318" i="16"/>
  <c r="F317" i="16"/>
  <c r="F316" i="16"/>
  <c r="F315" i="16"/>
  <c r="F314" i="16"/>
  <c r="F313" i="16"/>
  <c r="F312" i="16"/>
  <c r="E324" i="16"/>
  <c r="E323" i="16"/>
  <c r="E322" i="16"/>
  <c r="E321" i="16"/>
  <c r="E320" i="16"/>
  <c r="E319" i="16"/>
  <c r="E318" i="16"/>
  <c r="E317" i="16"/>
  <c r="E316" i="16"/>
  <c r="E315" i="16"/>
  <c r="E314" i="16"/>
  <c r="E313" i="16"/>
  <c r="E312" i="16"/>
  <c r="D324" i="16"/>
  <c r="D323" i="16"/>
  <c r="D322" i="16"/>
  <c r="D321" i="16"/>
  <c r="D320" i="16"/>
  <c r="D319" i="16"/>
  <c r="D318" i="16"/>
  <c r="D317" i="16"/>
  <c r="D316" i="16"/>
  <c r="D315" i="16"/>
  <c r="D314" i="16"/>
  <c r="D313" i="16"/>
  <c r="D312" i="16"/>
  <c r="C324" i="16"/>
  <c r="C323" i="16"/>
  <c r="C322" i="16"/>
  <c r="C321" i="16"/>
  <c r="C320" i="16"/>
  <c r="C319" i="16"/>
  <c r="C318" i="16"/>
  <c r="C317" i="16"/>
  <c r="C316" i="16"/>
  <c r="C315" i="16"/>
  <c r="C314" i="16"/>
  <c r="C313" i="16"/>
  <c r="X307" i="16"/>
  <c r="X306" i="16"/>
  <c r="X305" i="16"/>
  <c r="X304" i="16"/>
  <c r="X303" i="16"/>
  <c r="X302" i="16"/>
  <c r="X301" i="16"/>
  <c r="X300" i="16"/>
  <c r="X299" i="16"/>
  <c r="X298" i="16"/>
  <c r="X297" i="16"/>
  <c r="X296" i="16"/>
  <c r="X295" i="16"/>
  <c r="W307" i="16"/>
  <c r="W306" i="16"/>
  <c r="W305" i="16"/>
  <c r="W304" i="16"/>
  <c r="W303" i="16"/>
  <c r="W302" i="16"/>
  <c r="W301" i="16"/>
  <c r="W300" i="16"/>
  <c r="W299" i="16"/>
  <c r="W298" i="16"/>
  <c r="W297" i="16"/>
  <c r="W296" i="16"/>
  <c r="W295" i="16"/>
  <c r="V307" i="16"/>
  <c r="V306" i="16"/>
  <c r="V305" i="16"/>
  <c r="V304" i="16"/>
  <c r="V303" i="16"/>
  <c r="V302" i="16"/>
  <c r="V301" i="16"/>
  <c r="V300" i="16"/>
  <c r="V299" i="16"/>
  <c r="V298" i="16"/>
  <c r="V297" i="16"/>
  <c r="V296" i="16"/>
  <c r="V295" i="16"/>
  <c r="U307" i="16"/>
  <c r="U306" i="16"/>
  <c r="U305" i="16"/>
  <c r="U304" i="16"/>
  <c r="U303" i="16"/>
  <c r="U302" i="16"/>
  <c r="U301" i="16"/>
  <c r="U300" i="16"/>
  <c r="U299" i="16"/>
  <c r="U298" i="16"/>
  <c r="U297" i="16"/>
  <c r="U296" i="16"/>
  <c r="U295" i="16"/>
  <c r="R307" i="16"/>
  <c r="R306" i="16"/>
  <c r="R305" i="16"/>
  <c r="R304" i="16"/>
  <c r="R303" i="16"/>
  <c r="R302" i="16"/>
  <c r="R301" i="16"/>
  <c r="R300" i="16"/>
  <c r="R299" i="16"/>
  <c r="R298" i="16"/>
  <c r="R297" i="16"/>
  <c r="R296" i="16"/>
  <c r="R295" i="16"/>
  <c r="Q307" i="16"/>
  <c r="Q306" i="16"/>
  <c r="Q305" i="16"/>
  <c r="Q304" i="16"/>
  <c r="Q303" i="16"/>
  <c r="Q302" i="16"/>
  <c r="Q301" i="16"/>
  <c r="Q300" i="16"/>
  <c r="Q299" i="16"/>
  <c r="Q298" i="16"/>
  <c r="Q297" i="16"/>
  <c r="Q296" i="16"/>
  <c r="Q295" i="16"/>
  <c r="P307" i="16"/>
  <c r="P306" i="16"/>
  <c r="P305" i="16"/>
  <c r="P304" i="16"/>
  <c r="P303" i="16"/>
  <c r="P302" i="16"/>
  <c r="P301" i="16"/>
  <c r="P300" i="16"/>
  <c r="P299" i="16"/>
  <c r="P298" i="16"/>
  <c r="P297" i="16"/>
  <c r="P296" i="16"/>
  <c r="P295" i="16"/>
  <c r="O307" i="16"/>
  <c r="O306" i="16"/>
  <c r="O305" i="16"/>
  <c r="O304" i="16"/>
  <c r="O303" i="16"/>
  <c r="O302" i="16"/>
  <c r="O301" i="16"/>
  <c r="O300" i="16"/>
  <c r="O299" i="16"/>
  <c r="O298" i="16"/>
  <c r="O297" i="16"/>
  <c r="O296" i="16"/>
  <c r="O295" i="16"/>
  <c r="L307" i="16"/>
  <c r="L306" i="16"/>
  <c r="L305" i="16"/>
  <c r="L304" i="16"/>
  <c r="L303" i="16"/>
  <c r="L302" i="16"/>
  <c r="L301" i="16"/>
  <c r="L300" i="16"/>
  <c r="L299" i="16"/>
  <c r="L298" i="16"/>
  <c r="L297" i="16"/>
  <c r="L296" i="16"/>
  <c r="L295" i="16"/>
  <c r="J307" i="16"/>
  <c r="J306" i="16"/>
  <c r="J305" i="16"/>
  <c r="J304" i="16"/>
  <c r="J303" i="16"/>
  <c r="J302" i="16"/>
  <c r="J301" i="16"/>
  <c r="J300" i="16"/>
  <c r="J299" i="16"/>
  <c r="J298" i="16"/>
  <c r="J297" i="16"/>
  <c r="J296" i="16"/>
  <c r="J295" i="16"/>
  <c r="K307" i="16"/>
  <c r="K306" i="16"/>
  <c r="K305" i="16"/>
  <c r="K304" i="16"/>
  <c r="K303" i="16"/>
  <c r="K302" i="16"/>
  <c r="K301" i="16"/>
  <c r="K300" i="16"/>
  <c r="K299" i="16"/>
  <c r="K298" i="16"/>
  <c r="K297" i="16"/>
  <c r="K296" i="16"/>
  <c r="K295" i="16"/>
  <c r="I301" i="16"/>
  <c r="I302" i="16"/>
  <c r="I303" i="16"/>
  <c r="I304" i="16"/>
  <c r="I305" i="16"/>
  <c r="I306" i="16"/>
  <c r="I307" i="16"/>
  <c r="I300" i="16"/>
  <c r="I299" i="16"/>
  <c r="I298" i="16"/>
  <c r="I297" i="16"/>
  <c r="I296" i="16"/>
  <c r="D295" i="16"/>
  <c r="E295" i="16"/>
  <c r="F295" i="16"/>
  <c r="D296" i="16"/>
  <c r="E296" i="16"/>
  <c r="F296" i="16"/>
  <c r="D297" i="16"/>
  <c r="E297" i="16"/>
  <c r="F297" i="16"/>
  <c r="D298" i="16"/>
  <c r="E298" i="16"/>
  <c r="F298" i="16"/>
  <c r="D299" i="16"/>
  <c r="E299" i="16"/>
  <c r="F299" i="16"/>
  <c r="D300" i="16"/>
  <c r="E300" i="16"/>
  <c r="F300" i="16"/>
  <c r="D301" i="16"/>
  <c r="E301" i="16"/>
  <c r="F301" i="16"/>
  <c r="D302" i="16"/>
  <c r="E302" i="16"/>
  <c r="F302" i="16"/>
  <c r="D303" i="16"/>
  <c r="E303" i="16"/>
  <c r="F303" i="16"/>
  <c r="D304" i="16"/>
  <c r="E304" i="16"/>
  <c r="F304" i="16"/>
  <c r="D305" i="16"/>
  <c r="E305" i="16"/>
  <c r="F305" i="16"/>
  <c r="D306" i="16"/>
  <c r="E306" i="16"/>
  <c r="F306" i="16"/>
  <c r="D307" i="16"/>
  <c r="E307" i="16"/>
  <c r="F307" i="16"/>
  <c r="C307" i="16"/>
  <c r="C306" i="16"/>
  <c r="C305" i="16"/>
  <c r="C304" i="16"/>
  <c r="C303" i="16"/>
  <c r="C302" i="16"/>
  <c r="C301" i="16"/>
  <c r="C300" i="16"/>
  <c r="C299" i="16"/>
  <c r="C298" i="16"/>
  <c r="C297" i="16"/>
  <c r="C296" i="16"/>
  <c r="C295" i="16"/>
  <c r="K24" i="16"/>
  <c r="L24" i="16" s="1"/>
  <c r="K23" i="16"/>
  <c r="L23" i="16" s="1"/>
  <c r="K22" i="16"/>
  <c r="L22" i="16" s="1"/>
  <c r="K21" i="16"/>
  <c r="L21" i="16" s="1"/>
  <c r="K20" i="16"/>
  <c r="L20" i="16" s="1"/>
  <c r="K19" i="16"/>
  <c r="L19" i="16" s="1"/>
  <c r="K18" i="16"/>
  <c r="L18" i="16" s="1"/>
  <c r="K17" i="16"/>
  <c r="L17" i="16" s="1"/>
  <c r="K16" i="16"/>
  <c r="L16" i="16" s="1"/>
  <c r="K15" i="16"/>
  <c r="L15" i="16" s="1"/>
  <c r="K14" i="16"/>
  <c r="L14" i="16" s="1"/>
  <c r="K13" i="16"/>
  <c r="L13" i="16" s="1"/>
  <c r="K12" i="16"/>
  <c r="L12" i="16" s="1"/>
  <c r="I12" i="16"/>
  <c r="J12" i="16" s="1"/>
  <c r="I13" i="16"/>
  <c r="J13" i="16" s="1"/>
  <c r="I14" i="16"/>
  <c r="J14" i="16" s="1"/>
  <c r="I15" i="16"/>
  <c r="J15" i="16" s="1"/>
  <c r="I16" i="16"/>
  <c r="J16" i="16" s="1"/>
  <c r="I17" i="16"/>
  <c r="J17" i="16" s="1"/>
  <c r="I18" i="16"/>
  <c r="J18" i="16" s="1"/>
  <c r="I19" i="16"/>
  <c r="J19" i="16" s="1"/>
  <c r="I20" i="16"/>
  <c r="J20" i="16" s="1"/>
  <c r="H21" i="16"/>
  <c r="I21" i="16"/>
  <c r="J21" i="16" s="1"/>
  <c r="G23" i="16"/>
  <c r="H23" i="16" s="1"/>
  <c r="I23" i="16"/>
  <c r="J23" i="16" s="1"/>
  <c r="F20" i="16"/>
  <c r="C37" i="13"/>
  <c r="C36" i="13"/>
  <c r="C35" i="13"/>
  <c r="C33" i="13"/>
  <c r="H45" i="9"/>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31" i="9"/>
  <c r="C44" i="9"/>
  <c r="F98" i="9" s="1"/>
  <c r="C45" i="9"/>
  <c r="F99" i="9" s="1"/>
  <c r="C48" i="9"/>
  <c r="F102" i="9" s="1"/>
  <c r="E48" i="9"/>
  <c r="F48" i="9"/>
  <c r="D48" i="9"/>
  <c r="E47" i="9"/>
  <c r="F47" i="9"/>
  <c r="K47" i="9"/>
  <c r="D47" i="9"/>
  <c r="C47" i="9"/>
  <c r="F101" i="9" s="1"/>
  <c r="E46" i="9"/>
  <c r="F46" i="9"/>
  <c r="D46" i="9"/>
  <c r="E45" i="9"/>
  <c r="F45" i="9"/>
  <c r="D45" i="9"/>
  <c r="E44" i="9"/>
  <c r="F44" i="9"/>
  <c r="H44" i="9"/>
  <c r="J44" i="9"/>
  <c r="D44" i="9"/>
  <c r="E43" i="9"/>
  <c r="F43" i="9"/>
  <c r="H43" i="9"/>
  <c r="D43" i="9"/>
  <c r="C43" i="9"/>
  <c r="F97" i="9" s="1"/>
  <c r="E42" i="9"/>
  <c r="F42" i="9"/>
  <c r="H42" i="9"/>
  <c r="D42" i="9"/>
  <c r="C42" i="9"/>
  <c r="F96" i="9" s="1"/>
  <c r="E41" i="9"/>
  <c r="F41" i="9"/>
  <c r="G41" i="9"/>
  <c r="H41" i="9"/>
  <c r="D41" i="9"/>
  <c r="C41" i="9"/>
  <c r="E40" i="9"/>
  <c r="F40" i="9"/>
  <c r="G40" i="9"/>
  <c r="H40" i="9"/>
  <c r="D40" i="9"/>
  <c r="C40" i="9"/>
  <c r="E39" i="9"/>
  <c r="F39" i="9"/>
  <c r="G39" i="9"/>
  <c r="H39" i="9"/>
  <c r="D39" i="9"/>
  <c r="C39" i="9"/>
  <c r="E38" i="9"/>
  <c r="F38" i="9"/>
  <c r="G38" i="9"/>
  <c r="H38" i="9"/>
  <c r="D38" i="9"/>
  <c r="C38" i="9"/>
  <c r="E37" i="9"/>
  <c r="F37" i="9"/>
  <c r="G37" i="9"/>
  <c r="H37" i="9"/>
  <c r="D37" i="9"/>
  <c r="C37" i="9"/>
  <c r="E36" i="9"/>
  <c r="F36" i="9"/>
  <c r="G36" i="9"/>
  <c r="H36" i="9"/>
  <c r="D36" i="9"/>
  <c r="C36" i="9"/>
  <c r="E35" i="9"/>
  <c r="F35" i="9"/>
  <c r="G35" i="9"/>
  <c r="H35" i="9"/>
  <c r="D35" i="9"/>
  <c r="C35" i="9"/>
  <c r="E34" i="9"/>
  <c r="F34" i="9"/>
  <c r="G34" i="9"/>
  <c r="H34" i="9"/>
  <c r="D34" i="9"/>
  <c r="C34" i="9"/>
  <c r="E33" i="9"/>
  <c r="F33" i="9"/>
  <c r="G33" i="9"/>
  <c r="H33" i="9"/>
  <c r="D33" i="9"/>
  <c r="C33" i="9"/>
  <c r="E32" i="9"/>
  <c r="F32" i="9"/>
  <c r="G32" i="9"/>
  <c r="H32" i="9"/>
  <c r="D32" i="9"/>
  <c r="C32" i="9"/>
  <c r="E31" i="9"/>
  <c r="F31" i="9"/>
  <c r="G31" i="9"/>
  <c r="H31" i="9"/>
  <c r="I31" i="9"/>
  <c r="D31" i="9"/>
  <c r="E30" i="9"/>
  <c r="F30" i="9"/>
  <c r="G30" i="9"/>
  <c r="H30" i="9"/>
  <c r="D30" i="9"/>
  <c r="C30" i="9"/>
  <c r="E29" i="9"/>
  <c r="F29" i="9"/>
  <c r="G29" i="9"/>
  <c r="H29" i="9"/>
  <c r="D29" i="9"/>
  <c r="C29" i="9"/>
  <c r="E28" i="9"/>
  <c r="F28" i="9"/>
  <c r="G28" i="9"/>
  <c r="H28" i="9"/>
  <c r="D28" i="9"/>
  <c r="C28" i="9"/>
  <c r="C27" i="9"/>
  <c r="E27" i="9"/>
  <c r="F27" i="9"/>
  <c r="G27" i="9"/>
  <c r="H27" i="9"/>
  <c r="D27" i="9"/>
  <c r="E26" i="9"/>
  <c r="F26" i="9"/>
  <c r="G26" i="9"/>
  <c r="H26" i="9"/>
  <c r="D26" i="9"/>
  <c r="C26" i="9"/>
  <c r="E25" i="9"/>
  <c r="F25" i="9"/>
  <c r="G25" i="9"/>
  <c r="H25" i="9"/>
  <c r="D25" i="9"/>
  <c r="C25" i="9"/>
  <c r="C24" i="9"/>
  <c r="F24" i="9"/>
  <c r="D24" i="9"/>
  <c r="G24" i="9"/>
  <c r="E24" i="9"/>
  <c r="H24" i="9"/>
  <c r="C23" i="9"/>
  <c r="E23" i="9"/>
  <c r="F23" i="9"/>
  <c r="G23" i="9"/>
  <c r="D23" i="9"/>
  <c r="C22" i="9"/>
  <c r="E22" i="9"/>
  <c r="F22" i="9"/>
  <c r="G22" i="9"/>
  <c r="D22" i="9"/>
  <c r="D21" i="9"/>
  <c r="E21" i="9"/>
  <c r="F21" i="9"/>
  <c r="G21" i="9"/>
  <c r="C21" i="9"/>
  <c r="E20" i="9"/>
  <c r="F20" i="9"/>
  <c r="G20" i="9"/>
  <c r="D20" i="9"/>
  <c r="C20" i="9"/>
  <c r="E19" i="9"/>
  <c r="F19" i="9"/>
  <c r="G19" i="9"/>
  <c r="D19" i="9"/>
  <c r="C19" i="9"/>
  <c r="E18" i="9"/>
  <c r="F18" i="9"/>
  <c r="G18" i="9"/>
  <c r="D18" i="9"/>
  <c r="C18" i="9"/>
  <c r="E17" i="9"/>
  <c r="F17" i="9"/>
  <c r="G17" i="9"/>
  <c r="D17" i="9"/>
  <c r="E16" i="9"/>
  <c r="F16" i="9"/>
  <c r="G16" i="9"/>
  <c r="D16" i="9"/>
  <c r="D15" i="9"/>
  <c r="C17" i="9"/>
  <c r="C16" i="9"/>
  <c r="E15" i="9"/>
  <c r="F15" i="9"/>
  <c r="G15" i="9"/>
  <c r="C15" i="9"/>
  <c r="C14" i="9"/>
  <c r="E14" i="9"/>
  <c r="F14" i="9"/>
  <c r="G14" i="9"/>
  <c r="D14" i="9"/>
  <c r="E13" i="9"/>
  <c r="D65" i="9" s="1"/>
  <c r="F13" i="9"/>
  <c r="E65" i="9" s="1"/>
  <c r="G13" i="9"/>
  <c r="F65" i="9" s="1"/>
  <c r="D13" i="9"/>
  <c r="C65" i="9" s="1"/>
  <c r="AF36" i="7"/>
  <c r="AF39" i="7"/>
  <c r="AF35" i="7"/>
  <c r="AF47" i="7"/>
  <c r="AF16" i="7"/>
  <c r="AF31" i="7"/>
  <c r="AF18" i="7"/>
  <c r="AF13" i="7"/>
  <c r="AF29" i="7"/>
  <c r="AF38" i="7"/>
  <c r="AF32" i="7"/>
  <c r="AF46" i="7"/>
  <c r="AF14" i="7"/>
  <c r="AF17" i="7"/>
  <c r="AF21" i="7"/>
  <c r="AF37" i="7"/>
  <c r="AF44" i="7"/>
  <c r="AF24" i="7"/>
  <c r="AF23" i="7"/>
  <c r="AF28" i="7"/>
  <c r="AF34" i="7"/>
  <c r="AF43" i="7"/>
  <c r="AF41" i="7"/>
  <c r="AF33" i="7"/>
  <c r="AF45" i="7"/>
  <c r="AF42" i="7"/>
  <c r="AF19" i="7"/>
  <c r="AF25" i="7"/>
  <c r="AF15" i="7"/>
  <c r="AF27" i="7"/>
  <c r="AF30" i="7"/>
  <c r="AF11" i="7"/>
  <c r="AF26" i="7"/>
  <c r="AF40" i="7"/>
  <c r="AF22" i="7"/>
  <c r="AC13" i="7"/>
  <c r="AC12" i="7"/>
  <c r="AC14" i="7"/>
  <c r="AC11"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V81" i="6"/>
  <c r="AS92" i="6"/>
  <c r="AM91" i="6"/>
  <c r="T77" i="5"/>
  <c r="T76" i="5"/>
  <c r="T75" i="5"/>
  <c r="T74" i="5"/>
  <c r="T73" i="5"/>
  <c r="T72" i="5"/>
  <c r="T71" i="5"/>
  <c r="T70" i="5"/>
  <c r="T69" i="5"/>
  <c r="T68" i="5"/>
  <c r="T67" i="5"/>
  <c r="T66" i="5"/>
  <c r="T65" i="5"/>
  <c r="T64" i="5"/>
  <c r="T63" i="5"/>
  <c r="T62" i="5"/>
  <c r="T61" i="5"/>
  <c r="T60" i="5"/>
  <c r="T59" i="5"/>
  <c r="T58" i="5"/>
  <c r="T57" i="5"/>
  <c r="T56" i="5"/>
  <c r="T55" i="5"/>
  <c r="T54" i="5"/>
  <c r="T53" i="5"/>
  <c r="T52" i="5"/>
  <c r="T51" i="5"/>
  <c r="T50" i="5"/>
  <c r="T49" i="5"/>
  <c r="T48" i="5"/>
  <c r="T47" i="5"/>
  <c r="T46" i="5"/>
  <c r="T45" i="5"/>
  <c r="T44" i="5"/>
  <c r="T43" i="5"/>
  <c r="T42"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E77" i="5"/>
  <c r="E76" i="5"/>
  <c r="E75" i="5"/>
  <c r="E74" i="5"/>
  <c r="E73" i="5"/>
  <c r="E72"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F43" i="5"/>
  <c r="G43" i="5"/>
  <c r="I43" i="5"/>
  <c r="J43" i="5"/>
  <c r="K43" i="5"/>
  <c r="L43" i="5"/>
  <c r="M43" i="5"/>
  <c r="N43" i="5"/>
  <c r="O43" i="5"/>
  <c r="Q43" i="5"/>
  <c r="R43" i="5"/>
  <c r="S43" i="5"/>
  <c r="U43" i="5"/>
  <c r="V43" i="5"/>
  <c r="X43" i="5"/>
  <c r="Z43" i="5"/>
  <c r="AA43" i="5"/>
  <c r="AB43" i="5"/>
  <c r="AC43" i="5"/>
  <c r="AD43" i="5"/>
  <c r="AE43" i="5"/>
  <c r="F44" i="5"/>
  <c r="G44" i="5"/>
  <c r="I44" i="5"/>
  <c r="J44" i="5"/>
  <c r="K44" i="5"/>
  <c r="L44" i="5"/>
  <c r="M44" i="5"/>
  <c r="N44" i="5"/>
  <c r="O44" i="5"/>
  <c r="Q44" i="5"/>
  <c r="R44" i="5"/>
  <c r="S44" i="5"/>
  <c r="U44" i="5"/>
  <c r="V44" i="5"/>
  <c r="X44" i="5"/>
  <c r="Z44" i="5"/>
  <c r="AA44" i="5"/>
  <c r="AB44" i="5"/>
  <c r="AC44" i="5"/>
  <c r="AD44" i="5"/>
  <c r="AE44" i="5"/>
  <c r="F45" i="5"/>
  <c r="G45" i="5"/>
  <c r="I45" i="5"/>
  <c r="J45" i="5"/>
  <c r="K45" i="5"/>
  <c r="L45" i="5"/>
  <c r="M45" i="5"/>
  <c r="N45" i="5"/>
  <c r="O45" i="5"/>
  <c r="Q45" i="5"/>
  <c r="R45" i="5"/>
  <c r="S45" i="5"/>
  <c r="U45" i="5"/>
  <c r="V45" i="5"/>
  <c r="X45" i="5"/>
  <c r="Z45" i="5"/>
  <c r="AA45" i="5"/>
  <c r="AB45" i="5"/>
  <c r="AC45" i="5"/>
  <c r="AD45" i="5"/>
  <c r="AE45" i="5"/>
  <c r="F46" i="5"/>
  <c r="G46" i="5"/>
  <c r="I46" i="5"/>
  <c r="J46" i="5"/>
  <c r="K46" i="5"/>
  <c r="L46" i="5"/>
  <c r="M46" i="5"/>
  <c r="N46" i="5"/>
  <c r="O46" i="5"/>
  <c r="Q46" i="5"/>
  <c r="R46" i="5"/>
  <c r="S46" i="5"/>
  <c r="U46" i="5"/>
  <c r="V46" i="5"/>
  <c r="X46" i="5"/>
  <c r="Z46" i="5"/>
  <c r="AA46" i="5"/>
  <c r="AB46" i="5"/>
  <c r="AC46" i="5"/>
  <c r="AD46" i="5"/>
  <c r="AE46" i="5"/>
  <c r="F47" i="5"/>
  <c r="G47" i="5"/>
  <c r="I47" i="5"/>
  <c r="J47" i="5"/>
  <c r="K47" i="5"/>
  <c r="L47" i="5"/>
  <c r="M47" i="5"/>
  <c r="N47" i="5"/>
  <c r="O47" i="5"/>
  <c r="Q47" i="5"/>
  <c r="R47" i="5"/>
  <c r="S47" i="5"/>
  <c r="U47" i="5"/>
  <c r="V47" i="5"/>
  <c r="X47" i="5"/>
  <c r="Z47" i="5"/>
  <c r="AA47" i="5"/>
  <c r="AB47" i="5"/>
  <c r="AC47" i="5"/>
  <c r="AD47" i="5"/>
  <c r="AE47" i="5"/>
  <c r="F48" i="5"/>
  <c r="G48" i="5"/>
  <c r="I48" i="5"/>
  <c r="J48" i="5"/>
  <c r="K48" i="5"/>
  <c r="L48" i="5"/>
  <c r="M48" i="5"/>
  <c r="N48" i="5"/>
  <c r="O48" i="5"/>
  <c r="Q48" i="5"/>
  <c r="R48" i="5"/>
  <c r="S48" i="5"/>
  <c r="U48" i="5"/>
  <c r="V48" i="5"/>
  <c r="X48" i="5"/>
  <c r="Z48" i="5"/>
  <c r="AA48" i="5"/>
  <c r="AB48" i="5"/>
  <c r="AC48" i="5"/>
  <c r="AD48" i="5"/>
  <c r="AE48" i="5"/>
  <c r="F49" i="5"/>
  <c r="G49" i="5"/>
  <c r="I49" i="5"/>
  <c r="J49" i="5"/>
  <c r="K49" i="5"/>
  <c r="L49" i="5"/>
  <c r="M49" i="5"/>
  <c r="N49" i="5"/>
  <c r="O49" i="5"/>
  <c r="Q49" i="5"/>
  <c r="R49" i="5"/>
  <c r="S49" i="5"/>
  <c r="U49" i="5"/>
  <c r="V49" i="5"/>
  <c r="X49" i="5"/>
  <c r="Z49" i="5"/>
  <c r="AA49" i="5"/>
  <c r="AB49" i="5"/>
  <c r="AC49" i="5"/>
  <c r="AD49" i="5"/>
  <c r="AE49" i="5"/>
  <c r="F50" i="5"/>
  <c r="G50" i="5"/>
  <c r="I50" i="5"/>
  <c r="J50" i="5"/>
  <c r="K50" i="5"/>
  <c r="L50" i="5"/>
  <c r="M50" i="5"/>
  <c r="N50" i="5"/>
  <c r="O50" i="5"/>
  <c r="Q50" i="5"/>
  <c r="R50" i="5"/>
  <c r="S50" i="5"/>
  <c r="U50" i="5"/>
  <c r="V50" i="5"/>
  <c r="X50" i="5"/>
  <c r="Z50" i="5"/>
  <c r="AA50" i="5"/>
  <c r="AB50" i="5"/>
  <c r="AC50" i="5"/>
  <c r="AD50" i="5"/>
  <c r="AE50" i="5"/>
  <c r="F51" i="5"/>
  <c r="G51" i="5"/>
  <c r="I51" i="5"/>
  <c r="J51" i="5"/>
  <c r="K51" i="5"/>
  <c r="L51" i="5"/>
  <c r="M51" i="5"/>
  <c r="N51" i="5"/>
  <c r="O51" i="5"/>
  <c r="Q51" i="5"/>
  <c r="R51" i="5"/>
  <c r="S51" i="5"/>
  <c r="U51" i="5"/>
  <c r="V51" i="5"/>
  <c r="X51" i="5"/>
  <c r="Z51" i="5"/>
  <c r="AA51" i="5"/>
  <c r="AB51" i="5"/>
  <c r="AC51" i="5"/>
  <c r="AD51" i="5"/>
  <c r="AE51" i="5"/>
  <c r="F52" i="5"/>
  <c r="G52" i="5"/>
  <c r="I52" i="5"/>
  <c r="J52" i="5"/>
  <c r="K52" i="5"/>
  <c r="L52" i="5"/>
  <c r="M52" i="5"/>
  <c r="N52" i="5"/>
  <c r="O52" i="5"/>
  <c r="Q52" i="5"/>
  <c r="R52" i="5"/>
  <c r="S52" i="5"/>
  <c r="U52" i="5"/>
  <c r="V52" i="5"/>
  <c r="X52" i="5"/>
  <c r="Z52" i="5"/>
  <c r="AA52" i="5"/>
  <c r="AB52" i="5"/>
  <c r="AC52" i="5"/>
  <c r="AD52" i="5"/>
  <c r="AE52" i="5"/>
  <c r="F53" i="5"/>
  <c r="G53" i="5"/>
  <c r="I53" i="5"/>
  <c r="J53" i="5"/>
  <c r="K53" i="5"/>
  <c r="L53" i="5"/>
  <c r="M53" i="5"/>
  <c r="N53" i="5"/>
  <c r="O53" i="5"/>
  <c r="Q53" i="5"/>
  <c r="R53" i="5"/>
  <c r="S53" i="5"/>
  <c r="U53" i="5"/>
  <c r="V53" i="5"/>
  <c r="X53" i="5"/>
  <c r="Z53" i="5"/>
  <c r="AA53" i="5"/>
  <c r="AB53" i="5"/>
  <c r="AC53" i="5"/>
  <c r="AD53" i="5"/>
  <c r="AE53" i="5"/>
  <c r="F54" i="5"/>
  <c r="G54" i="5"/>
  <c r="I54" i="5"/>
  <c r="J54" i="5"/>
  <c r="K54" i="5"/>
  <c r="L54" i="5"/>
  <c r="M54" i="5"/>
  <c r="N54" i="5"/>
  <c r="O54" i="5"/>
  <c r="Q54" i="5"/>
  <c r="R54" i="5"/>
  <c r="S54" i="5"/>
  <c r="U54" i="5"/>
  <c r="V54" i="5"/>
  <c r="X54" i="5"/>
  <c r="Z54" i="5"/>
  <c r="AA54" i="5"/>
  <c r="AB54" i="5"/>
  <c r="AC54" i="5"/>
  <c r="AD54" i="5"/>
  <c r="AE54" i="5"/>
  <c r="F55" i="5"/>
  <c r="G55" i="5"/>
  <c r="I55" i="5"/>
  <c r="J55" i="5"/>
  <c r="K55" i="5"/>
  <c r="L55" i="5"/>
  <c r="M55" i="5"/>
  <c r="N55" i="5"/>
  <c r="O55" i="5"/>
  <c r="Q55" i="5"/>
  <c r="R55" i="5"/>
  <c r="S55" i="5"/>
  <c r="U55" i="5"/>
  <c r="V55" i="5"/>
  <c r="X55" i="5"/>
  <c r="Z55" i="5"/>
  <c r="AA55" i="5"/>
  <c r="AB55" i="5"/>
  <c r="AC55" i="5"/>
  <c r="AD55" i="5"/>
  <c r="AE55" i="5"/>
  <c r="F56" i="5"/>
  <c r="G56" i="5"/>
  <c r="I56" i="5"/>
  <c r="J56" i="5"/>
  <c r="K56" i="5"/>
  <c r="L56" i="5"/>
  <c r="M56" i="5"/>
  <c r="N56" i="5"/>
  <c r="O56" i="5"/>
  <c r="Q56" i="5"/>
  <c r="R56" i="5"/>
  <c r="S56" i="5"/>
  <c r="U56" i="5"/>
  <c r="V56" i="5"/>
  <c r="X56" i="5"/>
  <c r="Z56" i="5"/>
  <c r="AA56" i="5"/>
  <c r="AB56" i="5"/>
  <c r="AC56" i="5"/>
  <c r="AD56" i="5"/>
  <c r="AE56" i="5"/>
  <c r="F57" i="5"/>
  <c r="G57" i="5"/>
  <c r="I57" i="5"/>
  <c r="J57" i="5"/>
  <c r="K57" i="5"/>
  <c r="L57" i="5"/>
  <c r="M57" i="5"/>
  <c r="N57" i="5"/>
  <c r="O57" i="5"/>
  <c r="Q57" i="5"/>
  <c r="R57" i="5"/>
  <c r="S57" i="5"/>
  <c r="U57" i="5"/>
  <c r="V57" i="5"/>
  <c r="X57" i="5"/>
  <c r="Z57" i="5"/>
  <c r="AA57" i="5"/>
  <c r="AB57" i="5"/>
  <c r="AC57" i="5"/>
  <c r="AD57" i="5"/>
  <c r="AE57" i="5"/>
  <c r="F58" i="5"/>
  <c r="G58" i="5"/>
  <c r="I58" i="5"/>
  <c r="J58" i="5"/>
  <c r="K58" i="5"/>
  <c r="L58" i="5"/>
  <c r="M58" i="5"/>
  <c r="N58" i="5"/>
  <c r="O58" i="5"/>
  <c r="Q58" i="5"/>
  <c r="R58" i="5"/>
  <c r="S58" i="5"/>
  <c r="U58" i="5"/>
  <c r="V58" i="5"/>
  <c r="X58" i="5"/>
  <c r="Z58" i="5"/>
  <c r="AA58" i="5"/>
  <c r="AB58" i="5"/>
  <c r="AC58" i="5"/>
  <c r="AD58" i="5"/>
  <c r="AE58" i="5"/>
  <c r="F59" i="5"/>
  <c r="G59" i="5"/>
  <c r="I59" i="5"/>
  <c r="J59" i="5"/>
  <c r="K59" i="5"/>
  <c r="L59" i="5"/>
  <c r="M59" i="5"/>
  <c r="N59" i="5"/>
  <c r="O59" i="5"/>
  <c r="Q59" i="5"/>
  <c r="R59" i="5"/>
  <c r="S59" i="5"/>
  <c r="U59" i="5"/>
  <c r="V59" i="5"/>
  <c r="X59" i="5"/>
  <c r="Z59" i="5"/>
  <c r="AA59" i="5"/>
  <c r="AB59" i="5"/>
  <c r="AC59" i="5"/>
  <c r="AD59" i="5"/>
  <c r="AE59" i="5"/>
  <c r="F60" i="5"/>
  <c r="G60" i="5"/>
  <c r="I60" i="5"/>
  <c r="J60" i="5"/>
  <c r="K60" i="5"/>
  <c r="L60" i="5"/>
  <c r="M60" i="5"/>
  <c r="N60" i="5"/>
  <c r="O60" i="5"/>
  <c r="Q60" i="5"/>
  <c r="R60" i="5"/>
  <c r="S60" i="5"/>
  <c r="U60" i="5"/>
  <c r="V60" i="5"/>
  <c r="X60" i="5"/>
  <c r="Z60" i="5"/>
  <c r="AA60" i="5"/>
  <c r="AB60" i="5"/>
  <c r="AC60" i="5"/>
  <c r="AD60" i="5"/>
  <c r="AE60" i="5"/>
  <c r="F61" i="5"/>
  <c r="G61" i="5"/>
  <c r="I61" i="5"/>
  <c r="J61" i="5"/>
  <c r="K61" i="5"/>
  <c r="L61" i="5"/>
  <c r="M61" i="5"/>
  <c r="N61" i="5"/>
  <c r="O61" i="5"/>
  <c r="Q61" i="5"/>
  <c r="R61" i="5"/>
  <c r="S61" i="5"/>
  <c r="U61" i="5"/>
  <c r="V61" i="5"/>
  <c r="X61" i="5"/>
  <c r="Z61" i="5"/>
  <c r="AA61" i="5"/>
  <c r="AB61" i="5"/>
  <c r="AC61" i="5"/>
  <c r="AD61" i="5"/>
  <c r="AE61" i="5"/>
  <c r="F62" i="5"/>
  <c r="G62" i="5"/>
  <c r="I62" i="5"/>
  <c r="J62" i="5"/>
  <c r="K62" i="5"/>
  <c r="L62" i="5"/>
  <c r="M62" i="5"/>
  <c r="N62" i="5"/>
  <c r="O62" i="5"/>
  <c r="Q62" i="5"/>
  <c r="R62" i="5"/>
  <c r="S62" i="5"/>
  <c r="U62" i="5"/>
  <c r="V62" i="5"/>
  <c r="X62" i="5"/>
  <c r="Z62" i="5"/>
  <c r="AA62" i="5"/>
  <c r="AB62" i="5"/>
  <c r="AC62" i="5"/>
  <c r="AD62" i="5"/>
  <c r="AE62" i="5"/>
  <c r="F63" i="5"/>
  <c r="G63" i="5"/>
  <c r="I63" i="5"/>
  <c r="J63" i="5"/>
  <c r="K63" i="5"/>
  <c r="L63" i="5"/>
  <c r="M63" i="5"/>
  <c r="N63" i="5"/>
  <c r="O63" i="5"/>
  <c r="Q63" i="5"/>
  <c r="R63" i="5"/>
  <c r="S63" i="5"/>
  <c r="U63" i="5"/>
  <c r="V63" i="5"/>
  <c r="X63" i="5"/>
  <c r="Z63" i="5"/>
  <c r="AA63" i="5"/>
  <c r="AB63" i="5"/>
  <c r="AC63" i="5"/>
  <c r="AD63" i="5"/>
  <c r="AE63" i="5"/>
  <c r="F64" i="5"/>
  <c r="G64" i="5"/>
  <c r="I64" i="5"/>
  <c r="J64" i="5"/>
  <c r="K64" i="5"/>
  <c r="L64" i="5"/>
  <c r="M64" i="5"/>
  <c r="N64" i="5"/>
  <c r="O64" i="5"/>
  <c r="Q64" i="5"/>
  <c r="R64" i="5"/>
  <c r="S64" i="5"/>
  <c r="U64" i="5"/>
  <c r="V64" i="5"/>
  <c r="X64" i="5"/>
  <c r="Z64" i="5"/>
  <c r="AA64" i="5"/>
  <c r="AB64" i="5"/>
  <c r="AC64" i="5"/>
  <c r="AD64" i="5"/>
  <c r="AE64" i="5"/>
  <c r="F65" i="5"/>
  <c r="G65" i="5"/>
  <c r="I65" i="5"/>
  <c r="J65" i="5"/>
  <c r="K65" i="5"/>
  <c r="L65" i="5"/>
  <c r="M65" i="5"/>
  <c r="N65" i="5"/>
  <c r="O65" i="5"/>
  <c r="Q65" i="5"/>
  <c r="R65" i="5"/>
  <c r="S65" i="5"/>
  <c r="U65" i="5"/>
  <c r="V65" i="5"/>
  <c r="X65" i="5"/>
  <c r="Z65" i="5"/>
  <c r="AA65" i="5"/>
  <c r="AB65" i="5"/>
  <c r="AC65" i="5"/>
  <c r="AD65" i="5"/>
  <c r="AE65" i="5"/>
  <c r="F66" i="5"/>
  <c r="G66" i="5"/>
  <c r="I66" i="5"/>
  <c r="J66" i="5"/>
  <c r="K66" i="5"/>
  <c r="L66" i="5"/>
  <c r="M66" i="5"/>
  <c r="N66" i="5"/>
  <c r="O66" i="5"/>
  <c r="Q66" i="5"/>
  <c r="R66" i="5"/>
  <c r="S66" i="5"/>
  <c r="U66" i="5"/>
  <c r="V66" i="5"/>
  <c r="X66" i="5"/>
  <c r="Z66" i="5"/>
  <c r="AA66" i="5"/>
  <c r="AB66" i="5"/>
  <c r="AC66" i="5"/>
  <c r="AD66" i="5"/>
  <c r="AE66" i="5"/>
  <c r="F67" i="5"/>
  <c r="G67" i="5"/>
  <c r="I67" i="5"/>
  <c r="J67" i="5"/>
  <c r="K67" i="5"/>
  <c r="L67" i="5"/>
  <c r="M67" i="5"/>
  <c r="N67" i="5"/>
  <c r="O67" i="5"/>
  <c r="Q67" i="5"/>
  <c r="R67" i="5"/>
  <c r="S67" i="5"/>
  <c r="U67" i="5"/>
  <c r="V67" i="5"/>
  <c r="X67" i="5"/>
  <c r="Z67" i="5"/>
  <c r="AA67" i="5"/>
  <c r="AB67" i="5"/>
  <c r="AC67" i="5"/>
  <c r="AD67" i="5"/>
  <c r="AE67" i="5"/>
  <c r="F68" i="5"/>
  <c r="G68" i="5"/>
  <c r="I68" i="5"/>
  <c r="J68" i="5"/>
  <c r="K68" i="5"/>
  <c r="L68" i="5"/>
  <c r="M68" i="5"/>
  <c r="N68" i="5"/>
  <c r="O68" i="5"/>
  <c r="Q68" i="5"/>
  <c r="R68" i="5"/>
  <c r="S68" i="5"/>
  <c r="U68" i="5"/>
  <c r="V68" i="5"/>
  <c r="X68" i="5"/>
  <c r="Z68" i="5"/>
  <c r="AA68" i="5"/>
  <c r="AB68" i="5"/>
  <c r="AC68" i="5"/>
  <c r="AD68" i="5"/>
  <c r="AE68" i="5"/>
  <c r="F69" i="5"/>
  <c r="G69" i="5"/>
  <c r="I69" i="5"/>
  <c r="J69" i="5"/>
  <c r="K69" i="5"/>
  <c r="L69" i="5"/>
  <c r="M69" i="5"/>
  <c r="N69" i="5"/>
  <c r="O69" i="5"/>
  <c r="Q69" i="5"/>
  <c r="R69" i="5"/>
  <c r="S69" i="5"/>
  <c r="U69" i="5"/>
  <c r="V69" i="5"/>
  <c r="X69" i="5"/>
  <c r="Z69" i="5"/>
  <c r="AA69" i="5"/>
  <c r="AB69" i="5"/>
  <c r="AC69" i="5"/>
  <c r="AD69" i="5"/>
  <c r="AE69" i="5"/>
  <c r="F70" i="5"/>
  <c r="G70" i="5"/>
  <c r="I70" i="5"/>
  <c r="J70" i="5"/>
  <c r="K70" i="5"/>
  <c r="L70" i="5"/>
  <c r="M70" i="5"/>
  <c r="N70" i="5"/>
  <c r="O70" i="5"/>
  <c r="Q70" i="5"/>
  <c r="R70" i="5"/>
  <c r="S70" i="5"/>
  <c r="U70" i="5"/>
  <c r="V70" i="5"/>
  <c r="X70" i="5"/>
  <c r="Z70" i="5"/>
  <c r="AA70" i="5"/>
  <c r="AB70" i="5"/>
  <c r="AC70" i="5"/>
  <c r="AD70" i="5"/>
  <c r="AE70" i="5"/>
  <c r="F71" i="5"/>
  <c r="G71" i="5"/>
  <c r="I71" i="5"/>
  <c r="J71" i="5"/>
  <c r="K71" i="5"/>
  <c r="L71" i="5"/>
  <c r="M71" i="5"/>
  <c r="N71" i="5"/>
  <c r="O71" i="5"/>
  <c r="Q71" i="5"/>
  <c r="R71" i="5"/>
  <c r="S71" i="5"/>
  <c r="U71" i="5"/>
  <c r="V71" i="5"/>
  <c r="X71" i="5"/>
  <c r="Z71" i="5"/>
  <c r="AA71" i="5"/>
  <c r="AB71" i="5"/>
  <c r="AC71" i="5"/>
  <c r="AD71" i="5"/>
  <c r="AE71" i="5"/>
  <c r="F72" i="5"/>
  <c r="G72" i="5"/>
  <c r="I72" i="5"/>
  <c r="J72" i="5"/>
  <c r="K72" i="5"/>
  <c r="L72" i="5"/>
  <c r="M72" i="5"/>
  <c r="N72" i="5"/>
  <c r="O72" i="5"/>
  <c r="Q72" i="5"/>
  <c r="R72" i="5"/>
  <c r="S72" i="5"/>
  <c r="U72" i="5"/>
  <c r="V72" i="5"/>
  <c r="X72" i="5"/>
  <c r="Z72" i="5"/>
  <c r="AA72" i="5"/>
  <c r="AB72" i="5"/>
  <c r="AC72" i="5"/>
  <c r="AD72" i="5"/>
  <c r="AE72" i="5"/>
  <c r="F73" i="5"/>
  <c r="G73" i="5"/>
  <c r="I73" i="5"/>
  <c r="J73" i="5"/>
  <c r="K73" i="5"/>
  <c r="L73" i="5"/>
  <c r="M73" i="5"/>
  <c r="N73" i="5"/>
  <c r="O73" i="5"/>
  <c r="Q73" i="5"/>
  <c r="R73" i="5"/>
  <c r="S73" i="5"/>
  <c r="U73" i="5"/>
  <c r="V73" i="5"/>
  <c r="X73" i="5"/>
  <c r="Z73" i="5"/>
  <c r="AA73" i="5"/>
  <c r="AB73" i="5"/>
  <c r="AC73" i="5"/>
  <c r="AD73" i="5"/>
  <c r="AE73" i="5"/>
  <c r="F74" i="5"/>
  <c r="G74" i="5"/>
  <c r="I74" i="5"/>
  <c r="J74" i="5"/>
  <c r="K74" i="5"/>
  <c r="L74" i="5"/>
  <c r="M74" i="5"/>
  <c r="N74" i="5"/>
  <c r="O74" i="5"/>
  <c r="Q74" i="5"/>
  <c r="R74" i="5"/>
  <c r="S74" i="5"/>
  <c r="U74" i="5"/>
  <c r="V74" i="5"/>
  <c r="X74" i="5"/>
  <c r="Z74" i="5"/>
  <c r="AA74" i="5"/>
  <c r="AB74" i="5"/>
  <c r="AC74" i="5"/>
  <c r="AD74" i="5"/>
  <c r="AE74" i="5"/>
  <c r="F75" i="5"/>
  <c r="G75" i="5"/>
  <c r="I75" i="5"/>
  <c r="J75" i="5"/>
  <c r="K75" i="5"/>
  <c r="L75" i="5"/>
  <c r="M75" i="5"/>
  <c r="N75" i="5"/>
  <c r="O75" i="5"/>
  <c r="Q75" i="5"/>
  <c r="R75" i="5"/>
  <c r="S75" i="5"/>
  <c r="U75" i="5"/>
  <c r="V75" i="5"/>
  <c r="X75" i="5"/>
  <c r="Z75" i="5"/>
  <c r="AA75" i="5"/>
  <c r="AB75" i="5"/>
  <c r="AC75" i="5"/>
  <c r="AD75" i="5"/>
  <c r="AE75" i="5"/>
  <c r="F76" i="5"/>
  <c r="G76" i="5"/>
  <c r="I76" i="5"/>
  <c r="J76" i="5"/>
  <c r="K76" i="5"/>
  <c r="L76" i="5"/>
  <c r="M76" i="5"/>
  <c r="N76" i="5"/>
  <c r="O76" i="5"/>
  <c r="Q76" i="5"/>
  <c r="R76" i="5"/>
  <c r="S76" i="5"/>
  <c r="U76" i="5"/>
  <c r="V76" i="5"/>
  <c r="X76" i="5"/>
  <c r="Z76" i="5"/>
  <c r="AA76" i="5"/>
  <c r="AB76" i="5"/>
  <c r="AC76" i="5"/>
  <c r="AD76" i="5"/>
  <c r="AE76" i="5"/>
  <c r="F77" i="5"/>
  <c r="G77" i="5"/>
  <c r="I77" i="5"/>
  <c r="J77" i="5"/>
  <c r="K77" i="5"/>
  <c r="L77" i="5"/>
  <c r="M77" i="5"/>
  <c r="N77" i="5"/>
  <c r="O77" i="5"/>
  <c r="Q77" i="5"/>
  <c r="R77" i="5"/>
  <c r="S77" i="5"/>
  <c r="U77" i="5"/>
  <c r="V77" i="5"/>
  <c r="X77" i="5"/>
  <c r="Z77" i="5"/>
  <c r="AA77" i="5"/>
  <c r="AB77" i="5"/>
  <c r="AC77" i="5"/>
  <c r="AD77" i="5"/>
  <c r="AE77"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F42" i="5"/>
  <c r="I42" i="5"/>
  <c r="J42" i="5"/>
  <c r="K42" i="5"/>
  <c r="L42" i="5"/>
  <c r="M42" i="5"/>
  <c r="N42" i="5"/>
  <c r="O42" i="5"/>
  <c r="Q42" i="5"/>
  <c r="R42" i="5"/>
  <c r="S42" i="5"/>
  <c r="U42" i="5"/>
  <c r="V42" i="5"/>
  <c r="X42" i="5"/>
  <c r="Z42" i="5"/>
  <c r="AA42" i="5"/>
  <c r="AB42" i="5"/>
  <c r="AC42" i="5"/>
  <c r="AD42" i="5"/>
  <c r="AE42" i="5"/>
  <c r="D42" i="5"/>
  <c r="AV72" i="6"/>
  <c r="AY72" i="6"/>
  <c r="AY78" i="6"/>
  <c r="AY75" i="6"/>
  <c r="AY76" i="6"/>
  <c r="AV73" i="6"/>
  <c r="AV76" i="6"/>
  <c r="AV74" i="6"/>
  <c r="AV85" i="6"/>
  <c r="AS83" i="6"/>
  <c r="AS96" i="6"/>
  <c r="AS84" i="6"/>
  <c r="AS88" i="6"/>
  <c r="AS73" i="6"/>
  <c r="AS76" i="6"/>
  <c r="AS87" i="6"/>
  <c r="AM77" i="6"/>
  <c r="AM74" i="6"/>
  <c r="AM75" i="6"/>
  <c r="AM95" i="6"/>
  <c r="AM93" i="6"/>
  <c r="AM94" i="6"/>
  <c r="AM89" i="6"/>
  <c r="AM76" i="6"/>
  <c r="AM83" i="6"/>
  <c r="W62" i="6"/>
  <c r="W64" i="6"/>
  <c r="T75" i="6"/>
  <c r="U62" i="6"/>
  <c r="U61" i="6"/>
  <c r="U58" i="6"/>
  <c r="R59" i="6"/>
  <c r="R61" i="6"/>
  <c r="R60" i="6"/>
  <c r="AK28" i="22" l="1"/>
  <c r="F1381" i="27"/>
  <c r="AA28" i="22"/>
  <c r="K28" i="22"/>
  <c r="X28" i="22"/>
  <c r="AE28" i="22"/>
  <c r="AQ85" i="5"/>
  <c r="Q28" i="22"/>
  <c r="V28" i="22"/>
  <c r="T28" i="22"/>
  <c r="R28" i="22"/>
  <c r="AG28" i="22"/>
  <c r="L28" i="22"/>
  <c r="AC28" i="22"/>
  <c r="D54" i="6"/>
  <c r="E73" i="6"/>
  <c r="E82" i="6"/>
  <c r="E85" i="6"/>
  <c r="E67" i="6"/>
  <c r="E83" i="6"/>
  <c r="E86" i="6"/>
  <c r="E68" i="6"/>
  <c r="E84" i="6"/>
  <c r="E65" i="6"/>
  <c r="E80" i="6"/>
  <c r="E66" i="6"/>
  <c r="E61" i="6"/>
  <c r="E92" i="6"/>
  <c r="E75" i="6"/>
  <c r="E64" i="6"/>
  <c r="E91" i="6"/>
  <c r="E77" i="6"/>
  <c r="E62" i="6"/>
  <c r="E90" i="6"/>
  <c r="E71" i="6"/>
  <c r="E63" i="6"/>
  <c r="E81" i="6"/>
  <c r="E78" i="6"/>
  <c r="E89" i="6"/>
  <c r="E70" i="6"/>
  <c r="E88" i="6"/>
  <c r="E74" i="6"/>
  <c r="E60" i="6"/>
  <c r="E76" i="6"/>
  <c r="E93" i="6"/>
  <c r="E87" i="6"/>
  <c r="E79" i="6"/>
  <c r="E69" i="6"/>
  <c r="E72" i="6"/>
  <c r="R111" i="14"/>
  <c r="L110" i="14"/>
  <c r="H110" i="14"/>
  <c r="F110" i="14"/>
  <c r="G110" i="14"/>
  <c r="R110" i="14"/>
  <c r="Q110" i="14"/>
  <c r="P110" i="14"/>
  <c r="O110" i="14"/>
  <c r="J28" i="22"/>
  <c r="AN226" i="10"/>
  <c r="AB226" i="10"/>
  <c r="R226" i="10"/>
  <c r="T223" i="10"/>
  <c r="AL226" i="10"/>
  <c r="Z226" i="10"/>
  <c r="AM226" i="10"/>
  <c r="AA226" i="10"/>
  <c r="AO226" i="10"/>
  <c r="AC226" i="10"/>
  <c r="X627" i="8"/>
  <c r="Y627" i="8"/>
  <c r="V627" i="8"/>
  <c r="Z625" i="8"/>
  <c r="AL625" i="8"/>
  <c r="AI627" i="8"/>
  <c r="W627" i="8"/>
  <c r="Z627" i="8"/>
  <c r="AH627" i="8"/>
  <c r="AE487" i="8"/>
  <c r="AE482" i="8"/>
  <c r="AE506" i="8"/>
  <c r="AE518" i="8"/>
  <c r="AA625" i="8"/>
  <c r="AM625" i="8"/>
  <c r="W626" i="8"/>
  <c r="AI626" i="8"/>
  <c r="AA627" i="8"/>
  <c r="AM627" i="8"/>
  <c r="AB625" i="8"/>
  <c r="AN625" i="8"/>
  <c r="X626" i="8"/>
  <c r="AJ626" i="8"/>
  <c r="AB627" i="8"/>
  <c r="AN627" i="8"/>
  <c r="V626" i="8"/>
  <c r="AL627" i="8"/>
  <c r="AC625" i="8"/>
  <c r="AO625" i="8"/>
  <c r="Y626" i="8"/>
  <c r="AK626" i="8"/>
  <c r="AC627" i="8"/>
  <c r="AO627" i="8"/>
  <c r="AH626" i="8"/>
  <c r="R625" i="8"/>
  <c r="AD625" i="8"/>
  <c r="AP625" i="8"/>
  <c r="Z626" i="8"/>
  <c r="AL626" i="8"/>
  <c r="R627" i="8"/>
  <c r="AD627" i="8"/>
  <c r="AP627" i="8"/>
  <c r="S625" i="8"/>
  <c r="AE625" i="8"/>
  <c r="AQ625" i="8"/>
  <c r="AA626" i="8"/>
  <c r="AM626" i="8"/>
  <c r="S627" i="8"/>
  <c r="AE627" i="8"/>
  <c r="AQ627" i="8"/>
  <c r="T625" i="8"/>
  <c r="AF625" i="8"/>
  <c r="AR625" i="8"/>
  <c r="AB626" i="8"/>
  <c r="AN626" i="8"/>
  <c r="T627" i="8"/>
  <c r="AF627" i="8"/>
  <c r="AR627" i="8"/>
  <c r="U625" i="8"/>
  <c r="AG625" i="8"/>
  <c r="AS625" i="8"/>
  <c r="AC626" i="8"/>
  <c r="AO626" i="8"/>
  <c r="U627" i="8"/>
  <c r="AG627" i="8"/>
  <c r="AS627" i="8"/>
  <c r="V625" i="8"/>
  <c r="AH625" i="8"/>
  <c r="R626" i="8"/>
  <c r="AD626" i="8"/>
  <c r="AP626" i="8"/>
  <c r="W625" i="8"/>
  <c r="AI625" i="8"/>
  <c r="S626" i="8"/>
  <c r="AE626" i="8"/>
  <c r="AQ626" i="8"/>
  <c r="X625" i="8"/>
  <c r="AJ625" i="8"/>
  <c r="T626" i="8"/>
  <c r="AF626" i="8"/>
  <c r="AR626" i="8"/>
  <c r="Y625" i="8"/>
  <c r="AK625" i="8"/>
  <c r="U626" i="8"/>
  <c r="AG626" i="8"/>
  <c r="AS626" i="8"/>
  <c r="AE498" i="8"/>
  <c r="O63" i="8"/>
  <c r="AE488" i="8"/>
  <c r="AE483" i="8"/>
  <c r="AE507" i="8"/>
  <c r="AE519" i="8"/>
  <c r="AE484" i="8"/>
  <c r="AE508" i="8"/>
  <c r="AE548" i="8"/>
  <c r="AE541" i="8"/>
  <c r="AE539" i="8"/>
  <c r="AE485" i="8"/>
  <c r="AE509" i="8"/>
  <c r="AE491" i="8"/>
  <c r="AE486" i="8"/>
  <c r="AE510" i="8"/>
  <c r="AE492" i="8"/>
  <c r="AE499" i="8"/>
  <c r="AE511" i="8"/>
  <c r="AE493" i="8"/>
  <c r="AE500" i="8"/>
  <c r="AE512" i="8"/>
  <c r="AE496" i="8"/>
  <c r="AE534" i="8"/>
  <c r="AE551" i="8"/>
  <c r="AE550" i="8"/>
  <c r="AE495" i="8"/>
  <c r="AE502" i="8"/>
  <c r="AE514" i="8"/>
  <c r="AE490" i="8"/>
  <c r="AE549" i="8"/>
  <c r="AE542" i="8"/>
  <c r="AE540" i="8"/>
  <c r="AE538" i="8"/>
  <c r="AE536" i="8"/>
  <c r="AE530" i="8"/>
  <c r="AE528" i="8"/>
  <c r="AE527" i="8"/>
  <c r="AE526" i="8"/>
  <c r="AE525" i="8"/>
  <c r="AE524" i="8"/>
  <c r="AE494" i="8"/>
  <c r="AE503" i="8"/>
  <c r="AE515" i="8"/>
  <c r="AE517" i="8"/>
  <c r="AE513" i="8"/>
  <c r="AE505" i="8"/>
  <c r="AE501" i="8"/>
  <c r="AE489" i="8"/>
  <c r="AE537" i="8"/>
  <c r="AE497" i="8"/>
  <c r="AE504" i="8"/>
  <c r="AE516" i="8"/>
  <c r="AE547" i="8"/>
  <c r="AE535" i="8"/>
  <c r="AE545" i="8"/>
  <c r="AE533" i="8"/>
  <c r="AE544" i="8"/>
  <c r="AE532" i="8"/>
  <c r="AE543" i="8"/>
  <c r="AE531" i="8"/>
  <c r="AE529" i="8"/>
  <c r="AE546" i="8"/>
  <c r="U520" i="8"/>
  <c r="S520" i="8"/>
  <c r="V520" i="8"/>
  <c r="T520" i="8"/>
  <c r="Y520" i="8"/>
  <c r="AA520" i="8"/>
  <c r="R520" i="8"/>
  <c r="AC520" i="8"/>
  <c r="X520" i="8"/>
  <c r="Z520" i="8"/>
  <c r="AB520" i="8"/>
  <c r="AD520" i="8"/>
  <c r="W520" i="8"/>
  <c r="AE122" i="13"/>
  <c r="AE106" i="13"/>
  <c r="AE105" i="13"/>
  <c r="AE104" i="13"/>
  <c r="AE103" i="13"/>
  <c r="AE123" i="13"/>
  <c r="AE109" i="13"/>
  <c r="AE108" i="13"/>
  <c r="AE107" i="13"/>
  <c r="AE124" i="13"/>
  <c r="AE128" i="13"/>
  <c r="AE127" i="13"/>
  <c r="AE115" i="13"/>
  <c r="AE129" i="13"/>
  <c r="AE117" i="13"/>
  <c r="AE116" i="13"/>
  <c r="AE130" i="13"/>
  <c r="AE112" i="13"/>
  <c r="AE111" i="13"/>
  <c r="AE125" i="13"/>
  <c r="AE113" i="13"/>
  <c r="AE119" i="13"/>
  <c r="AE118" i="13"/>
  <c r="AE126" i="13"/>
  <c r="AE110" i="13"/>
  <c r="AE114" i="13"/>
  <c r="AE120" i="13"/>
  <c r="I51" i="9"/>
  <c r="AE133" i="12"/>
  <c r="AE128" i="12"/>
  <c r="AE126" i="12"/>
  <c r="AE127" i="12"/>
  <c r="AE114" i="12"/>
  <c r="AE113" i="12"/>
  <c r="AE112" i="12"/>
  <c r="AE111" i="12"/>
  <c r="AE110" i="12"/>
  <c r="AE122" i="12"/>
  <c r="AE121" i="12"/>
  <c r="AE135" i="12"/>
  <c r="AE129" i="12"/>
  <c r="AE136" i="12"/>
  <c r="AE134" i="12"/>
  <c r="AE124" i="12"/>
  <c r="AE109" i="12"/>
  <c r="AE125" i="12"/>
  <c r="AE131" i="12"/>
  <c r="AE119" i="12"/>
  <c r="AE130" i="12"/>
  <c r="AE118" i="12"/>
  <c r="AE117" i="12"/>
  <c r="AE123" i="12"/>
  <c r="AE132" i="12"/>
  <c r="AE115" i="12"/>
  <c r="AE116" i="12"/>
  <c r="AE120" i="12"/>
  <c r="C103" i="9"/>
  <c r="D103" i="9"/>
  <c r="E103" i="9"/>
  <c r="AK226" i="10"/>
  <c r="Y226" i="10"/>
  <c r="AJ226" i="10"/>
  <c r="X226" i="10"/>
  <c r="AI226" i="10"/>
  <c r="W226" i="10"/>
  <c r="AH226" i="10"/>
  <c r="V226" i="10"/>
  <c r="AS226" i="10"/>
  <c r="AG226" i="10"/>
  <c r="U226" i="10"/>
  <c r="AR226" i="10"/>
  <c r="AF226" i="10"/>
  <c r="T226" i="10"/>
  <c r="AQ226" i="10"/>
  <c r="AE226" i="10"/>
  <c r="S226" i="10"/>
  <c r="AP226" i="10"/>
  <c r="AD226" i="10"/>
  <c r="M105" i="17"/>
  <c r="W161" i="17"/>
  <c r="D78" i="9"/>
  <c r="C76" i="9"/>
  <c r="S106" i="17"/>
  <c r="M17" i="18"/>
  <c r="N105" i="17"/>
  <c r="Z106" i="17"/>
  <c r="L105" i="17"/>
  <c r="K105" i="17"/>
  <c r="Y161" i="17"/>
  <c r="X161" i="17"/>
  <c r="X118" i="17"/>
  <c r="Z161" i="17"/>
  <c r="M16" i="18"/>
  <c r="C66" i="9"/>
  <c r="E104" i="9"/>
  <c r="AA118" i="17"/>
  <c r="M14" i="18"/>
  <c r="F159" i="17"/>
  <c r="BH189" i="11"/>
  <c r="BH185" i="11"/>
  <c r="BH181" i="11"/>
  <c r="BD205" i="11"/>
  <c r="BD201" i="11"/>
  <c r="BD197" i="11"/>
  <c r="BD193" i="11"/>
  <c r="Z190" i="11"/>
  <c r="AF202" i="11"/>
  <c r="AF198" i="11"/>
  <c r="AF194" i="11"/>
  <c r="AF190" i="11"/>
  <c r="AF186" i="11"/>
  <c r="BC181" i="11"/>
  <c r="AF205" i="11"/>
  <c r="AF201" i="11"/>
  <c r="AF197" i="11"/>
  <c r="AF193" i="11"/>
  <c r="AF189" i="11"/>
  <c r="AF185" i="11"/>
  <c r="X83" i="10"/>
  <c r="X114" i="10" s="1"/>
  <c r="R224" i="10"/>
  <c r="AP224" i="10"/>
  <c r="AL224" i="10"/>
  <c r="AH224" i="10"/>
  <c r="AD224" i="10"/>
  <c r="Z224" i="10"/>
  <c r="V224" i="10"/>
  <c r="R225" i="10"/>
  <c r="AP225" i="10"/>
  <c r="AL225" i="10"/>
  <c r="AH225" i="10"/>
  <c r="AD225" i="10"/>
  <c r="Z225" i="10"/>
  <c r="V225" i="10"/>
  <c r="AB83" i="10"/>
  <c r="AS224" i="10"/>
  <c r="AO224" i="10"/>
  <c r="AK224" i="10"/>
  <c r="AG224" i="10"/>
  <c r="AC224" i="10"/>
  <c r="Y224" i="10"/>
  <c r="U224" i="10"/>
  <c r="AS225" i="10"/>
  <c r="AO225" i="10"/>
  <c r="AK225" i="10"/>
  <c r="AG225" i="10"/>
  <c r="AC225" i="10"/>
  <c r="Y225" i="10"/>
  <c r="U225" i="10"/>
  <c r="AR224" i="10"/>
  <c r="AN224" i="10"/>
  <c r="AJ224" i="10"/>
  <c r="AF224" i="10"/>
  <c r="AB224" i="10"/>
  <c r="X224" i="10"/>
  <c r="T224" i="10"/>
  <c r="AR225" i="10"/>
  <c r="AN225" i="10"/>
  <c r="AJ225" i="10"/>
  <c r="AF225" i="10"/>
  <c r="AB225" i="10"/>
  <c r="X225" i="10"/>
  <c r="T225" i="10"/>
  <c r="AQ224" i="10"/>
  <c r="AM224" i="10"/>
  <c r="AI224" i="10"/>
  <c r="AE224" i="10"/>
  <c r="AA224" i="10"/>
  <c r="W224" i="10"/>
  <c r="S224" i="10"/>
  <c r="AQ225" i="10"/>
  <c r="AM225" i="10"/>
  <c r="AI225" i="10"/>
  <c r="AE225" i="10"/>
  <c r="AA225" i="10"/>
  <c r="W225" i="10"/>
  <c r="S225" i="10"/>
  <c r="AS223" i="10"/>
  <c r="AO223" i="10"/>
  <c r="AK223" i="10"/>
  <c r="AG223" i="10"/>
  <c r="AR223" i="10"/>
  <c r="AN223" i="10"/>
  <c r="AJ223" i="10"/>
  <c r="AF223" i="10"/>
  <c r="AQ223" i="10"/>
  <c r="AM223" i="10"/>
  <c r="AI223" i="10"/>
  <c r="AE223" i="10"/>
  <c r="AP223" i="10"/>
  <c r="AL223" i="10"/>
  <c r="AH223" i="10"/>
  <c r="AF204" i="11"/>
  <c r="AF200" i="11"/>
  <c r="AF196" i="11"/>
  <c r="AF192" i="11"/>
  <c r="AF188" i="11"/>
  <c r="AF184" i="11"/>
  <c r="AJ197" i="11"/>
  <c r="AJ193" i="11"/>
  <c r="AJ189" i="11"/>
  <c r="AJ185" i="11"/>
  <c r="AJ181" i="11"/>
  <c r="AS204" i="11"/>
  <c r="AS200" i="11"/>
  <c r="AS196" i="11"/>
  <c r="AV203" i="11"/>
  <c r="AV199" i="11"/>
  <c r="AV195" i="11"/>
  <c r="BH203" i="11"/>
  <c r="BH199" i="11"/>
  <c r="BH195" i="11"/>
  <c r="BH191" i="11"/>
  <c r="BH187" i="11"/>
  <c r="BH183" i="11"/>
  <c r="BH179" i="11"/>
  <c r="AB205" i="11"/>
  <c r="BB205" i="11"/>
  <c r="BB201" i="11"/>
  <c r="BB197" i="11"/>
  <c r="BB193" i="11"/>
  <c r="BB189" i="11"/>
  <c r="BB185" i="11"/>
  <c r="AF182" i="11"/>
  <c r="W201" i="11"/>
  <c r="BH178" i="11"/>
  <c r="W204" i="11"/>
  <c r="Z186" i="11"/>
  <c r="Z182" i="11"/>
  <c r="Z178" i="11"/>
  <c r="BE179" i="11"/>
  <c r="AB202" i="11"/>
  <c r="AE116" i="11"/>
  <c r="Z189" i="11"/>
  <c r="Z185" i="11"/>
  <c r="Z181" i="11"/>
  <c r="AJ199" i="11"/>
  <c r="AJ195" i="11"/>
  <c r="AJ191" i="11"/>
  <c r="AJ187" i="11"/>
  <c r="AJ183" i="11"/>
  <c r="AJ179" i="11"/>
  <c r="BC180" i="11"/>
  <c r="BD187" i="11"/>
  <c r="BD183" i="11"/>
  <c r="BD179" i="11"/>
  <c r="X205" i="11"/>
  <c r="X201" i="11"/>
  <c r="X197" i="11"/>
  <c r="X193" i="11"/>
  <c r="Z188" i="11"/>
  <c r="Z184" i="11"/>
  <c r="Z180" i="11"/>
  <c r="AJ198" i="11"/>
  <c r="AJ194" i="11"/>
  <c r="AJ190" i="11"/>
  <c r="AJ186" i="11"/>
  <c r="AJ182" i="11"/>
  <c r="AJ178" i="11"/>
  <c r="BC179" i="11"/>
  <c r="BC183" i="11"/>
  <c r="AV201" i="11"/>
  <c r="BD189" i="11"/>
  <c r="BD185" i="11"/>
  <c r="BD181" i="11"/>
  <c r="W202" i="11"/>
  <c r="AS195" i="11"/>
  <c r="AS205" i="11"/>
  <c r="W198" i="11"/>
  <c r="W194" i="11"/>
  <c r="W190" i="11"/>
  <c r="W192" i="11"/>
  <c r="X203" i="11"/>
  <c r="X199" i="11"/>
  <c r="X195" i="11"/>
  <c r="X191" i="11"/>
  <c r="AS202" i="11"/>
  <c r="AS198" i="11"/>
  <c r="AS194" i="11"/>
  <c r="AV205" i="11"/>
  <c r="AV197" i="11"/>
  <c r="W186" i="11"/>
  <c r="W182" i="11"/>
  <c r="W178" i="11"/>
  <c r="U178" i="11" s="1"/>
  <c r="W205" i="11"/>
  <c r="W197" i="11"/>
  <c r="W193" i="11"/>
  <c r="W189" i="11"/>
  <c r="W185" i="11"/>
  <c r="U185" i="11" s="1"/>
  <c r="W181" i="11"/>
  <c r="U181" i="11" s="1"/>
  <c r="X204" i="11"/>
  <c r="X200" i="11"/>
  <c r="X196" i="11"/>
  <c r="X192" i="11"/>
  <c r="AS203" i="11"/>
  <c r="AS199" i="11"/>
  <c r="AV202" i="11"/>
  <c r="AV198" i="11"/>
  <c r="AV194" i="11"/>
  <c r="AV193" i="11"/>
  <c r="W200" i="11"/>
  <c r="W196" i="11"/>
  <c r="W188" i="11"/>
  <c r="T188" i="11" s="1"/>
  <c r="W184" i="11"/>
  <c r="W180" i="11"/>
  <c r="X190" i="11"/>
  <c r="R190" i="11" s="1"/>
  <c r="AE143" i="11"/>
  <c r="AE123" i="11"/>
  <c r="AE118" i="11"/>
  <c r="W203" i="11"/>
  <c r="W199" i="11"/>
  <c r="U199" i="11" s="1"/>
  <c r="W195" i="11"/>
  <c r="U195" i="11" s="1"/>
  <c r="W191" i="11"/>
  <c r="U191" i="11" s="1"/>
  <c r="W187" i="11"/>
  <c r="U187" i="11" s="1"/>
  <c r="W183" i="11"/>
  <c r="T183" i="11" s="1"/>
  <c r="X202" i="11"/>
  <c r="S202" i="11" s="1"/>
  <c r="X198" i="11"/>
  <c r="X194" i="11"/>
  <c r="R201" i="11"/>
  <c r="R189" i="11"/>
  <c r="AS201" i="11"/>
  <c r="S201" i="11" s="1"/>
  <c r="AS197" i="11"/>
  <c r="AS193" i="11"/>
  <c r="AV204" i="11"/>
  <c r="AV200" i="11"/>
  <c r="AV196" i="11"/>
  <c r="BD184" i="11"/>
  <c r="BD180" i="11"/>
  <c r="W179" i="11"/>
  <c r="U179" i="11" s="1"/>
  <c r="BD186" i="11"/>
  <c r="U186" i="11" s="1"/>
  <c r="BD182" i="11"/>
  <c r="AS192" i="11"/>
  <c r="S236" i="11"/>
  <c r="S232" i="11"/>
  <c r="S228" i="11"/>
  <c r="S224" i="11"/>
  <c r="S220" i="11"/>
  <c r="S216" i="11"/>
  <c r="S212" i="11"/>
  <c r="R236" i="11"/>
  <c r="R232" i="11"/>
  <c r="R228" i="11"/>
  <c r="R224" i="11"/>
  <c r="R220" i="11"/>
  <c r="R216" i="11"/>
  <c r="R212" i="11"/>
  <c r="AE124" i="11"/>
  <c r="AE119" i="11"/>
  <c r="AE125" i="11"/>
  <c r="S235" i="11"/>
  <c r="S231" i="11"/>
  <c r="S227" i="11"/>
  <c r="S223" i="11"/>
  <c r="S219" i="11"/>
  <c r="S215" i="11"/>
  <c r="S211" i="11"/>
  <c r="R235" i="11"/>
  <c r="R231" i="11"/>
  <c r="R227" i="11"/>
  <c r="R223" i="11"/>
  <c r="R219" i="11"/>
  <c r="R215" i="11"/>
  <c r="R211" i="11"/>
  <c r="AE129" i="11"/>
  <c r="S234" i="11"/>
  <c r="S230" i="11"/>
  <c r="S226" i="11"/>
  <c r="S222" i="11"/>
  <c r="S218" i="11"/>
  <c r="S214" i="11"/>
  <c r="S210" i="11"/>
  <c r="R234" i="11"/>
  <c r="R230" i="11"/>
  <c r="R226" i="11"/>
  <c r="R222" i="11"/>
  <c r="R218" i="11"/>
  <c r="R214" i="11"/>
  <c r="R210" i="11"/>
  <c r="S237" i="11"/>
  <c r="S233" i="11"/>
  <c r="S229" i="11"/>
  <c r="S225" i="11"/>
  <c r="S221" i="11"/>
  <c r="S217" i="11"/>
  <c r="S213" i="11"/>
  <c r="R237" i="11"/>
  <c r="R233" i="11"/>
  <c r="R229" i="11"/>
  <c r="R225" i="11"/>
  <c r="R221" i="11"/>
  <c r="R217" i="11"/>
  <c r="R213" i="11"/>
  <c r="AE141" i="11"/>
  <c r="AE131" i="11"/>
  <c r="AE133" i="11"/>
  <c r="AE135" i="11"/>
  <c r="AE137" i="11"/>
  <c r="AE139" i="11"/>
  <c r="AE127" i="11"/>
  <c r="R223" i="10"/>
  <c r="AB223" i="10"/>
  <c r="U223" i="10"/>
  <c r="AC223" i="10"/>
  <c r="AD223" i="10"/>
  <c r="V223" i="10"/>
  <c r="Z223" i="10"/>
  <c r="Y223" i="10"/>
  <c r="S223" i="10"/>
  <c r="W223" i="10"/>
  <c r="AA223" i="10"/>
  <c r="X223" i="10"/>
  <c r="AE122" i="11"/>
  <c r="AE134" i="11"/>
  <c r="AE130" i="11"/>
  <c r="AE126" i="11"/>
  <c r="AE120" i="11"/>
  <c r="AE121" i="11"/>
  <c r="AE140" i="11"/>
  <c r="AE136" i="11"/>
  <c r="AE132" i="11"/>
  <c r="AE128" i="11"/>
  <c r="AE117" i="11"/>
  <c r="AE142" i="11"/>
  <c r="AE138" i="11"/>
  <c r="C77" i="9"/>
  <c r="Q145" i="17"/>
  <c r="R114" i="10"/>
  <c r="U114" i="10"/>
  <c r="AB114" i="10"/>
  <c r="T114" i="10"/>
  <c r="S114" i="10"/>
  <c r="D100" i="9"/>
  <c r="AA83" i="10"/>
  <c r="AA114" i="10" s="1"/>
  <c r="AD83" i="10"/>
  <c r="AD114" i="10" s="1"/>
  <c r="Z83" i="10"/>
  <c r="Z114" i="10" s="1"/>
  <c r="V83" i="10"/>
  <c r="V114" i="10" s="1"/>
  <c r="W83" i="10"/>
  <c r="W114" i="10" s="1"/>
  <c r="AC83" i="10"/>
  <c r="AC114" i="10" s="1"/>
  <c r="Y83" i="10"/>
  <c r="Y114" i="10" s="1"/>
  <c r="C51" i="10"/>
  <c r="R21" i="17"/>
  <c r="M15" i="18"/>
  <c r="M189" i="17"/>
  <c r="C100" i="9"/>
  <c r="E100" i="9"/>
  <c r="C51" i="11"/>
  <c r="C85" i="9"/>
  <c r="E85" i="9"/>
  <c r="I22" i="17"/>
  <c r="C23" i="17"/>
  <c r="U23" i="17" s="1"/>
  <c r="H23" i="17" s="1"/>
  <c r="I289" i="16"/>
  <c r="E289" i="16"/>
  <c r="C45" i="12"/>
  <c r="E75" i="9"/>
  <c r="C78" i="9"/>
  <c r="E102" i="9"/>
  <c r="C13" i="17"/>
  <c r="C15" i="17"/>
  <c r="C16" i="17"/>
  <c r="C21" i="17"/>
  <c r="R19" i="17"/>
  <c r="R15" i="17"/>
  <c r="D67" i="9"/>
  <c r="C68" i="9"/>
  <c r="C71" i="9"/>
  <c r="E73" i="9"/>
  <c r="F74" i="9"/>
  <c r="F75" i="9"/>
  <c r="D77" i="9"/>
  <c r="F78" i="9"/>
  <c r="C81" i="9"/>
  <c r="D81" i="9"/>
  <c r="C97" i="9"/>
  <c r="C98" i="9"/>
  <c r="D98" i="9"/>
  <c r="C101" i="9"/>
  <c r="C102" i="9"/>
  <c r="C12" i="17"/>
  <c r="F13" i="17"/>
  <c r="F14" i="17"/>
  <c r="F15" i="17"/>
  <c r="C19" i="17"/>
  <c r="I17" i="17"/>
  <c r="F21" i="17"/>
  <c r="R18" i="17"/>
  <c r="R14" i="17"/>
  <c r="C22" i="17"/>
  <c r="C51" i="9"/>
  <c r="F67" i="9"/>
  <c r="E68" i="9"/>
  <c r="C73" i="9"/>
  <c r="D75" i="9"/>
  <c r="F77" i="9"/>
  <c r="H51" i="9"/>
  <c r="E78" i="9"/>
  <c r="F81" i="9"/>
  <c r="E97" i="9"/>
  <c r="E101" i="9"/>
  <c r="D102" i="9"/>
  <c r="I12" i="17"/>
  <c r="I16" i="17"/>
  <c r="C20" i="17"/>
  <c r="I20" i="17"/>
  <c r="R20" i="17"/>
  <c r="R16" i="17"/>
  <c r="R12" i="17"/>
  <c r="F12" i="17"/>
  <c r="I13" i="17"/>
  <c r="I14" i="17"/>
  <c r="I15" i="17"/>
  <c r="F16" i="17"/>
  <c r="I21" i="17"/>
  <c r="F20" i="17"/>
  <c r="R17" i="17"/>
  <c r="R13" i="17"/>
  <c r="E66" i="9"/>
  <c r="E71" i="9"/>
  <c r="F72" i="9"/>
  <c r="D74" i="9"/>
  <c r="E76" i="9"/>
  <c r="E80" i="9"/>
  <c r="E82" i="9"/>
  <c r="E84" i="9"/>
  <c r="E86" i="9"/>
  <c r="E88" i="9"/>
  <c r="E90" i="9"/>
  <c r="E92" i="9"/>
  <c r="E94" i="9"/>
  <c r="D96" i="9"/>
  <c r="E99" i="9"/>
  <c r="C17" i="17"/>
  <c r="I19" i="17"/>
  <c r="F18" i="17"/>
  <c r="D104" i="9"/>
  <c r="D66" i="9"/>
  <c r="E67" i="9"/>
  <c r="C67" i="9"/>
  <c r="D68" i="9"/>
  <c r="D71" i="9"/>
  <c r="E72" i="9"/>
  <c r="F73" i="9"/>
  <c r="C74" i="9"/>
  <c r="C75" i="9"/>
  <c r="D76" i="9"/>
  <c r="E77" i="9"/>
  <c r="F79" i="9"/>
  <c r="C80" i="9"/>
  <c r="D80" i="9"/>
  <c r="E81" i="9"/>
  <c r="C82" i="9"/>
  <c r="D82" i="9"/>
  <c r="F83" i="9"/>
  <c r="C84" i="9"/>
  <c r="D84" i="9"/>
  <c r="F85" i="9"/>
  <c r="C86" i="9"/>
  <c r="D86" i="9"/>
  <c r="F87" i="9"/>
  <c r="C88" i="9"/>
  <c r="D88" i="9"/>
  <c r="F89" i="9"/>
  <c r="C90" i="9"/>
  <c r="D90" i="9"/>
  <c r="F91" i="9"/>
  <c r="C92" i="9"/>
  <c r="D92" i="9"/>
  <c r="F93" i="9"/>
  <c r="C94" i="9"/>
  <c r="D94" i="9"/>
  <c r="F95" i="9"/>
  <c r="C96" i="9"/>
  <c r="D97" i="9"/>
  <c r="E98" i="9"/>
  <c r="D99" i="9"/>
  <c r="D101" i="9"/>
  <c r="C18" i="17"/>
  <c r="F19" i="17"/>
  <c r="D72" i="9"/>
  <c r="E79" i="9"/>
  <c r="E83" i="9"/>
  <c r="E87" i="9"/>
  <c r="E89" i="9"/>
  <c r="E91" i="9"/>
  <c r="E93" i="9"/>
  <c r="E95" i="9"/>
  <c r="F104" i="9"/>
  <c r="C48" i="10"/>
  <c r="F66" i="9"/>
  <c r="F68" i="9"/>
  <c r="F71" i="9"/>
  <c r="C72" i="9"/>
  <c r="D73" i="9"/>
  <c r="E74" i="9"/>
  <c r="F76" i="9"/>
  <c r="C79" i="9"/>
  <c r="D79" i="9"/>
  <c r="F80" i="9"/>
  <c r="F82" i="9"/>
  <c r="C83" i="9"/>
  <c r="D83" i="9"/>
  <c r="F84" i="9"/>
  <c r="D85" i="9"/>
  <c r="F86" i="9"/>
  <c r="C87" i="9"/>
  <c r="D87" i="9"/>
  <c r="F88" i="9"/>
  <c r="C89" i="9"/>
  <c r="D89" i="9"/>
  <c r="F90" i="9"/>
  <c r="C91" i="9"/>
  <c r="D91" i="9"/>
  <c r="F92" i="9"/>
  <c r="C93" i="9"/>
  <c r="D93" i="9"/>
  <c r="F94" i="9"/>
  <c r="C95" i="9"/>
  <c r="D95" i="9"/>
  <c r="E96" i="9"/>
  <c r="C99" i="9"/>
  <c r="I18" i="17"/>
  <c r="F17" i="17"/>
  <c r="K51" i="9"/>
  <c r="C48" i="11"/>
  <c r="H289" i="16"/>
  <c r="D289" i="16"/>
  <c r="O289" i="16"/>
  <c r="C289" i="16"/>
  <c r="K289" i="16"/>
  <c r="G289" i="16"/>
  <c r="J289" i="16"/>
  <c r="F289" i="16"/>
  <c r="L289" i="16"/>
  <c r="M289" i="16"/>
  <c r="N289" i="16"/>
  <c r="C51" i="8"/>
  <c r="AA416" i="16"/>
  <c r="AA420" i="16"/>
  <c r="AA411" i="16"/>
  <c r="AA415" i="16"/>
  <c r="AA417" i="16"/>
  <c r="AA412" i="16"/>
  <c r="AA410" i="16"/>
  <c r="AA418" i="16"/>
  <c r="AA413" i="16"/>
  <c r="AA419" i="16"/>
  <c r="AA414" i="16"/>
  <c r="D51" i="9"/>
  <c r="E51" i="9"/>
  <c r="F51" i="9"/>
  <c r="G51" i="9"/>
  <c r="N454" i="16"/>
  <c r="I62" i="14"/>
  <c r="O189" i="17"/>
  <c r="N189" i="17"/>
  <c r="L189" i="17"/>
  <c r="K189" i="17"/>
  <c r="L454" i="16"/>
  <c r="K454" i="16"/>
  <c r="H454" i="16"/>
  <c r="M454" i="16"/>
  <c r="M205" i="16"/>
  <c r="I205" i="16"/>
  <c r="E205" i="16"/>
  <c r="C205" i="16"/>
  <c r="L205" i="16"/>
  <c r="H205" i="16"/>
  <c r="D205" i="16"/>
  <c r="O205" i="16"/>
  <c r="K205" i="16"/>
  <c r="G205" i="16"/>
  <c r="N205" i="16"/>
  <c r="J205" i="16"/>
  <c r="F205" i="16"/>
  <c r="C101" i="8"/>
  <c r="O100" i="8"/>
  <c r="C104" i="9"/>
  <c r="C79" i="5"/>
  <c r="H81" i="5"/>
  <c r="N29" i="22" s="1"/>
  <c r="AQ112" i="5"/>
  <c r="H82" i="5"/>
  <c r="AL60" i="5"/>
  <c r="H83" i="5"/>
  <c r="H80" i="5"/>
  <c r="AQ95" i="5"/>
  <c r="G83" i="5"/>
  <c r="I66" i="14"/>
  <c r="C55" i="8"/>
  <c r="O18" i="17"/>
  <c r="K83" i="5"/>
  <c r="U83" i="5"/>
  <c r="O83" i="5"/>
  <c r="C53" i="10"/>
  <c r="AE83" i="5"/>
  <c r="AA83" i="5"/>
  <c r="L83" i="5"/>
  <c r="AC83" i="5"/>
  <c r="X83" i="5"/>
  <c r="R83" i="5"/>
  <c r="M83" i="5"/>
  <c r="J83" i="5"/>
  <c r="AD83" i="5"/>
  <c r="Z83" i="5"/>
  <c r="S83" i="5"/>
  <c r="N83" i="5"/>
  <c r="F83" i="5"/>
  <c r="O20" i="17"/>
  <c r="P83" i="5"/>
  <c r="Y83" i="5"/>
  <c r="T83" i="5"/>
  <c r="C53" i="8"/>
  <c r="D83" i="5"/>
  <c r="AB83" i="5"/>
  <c r="V83" i="5"/>
  <c r="Q83" i="5"/>
  <c r="I83" i="5"/>
  <c r="O21" i="17"/>
  <c r="W83" i="5"/>
  <c r="O16" i="17"/>
  <c r="E83" i="5"/>
  <c r="AC81" i="5"/>
  <c r="AI29" i="22" s="1"/>
  <c r="Y81" i="5"/>
  <c r="AE29" i="22" s="1"/>
  <c r="U81" i="5"/>
  <c r="AA29" i="22" s="1"/>
  <c r="Q81" i="5"/>
  <c r="W29" i="22" s="1"/>
  <c r="M81" i="5"/>
  <c r="S29" i="22" s="1"/>
  <c r="J81" i="5"/>
  <c r="P29" i="22" s="1"/>
  <c r="E81" i="5"/>
  <c r="K29" i="22" s="1"/>
  <c r="AC82" i="5"/>
  <c r="Y82" i="5"/>
  <c r="U82" i="5"/>
  <c r="Q82" i="5"/>
  <c r="M82" i="5"/>
  <c r="J82" i="5"/>
  <c r="E82" i="5"/>
  <c r="BJ51" i="5"/>
  <c r="BJ53" i="5"/>
  <c r="BJ55" i="5"/>
  <c r="D81" i="5"/>
  <c r="J29" i="22" s="1"/>
  <c r="AB81" i="5"/>
  <c r="AH29" i="22" s="1"/>
  <c r="X81" i="5"/>
  <c r="AD29" i="22" s="1"/>
  <c r="T81" i="5"/>
  <c r="Z29" i="22" s="1"/>
  <c r="P81" i="5"/>
  <c r="V29" i="22" s="1"/>
  <c r="I81" i="5"/>
  <c r="O29" i="22" s="1"/>
  <c r="D82" i="5"/>
  <c r="AB82" i="5"/>
  <c r="X82" i="5"/>
  <c r="T82" i="5"/>
  <c r="P82" i="5"/>
  <c r="I82" i="5"/>
  <c r="AE81" i="5"/>
  <c r="AK29" i="22" s="1"/>
  <c r="AA81" i="5"/>
  <c r="AG29" i="22" s="1"/>
  <c r="W81" i="5"/>
  <c r="AC29" i="22" s="1"/>
  <c r="S81" i="5"/>
  <c r="Y29" i="22" s="1"/>
  <c r="O81" i="5"/>
  <c r="U29" i="22" s="1"/>
  <c r="L81" i="5"/>
  <c r="R29" i="22" s="1"/>
  <c r="G81" i="5"/>
  <c r="M29" i="22" s="1"/>
  <c r="AE82" i="5"/>
  <c r="AA82" i="5"/>
  <c r="W82" i="5"/>
  <c r="S82" i="5"/>
  <c r="O82" i="5"/>
  <c r="L82" i="5"/>
  <c r="G82" i="5"/>
  <c r="BJ48" i="5"/>
  <c r="BJ50" i="5"/>
  <c r="BJ52" i="5"/>
  <c r="AD81" i="5"/>
  <c r="AJ29" i="22" s="1"/>
  <c r="Z81" i="5"/>
  <c r="AF29" i="22" s="1"/>
  <c r="V81" i="5"/>
  <c r="AB29" i="22" s="1"/>
  <c r="R81" i="5"/>
  <c r="X29" i="22" s="1"/>
  <c r="N81" i="5"/>
  <c r="T29" i="22" s="1"/>
  <c r="K81" i="5"/>
  <c r="Q29" i="22" s="1"/>
  <c r="F81" i="5"/>
  <c r="L29" i="22" s="1"/>
  <c r="AD82" i="5"/>
  <c r="Z82" i="5"/>
  <c r="V82" i="5"/>
  <c r="R82" i="5"/>
  <c r="N82" i="5"/>
  <c r="K82" i="5"/>
  <c r="F82" i="5"/>
  <c r="C49" i="11"/>
  <c r="C53" i="11"/>
  <c r="C52" i="11"/>
  <c r="C50" i="11"/>
  <c r="C49" i="10"/>
  <c r="C52" i="10"/>
  <c r="C50" i="10"/>
  <c r="C54" i="8"/>
  <c r="C56" i="8"/>
  <c r="C52" i="8"/>
  <c r="J25" i="22" s="1"/>
  <c r="C44" i="12"/>
  <c r="C41" i="12"/>
  <c r="C43" i="12"/>
  <c r="BJ54" i="5"/>
  <c r="BJ58" i="5"/>
  <c r="BJ47" i="5"/>
  <c r="BJ59" i="5"/>
  <c r="BJ49" i="5"/>
  <c r="BJ57" i="5"/>
  <c r="BJ56" i="5"/>
  <c r="AQ110" i="5"/>
  <c r="J80" i="5"/>
  <c r="AH60" i="5"/>
  <c r="AQ108" i="5"/>
  <c r="AQ101" i="5"/>
  <c r="AQ106" i="5"/>
  <c r="Q80" i="5"/>
  <c r="AQ103" i="5"/>
  <c r="BF60" i="5"/>
  <c r="D80" i="5"/>
  <c r="C78" i="5"/>
  <c r="BA60" i="5"/>
  <c r="AW60" i="5"/>
  <c r="BH60" i="5"/>
  <c r="BD60" i="5"/>
  <c r="AZ60" i="5"/>
  <c r="AV60" i="5"/>
  <c r="AR60" i="5"/>
  <c r="AO60" i="5"/>
  <c r="AJ60" i="5"/>
  <c r="U80" i="5"/>
  <c r="AC80" i="5"/>
  <c r="AQ107" i="5"/>
  <c r="AQ94" i="5"/>
  <c r="AQ98" i="5"/>
  <c r="AQ99" i="5"/>
  <c r="AQ96" i="5"/>
  <c r="AQ93" i="5"/>
  <c r="BG60" i="5"/>
  <c r="BC60" i="5"/>
  <c r="AY60" i="5"/>
  <c r="AU60" i="5"/>
  <c r="AQ60" i="5"/>
  <c r="AN60" i="5"/>
  <c r="AQ89" i="5"/>
  <c r="BB60" i="5"/>
  <c r="AX60" i="5"/>
  <c r="AM60" i="5"/>
  <c r="BI60" i="5"/>
  <c r="BE60" i="5"/>
  <c r="AS60" i="5"/>
  <c r="AP60" i="5"/>
  <c r="AK60" i="5"/>
  <c r="AB80" i="5"/>
  <c r="X80" i="5"/>
  <c r="T80" i="5"/>
  <c r="P80" i="5"/>
  <c r="I80" i="5"/>
  <c r="AQ109" i="5"/>
  <c r="AQ105" i="5"/>
  <c r="AQ100" i="5"/>
  <c r="AQ97" i="5"/>
  <c r="AQ92" i="5"/>
  <c r="AQ88" i="5"/>
  <c r="AT60" i="5"/>
  <c r="AE80" i="5"/>
  <c r="AA80" i="5"/>
  <c r="W80" i="5"/>
  <c r="S80" i="5"/>
  <c r="O80" i="5"/>
  <c r="L80" i="5"/>
  <c r="G80" i="5"/>
  <c r="AQ104" i="5"/>
  <c r="AQ102" i="5"/>
  <c r="AQ91" i="5"/>
  <c r="AQ87" i="5"/>
  <c r="AD80" i="5"/>
  <c r="Z80" i="5"/>
  <c r="V80" i="5"/>
  <c r="R80" i="5"/>
  <c r="N80" i="5"/>
  <c r="K80" i="5"/>
  <c r="F80" i="5"/>
  <c r="AQ111" i="5"/>
  <c r="AQ90" i="5"/>
  <c r="AQ86" i="5"/>
  <c r="Y80" i="5"/>
  <c r="M80" i="5"/>
  <c r="E80" i="5"/>
  <c r="AI60" i="5"/>
  <c r="O17" i="17"/>
  <c r="O19" i="17"/>
  <c r="O99" i="8"/>
  <c r="F189" i="17"/>
  <c r="D454" i="16"/>
  <c r="E454" i="16"/>
  <c r="F454" i="16"/>
  <c r="D189" i="17"/>
  <c r="H189" i="17"/>
  <c r="G189" i="17"/>
  <c r="E189" i="17"/>
  <c r="C189" i="17"/>
  <c r="C454" i="16"/>
  <c r="G454" i="16"/>
  <c r="J101" i="8"/>
  <c r="H106" i="8"/>
  <c r="N101" i="8"/>
  <c r="D106" i="8"/>
  <c r="O81" i="8"/>
  <c r="I106" i="8"/>
  <c r="K106" i="8"/>
  <c r="E106" i="8"/>
  <c r="O64" i="8"/>
  <c r="F101" i="8"/>
  <c r="O73" i="8"/>
  <c r="O87" i="8"/>
  <c r="O93" i="8"/>
  <c r="O94" i="8"/>
  <c r="G106" i="8"/>
  <c r="M106" i="8"/>
  <c r="O65" i="8"/>
  <c r="O66" i="8"/>
  <c r="O67" i="8"/>
  <c r="O68" i="8"/>
  <c r="O69" i="8"/>
  <c r="O70" i="8"/>
  <c r="O72" i="8"/>
  <c r="O74" i="8"/>
  <c r="O75" i="8"/>
  <c r="O76" i="8"/>
  <c r="O77" i="8"/>
  <c r="O78" i="8"/>
  <c r="O79" i="8"/>
  <c r="O80" i="8"/>
  <c r="O82" i="8"/>
  <c r="O83" i="8"/>
  <c r="O84" i="8"/>
  <c r="O85" i="8"/>
  <c r="O86" i="8"/>
  <c r="O88" i="8"/>
  <c r="O89" i="8"/>
  <c r="O90" i="8"/>
  <c r="O91" i="8"/>
  <c r="O92" i="8"/>
  <c r="O95" i="8"/>
  <c r="O96" i="8"/>
  <c r="O97" i="8"/>
  <c r="O98" i="8"/>
  <c r="T406" i="16"/>
  <c r="S406" i="16"/>
  <c r="M162" i="16"/>
  <c r="M163" i="16" s="1"/>
  <c r="I162" i="16"/>
  <c r="I163" i="16" s="1"/>
  <c r="E162" i="16"/>
  <c r="E163" i="16" s="1"/>
  <c r="O162" i="16"/>
  <c r="O163" i="16" s="1"/>
  <c r="K162" i="16"/>
  <c r="K163" i="16" s="1"/>
  <c r="G162" i="16"/>
  <c r="G163" i="16" s="1"/>
  <c r="N162" i="16"/>
  <c r="N163" i="16" s="1"/>
  <c r="J162" i="16"/>
  <c r="J163" i="16" s="1"/>
  <c r="F162" i="16"/>
  <c r="F163" i="16" s="1"/>
  <c r="C162" i="16"/>
  <c r="C163" i="16" s="1"/>
  <c r="L162" i="16"/>
  <c r="L163" i="16" s="1"/>
  <c r="H162" i="16"/>
  <c r="H163" i="16" s="1"/>
  <c r="D162" i="16"/>
  <c r="D163" i="16" s="1"/>
  <c r="E247" i="16"/>
  <c r="I247" i="16"/>
  <c r="M247" i="16"/>
  <c r="F247" i="16"/>
  <c r="J247" i="16"/>
  <c r="N247" i="16"/>
  <c r="C247" i="16"/>
  <c r="G247" i="16"/>
  <c r="K247" i="16"/>
  <c r="O247" i="16"/>
  <c r="D247" i="16"/>
  <c r="H247" i="16"/>
  <c r="L247" i="16"/>
  <c r="AE63" i="16"/>
  <c r="N55" i="6"/>
  <c r="N58" i="6"/>
  <c r="N60" i="6"/>
  <c r="N73" i="6"/>
  <c r="N71" i="6"/>
  <c r="N65" i="6"/>
  <c r="N61" i="6"/>
  <c r="N75" i="6"/>
  <c r="N70" i="6"/>
  <c r="N67" i="6"/>
  <c r="N63" i="6"/>
  <c r="N74" i="6"/>
  <c r="N69" i="6"/>
  <c r="N66" i="6"/>
  <c r="N62" i="6"/>
  <c r="N57" i="6"/>
  <c r="N76" i="6"/>
  <c r="N72" i="6"/>
  <c r="N68" i="6"/>
  <c r="N64" i="6"/>
  <c r="N59" i="6"/>
  <c r="N56" i="6"/>
  <c r="J54" i="6"/>
  <c r="K57" i="6" s="1"/>
  <c r="I69" i="14"/>
  <c r="F22" i="17"/>
  <c r="E342" i="16"/>
  <c r="Q374" i="16"/>
  <c r="AA374" i="16"/>
  <c r="E146" i="17"/>
  <c r="L358" i="16"/>
  <c r="Z358" i="16"/>
  <c r="E374" i="16"/>
  <c r="K406" i="16"/>
  <c r="Y406" i="16"/>
  <c r="F422" i="16"/>
  <c r="U106" i="17"/>
  <c r="D159" i="17"/>
  <c r="Y118" i="17"/>
  <c r="K390" i="16"/>
  <c r="F106" i="17"/>
  <c r="S131" i="17"/>
  <c r="F131" i="17"/>
  <c r="G159" i="17"/>
  <c r="J174" i="17"/>
  <c r="P325" i="16"/>
  <c r="F342" i="16"/>
  <c r="O342" i="16"/>
  <c r="K358" i="16"/>
  <c r="U358" i="16"/>
  <c r="X358" i="16"/>
  <c r="Y358" i="16"/>
  <c r="AA358" i="16"/>
  <c r="AB358" i="16"/>
  <c r="C374" i="16"/>
  <c r="D374" i="16"/>
  <c r="F374" i="16"/>
  <c r="G374" i="16"/>
  <c r="J374" i="16"/>
  <c r="L374" i="16"/>
  <c r="R374" i="16"/>
  <c r="S374" i="16"/>
  <c r="W374" i="16"/>
  <c r="X374" i="16"/>
  <c r="J390" i="16"/>
  <c r="L390" i="16"/>
  <c r="N390" i="16"/>
  <c r="C406" i="16"/>
  <c r="J406" i="16"/>
  <c r="X406" i="16"/>
  <c r="Z406" i="16"/>
  <c r="C422" i="16"/>
  <c r="G422" i="16"/>
  <c r="M422" i="16"/>
  <c r="Q422" i="16"/>
  <c r="R422" i="16"/>
  <c r="O13" i="17"/>
  <c r="U131" i="17"/>
  <c r="S145" i="17"/>
  <c r="L17" i="17"/>
  <c r="L13" i="17"/>
  <c r="P118" i="17"/>
  <c r="O14" i="17"/>
  <c r="O15" i="17"/>
  <c r="L21" i="17"/>
  <c r="C45" i="5"/>
  <c r="C49" i="5"/>
  <c r="C53" i="5"/>
  <c r="C57" i="5"/>
  <c r="D325" i="16"/>
  <c r="Y340" i="16"/>
  <c r="L106" i="8"/>
  <c r="O71" i="8"/>
  <c r="M101" i="8"/>
  <c r="I101" i="8"/>
  <c r="E101" i="8"/>
  <c r="N102" i="8"/>
  <c r="J102" i="8"/>
  <c r="F102" i="8"/>
  <c r="N103" i="8"/>
  <c r="J103" i="8"/>
  <c r="F103" i="8"/>
  <c r="N104" i="8"/>
  <c r="J104" i="8"/>
  <c r="F104" i="8"/>
  <c r="N105" i="8"/>
  <c r="J105" i="8"/>
  <c r="F105" i="8"/>
  <c r="N106" i="8"/>
  <c r="J106" i="8"/>
  <c r="F106" i="8"/>
  <c r="L101" i="8"/>
  <c r="H101" i="8"/>
  <c r="D101" i="8"/>
  <c r="M102" i="8"/>
  <c r="I102" i="8"/>
  <c r="E102" i="8"/>
  <c r="M103" i="8"/>
  <c r="I103" i="8"/>
  <c r="E103" i="8"/>
  <c r="M104" i="8"/>
  <c r="I104" i="8"/>
  <c r="E104" i="8"/>
  <c r="M105" i="8"/>
  <c r="I105" i="8"/>
  <c r="E105" i="8"/>
  <c r="K101" i="8"/>
  <c r="G101" i="8"/>
  <c r="L102" i="8"/>
  <c r="H102" i="8"/>
  <c r="D102" i="8"/>
  <c r="L103" i="8"/>
  <c r="H103" i="8"/>
  <c r="D103" i="8"/>
  <c r="L104" i="8"/>
  <c r="H104" i="8"/>
  <c r="D104" i="8"/>
  <c r="L105" i="8"/>
  <c r="H105" i="8"/>
  <c r="D105" i="8"/>
  <c r="C102" i="8"/>
  <c r="K102" i="8"/>
  <c r="G102" i="8"/>
  <c r="C103" i="8"/>
  <c r="K103" i="8"/>
  <c r="G103" i="8"/>
  <c r="C104" i="8"/>
  <c r="K104" i="8"/>
  <c r="G104" i="8"/>
  <c r="C105" i="8"/>
  <c r="K105" i="8"/>
  <c r="G105" i="8"/>
  <c r="C106" i="8"/>
  <c r="W59" i="17"/>
  <c r="D131" i="17"/>
  <c r="Z118" i="17"/>
  <c r="AB106" i="17"/>
  <c r="K119" i="17"/>
  <c r="Y374" i="16"/>
  <c r="Z374" i="16"/>
  <c r="F390" i="16"/>
  <c r="M390" i="16"/>
  <c r="G406" i="16"/>
  <c r="Q406" i="16"/>
  <c r="W406" i="16"/>
  <c r="E422" i="16"/>
  <c r="L422" i="16"/>
  <c r="E106" i="17"/>
  <c r="F118" i="17"/>
  <c r="Y131" i="17"/>
  <c r="E159" i="17"/>
  <c r="L12" i="17"/>
  <c r="L19" i="17"/>
  <c r="L15" i="17"/>
  <c r="S118" i="17"/>
  <c r="L146" i="17"/>
  <c r="K146" i="17"/>
  <c r="P145" i="17"/>
  <c r="N174" i="17"/>
  <c r="O12" i="17"/>
  <c r="O58" i="17"/>
  <c r="L18" i="17"/>
  <c r="L14" i="17"/>
  <c r="C118" i="17"/>
  <c r="R118" i="17"/>
  <c r="W118" i="17"/>
  <c r="L20" i="17"/>
  <c r="T118" i="17"/>
  <c r="V175" i="17"/>
  <c r="V89" i="17"/>
  <c r="M133" i="17"/>
  <c r="Z131" i="17"/>
  <c r="G146" i="17"/>
  <c r="J93" i="17"/>
  <c r="C173" i="17"/>
  <c r="K174" i="17"/>
  <c r="L76" i="17"/>
  <c r="K133" i="17"/>
  <c r="S158" i="17"/>
  <c r="J59" i="17"/>
  <c r="I59" i="17"/>
  <c r="P58" i="17"/>
  <c r="X59" i="17"/>
  <c r="J76" i="17"/>
  <c r="P88" i="17"/>
  <c r="R88" i="17"/>
  <c r="W89" i="17"/>
  <c r="AA106" i="17"/>
  <c r="G118" i="17"/>
  <c r="E131" i="17"/>
  <c r="N133" i="17"/>
  <c r="F146" i="17"/>
  <c r="T145" i="17"/>
  <c r="R72" i="17"/>
  <c r="G106" i="17"/>
  <c r="T106" i="17"/>
  <c r="T131" i="17"/>
  <c r="X131" i="17"/>
  <c r="J159" i="17"/>
  <c r="U175" i="17"/>
  <c r="L59" i="17"/>
  <c r="K59" i="17"/>
  <c r="R58" i="17"/>
  <c r="V59" i="17"/>
  <c r="I76" i="17"/>
  <c r="K76" i="17"/>
  <c r="K93" i="17"/>
  <c r="X89" i="17"/>
  <c r="C131" i="17"/>
  <c r="G131" i="17"/>
  <c r="J133" i="17"/>
  <c r="L133" i="17"/>
  <c r="J146" i="17"/>
  <c r="R145" i="17"/>
  <c r="D173" i="17"/>
  <c r="V308" i="16"/>
  <c r="J358" i="16"/>
  <c r="Q58" i="17"/>
  <c r="C72" i="17"/>
  <c r="P72" i="17"/>
  <c r="R106" i="17"/>
  <c r="L119" i="17"/>
  <c r="Q118" i="17"/>
  <c r="Q131" i="17"/>
  <c r="U24" i="17"/>
  <c r="H24" i="17" s="1"/>
  <c r="F72" i="17"/>
  <c r="X75" i="17"/>
  <c r="W75" i="17"/>
  <c r="V75" i="17"/>
  <c r="E88" i="17"/>
  <c r="O88" i="17"/>
  <c r="Q88" i="17"/>
  <c r="Y106" i="17"/>
  <c r="W146" i="17"/>
  <c r="L159" i="17"/>
  <c r="K159" i="17"/>
  <c r="R158" i="17"/>
  <c r="Q158" i="17"/>
  <c r="Q174" i="17"/>
  <c r="G357" i="16"/>
  <c r="E57" i="17"/>
  <c r="U59" i="17"/>
  <c r="D88" i="17"/>
  <c r="F88" i="17"/>
  <c r="D146" i="17"/>
  <c r="M159" i="17"/>
  <c r="D57" i="17"/>
  <c r="U89" i="17"/>
  <c r="E118" i="17"/>
  <c r="J119" i="17"/>
  <c r="R131" i="17"/>
  <c r="AA131" i="17"/>
  <c r="Z146" i="17"/>
  <c r="Y146" i="17"/>
  <c r="X146" i="17"/>
  <c r="E173" i="17"/>
  <c r="Q390" i="16"/>
  <c r="E72" i="17"/>
  <c r="D72" i="17"/>
  <c r="Q72" i="17"/>
  <c r="C88" i="17"/>
  <c r="L93" i="17"/>
  <c r="C106" i="17"/>
  <c r="D106" i="17"/>
  <c r="D118" i="17"/>
  <c r="M119" i="17"/>
  <c r="L16" i="17"/>
  <c r="P174" i="17"/>
  <c r="O174" i="17"/>
  <c r="T175" i="17"/>
  <c r="I174" i="17"/>
  <c r="F173" i="17"/>
  <c r="V161" i="17"/>
  <c r="C159" i="17"/>
  <c r="M146" i="17"/>
  <c r="X106" i="17"/>
  <c r="Q106" i="17"/>
  <c r="J105" i="17"/>
  <c r="Y89" i="17"/>
  <c r="I93" i="17"/>
  <c r="U75" i="17"/>
  <c r="O72" i="17"/>
  <c r="F57" i="17"/>
  <c r="C57" i="17"/>
  <c r="L18" i="18"/>
  <c r="L21" i="18" s="1"/>
  <c r="J18" i="18"/>
  <c r="J21" i="18" s="1"/>
  <c r="K18" i="18"/>
  <c r="K21" i="18" s="1"/>
  <c r="C61" i="5"/>
  <c r="C65" i="5"/>
  <c r="F357" i="16"/>
  <c r="X421" i="16"/>
  <c r="V324" i="16"/>
  <c r="J341" i="16"/>
  <c r="L341" i="16"/>
  <c r="K374" i="16"/>
  <c r="D342" i="16"/>
  <c r="X340" i="16"/>
  <c r="L406" i="16"/>
  <c r="C437" i="16"/>
  <c r="O438" i="16"/>
  <c r="P438" i="16"/>
  <c r="J436" i="16"/>
  <c r="W324" i="16"/>
  <c r="K341" i="16"/>
  <c r="V340" i="16"/>
  <c r="W340" i="16"/>
  <c r="R358" i="16"/>
  <c r="S358" i="16"/>
  <c r="U437" i="16"/>
  <c r="U324" i="16"/>
  <c r="V421" i="16"/>
  <c r="E437" i="16"/>
  <c r="F437" i="16"/>
  <c r="I436" i="16"/>
  <c r="N438" i="16"/>
  <c r="T437" i="16"/>
  <c r="J308" i="16"/>
  <c r="I341" i="16"/>
  <c r="Q358" i="16"/>
  <c r="C390" i="16"/>
  <c r="G390" i="16"/>
  <c r="R390" i="16"/>
  <c r="T390" i="16"/>
  <c r="U390" i="16"/>
  <c r="X390" i="16"/>
  <c r="Y390" i="16"/>
  <c r="Z390" i="16"/>
  <c r="AA390" i="16"/>
  <c r="F406" i="16"/>
  <c r="P406" i="16"/>
  <c r="R406" i="16"/>
  <c r="K422" i="16"/>
  <c r="W421" i="16"/>
  <c r="Y421" i="16"/>
  <c r="D437" i="16"/>
  <c r="Q438" i="16"/>
  <c r="V437" i="16"/>
  <c r="L308" i="16"/>
  <c r="U340" i="16"/>
  <c r="E357" i="16"/>
  <c r="N358" i="16"/>
  <c r="M358" i="16"/>
  <c r="M406" i="16"/>
  <c r="S422" i="16"/>
  <c r="I308" i="16"/>
  <c r="Q342" i="16"/>
  <c r="D357" i="16"/>
  <c r="P374" i="16"/>
  <c r="D406" i="16"/>
  <c r="K308" i="16"/>
  <c r="O308" i="16"/>
  <c r="U308" i="16"/>
  <c r="C325" i="16"/>
  <c r="I324" i="16"/>
  <c r="J324" i="16"/>
  <c r="K324" i="16"/>
  <c r="L324" i="16"/>
  <c r="O325" i="16"/>
  <c r="R342" i="16"/>
  <c r="T358" i="16"/>
  <c r="D390" i="16"/>
  <c r="E406" i="16"/>
  <c r="C52" i="14"/>
  <c r="D51" i="14"/>
  <c r="L58" i="14"/>
  <c r="L62" i="14"/>
  <c r="L66" i="14"/>
  <c r="L59" i="14"/>
  <c r="L63" i="14"/>
  <c r="L67" i="14"/>
  <c r="L60" i="14"/>
  <c r="L64" i="14"/>
  <c r="L68" i="14"/>
  <c r="C53" i="14"/>
  <c r="D50" i="14"/>
  <c r="L61" i="14"/>
  <c r="L65" i="14"/>
  <c r="L69" i="14"/>
  <c r="D53" i="14"/>
  <c r="I65" i="14"/>
  <c r="I61" i="14"/>
  <c r="C48" i="14"/>
  <c r="H59" i="14" s="1"/>
  <c r="D48" i="14"/>
  <c r="K62" i="14" s="1"/>
  <c r="C51" i="14"/>
  <c r="D52" i="14"/>
  <c r="I68" i="14"/>
  <c r="I64" i="14"/>
  <c r="I60" i="14"/>
  <c r="D49" i="14"/>
  <c r="C50" i="14"/>
  <c r="C49" i="14"/>
  <c r="I67" i="14"/>
  <c r="I63" i="14"/>
  <c r="I59" i="14"/>
  <c r="K436" i="16"/>
  <c r="P422" i="16"/>
  <c r="J422" i="16"/>
  <c r="D422" i="16"/>
  <c r="S390" i="16"/>
  <c r="E390" i="16"/>
  <c r="M374" i="16"/>
  <c r="C357" i="16"/>
  <c r="P342" i="16"/>
  <c r="C342" i="16"/>
  <c r="X324" i="16"/>
  <c r="P308" i="16"/>
  <c r="Q308" i="16"/>
  <c r="C308" i="16"/>
  <c r="R308" i="16"/>
  <c r="F325" i="16"/>
  <c r="R325" i="16"/>
  <c r="Q325" i="16"/>
  <c r="E325" i="16"/>
  <c r="X308" i="16"/>
  <c r="W308" i="16"/>
  <c r="F308" i="16"/>
  <c r="E308" i="16"/>
  <c r="D308" i="16"/>
  <c r="I25" i="16"/>
  <c r="J25" i="16"/>
  <c r="H25" i="16"/>
  <c r="F25" i="16"/>
  <c r="L25" i="16"/>
  <c r="N25" i="16"/>
  <c r="D25" i="16"/>
  <c r="E25" i="16"/>
  <c r="G25" i="16"/>
  <c r="M25" i="16"/>
  <c r="K25" i="16"/>
  <c r="C25" i="16"/>
  <c r="C46" i="5"/>
  <c r="C50" i="5"/>
  <c r="C54" i="5"/>
  <c r="C58" i="5"/>
  <c r="C62" i="5"/>
  <c r="C66" i="5"/>
  <c r="C43" i="5"/>
  <c r="C51" i="5"/>
  <c r="C55" i="5"/>
  <c r="C63" i="5"/>
  <c r="C47" i="5"/>
  <c r="C59" i="5"/>
  <c r="C44" i="5"/>
  <c r="C48" i="5"/>
  <c r="C52" i="5"/>
  <c r="C56" i="5"/>
  <c r="C60" i="5"/>
  <c r="C64" i="5"/>
  <c r="C68" i="5"/>
  <c r="C69" i="5"/>
  <c r="C73" i="5"/>
  <c r="C70" i="5"/>
  <c r="C74" i="5"/>
  <c r="C67" i="5"/>
  <c r="C71" i="5"/>
  <c r="C72" i="5"/>
  <c r="C75" i="5"/>
  <c r="C42" i="5"/>
  <c r="C76" i="5"/>
  <c r="C77" i="5"/>
  <c r="Q33" i="21"/>
  <c r="H83" i="6"/>
  <c r="H81" i="6"/>
  <c r="H82" i="6"/>
  <c r="N54" i="6"/>
  <c r="K79" i="6"/>
  <c r="K80" i="6"/>
  <c r="K82" i="6"/>
  <c r="K81" i="6"/>
  <c r="H80" i="6"/>
  <c r="H84" i="6"/>
  <c r="T33" i="21" l="1"/>
  <c r="U33" i="21"/>
  <c r="X33" i="21"/>
  <c r="Y33" i="21"/>
  <c r="AB33" i="21"/>
  <c r="AC33" i="21"/>
  <c r="AI33" i="21"/>
  <c r="AF33" i="21"/>
  <c r="AG33" i="21"/>
  <c r="J33" i="21"/>
  <c r="P33" i="21"/>
  <c r="AJ33" i="21"/>
  <c r="I33" i="21"/>
  <c r="N33" i="21"/>
  <c r="M33" i="21"/>
  <c r="K33" i="21"/>
  <c r="R33" i="21"/>
  <c r="AE33" i="21"/>
  <c r="O33" i="21"/>
  <c r="V33" i="21"/>
  <c r="L33" i="21"/>
  <c r="S33" i="21"/>
  <c r="Z33" i="21"/>
  <c r="W33" i="21"/>
  <c r="AD33" i="21"/>
  <c r="AA33" i="21"/>
  <c r="AH33" i="21"/>
  <c r="AE520" i="8"/>
  <c r="M18" i="18"/>
  <c r="M21" i="18" s="1"/>
  <c r="C70" i="9"/>
  <c r="U196" i="11"/>
  <c r="U197" i="11"/>
  <c r="U190" i="11"/>
  <c r="U189" i="11"/>
  <c r="U200" i="11"/>
  <c r="U205" i="11"/>
  <c r="U194" i="11"/>
  <c r="U192" i="11"/>
  <c r="U198" i="11"/>
  <c r="U203" i="11"/>
  <c r="U204" i="11"/>
  <c r="U193" i="11"/>
  <c r="R185" i="11"/>
  <c r="U202" i="11"/>
  <c r="U184" i="11"/>
  <c r="R182" i="11"/>
  <c r="R179" i="11"/>
  <c r="U180" i="11"/>
  <c r="U188" i="11"/>
  <c r="R194" i="11"/>
  <c r="U183" i="11"/>
  <c r="U201" i="11"/>
  <c r="T195" i="11"/>
  <c r="T178" i="11"/>
  <c r="U182" i="11"/>
  <c r="T199" i="11"/>
  <c r="T204" i="11"/>
  <c r="T181" i="11"/>
  <c r="R198" i="11"/>
  <c r="S179" i="11"/>
  <c r="T179" i="11"/>
  <c r="S187" i="11"/>
  <c r="T187" i="11"/>
  <c r="S203" i="11"/>
  <c r="T203" i="11"/>
  <c r="T196" i="11"/>
  <c r="S197" i="11"/>
  <c r="T197" i="11"/>
  <c r="T186" i="11"/>
  <c r="T190" i="11"/>
  <c r="S191" i="11"/>
  <c r="T191" i="11"/>
  <c r="T180" i="11"/>
  <c r="S200" i="11"/>
  <c r="T200" i="11"/>
  <c r="S185" i="11"/>
  <c r="T185" i="11"/>
  <c r="T205" i="11"/>
  <c r="T194" i="11"/>
  <c r="T202" i="11"/>
  <c r="T184" i="11"/>
  <c r="S189" i="11"/>
  <c r="T189" i="11"/>
  <c r="T192" i="11"/>
  <c r="T198" i="11"/>
  <c r="S204" i="11"/>
  <c r="T193" i="11"/>
  <c r="T182" i="11"/>
  <c r="R178" i="11"/>
  <c r="R205" i="11"/>
  <c r="T201" i="11"/>
  <c r="R188" i="11"/>
  <c r="S188" i="11"/>
  <c r="R186" i="11"/>
  <c r="S186" i="11"/>
  <c r="S196" i="11"/>
  <c r="R187" i="11"/>
  <c r="S205" i="11"/>
  <c r="S190" i="11"/>
  <c r="R192" i="11"/>
  <c r="R181" i="11"/>
  <c r="S181" i="11"/>
  <c r="R197" i="11"/>
  <c r="R195" i="11"/>
  <c r="S195" i="11"/>
  <c r="R180" i="11"/>
  <c r="S180" i="11"/>
  <c r="R202" i="11"/>
  <c r="R191" i="11"/>
  <c r="S178" i="11"/>
  <c r="S194" i="11"/>
  <c r="R183" i="11"/>
  <c r="S183" i="11"/>
  <c r="R199" i="11"/>
  <c r="S199" i="11"/>
  <c r="R184" i="11"/>
  <c r="S184" i="11"/>
  <c r="R203" i="11"/>
  <c r="R204" i="11"/>
  <c r="R193" i="11"/>
  <c r="S193" i="11"/>
  <c r="S182" i="11"/>
  <c r="S192" i="11"/>
  <c r="S198" i="11"/>
  <c r="R196" i="11"/>
  <c r="R200" i="11"/>
  <c r="E106" i="9"/>
  <c r="F70" i="9"/>
  <c r="D69" i="9"/>
  <c r="E70" i="9"/>
  <c r="F69" i="9"/>
  <c r="C69" i="9"/>
  <c r="D105" i="9"/>
  <c r="F106" i="9"/>
  <c r="D70" i="9"/>
  <c r="C105" i="9"/>
  <c r="E105" i="9"/>
  <c r="F105" i="9"/>
  <c r="C106" i="9"/>
  <c r="E69" i="9"/>
  <c r="D106" i="9"/>
  <c r="C83" i="5"/>
  <c r="C82" i="5"/>
  <c r="O101" i="8"/>
  <c r="BJ60" i="5"/>
  <c r="C80" i="5"/>
  <c r="C81" i="5"/>
  <c r="U22" i="17"/>
  <c r="E22" i="17" s="1"/>
  <c r="K74" i="6"/>
  <c r="E54" i="6"/>
  <c r="K55" i="6"/>
  <c r="K58" i="6"/>
  <c r="K56" i="6"/>
  <c r="E55" i="6"/>
  <c r="E58" i="6"/>
  <c r="E57" i="6"/>
  <c r="E56" i="6"/>
  <c r="U21" i="17"/>
  <c r="N21" i="17" s="1"/>
  <c r="O25" i="17"/>
  <c r="U13" i="17"/>
  <c r="H13" i="17" s="1"/>
  <c r="U20" i="17"/>
  <c r="Q20" i="17" s="1"/>
  <c r="U15" i="17"/>
  <c r="H15" i="17" s="1"/>
  <c r="I25" i="17"/>
  <c r="J23" i="17" s="1"/>
  <c r="U17" i="17"/>
  <c r="T17" i="17" s="1"/>
  <c r="L25" i="17"/>
  <c r="M15" i="17" s="1"/>
  <c r="U18" i="17"/>
  <c r="Q18" i="17" s="1"/>
  <c r="U19" i="17"/>
  <c r="H19" i="17" s="1"/>
  <c r="U14" i="17"/>
  <c r="Q14" i="17" s="1"/>
  <c r="H69" i="14"/>
  <c r="C25" i="17"/>
  <c r="D16" i="17" s="1"/>
  <c r="R25" i="17"/>
  <c r="S16" i="17" s="1"/>
  <c r="U12" i="17"/>
  <c r="Q12" i="17" s="1"/>
  <c r="T24" i="17"/>
  <c r="Q24" i="17"/>
  <c r="N24" i="17"/>
  <c r="K24" i="17"/>
  <c r="E24" i="17"/>
  <c r="T23" i="17"/>
  <c r="Q23" i="17"/>
  <c r="N23" i="17"/>
  <c r="E23" i="17"/>
  <c r="K23" i="17"/>
  <c r="F25" i="17"/>
  <c r="U16" i="17"/>
  <c r="H16" i="17" s="1"/>
  <c r="P158" i="17"/>
  <c r="C146" i="17"/>
  <c r="K63" i="14"/>
  <c r="K65" i="14"/>
  <c r="H61" i="14"/>
  <c r="K68" i="14"/>
  <c r="H67" i="14"/>
  <c r="H66" i="14"/>
  <c r="K59" i="14"/>
  <c r="K64" i="14"/>
  <c r="K61" i="14"/>
  <c r="K66" i="14"/>
  <c r="H62" i="14"/>
  <c r="H65" i="14"/>
  <c r="H60" i="14"/>
  <c r="K58" i="14"/>
  <c r="K67" i="14"/>
  <c r="K69" i="14"/>
  <c r="H58" i="14"/>
  <c r="H68" i="14"/>
  <c r="H63" i="14"/>
  <c r="K60" i="14"/>
  <c r="H64" i="14"/>
  <c r="K66" i="6"/>
  <c r="K76" i="6"/>
  <c r="K68" i="6"/>
  <c r="K72" i="6"/>
  <c r="K77" i="6"/>
  <c r="K71" i="6"/>
  <c r="K73" i="6"/>
  <c r="K54" i="6"/>
  <c r="K69" i="6"/>
  <c r="K63" i="6"/>
  <c r="K60" i="6"/>
  <c r="K61" i="6"/>
  <c r="K59" i="6"/>
  <c r="K75" i="6"/>
  <c r="K70" i="6"/>
  <c r="K67" i="6"/>
  <c r="K64" i="6"/>
  <c r="K65" i="6"/>
  <c r="K62" i="6"/>
  <c r="H55" i="6"/>
  <c r="E13" i="17" l="1"/>
  <c r="P13" i="17"/>
  <c r="P22" i="17"/>
  <c r="P17" i="17"/>
  <c r="P16" i="17"/>
  <c r="P18" i="17"/>
  <c r="P20" i="17"/>
  <c r="P23" i="17"/>
  <c r="P24" i="17"/>
  <c r="P19" i="17"/>
  <c r="P21" i="17"/>
  <c r="H22" i="17"/>
  <c r="Q22" i="17"/>
  <c r="E21" i="17"/>
  <c r="N22" i="17"/>
  <c r="T22" i="17"/>
  <c r="K22" i="17"/>
  <c r="T21" i="17"/>
  <c r="Q21" i="17"/>
  <c r="H21" i="17"/>
  <c r="T15" i="17"/>
  <c r="K21" i="17"/>
  <c r="D17" i="17"/>
  <c r="Z69" i="6"/>
  <c r="AA69" i="6" s="1"/>
  <c r="P12" i="17"/>
  <c r="D24" i="17"/>
  <c r="T13" i="17"/>
  <c r="K13" i="17"/>
  <c r="S17" i="17"/>
  <c r="N18" i="17"/>
  <c r="K20" i="17"/>
  <c r="J22" i="17"/>
  <c r="M24" i="17"/>
  <c r="M18" i="17"/>
  <c r="M16" i="17"/>
  <c r="D22" i="17"/>
  <c r="J12" i="17"/>
  <c r="M13" i="17"/>
  <c r="M22" i="17"/>
  <c r="P15" i="17"/>
  <c r="P14" i="17"/>
  <c r="M17" i="17"/>
  <c r="M19" i="17"/>
  <c r="S20" i="17"/>
  <c r="J17" i="17"/>
  <c r="M12" i="17"/>
  <c r="M14" i="17"/>
  <c r="M23" i="17"/>
  <c r="T20" i="17"/>
  <c r="S15" i="17"/>
  <c r="E17" i="17"/>
  <c r="E20" i="17"/>
  <c r="Q13" i="17"/>
  <c r="N13" i="17"/>
  <c r="S22" i="17"/>
  <c r="S21" i="17"/>
  <c r="M20" i="17"/>
  <c r="M21" i="17"/>
  <c r="D18" i="17"/>
  <c r="J21" i="17"/>
  <c r="J20" i="17"/>
  <c r="E15" i="17"/>
  <c r="J16" i="17"/>
  <c r="D12" i="17"/>
  <c r="D15" i="17"/>
  <c r="J14" i="17"/>
  <c r="J19" i="17"/>
  <c r="J24" i="17"/>
  <c r="K18" i="17"/>
  <c r="H18" i="17"/>
  <c r="Q19" i="17"/>
  <c r="Q15" i="17"/>
  <c r="E18" i="17"/>
  <c r="D23" i="17"/>
  <c r="J15" i="17"/>
  <c r="N15" i="17"/>
  <c r="K19" i="17"/>
  <c r="J13" i="17"/>
  <c r="J18" i="17"/>
  <c r="T18" i="17"/>
  <c r="K15" i="17"/>
  <c r="N20" i="17"/>
  <c r="N12" i="17"/>
  <c r="H20" i="17"/>
  <c r="N17" i="17"/>
  <c r="H17" i="17"/>
  <c r="K17" i="17"/>
  <c r="Q17" i="17"/>
  <c r="K14" i="17"/>
  <c r="H14" i="17"/>
  <c r="T19" i="17"/>
  <c r="E19" i="17"/>
  <c r="T14" i="17"/>
  <c r="E14" i="17"/>
  <c r="N14" i="17"/>
  <c r="S12" i="17"/>
  <c r="N19" i="17"/>
  <c r="S14" i="17"/>
  <c r="S19" i="17"/>
  <c r="S24" i="17"/>
  <c r="S18" i="17"/>
  <c r="S23" i="17"/>
  <c r="S13" i="17"/>
  <c r="D21" i="17"/>
  <c r="D20" i="17"/>
  <c r="T12" i="17"/>
  <c r="K12" i="17"/>
  <c r="H12" i="17"/>
  <c r="E12" i="17"/>
  <c r="D14" i="17"/>
  <c r="D13" i="17"/>
  <c r="D19" i="17"/>
  <c r="G20" i="17"/>
  <c r="G24" i="17"/>
  <c r="G13" i="17"/>
  <c r="G17" i="17"/>
  <c r="G21" i="17"/>
  <c r="G12" i="17"/>
  <c r="G14" i="17"/>
  <c r="G18" i="17"/>
  <c r="G22" i="17"/>
  <c r="G15" i="17"/>
  <c r="G19" i="17"/>
  <c r="G23" i="17"/>
  <c r="U25" i="17"/>
  <c r="Q16" i="17"/>
  <c r="K16" i="17"/>
  <c r="N16" i="17"/>
  <c r="E16" i="17"/>
  <c r="T16" i="17"/>
  <c r="G16" i="17"/>
  <c r="H58" i="6"/>
  <c r="H62" i="6"/>
  <c r="H59" i="6"/>
  <c r="H65" i="6"/>
  <c r="H66" i="6"/>
  <c r="H67" i="6"/>
  <c r="H73" i="6"/>
  <c r="H71" i="6"/>
  <c r="H77" i="6"/>
  <c r="H75" i="6"/>
  <c r="H74" i="6"/>
  <c r="H72" i="6"/>
  <c r="H69" i="6"/>
  <c r="H76" i="6"/>
  <c r="H68" i="6"/>
  <c r="H70" i="6"/>
  <c r="H63" i="6"/>
  <c r="H54" i="6"/>
  <c r="H56" i="6"/>
  <c r="H57" i="6"/>
  <c r="H60" i="6"/>
  <c r="H64" i="6"/>
  <c r="H61" i="6"/>
  <c r="H79" i="6"/>
  <c r="P492" i="26" l="1"/>
  <c r="E72" i="16"/>
  <c r="C72" i="16" s="1"/>
  <c r="E76" i="16"/>
  <c r="C76" i="16" s="1"/>
  <c r="E71" i="16"/>
  <c r="E79" i="16"/>
  <c r="C79" i="16" s="1"/>
  <c r="E70" i="16"/>
  <c r="E78" i="16"/>
  <c r="C78" i="16" s="1"/>
  <c r="E74" i="16"/>
  <c r="C74" i="16" s="1"/>
  <c r="E77" i="16"/>
  <c r="C77" i="16" s="1"/>
  <c r="E69" i="16"/>
  <c r="E68" i="16"/>
  <c r="E75" i="16"/>
  <c r="C75" i="16" s="1"/>
  <c r="C67" i="16"/>
  <c r="E63" i="16"/>
  <c r="D59" i="16"/>
  <c r="D55" i="16"/>
  <c r="D51" i="16"/>
  <c r="D60" i="16"/>
  <c r="D56" i="16"/>
  <c r="D52" i="16"/>
  <c r="D57" i="16"/>
  <c r="D53" i="16"/>
  <c r="D58" i="16"/>
  <c r="D54" i="16"/>
  <c r="D61" i="16"/>
  <c r="D62" i="16"/>
  <c r="D50" i="16"/>
  <c r="E73" i="16"/>
  <c r="C73" i="16" s="1"/>
  <c r="C71" i="16" l="1"/>
  <c r="C68" i="16"/>
  <c r="C63" i="16"/>
  <c r="C70" i="16"/>
  <c r="C69" i="16"/>
  <c r="D63" i="16"/>
  <c r="D71" i="16" l="1"/>
  <c r="D72" i="16"/>
  <c r="D78" i="16"/>
  <c r="D74" i="16"/>
  <c r="D77" i="16"/>
  <c r="D69" i="16"/>
  <c r="D75" i="16"/>
  <c r="D79" i="16"/>
  <c r="D70" i="16"/>
  <c r="D68" i="16"/>
  <c r="D73" i="16"/>
  <c r="D67" i="16"/>
  <c r="D76" i="16"/>
  <c r="AD133" i="10"/>
  <c r="AE133" i="10" s="1"/>
  <c r="AD142" i="10"/>
  <c r="AE142" i="10" s="1"/>
  <c r="AD121" i="10"/>
  <c r="AE121" i="10" s="1"/>
  <c r="AD127" i="10"/>
  <c r="AE127" i="10" s="1"/>
  <c r="AD124" i="10"/>
  <c r="AE124" i="10" s="1"/>
  <c r="AD119" i="10"/>
  <c r="AE119" i="10" s="1"/>
  <c r="AD134" i="10"/>
  <c r="AE134" i="10" s="1"/>
  <c r="AD122" i="10"/>
  <c r="AE122" i="10" s="1"/>
  <c r="AD131" i="10"/>
  <c r="AE131" i="10" s="1"/>
  <c r="AD129" i="10"/>
  <c r="AE129" i="10" s="1"/>
  <c r="AD139" i="10"/>
  <c r="AE139" i="10" s="1"/>
  <c r="AD145" i="10"/>
  <c r="AE145" i="10" s="1"/>
  <c r="AD141" i="10"/>
  <c r="AE141" i="10" s="1"/>
  <c r="AD140" i="10"/>
  <c r="AE140" i="10" s="1"/>
  <c r="AD118" i="10"/>
  <c r="AE118" i="10" s="1"/>
  <c r="AD125" i="10"/>
  <c r="AE125" i="10" s="1"/>
  <c r="AD137" i="10"/>
  <c r="AE137" i="10" s="1"/>
  <c r="AD136" i="10"/>
  <c r="AE136" i="10" s="1"/>
  <c r="AD126" i="10"/>
  <c r="AE126" i="10" s="1"/>
  <c r="AD143" i="10"/>
  <c r="AE143" i="10" s="1"/>
  <c r="AD120" i="10"/>
  <c r="AE120" i="10" s="1"/>
  <c r="AD130" i="10"/>
  <c r="AE130" i="10" s="1"/>
  <c r="AD144" i="10"/>
  <c r="AE144" i="10" s="1"/>
  <c r="AD135" i="10"/>
  <c r="AE135" i="10" s="1"/>
  <c r="AD128" i="10"/>
  <c r="AE128" i="10" s="1"/>
  <c r="AD123" i="10"/>
  <c r="AE123" i="10" s="1"/>
  <c r="AD138" i="10"/>
  <c r="AE138" i="10" s="1"/>
  <c r="AC132" i="10"/>
  <c r="AD132" i="10"/>
  <c r="AD152" i="10"/>
  <c r="AD168" i="10"/>
  <c r="AD162" i="10"/>
  <c r="AD161" i="10"/>
  <c r="AD158" i="10"/>
  <c r="AD176" i="10"/>
  <c r="AD165" i="10"/>
  <c r="AD151" i="10"/>
  <c r="AD163" i="10"/>
  <c r="AD150" i="10"/>
  <c r="AD166" i="10"/>
  <c r="AD155" i="10"/>
  <c r="AD171" i="10"/>
  <c r="AD159" i="10"/>
  <c r="AD156" i="10"/>
  <c r="AD172" i="10"/>
  <c r="AD149" i="10"/>
  <c r="AD160" i="10"/>
  <c r="AD173" i="10"/>
  <c r="AD153" i="10"/>
  <c r="AD169" i="10"/>
  <c r="AD167" i="10"/>
  <c r="AD164" i="10"/>
  <c r="AD174" i="10"/>
  <c r="AD157" i="10"/>
  <c r="AD175" i="10"/>
  <c r="AD154" i="10"/>
  <c r="AD170" i="10"/>
  <c r="AE132" i="10" l="1"/>
  <c r="R112" i="11" l="1"/>
  <c r="V112" i="11"/>
  <c r="Z112" i="11"/>
  <c r="AD112" i="11"/>
  <c r="U112" i="11"/>
  <c r="Y112" i="11"/>
  <c r="AC112" i="11"/>
  <c r="T112" i="11"/>
  <c r="X112" i="11"/>
  <c r="AB112" i="11"/>
  <c r="S112" i="11"/>
  <c r="W112" i="11"/>
  <c r="AA112" i="11"/>
  <c r="R105" i="12"/>
  <c r="S105" i="12"/>
  <c r="Y105" i="12"/>
  <c r="AB105" i="12"/>
  <c r="T105" i="12"/>
  <c r="AC105" i="12"/>
  <c r="V105" i="12"/>
  <c r="X105" i="12"/>
  <c r="AD105" i="12"/>
  <c r="AA105" i="12"/>
  <c r="U105" i="12"/>
  <c r="W105" i="12"/>
  <c r="Z105" i="12"/>
  <c r="R209" i="12"/>
  <c r="R211" i="12"/>
  <c r="R210" i="12"/>
  <c r="AM209" i="12"/>
  <c r="AM210" i="12"/>
  <c r="AM211" i="12"/>
  <c r="AH211" i="12"/>
  <c r="AH209" i="12"/>
  <c r="AH210" i="12"/>
  <c r="AS209" i="12"/>
  <c r="AS210" i="12"/>
  <c r="AS211" i="12"/>
  <c r="AE210" i="12"/>
  <c r="AE211" i="12"/>
  <c r="AE209" i="12"/>
  <c r="AG209" i="12"/>
  <c r="AG211" i="12"/>
  <c r="AG210" i="12"/>
  <c r="W210" i="12"/>
  <c r="W209" i="12"/>
  <c r="W211" i="12"/>
  <c r="AI209" i="12"/>
  <c r="AI211" i="12"/>
  <c r="AI210" i="12"/>
  <c r="S210" i="12"/>
  <c r="S211" i="12"/>
  <c r="S209" i="12"/>
  <c r="AK211" i="12"/>
  <c r="AK210" i="12"/>
  <c r="AK209" i="12"/>
  <c r="AD209" i="12"/>
  <c r="AD210" i="12"/>
  <c r="AD211" i="12"/>
  <c r="T209" i="12"/>
  <c r="T211" i="12"/>
  <c r="T210" i="12"/>
  <c r="AA211" i="12"/>
  <c r="AA210" i="12"/>
  <c r="AA209" i="12"/>
  <c r="AQ210" i="12"/>
  <c r="AQ209" i="12"/>
  <c r="AQ211" i="12"/>
  <c r="AO210" i="12"/>
  <c r="AO211" i="12"/>
  <c r="AO209" i="12"/>
  <c r="X209" i="12"/>
  <c r="X211" i="12"/>
  <c r="X210" i="12"/>
  <c r="AP209" i="12"/>
  <c r="AP210" i="12"/>
  <c r="AP211" i="12"/>
  <c r="AF210" i="12"/>
  <c r="AF209" i="12"/>
  <c r="AF211" i="12"/>
  <c r="AL209" i="12"/>
  <c r="AL210" i="12"/>
  <c r="AL211" i="12"/>
  <c r="Z211" i="12"/>
  <c r="Z210" i="12"/>
  <c r="Z209" i="12"/>
  <c r="Y209" i="12"/>
  <c r="Y210" i="12"/>
  <c r="Y211" i="12"/>
  <c r="U210" i="12"/>
  <c r="U209" i="12"/>
  <c r="U211" i="12"/>
  <c r="V210" i="12"/>
  <c r="V209" i="12"/>
  <c r="V211" i="12"/>
  <c r="AC210" i="12"/>
  <c r="AC209" i="12"/>
  <c r="AC211" i="12"/>
  <c r="AR210" i="12"/>
  <c r="AR211" i="12"/>
  <c r="AR209" i="12"/>
  <c r="AB210" i="12"/>
  <c r="AB211" i="12"/>
  <c r="AB209" i="12"/>
  <c r="AJ211" i="12"/>
  <c r="AJ209" i="12"/>
  <c r="AJ210" i="12"/>
  <c r="AN211" i="12"/>
  <c r="AN210" i="12"/>
  <c r="AN209" i="12"/>
  <c r="R206" i="13" l="1"/>
  <c r="R205" i="13"/>
  <c r="R207" i="13"/>
  <c r="Y205" i="13"/>
  <c r="Y206" i="13"/>
  <c r="Y207" i="13"/>
  <c r="W206" i="13"/>
  <c r="W207" i="13"/>
  <c r="W205" i="13"/>
  <c r="AI207" i="13"/>
  <c r="AI206" i="13"/>
  <c r="AI205" i="13"/>
  <c r="AE207" i="13"/>
  <c r="AE206" i="13"/>
  <c r="AE205" i="13"/>
  <c r="T206" i="13"/>
  <c r="T207" i="13"/>
  <c r="T205" i="13"/>
  <c r="AN207" i="13"/>
  <c r="AN206" i="13"/>
  <c r="AN205" i="13"/>
  <c r="AP205" i="13"/>
  <c r="AP206" i="13"/>
  <c r="AP207" i="13"/>
  <c r="AH207" i="13"/>
  <c r="AH206" i="13"/>
  <c r="AH205" i="13"/>
  <c r="S205" i="13"/>
  <c r="S207" i="13"/>
  <c r="S206" i="13"/>
  <c r="X206" i="13"/>
  <c r="X205" i="13"/>
  <c r="X207" i="13"/>
  <c r="AK205" i="13"/>
  <c r="AK206" i="13"/>
  <c r="AK207" i="13"/>
  <c r="AD206" i="13"/>
  <c r="AD207" i="13"/>
  <c r="AD205" i="13"/>
  <c r="Z206" i="13"/>
  <c r="Z205" i="13"/>
  <c r="Z207" i="13"/>
  <c r="AR206" i="13"/>
  <c r="AR205" i="13"/>
  <c r="AR207" i="13"/>
  <c r="AA205" i="13"/>
  <c r="AA207" i="13"/>
  <c r="AA206" i="13"/>
  <c r="U205" i="13"/>
  <c r="U207" i="13"/>
  <c r="U206" i="13"/>
  <c r="V205" i="13"/>
  <c r="V206" i="13"/>
  <c r="V207" i="13"/>
  <c r="AJ205" i="13"/>
  <c r="AJ207" i="13"/>
  <c r="AJ206" i="13"/>
  <c r="AF207" i="13"/>
  <c r="AF205" i="13"/>
  <c r="AF206" i="13"/>
  <c r="AL206" i="13"/>
  <c r="AL207" i="13"/>
  <c r="AL205" i="13"/>
  <c r="AQ205" i="13"/>
  <c r="AQ206" i="13"/>
  <c r="AQ207" i="13"/>
  <c r="AB206" i="13"/>
  <c r="AB207" i="13"/>
  <c r="AB205" i="13"/>
  <c r="AS206" i="13"/>
  <c r="AS205" i="13"/>
  <c r="AS207" i="13"/>
  <c r="AM206" i="13"/>
  <c r="AM207" i="13"/>
  <c r="AM205" i="13"/>
  <c r="AO207" i="13"/>
  <c r="AO206" i="13"/>
  <c r="AO205" i="13"/>
  <c r="AG205" i="13"/>
  <c r="AG207" i="13"/>
  <c r="AG206" i="13"/>
  <c r="AC206" i="13"/>
  <c r="AC205" i="13"/>
  <c r="AC207" i="13"/>
  <c r="P129" i="26"/>
  <c r="P128" i="26"/>
  <c r="P126" i="26"/>
  <c r="P127" i="26"/>
  <c r="P130" i="26"/>
  <c r="P131" i="26"/>
  <c r="P156" i="26"/>
  <c r="P158" i="26"/>
  <c r="P159" i="26"/>
  <c r="P160" i="26"/>
  <c r="P498" i="26"/>
  <c r="P154" i="26"/>
  <c r="AL28" i="22"/>
  <c r="AL27" i="22"/>
  <c r="AL29" i="22"/>
  <c r="P155" i="26"/>
  <c r="P497" i="26"/>
  <c r="P157" i="26"/>
  <c r="P125"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<sst xmlns="http://schemas.openxmlformats.org/spreadsheetml/2006/main" count="32931" uniqueCount="2886">
  <si>
    <t>Challenges</t>
  </si>
  <si>
    <t>Leg 1</t>
  </si>
  <si>
    <t>Leg 2</t>
  </si>
  <si>
    <t>Leg 3</t>
  </si>
  <si>
    <t>Leg 4</t>
  </si>
  <si>
    <t>Leg 5</t>
  </si>
  <si>
    <t>Leg 6</t>
  </si>
  <si>
    <t>Leg 7</t>
  </si>
  <si>
    <t>Leg 8</t>
  </si>
  <si>
    <t>Leg 9</t>
  </si>
  <si>
    <t>Leg 10</t>
  </si>
  <si>
    <t>Season 33</t>
  </si>
  <si>
    <t>Route Info</t>
  </si>
  <si>
    <t>Detour</t>
  </si>
  <si>
    <t>Road Block</t>
  </si>
  <si>
    <t>Elimination?</t>
  </si>
  <si>
    <t>Yes</t>
  </si>
  <si>
    <t>No</t>
  </si>
  <si>
    <t xml:space="preserve">Winners = </t>
  </si>
  <si>
    <t>Keywords</t>
  </si>
  <si>
    <t>Puzzle</t>
  </si>
  <si>
    <t>Travel Issues</t>
  </si>
  <si>
    <t>Attention to Detail</t>
  </si>
  <si>
    <t>Flags</t>
  </si>
  <si>
    <t>Driving</t>
  </si>
  <si>
    <t>Physical Strength</t>
  </si>
  <si>
    <t>Heights</t>
  </si>
  <si>
    <t>Animals</t>
  </si>
  <si>
    <t>Memorization</t>
  </si>
  <si>
    <t>Food</t>
  </si>
  <si>
    <t>Destinations</t>
  </si>
  <si>
    <t>London, England</t>
  </si>
  <si>
    <t>Glasgow, Scotland</t>
  </si>
  <si>
    <t>St. Gallen, Switzerland</t>
  </si>
  <si>
    <t>Lugano, Switzerland</t>
  </si>
  <si>
    <t>Season 32</t>
  </si>
  <si>
    <t>Leg 11</t>
  </si>
  <si>
    <t>Leg 12</t>
  </si>
  <si>
    <t>Season Template</t>
  </si>
  <si>
    <t>Winners = Will and James</t>
  </si>
  <si>
    <t>Los Angeles, USA</t>
  </si>
  <si>
    <t>U-Turn/Yield?</t>
  </si>
  <si>
    <t>Yield</t>
  </si>
  <si>
    <t>Balance</t>
  </si>
  <si>
    <t>Searching</t>
  </si>
  <si>
    <t>2 U-Turn</t>
  </si>
  <si>
    <t>Cooking</t>
  </si>
  <si>
    <t>Building</t>
  </si>
  <si>
    <t>Manaus, Brazil</t>
  </si>
  <si>
    <t>Speed Bump</t>
  </si>
  <si>
    <t>Asuncion, Paraguay</t>
  </si>
  <si>
    <t>Berlin, Germany</t>
  </si>
  <si>
    <t>Paris, France</t>
  </si>
  <si>
    <t xml:space="preserve">Leg 8 </t>
  </si>
  <si>
    <t>Yield x2</t>
  </si>
  <si>
    <t>Siem Reap, Cambodia</t>
  </si>
  <si>
    <t>City Sprint</t>
  </si>
  <si>
    <t>Manila, Phillapeans</t>
  </si>
  <si>
    <t>New Orleans, USA</t>
  </si>
  <si>
    <t>Final Leg</t>
  </si>
  <si>
    <t>Season 31</t>
  </si>
  <si>
    <t>Template way over there --&gt;</t>
  </si>
  <si>
    <t>Winners = Kim and Penn</t>
  </si>
  <si>
    <t>Lisbon, Portugal</t>
  </si>
  <si>
    <t>Express Pass/Safe?</t>
  </si>
  <si>
    <t>Season 30</t>
  </si>
  <si>
    <t>Season 29</t>
  </si>
  <si>
    <t>Panama City, Panama</t>
  </si>
  <si>
    <t>Music</t>
  </si>
  <si>
    <t>Sao Paulo, Brazil</t>
  </si>
  <si>
    <t>Dar Es Salam, Tanzania</t>
  </si>
  <si>
    <t>Fast Forward</t>
  </si>
  <si>
    <t>Alesund, Norway</t>
  </si>
  <si>
    <t>Singing</t>
  </si>
  <si>
    <t>Painting</t>
  </si>
  <si>
    <t>Milan, Italy</t>
  </si>
  <si>
    <t>Venice, Italy</t>
  </si>
  <si>
    <t>U-Turn</t>
  </si>
  <si>
    <t>Patras, Greece</t>
  </si>
  <si>
    <t>Athens, Greece</t>
  </si>
  <si>
    <t>Hanoi, Vietnam</t>
  </si>
  <si>
    <t>Ninh Binh, Vietnam</t>
  </si>
  <si>
    <t>Seoul, South Korea</t>
  </si>
  <si>
    <t>Chicago, USA</t>
  </si>
  <si>
    <t>Winners = Scott and Brooke</t>
  </si>
  <si>
    <t>Season 28</t>
  </si>
  <si>
    <t>Winners = Matt and Dana</t>
  </si>
  <si>
    <t>Express Pass</t>
  </si>
  <si>
    <t>Mexico City, Mexico</t>
  </si>
  <si>
    <t>Geneva, Switzerland</t>
  </si>
  <si>
    <t>Chamonix, France</t>
  </si>
  <si>
    <t>Tblisi, Georgia</t>
  </si>
  <si>
    <t>Dubai, UAE</t>
  </si>
  <si>
    <t>Geography</t>
  </si>
  <si>
    <t>Santa Barbara, USA</t>
  </si>
  <si>
    <t>Season 27</t>
  </si>
  <si>
    <t>Winners = Joey and Kelsey</t>
  </si>
  <si>
    <t>Rio de Janero, Brazil</t>
  </si>
  <si>
    <t>Buenos Aires, Argentina</t>
  </si>
  <si>
    <t>Argentina</t>
  </si>
  <si>
    <t>Victoria Falls, Zambia</t>
  </si>
  <si>
    <t>Rotterdam, Netherlands</t>
  </si>
  <si>
    <t>Krakow, Poland</t>
  </si>
  <si>
    <t>Agra, India</t>
  </si>
  <si>
    <t>Season 26</t>
  </si>
  <si>
    <t>LA, USA</t>
  </si>
  <si>
    <t>Tokyo, Japan</t>
  </si>
  <si>
    <t>Nagano, Japan</t>
  </si>
  <si>
    <t>Bankok, Thailand</t>
  </si>
  <si>
    <t>Language</t>
  </si>
  <si>
    <t>Munich, Germany</t>
  </si>
  <si>
    <t>Nice, France</t>
  </si>
  <si>
    <t>Windhock, Namibia</t>
  </si>
  <si>
    <t>Amsterdam, Netherlands</t>
  </si>
  <si>
    <t>Math</t>
  </si>
  <si>
    <t>Dallas, USA</t>
  </si>
  <si>
    <t>Season 25</t>
  </si>
  <si>
    <t>Winners = Amy and Maya</t>
  </si>
  <si>
    <t>NYC, USA</t>
  </si>
  <si>
    <t>Oxford, England</t>
  </si>
  <si>
    <t>Biking</t>
  </si>
  <si>
    <t>Copenhagen, Netherlands</t>
  </si>
  <si>
    <t>Malta</t>
  </si>
  <si>
    <t>Singapore</t>
  </si>
  <si>
    <t>Pain</t>
  </si>
  <si>
    <t>Season 24</t>
  </si>
  <si>
    <t>Season 1</t>
  </si>
  <si>
    <t>Season 2</t>
  </si>
  <si>
    <t>Season 3</t>
  </si>
  <si>
    <t>Season 4</t>
  </si>
  <si>
    <t>Season 5</t>
  </si>
  <si>
    <t>Season 6</t>
  </si>
  <si>
    <t>Season 7</t>
  </si>
  <si>
    <t>Season 8</t>
  </si>
  <si>
    <t>Season 9</t>
  </si>
  <si>
    <t>Season 10</t>
  </si>
  <si>
    <t>Season 11</t>
  </si>
  <si>
    <t>Season 12</t>
  </si>
  <si>
    <t>Season 13</t>
  </si>
  <si>
    <t>Season 14</t>
  </si>
  <si>
    <t>Season 15</t>
  </si>
  <si>
    <t>Season 16</t>
  </si>
  <si>
    <t>Season 17</t>
  </si>
  <si>
    <t>Season 18</t>
  </si>
  <si>
    <t>Season 19</t>
  </si>
  <si>
    <t>Season 20</t>
  </si>
  <si>
    <t>Season 21</t>
  </si>
  <si>
    <t>Season 22</t>
  </si>
  <si>
    <t>Season 23</t>
  </si>
  <si>
    <t>Elim</t>
  </si>
  <si>
    <t>Total #</t>
  </si>
  <si>
    <t>Avg #</t>
  </si>
  <si>
    <t>Winners = Colin and Kristy</t>
  </si>
  <si>
    <t>Luang Prabang, Laos</t>
  </si>
  <si>
    <t>Ho Chi Minh, Vietnam</t>
  </si>
  <si>
    <t>Dancing</t>
  </si>
  <si>
    <t>Kampala, Uganda</t>
  </si>
  <si>
    <t>Zurich, Switzerland</t>
  </si>
  <si>
    <t>Split, Croatia</t>
  </si>
  <si>
    <t>Kampen, Netherlands</t>
  </si>
  <si>
    <t>Detroit, USA</t>
  </si>
  <si>
    <t>Winners = Cody and Jessica</t>
  </si>
  <si>
    <t>Iceland</t>
  </si>
  <si>
    <t xml:space="preserve">Antwerp, Belgium </t>
  </si>
  <si>
    <t>Saint Tropez, France</t>
  </si>
  <si>
    <t>Prague, Czech Republic</t>
  </si>
  <si>
    <t>Harare, Zimbabwae</t>
  </si>
  <si>
    <t>Partner Swap</t>
  </si>
  <si>
    <t>Manama, Bahrain</t>
  </si>
  <si>
    <t>Chiang Mai, Thailand</t>
  </si>
  <si>
    <t>San Francisco, USA</t>
  </si>
  <si>
    <t>Winners = Dave and Connor :)</t>
  </si>
  <si>
    <t>Guangzhou, China</t>
  </si>
  <si>
    <t xml:space="preserve">Kuala Lumpur, Malasyia </t>
  </si>
  <si>
    <t>Colomo, Sri Lanka</t>
  </si>
  <si>
    <t>Galle, Sri Lanka</t>
  </si>
  <si>
    <t>Alawwa, Sri Lanka</t>
  </si>
  <si>
    <t>Rome, Italy</t>
  </si>
  <si>
    <t>Chiasso, Switzerland</t>
  </si>
  <si>
    <t>Seville, Spain</t>
  </si>
  <si>
    <t>Liverpool, England</t>
  </si>
  <si>
    <t>Las Vegas, USA</t>
  </si>
  <si>
    <t>Total</t>
  </si>
  <si>
    <t>Season #</t>
  </si>
  <si>
    <t>Season 35</t>
  </si>
  <si>
    <t>Challenge 1</t>
  </si>
  <si>
    <t>Challenge 2</t>
  </si>
  <si>
    <t>Challenge 3</t>
  </si>
  <si>
    <t>Challenge 4</t>
  </si>
  <si>
    <t>Challenge 5</t>
  </si>
  <si>
    <t>Challenge 6</t>
  </si>
  <si>
    <t>Challenge 7</t>
  </si>
  <si>
    <t>Challenge 8</t>
  </si>
  <si>
    <t>Challenge 9</t>
  </si>
  <si>
    <t>Challenge 10</t>
  </si>
  <si>
    <t>%</t>
  </si>
  <si>
    <t>Elim Leg</t>
  </si>
  <si>
    <t>Non Elim Leg</t>
  </si>
  <si>
    <t>Season 34</t>
  </si>
  <si>
    <t>Head</t>
  </si>
  <si>
    <t>Totals</t>
  </si>
  <si>
    <t>Na</t>
  </si>
  <si>
    <t>Winners = Jason and Amy</t>
  </si>
  <si>
    <t>Iquique, Chile</t>
  </si>
  <si>
    <t>Santiago, Chile</t>
  </si>
  <si>
    <t>Bodo, Norway</t>
  </si>
  <si>
    <t>Vienna, Austria</t>
  </si>
  <si>
    <t>Bandung, Indonesia</t>
  </si>
  <si>
    <t>Winners = Bates and Anthony</t>
  </si>
  <si>
    <t>Maun, Botswana</t>
  </si>
  <si>
    <t>Dresden, Germany</t>
  </si>
  <si>
    <t>Belfast, Northern Ireland</t>
  </si>
  <si>
    <t>Winners = Josh and Brent</t>
  </si>
  <si>
    <t>Surabaya, Indonesia</t>
  </si>
  <si>
    <t>Dhaka, Bangladesh</t>
  </si>
  <si>
    <t>Istanbul, Turkey</t>
  </si>
  <si>
    <t>Swimming</t>
  </si>
  <si>
    <t>Moscow, Russia</t>
  </si>
  <si>
    <t>Barcelona, Spain</t>
  </si>
  <si>
    <t>% of Total</t>
  </si>
  <si>
    <t>% per Leg</t>
  </si>
  <si>
    <t>Winners = Rachael and Dave</t>
  </si>
  <si>
    <t>Salta, Argentina</t>
  </si>
  <si>
    <t>Turin, Italy</t>
  </si>
  <si>
    <t>Ehrwald, Austria</t>
  </si>
  <si>
    <t>Baku, Azerbaijan</t>
  </si>
  <si>
    <t>Kilimanjaro, Tanzania</t>
  </si>
  <si>
    <t>Hiroshima, Japan</t>
  </si>
  <si>
    <t>Osaka, Japan</t>
  </si>
  <si>
    <t>Honolulu, USA</t>
  </si>
  <si>
    <t>Winners = Ernie and Cindy</t>
  </si>
  <si>
    <t>Hazard</t>
  </si>
  <si>
    <t>Taipei, Taiwan</t>
  </si>
  <si>
    <t>Phuket, Thailand</t>
  </si>
  <si>
    <t>Navigation</t>
  </si>
  <si>
    <t>Lilongwe, Malawi</t>
  </si>
  <si>
    <t>Copenhagen, Denmark</t>
  </si>
  <si>
    <t>Hamburg, Germany</t>
  </si>
  <si>
    <t>Brussels, Belgium</t>
  </si>
  <si>
    <t>Atlanta, USA</t>
  </si>
  <si>
    <t>Winners = Kisha and Jen</t>
  </si>
  <si>
    <t>Palm Springs, USA</t>
  </si>
  <si>
    <t>Sydney, Australia</t>
  </si>
  <si>
    <t>Broken Hills, Australia</t>
  </si>
  <si>
    <t>Hand Eye Coordination</t>
  </si>
  <si>
    <t>Kolkata, India</t>
  </si>
  <si>
    <t>Varanasi, India</t>
  </si>
  <si>
    <t>Salzburg, Austria</t>
  </si>
  <si>
    <t>Zermatt, Switzerland</t>
  </si>
  <si>
    <t>Miami, USA</t>
  </si>
  <si>
    <t>Winners = Nat and Kat</t>
  </si>
  <si>
    <t>Accra, Ghana</t>
  </si>
  <si>
    <t>Narvik, Norway</t>
  </si>
  <si>
    <t>St. Petersburg, Russia</t>
  </si>
  <si>
    <t>Muscat, Oman</t>
  </si>
  <si>
    <t>Swankopmund, Namibia</t>
  </si>
  <si>
    <t>Winners = Dan and Jordan</t>
  </si>
  <si>
    <t>Winners = Derek and Claire</t>
  </si>
  <si>
    <t>Bologna, Italy</t>
  </si>
  <si>
    <t>Florence, Italy</t>
  </si>
  <si>
    <t>Petra, Jordan</t>
  </si>
  <si>
    <t>Amman, Jordan</t>
  </si>
  <si>
    <t>Toulouse, France</t>
  </si>
  <si>
    <t>Malaga, Spain</t>
  </si>
  <si>
    <t>Nashville, USA</t>
  </si>
  <si>
    <t>Russia</t>
  </si>
  <si>
    <t>USA</t>
  </si>
  <si>
    <t>England</t>
  </si>
  <si>
    <t>Scotland</t>
  </si>
  <si>
    <t>Switzerland</t>
  </si>
  <si>
    <t>France</t>
  </si>
  <si>
    <t>Greece</t>
  </si>
  <si>
    <t>Portugal</t>
  </si>
  <si>
    <t>Colombia</t>
  </si>
  <si>
    <t>Bogota, Colombia</t>
  </si>
  <si>
    <t>Brazil</t>
  </si>
  <si>
    <t>Paraguay</t>
  </si>
  <si>
    <t>Germany</t>
  </si>
  <si>
    <t>India</t>
  </si>
  <si>
    <t>Japan</t>
  </si>
  <si>
    <t>Cambodia</t>
  </si>
  <si>
    <t>Vietnam</t>
  </si>
  <si>
    <t>Laos</t>
  </si>
  <si>
    <t>UAE</t>
  </si>
  <si>
    <t>Uganda</t>
  </si>
  <si>
    <t>Croatia</t>
  </si>
  <si>
    <t>Netherlands</t>
  </si>
  <si>
    <t>Belgium</t>
  </si>
  <si>
    <t>Czech Republic</t>
  </si>
  <si>
    <t>Bahrain</t>
  </si>
  <si>
    <t>Thailand</t>
  </si>
  <si>
    <t>Mexico</t>
  </si>
  <si>
    <t>Armenia</t>
  </si>
  <si>
    <t>Georgia</t>
  </si>
  <si>
    <t>Indonesia</t>
  </si>
  <si>
    <t>China</t>
  </si>
  <si>
    <t>Zambia</t>
  </si>
  <si>
    <t>Poland</t>
  </si>
  <si>
    <t>Monaco</t>
  </si>
  <si>
    <t>Namibia</t>
  </si>
  <si>
    <t>Peru</t>
  </si>
  <si>
    <t>Virgin Islands</t>
  </si>
  <si>
    <t>Mozambique</t>
  </si>
  <si>
    <t>Sri Lanka</t>
  </si>
  <si>
    <t>Italy</t>
  </si>
  <si>
    <t>Chile</t>
  </si>
  <si>
    <t>Norway</t>
  </si>
  <si>
    <t>Juneau, USA</t>
  </si>
  <si>
    <t>Christchurch, New Zealand</t>
  </si>
  <si>
    <t>New Zealand</t>
  </si>
  <si>
    <t>Australia</t>
  </si>
  <si>
    <t>Canada</t>
  </si>
  <si>
    <t>Botswana</t>
  </si>
  <si>
    <t>Bangladesh</t>
  </si>
  <si>
    <t>Tanzania</t>
  </si>
  <si>
    <t>Austria</t>
  </si>
  <si>
    <t>Azerbaijan</t>
  </si>
  <si>
    <t>Liechtenstein</t>
  </si>
  <si>
    <t>Ghana</t>
  </si>
  <si>
    <t>Oman</t>
  </si>
  <si>
    <t>South Korea</t>
  </si>
  <si>
    <t>Jordan</t>
  </si>
  <si>
    <t>Valpairaso, Chile</t>
  </si>
  <si>
    <t>Frankfurt, Germany</t>
  </si>
  <si>
    <t>Reims, France</t>
  </si>
  <si>
    <t>Piere, France</t>
  </si>
  <si>
    <t>Teluk Benang, Malaysia</t>
  </si>
  <si>
    <t>Shanghai, China</t>
  </si>
  <si>
    <t>San Fran, USA</t>
  </si>
  <si>
    <t>Season</t>
  </si>
  <si>
    <t>First Gap</t>
  </si>
  <si>
    <t>Second Gap</t>
  </si>
  <si>
    <t>Third Gap</t>
  </si>
  <si>
    <t>Average</t>
  </si>
  <si>
    <t>First Leg</t>
  </si>
  <si>
    <t>% of Chal</t>
  </si>
  <si>
    <t>Winners = Meghan and Cheyne</t>
  </si>
  <si>
    <t>Cai Bei, Vietnam</t>
  </si>
  <si>
    <t>Phnom Penh, Cambodia</t>
  </si>
  <si>
    <t>Selling</t>
  </si>
  <si>
    <t>Stockholm, Sweden</t>
  </si>
  <si>
    <t>Tallinn, Estonia</t>
  </si>
  <si>
    <t>Keava, Estonia</t>
  </si>
  <si>
    <t>Estonia</t>
  </si>
  <si>
    <t>Leg 13</t>
  </si>
  <si>
    <t>Winners = Tammy and Victor</t>
  </si>
  <si>
    <t>Interlaken, Switzerland</t>
  </si>
  <si>
    <t>Ruhpolding, Germany</t>
  </si>
  <si>
    <t>Schonau am Konigssee, Germany</t>
  </si>
  <si>
    <t>Bucharest, Romania</t>
  </si>
  <si>
    <t>Novosibirisk, Russia</t>
  </si>
  <si>
    <t>Jaipur, India</t>
  </si>
  <si>
    <t>Guilin, China</t>
  </si>
  <si>
    <t>Beijing, China</t>
  </si>
  <si>
    <t>Maui, USA</t>
  </si>
  <si>
    <t>Winners = Nick and Starr</t>
  </si>
  <si>
    <t>Fortaleza, Brazil</t>
  </si>
  <si>
    <t>La Paz, Bolivia</t>
  </si>
  <si>
    <t>Aukland, New Zealand</t>
  </si>
  <si>
    <t>Tauranga, New Zealand</t>
  </si>
  <si>
    <t>Delhi, India</t>
  </si>
  <si>
    <t>Almaty, Kazakhstan</t>
  </si>
  <si>
    <t>Zhukovsky, Russia</t>
  </si>
  <si>
    <t>Portland, USA</t>
  </si>
  <si>
    <t>Shannon, Ireland</t>
  </si>
  <si>
    <t>Bingo, Burkina Faso</t>
  </si>
  <si>
    <t>Vilnius, Lithuania</t>
  </si>
  <si>
    <t>Dubrovnik, Croatia</t>
  </si>
  <si>
    <t>Ancona, Italy</t>
  </si>
  <si>
    <t>Empoli, Italy</t>
  </si>
  <si>
    <t>Mumbai, India</t>
  </si>
  <si>
    <t>Winners = Eric and Daniel</t>
  </si>
  <si>
    <t>Quito, Ecuador</t>
  </si>
  <si>
    <t>San Pedro de Atacama, Chile</t>
  </si>
  <si>
    <t>Metri, Chile</t>
  </si>
  <si>
    <t>Punta Arenas, Chile</t>
  </si>
  <si>
    <t>Ushuaia, Argentina</t>
  </si>
  <si>
    <t>Maputo, Mozambique</t>
  </si>
  <si>
    <t>Warsaw, Poland</t>
  </si>
  <si>
    <t>Kuala Limpur, Malaysia</t>
  </si>
  <si>
    <t>San Francsico, USA</t>
  </si>
  <si>
    <t>Winners = Tyler and James</t>
  </si>
  <si>
    <t>Seattle, USA</t>
  </si>
  <si>
    <t>Ulaanbaatar, Mongolia</t>
  </si>
  <si>
    <t>Ha Long Bay, Vietnam</t>
  </si>
  <si>
    <t>Chennai, India</t>
  </si>
  <si>
    <t>Helsinki, Finland</t>
  </si>
  <si>
    <t>Lohja, Findland</t>
  </si>
  <si>
    <t>Kiev, Ukraine</t>
  </si>
  <si>
    <t>Idelssan, Morocco</t>
  </si>
  <si>
    <t>Caen, France</t>
  </si>
  <si>
    <t>Garrison, USA</t>
  </si>
  <si>
    <t>Winners = BJ and Tyler</t>
  </si>
  <si>
    <t>Denver, USA</t>
  </si>
  <si>
    <t>Brotas, Brazil</t>
  </si>
  <si>
    <t>Palermo, Italy</t>
  </si>
  <si>
    <t>Catania, Italy</t>
  </si>
  <si>
    <t>Counting</t>
  </si>
  <si>
    <t>Corinth, Greece</t>
  </si>
  <si>
    <t>Muskat, Oman</t>
  </si>
  <si>
    <t>Sur, Oman</t>
  </si>
  <si>
    <t>Al Hawiyah, Oman</t>
  </si>
  <si>
    <t>Perth, Australia</t>
  </si>
  <si>
    <t>Fremantle, Australia</t>
  </si>
  <si>
    <t>Darwin, Australia</t>
  </si>
  <si>
    <t>Lake Bennett, Australia</t>
  </si>
  <si>
    <t>Bangkok, Thailand</t>
  </si>
  <si>
    <t>Lopburi, Thailand</t>
  </si>
  <si>
    <t>Anchorage, USA</t>
  </si>
  <si>
    <t>Winners = Linz Family</t>
  </si>
  <si>
    <t>Washington Crossing, USA</t>
  </si>
  <si>
    <t>Philadelphia, USA</t>
  </si>
  <si>
    <t>Mount Joy, USA</t>
  </si>
  <si>
    <t>Lancaster, USA</t>
  </si>
  <si>
    <t>York, USA</t>
  </si>
  <si>
    <t>Washington DC, USA</t>
  </si>
  <si>
    <t>Middleberg, USA</t>
  </si>
  <si>
    <t>Charleston, USA</t>
  </si>
  <si>
    <t>Huntsville, USA</t>
  </si>
  <si>
    <t>Anniston, USA</t>
  </si>
  <si>
    <t>Talledega, USA</t>
  </si>
  <si>
    <t>Hattiesburg, USA</t>
  </si>
  <si>
    <t>Richland, USA</t>
  </si>
  <si>
    <t>Madisonville, USA</t>
  </si>
  <si>
    <t>San Jose, Costa Rica</t>
  </si>
  <si>
    <t>Jaco, Costa Rica</t>
  </si>
  <si>
    <t>Quepos, Costa Rica</t>
  </si>
  <si>
    <t>Grecia, Costa Rica</t>
  </si>
  <si>
    <t>Phoenix, USA</t>
  </si>
  <si>
    <t>Mesa, USA</t>
  </si>
  <si>
    <t>Grand Canyon, USA</t>
  </si>
  <si>
    <t>Page, USA</t>
  </si>
  <si>
    <t>Monument Valley, USA</t>
  </si>
  <si>
    <t>Green River State Park, USA</t>
  </si>
  <si>
    <t>Heber City, USA</t>
  </si>
  <si>
    <t>Park City, USA</t>
  </si>
  <si>
    <t>Salt Lake City, USA</t>
  </si>
  <si>
    <t>Bonneville, USA</t>
  </si>
  <si>
    <t>Garden City, USA</t>
  </si>
  <si>
    <t>Big Piney, USA</t>
  </si>
  <si>
    <t>Yellowstone, USA</t>
  </si>
  <si>
    <t>Dubois, USA</t>
  </si>
  <si>
    <t>Coty, USA</t>
  </si>
  <si>
    <t>Red Lodge, USA</t>
  </si>
  <si>
    <t>Absarokee, USA</t>
  </si>
  <si>
    <t>Montreal, Canada</t>
  </si>
  <si>
    <t>Toronto, Canada</t>
  </si>
  <si>
    <t>Lewiston, USA</t>
  </si>
  <si>
    <t>Welcome!</t>
  </si>
  <si>
    <t>Location Information</t>
  </si>
  <si>
    <t>Winner's Corner</t>
  </si>
  <si>
    <t>Route Infos</t>
  </si>
  <si>
    <t>Detours</t>
  </si>
  <si>
    <t>Fast Forwards</t>
  </si>
  <si>
    <t>Leg Outcomes</t>
  </si>
  <si>
    <t>Leg-by-Leg</t>
  </si>
  <si>
    <t>Challenge-by-Challenge</t>
  </si>
  <si>
    <t>Season Logs</t>
  </si>
  <si>
    <t>Winners = Uchenna and Joyce</t>
  </si>
  <si>
    <t>Long Beach, USA</t>
  </si>
  <si>
    <t>Lima, Peru</t>
  </si>
  <si>
    <t>Cusco, Peru</t>
  </si>
  <si>
    <t>Arequipa, Peru</t>
  </si>
  <si>
    <t>Tigre, Argentina</t>
  </si>
  <si>
    <t>Johannasburg, South Africa</t>
  </si>
  <si>
    <t>Soweto, South Africa</t>
  </si>
  <si>
    <t>Xau Xarra, Botswana</t>
  </si>
  <si>
    <t>Sankuso Village, Botswana</t>
  </si>
  <si>
    <t>Kuwai, Botswana</t>
  </si>
  <si>
    <t>Lucknow, India</t>
  </si>
  <si>
    <t>Jahdpur, India</t>
  </si>
  <si>
    <t>Port Antonio, Jamaica</t>
  </si>
  <si>
    <t>Montego Bay, Jamaica</t>
  </si>
  <si>
    <t>Lucea, Jamaica</t>
  </si>
  <si>
    <t>San Juan, Puerto Rico</t>
  </si>
  <si>
    <t>Aguadilla, Puero Rico</t>
  </si>
  <si>
    <t>Fort Lauterdale, USA</t>
  </si>
  <si>
    <t>Winners = Freddy and Kendra</t>
  </si>
  <si>
    <t>Grindavik, Iceland</t>
  </si>
  <si>
    <t>Oslo, Norway</t>
  </si>
  <si>
    <t>Branbu, Norway</t>
  </si>
  <si>
    <t>Voss, Norway</t>
  </si>
  <si>
    <t>Dakar, Senegal</t>
  </si>
  <si>
    <t>Kayar, Senegal</t>
  </si>
  <si>
    <t>Fishing</t>
  </si>
  <si>
    <t>Budapest, Hungary</t>
  </si>
  <si>
    <t>Eger, Hungary</t>
  </si>
  <si>
    <t>Calvi, Corsica</t>
  </si>
  <si>
    <t>Zillia, Corsica</t>
  </si>
  <si>
    <t>Kandy, Sri Lanka</t>
  </si>
  <si>
    <t>Xi'an, China</t>
  </si>
  <si>
    <t>Winners = Chip and Kim</t>
  </si>
  <si>
    <t>Santa Monica, USA</t>
  </si>
  <si>
    <t>Punta del Este, Uruguay</t>
  </si>
  <si>
    <t>San Carlos de Bariloche, Argentina</t>
  </si>
  <si>
    <t>Pushkin, Russia</t>
  </si>
  <si>
    <t>Cairo, Egypt</t>
  </si>
  <si>
    <t>Giza, Egypt</t>
  </si>
  <si>
    <t>Luxor, Egypt</t>
  </si>
  <si>
    <t>Kibaoni, Tanzania</t>
  </si>
  <si>
    <t>Lake Manyara, Tanzania</t>
  </si>
  <si>
    <t>Garia, India</t>
  </si>
  <si>
    <t>Rotorua, New Zealand</t>
  </si>
  <si>
    <t>Winners = Reichen and Chip</t>
  </si>
  <si>
    <t>Le Mans, France</t>
  </si>
  <si>
    <t>Gorges du Blavet, France</t>
  </si>
  <si>
    <t>Marseilles, France</t>
  </si>
  <si>
    <t>Muiden, Netherlands</t>
  </si>
  <si>
    <t>Ernakulam, India</t>
  </si>
  <si>
    <t>Alleppey, India</t>
  </si>
  <si>
    <t>Kota Kinabala, Malaysia</t>
  </si>
  <si>
    <t>Sepilok, Malaysia</t>
  </si>
  <si>
    <t>Brisbane, Australia</t>
  </si>
  <si>
    <t>Mooloolaba, Australia</t>
  </si>
  <si>
    <t>Ferny Hills, Australia</t>
  </si>
  <si>
    <t>Wangetti, Australia</t>
  </si>
  <si>
    <t>Julatten, Australia</t>
  </si>
  <si>
    <t>Ellis Beach, Australia</t>
  </si>
  <si>
    <t>Kaulana Bay, USA</t>
  </si>
  <si>
    <t>Hawaii Volcanos National Park, USA</t>
  </si>
  <si>
    <t>Winners = Flo and Zach</t>
  </si>
  <si>
    <t>Everglades, USA</t>
  </si>
  <si>
    <t>Teotihuacan, Mexico</t>
  </si>
  <si>
    <t>Cancun, Mexico</t>
  </si>
  <si>
    <t>Talum, Mexico</t>
  </si>
  <si>
    <t>Cambridge, England</t>
  </si>
  <si>
    <t>Stonehaven, Scotland</t>
  </si>
  <si>
    <t>Porta, Portugal</t>
  </si>
  <si>
    <t>Cabo de Roca, Portugal</t>
  </si>
  <si>
    <t>Tangier, Morocco</t>
  </si>
  <si>
    <t>Fez, Morocco</t>
  </si>
  <si>
    <t>Casablanca, Morocco</t>
  </si>
  <si>
    <t>Innsbruck, Austria</t>
  </si>
  <si>
    <t>Fussen, Germany</t>
  </si>
  <si>
    <t>Schaffhausen, Switzerland</t>
  </si>
  <si>
    <t>Kandersteg, Switzerland</t>
  </si>
  <si>
    <t>Niouc, Switzerland</t>
  </si>
  <si>
    <t>Veytaux, Switzerland</t>
  </si>
  <si>
    <t>Lausanne, Switzerland</t>
  </si>
  <si>
    <t>Mount Faber, Singapore</t>
  </si>
  <si>
    <t>Ho Chi Minh City, Vientnam</t>
  </si>
  <si>
    <t>Hue, Vietnam</t>
  </si>
  <si>
    <t>Da Nang, Vietnam</t>
  </si>
  <si>
    <t>Kauai, USA</t>
  </si>
  <si>
    <t>Winners = Chris and Alex</t>
  </si>
  <si>
    <t>Pahrump, USA</t>
  </si>
  <si>
    <t>Foz do Iguacu, Brazil</t>
  </si>
  <si>
    <t>Capetown, South Africa</t>
  </si>
  <si>
    <t>Walvis Bay, Namibia</t>
  </si>
  <si>
    <t>Spitzkopf, Namibia</t>
  </si>
  <si>
    <t>Ratchaburi, Thaliand</t>
  </si>
  <si>
    <t>Amphawa, Thailand</t>
  </si>
  <si>
    <t>Mongou, Thailand</t>
  </si>
  <si>
    <t>Mae Ping Village, Thailand</t>
  </si>
  <si>
    <t>Karen Village, Thailand</t>
  </si>
  <si>
    <t>Coober Pedy, Australia</t>
  </si>
  <si>
    <t>Queenstown, New Zealand</t>
  </si>
  <si>
    <t>Cantaburry Plains, New Zealand</t>
  </si>
  <si>
    <t>Waitomo Caves, New Zealand</t>
  </si>
  <si>
    <t>Auckland, New Zealand</t>
  </si>
  <si>
    <t>Hana Bay, USA</t>
  </si>
  <si>
    <t>Big Lake, USA</t>
  </si>
  <si>
    <t>Winners = Laura and Tyler</t>
  </si>
  <si>
    <t>Season 36</t>
  </si>
  <si>
    <t>Filmed:</t>
  </si>
  <si>
    <t>Filmed: 3/8/01 - 4/8/01</t>
  </si>
  <si>
    <t>Filmed: 1/7/02 - 3/3/02</t>
  </si>
  <si>
    <t>Filmed: 8/9/02 - 9/8/02</t>
  </si>
  <si>
    <t>Filmed: 1/18/03 - 2/14/03</t>
  </si>
  <si>
    <t>Filmed: 1/30/04 - 2/27/04</t>
  </si>
  <si>
    <t>Filmed: 8/13/04 - 9/12/04</t>
  </si>
  <si>
    <t>Filmed: 11/20/04 - 12/19/04</t>
  </si>
  <si>
    <t>Filmed: 7/7/05 - 7/31/05</t>
  </si>
  <si>
    <t>Filmed: 11/7/05 - 12/3/05</t>
  </si>
  <si>
    <t>Filmed: 5/27/06 - 6/24/06</t>
  </si>
  <si>
    <t>Filmed: 11/20/06 - 12/17/06</t>
  </si>
  <si>
    <t>Filmed: 7/8/07 - 7/29/07</t>
  </si>
  <si>
    <t>Filmed: 4/22/08 - 5/14/08</t>
  </si>
  <si>
    <t>Filmed:10/31/08 - 11/21/08</t>
  </si>
  <si>
    <t>Filmed: 7/18/09 - 8/7/09</t>
  </si>
  <si>
    <t>Filmed: 11/28/09 - 12/19/00</t>
  </si>
  <si>
    <t>Filmed: 9/26/10 - 12/12/10</t>
  </si>
  <si>
    <t>Filmed: 11/20/10 - 12/12/10</t>
  </si>
  <si>
    <t>Filmed: 6/18/11 - 7/10/11</t>
  </si>
  <si>
    <t>Filmed: 11/26/11 - 12/19/11</t>
  </si>
  <si>
    <t>Filmed: 5/26/12 - 6/16/12</t>
  </si>
  <si>
    <t>Filmed:11/13/12 - 12/7/12</t>
  </si>
  <si>
    <t>Filmed: 6/9/13 - 7/2/13</t>
  </si>
  <si>
    <t>Filmed: 11/16/12 - 12/6/13</t>
  </si>
  <si>
    <t>Filmed: 5/21/14 - 6/22/14</t>
  </si>
  <si>
    <t>Filmed: 12/12/14 - 12/6/14</t>
  </si>
  <si>
    <t>Filmed: 6/22/15 - 7/14/15</t>
  </si>
  <si>
    <t>Filmed: 12/15/15 - 12/6/15</t>
  </si>
  <si>
    <t>Filmed: 6/10/16 - 7/2/16</t>
  </si>
  <si>
    <t>Filmed: 10/1/17 - 10/24/17</t>
  </si>
  <si>
    <t>Filmed: 6/10/18 - 7/3/18</t>
  </si>
  <si>
    <t>Filmed: 11/9/18 - 12/3/18</t>
  </si>
  <si>
    <t>Filmed: 2/22/20 - 2/28/20 / 9/19/21 - 10/6/21</t>
  </si>
  <si>
    <t>Filmed: 5/25/22 - 6/16/22</t>
  </si>
  <si>
    <t>Filmed: 6/13/23 - 7/8/23</t>
  </si>
  <si>
    <t>Filmed: 10/25/22 - 11/17/22</t>
  </si>
  <si>
    <t>*This season kind of had a elim and a non elim in the first leg</t>
  </si>
  <si>
    <t>Stellenbosch, South Africa</t>
  </si>
  <si>
    <t>Swakopmund, Namibia</t>
  </si>
  <si>
    <t>Gibbston, New Zealand</t>
  </si>
  <si>
    <t>Puente de Ixtla, Mexico</t>
  </si>
  <si>
    <t>Tulum, Mexico</t>
  </si>
  <si>
    <t>Duxford, England</t>
  </si>
  <si>
    <t>Marrakesh, Morocco</t>
  </si>
  <si>
    <t>Schwangau, Germany</t>
  </si>
  <si>
    <t>Grindelwald, Switzerland</t>
  </si>
  <si>
    <t>Saxeten, Switzerland</t>
  </si>
  <si>
    <t>Hoi An, Vietnam</t>
  </si>
  <si>
    <t>Da nang, Vietnam</t>
  </si>
  <si>
    <t>Cortina d'Ampezzo, Italy</t>
  </si>
  <si>
    <t>Gmunden, Austria</t>
  </si>
  <si>
    <t>Aix-en-Provence, France</t>
  </si>
  <si>
    <t>Bagnols-en-Foret, France</t>
  </si>
  <si>
    <t>Saint Remy-de-Provence, France</t>
  </si>
  <si>
    <t>Monnickendam, Netherlands</t>
  </si>
  <si>
    <t>Alkmaar, Netherlands</t>
  </si>
  <si>
    <t>Manukan Island, Malaysia</t>
  </si>
  <si>
    <t>Sandakan, Malaysia</t>
  </si>
  <si>
    <t>Kinbatangan, Malaysia</t>
  </si>
  <si>
    <t>Ranau, Malaysia</t>
  </si>
  <si>
    <t>Cheorwon, South Korea</t>
  </si>
  <si>
    <t>Sunshine Coast, Australia</t>
  </si>
  <si>
    <t>Cairns, Australia</t>
  </si>
  <si>
    <t>Smithfield, Australia</t>
  </si>
  <si>
    <t>Gorriti Island, Uruguay</t>
  </si>
  <si>
    <t>Maldonado, Uruguay</t>
  </si>
  <si>
    <t>Punta Ballena, Uruguay</t>
  </si>
  <si>
    <t>Montavideo, Uruguay</t>
  </si>
  <si>
    <t>San Antonio de Areco, Argentina</t>
  </si>
  <si>
    <t>Villa Cerro Catedral, Argentina</t>
  </si>
  <si>
    <t>Rio Negro, Argentina</t>
  </si>
  <si>
    <t>Mto wa Mbu, Tanzania</t>
  </si>
  <si>
    <t>Margham, UAE</t>
  </si>
  <si>
    <t>Paengaroa, New Zealand</t>
  </si>
  <si>
    <t>Manilla, Philippines</t>
  </si>
  <si>
    <t>Imus, Philippines</t>
  </si>
  <si>
    <t>Victoria, Philippines</t>
  </si>
  <si>
    <t>Pasay, Philippines</t>
  </si>
  <si>
    <t>El Nido, Philippines</t>
  </si>
  <si>
    <t>Calgary, Canada</t>
  </si>
  <si>
    <t>Manila, Philippines</t>
  </si>
  <si>
    <t>Sourland, Iceland</t>
  </si>
  <si>
    <t>Hornafjorour, Iceland</t>
  </si>
  <si>
    <t>Gsvinafell, Iceland</t>
  </si>
  <si>
    <t>Haggvik, Sweden</t>
  </si>
  <si>
    <t>Cap-Vert, Senegal</t>
  </si>
  <si>
    <t>Goree Island, Senegal</t>
  </si>
  <si>
    <t>Ajaccio, Corsica</t>
  </si>
  <si>
    <t>L'lle-Rousse, Corsica</t>
  </si>
  <si>
    <t>Addis Ababa, Ethiopia</t>
  </si>
  <si>
    <t>North Wollo, Ethiopia</t>
  </si>
  <si>
    <t>Lalibela, Ethiopia</t>
  </si>
  <si>
    <t>Sigiriya, Sri Lanka</t>
  </si>
  <si>
    <t>Huayin, China</t>
  </si>
  <si>
    <t>Huambutio, Peru</t>
  </si>
  <si>
    <t>Pisac, Peru</t>
  </si>
  <si>
    <t>Uspallata, Argentina</t>
  </si>
  <si>
    <t>El Challao, Argentina</t>
  </si>
  <si>
    <t>Las Heras Department, Argentina</t>
  </si>
  <si>
    <t>Lunlunta, Argentina</t>
  </si>
  <si>
    <t>Vicente Casares, Argentina</t>
  </si>
  <si>
    <t>Krugersdorp, South Africa</t>
  </si>
  <si>
    <t>Gweta, Botswana</t>
  </si>
  <si>
    <t>Makgadikgadi Pans Nat'l Park, Botswana</t>
  </si>
  <si>
    <t>Khwai, Botswana</t>
  </si>
  <si>
    <t>Hopewell, Jamaica</t>
  </si>
  <si>
    <t>Negril, Jamaica</t>
  </si>
  <si>
    <t>Mount Pleasant, USA</t>
  </si>
  <si>
    <t>Manuel Antonio Nat'l Park, Costa Rica</t>
  </si>
  <si>
    <t>Parrita, Costa Rica</t>
  </si>
  <si>
    <t>Chandler, USA</t>
  </si>
  <si>
    <t>Fort McDowell, USA</t>
  </si>
  <si>
    <t>Lake Powell, USA</t>
  </si>
  <si>
    <t>Glen Canyon Nat'l Recreation Area, USA</t>
  </si>
  <si>
    <t>Moab, USA</t>
  </si>
  <si>
    <t>Moran, USA</t>
  </si>
  <si>
    <t>Queenston, Canada</t>
  </si>
  <si>
    <t>Stuttgart, Germany</t>
  </si>
  <si>
    <t>Bad Tolz, Germany</t>
  </si>
  <si>
    <t>Grunwald, Germany</t>
  </si>
  <si>
    <t>Castellammare del Golfo, Italy</t>
  </si>
  <si>
    <t>Calatafimi-Segesta, Italy</t>
  </si>
  <si>
    <t>Syracuse, Italy</t>
  </si>
  <si>
    <t>Nemea, Greece</t>
  </si>
  <si>
    <t>Rio, Greece</t>
  </si>
  <si>
    <t>Jabrin, Oman</t>
  </si>
  <si>
    <t>Rottnest Island, Australie</t>
  </si>
  <si>
    <t>Batchelor, Australia</t>
  </si>
  <si>
    <t>Litchfield Nat'l Park, Australia</t>
  </si>
  <si>
    <t>Pho Kao Ton, Thailand</t>
  </si>
  <si>
    <t>Ko Kret Island, Thailand</t>
  </si>
  <si>
    <t>Phra Nakhon Si Ayutthaya, Thailand</t>
  </si>
  <si>
    <t>Fujiyoshida, Japan</t>
  </si>
  <si>
    <t>Yamanakako, Japan</t>
  </si>
  <si>
    <t>Golden, USA</t>
  </si>
  <si>
    <t>Morrison, USA</t>
  </si>
  <si>
    <t>Terelj, Mongolia</t>
  </si>
  <si>
    <t>Pho Vac, Vietnam</t>
  </si>
  <si>
    <t>Mamallapuram, India</t>
  </si>
  <si>
    <t>Vadanemmeli, India</t>
  </si>
  <si>
    <t>Sulaibiya, Kuwait</t>
  </si>
  <si>
    <t>Kuwait City, Kuwait</t>
  </si>
  <si>
    <t>Grand Bale, Mauritius</t>
  </si>
  <si>
    <t>Case Noyale, Mauritius</t>
  </si>
  <si>
    <t>Riviere Noire District, Mauritius</t>
  </si>
  <si>
    <t>Bel Ombre, Mauritius</t>
  </si>
  <si>
    <t>Antananaviro, Madagascar</t>
  </si>
  <si>
    <t>Tampere, Finland</t>
  </si>
  <si>
    <t>Oster, Finland</t>
  </si>
  <si>
    <t>Kyiv, Ukraine</t>
  </si>
  <si>
    <t>Ouarzazate, Morocco</t>
  </si>
  <si>
    <t>Guedara, Morocco</t>
  </si>
  <si>
    <t>North African Horse, Morocco</t>
  </si>
  <si>
    <t>Atlas Mountains, Morocco</t>
  </si>
  <si>
    <t>Casablanca, Morocoo</t>
  </si>
  <si>
    <t>Carpiquet, France</t>
  </si>
  <si>
    <t>Cotopaxi Nat'l Park, Ecuador</t>
  </si>
  <si>
    <t>Calama, Chile</t>
  </si>
  <si>
    <t>Vicente Perez Rosales Nat'l Park, Chile</t>
  </si>
  <si>
    <t>Isla Redonda, Argentina</t>
  </si>
  <si>
    <t>Dar es Salaam, Tanzania</t>
  </si>
  <si>
    <t>Zanzibar City</t>
  </si>
  <si>
    <t>Kikungwi, Zanzibar</t>
  </si>
  <si>
    <t>Suloszowa, Poland</t>
  </si>
  <si>
    <t>Yigo, Guam</t>
  </si>
  <si>
    <t>Santa Rita, Guam</t>
  </si>
  <si>
    <t>Humatak, Guam</t>
  </si>
  <si>
    <t>Lana'i, USA</t>
  </si>
  <si>
    <t>Inishmore, Ireland</t>
  </si>
  <si>
    <t>Cleggan, Ireland</t>
  </si>
  <si>
    <t>Clifden, Ireland</t>
  </si>
  <si>
    <t>Durgerdem, Netherlands</t>
  </si>
  <si>
    <t>Ouagadougou, Brukina Faso</t>
  </si>
  <si>
    <t>Yako, Burkina Faso</t>
  </si>
  <si>
    <t>Rumsiskes, Lithuania</t>
  </si>
  <si>
    <t>Vinci, Italy</t>
  </si>
  <si>
    <t>Kishiwada, Japan</t>
  </si>
  <si>
    <t>Jiji, Taiwan</t>
  </si>
  <si>
    <t>Girdwood, USA</t>
  </si>
  <si>
    <t>Salvador, Brazil</t>
  </si>
  <si>
    <t>Caucaia, Brazil</t>
  </si>
  <si>
    <t>Sao Goncalo do Amarante, Brazil</t>
  </si>
  <si>
    <t>El Alto, Bolivia</t>
  </si>
  <si>
    <t>Whangaparaoa, New Zealand</t>
  </si>
  <si>
    <t>Te Puke, New Zealand</t>
  </si>
  <si>
    <t>Boralday, Kazakhstan</t>
  </si>
  <si>
    <t>Tatarintsevo, Russia</t>
  </si>
  <si>
    <t>Newberg, USA</t>
  </si>
  <si>
    <t>Cascade Locks, USA</t>
  </si>
  <si>
    <t>Los Alamitos, USA</t>
  </si>
  <si>
    <t>Locarno, Switzerland</t>
  </si>
  <si>
    <t>Tenero-Contra, Switzerland</t>
  </si>
  <si>
    <t>Stechelberg, Switzerland</t>
  </si>
  <si>
    <t>Brasov, Romania</t>
  </si>
  <si>
    <t>Bran, Romania</t>
  </si>
  <si>
    <t>Krasnoyarsk, Russia</t>
  </si>
  <si>
    <t>Divnogorsk, Russia</t>
  </si>
  <si>
    <t>Ovsyanka Village, Russia</t>
  </si>
  <si>
    <t>Dhula Village, India</t>
  </si>
  <si>
    <t>Amber, India</t>
  </si>
  <si>
    <t>Keokea, USA</t>
  </si>
  <si>
    <t>Maalaea, USA</t>
  </si>
  <si>
    <t>Peahi, USA</t>
  </si>
  <si>
    <t>Waikapu, USA</t>
  </si>
  <si>
    <t>Tan Phong Island, Vietnam</t>
  </si>
  <si>
    <t>Ho Chi Minh City, Vietnam</t>
  </si>
  <si>
    <t>Deira, UAE</t>
  </si>
  <si>
    <t>Palm Jumeirah, UAE</t>
  </si>
  <si>
    <t>Den Oever, Netherlands</t>
  </si>
  <si>
    <t>Groningen, Netherlands</t>
  </si>
  <si>
    <t>Vierhuizen, Netherlands</t>
  </si>
  <si>
    <t>Zoutkamp, Netherlands</t>
  </si>
  <si>
    <t>Djurgarden, Sweden</t>
  </si>
  <si>
    <t>Habo, Sweden</t>
  </si>
  <si>
    <t>Puerto Varas, Chile</t>
  </si>
  <si>
    <t>Nahuel Huapi, Argentina</t>
  </si>
  <si>
    <t>Nirihuau, Argentina</t>
  </si>
  <si>
    <t>Neuquen Province, Argentina</t>
  </si>
  <si>
    <t>Les Monthairons, France</t>
  </si>
  <si>
    <t>Sainte-Menehould, France</t>
  </si>
  <si>
    <t>Massiges, France</t>
  </si>
  <si>
    <t>Epernay, France</t>
  </si>
  <si>
    <t>Victoria, Seychelles</t>
  </si>
  <si>
    <t>L'Union, Seychelles</t>
  </si>
  <si>
    <t>St. Pierre Island, Seychelles</t>
  </si>
  <si>
    <t>Praslin, Seychelles</t>
  </si>
  <si>
    <t>Anse Volbert, Seychelles</t>
  </si>
  <si>
    <t>Bayan Lepas, Malaysia</t>
  </si>
  <si>
    <t>George Town, Malaysia</t>
  </si>
  <si>
    <t>Gloucester, USA</t>
  </si>
  <si>
    <t>Amesbury, England</t>
  </si>
  <si>
    <t>Ledbury, England</t>
  </si>
  <si>
    <t>Teshie, Ghana</t>
  </si>
  <si>
    <t>Dodowa, Ghana</t>
  </si>
  <si>
    <t>Doryumu, Ghana</t>
  </si>
  <si>
    <t>Jukkasjarvi, Sweden</t>
  </si>
  <si>
    <t>Poikkijarvi, Sweden</t>
  </si>
  <si>
    <t>Riksgransen, Sweden</t>
  </si>
  <si>
    <t>Vidrek, Norway</t>
  </si>
  <si>
    <t>Skojmen, Norway</t>
  </si>
  <si>
    <t>Sandtorg, Norway</t>
  </si>
  <si>
    <t>Ankenesstranda, Norway</t>
  </si>
  <si>
    <t>Al Hamra, Oman</t>
  </si>
  <si>
    <t>Nizwa, Oman</t>
  </si>
  <si>
    <t>Muttrah, Oman</t>
  </si>
  <si>
    <t>Dongducheon, South Korea</t>
  </si>
  <si>
    <t>Pasadena, USA</t>
  </si>
  <si>
    <t>Beverly Hills, USA</t>
  </si>
  <si>
    <t>Broken Hill, Australia</t>
  </si>
  <si>
    <t>Kamakura, Japan</t>
  </si>
  <si>
    <t>Minamiashigara, Japan</t>
  </si>
  <si>
    <t>Yokosuka, Japan</t>
  </si>
  <si>
    <t>Lijiang, China</t>
  </si>
  <si>
    <t>Kunming, China</t>
  </si>
  <si>
    <t>Shilin, China</t>
  </si>
  <si>
    <t>Ramnagar, India</t>
  </si>
  <si>
    <t>Schollach, Austria</t>
  </si>
  <si>
    <t>Schanwaald, Liechtenstein</t>
  </si>
  <si>
    <t>Balzers, Liechtenstein</t>
  </si>
  <si>
    <t>Swiss Alps, Switzerland</t>
  </si>
  <si>
    <t>Niteroi, Brazil</t>
  </si>
  <si>
    <t>Key Largo, USA</t>
  </si>
  <si>
    <t>Big Pine Key, USA</t>
  </si>
  <si>
    <t>Horseshoe Island, USA</t>
  </si>
  <si>
    <t>Marathon, USA</t>
  </si>
  <si>
    <t>Pigeon Key, USA</t>
  </si>
  <si>
    <t>Yogyakarta, Indonesia</t>
  </si>
  <si>
    <t>Piyungan, Indonesia</t>
  </si>
  <si>
    <t>Semanu, Indonesia</t>
  </si>
  <si>
    <t>Ao Phang Nga Nat'l Park, Thailand</t>
  </si>
  <si>
    <t>Mueang Phang Nga, Thailand</t>
  </si>
  <si>
    <t>Chigumukile Village, Malawi</t>
  </si>
  <si>
    <t>Senga Bay, Malawi</t>
  </si>
  <si>
    <t>Hillerod, Denmark</t>
  </si>
  <si>
    <t>Kongens Lyngby, Denmark</t>
  </si>
  <si>
    <t>Billund, Denmark</t>
  </si>
  <si>
    <t>Lommel, Belgium</t>
  </si>
  <si>
    <t>Ghent, Belgium</t>
  </si>
  <si>
    <t>Geraardsbergen, Belgium</t>
  </si>
  <si>
    <t>Beersel, Belgium</t>
  </si>
  <si>
    <t>Santa Ynez, USA</t>
  </si>
  <si>
    <t>Cafayate, Argentina</t>
  </si>
  <si>
    <t>Santa Barbara, Argentina</t>
  </si>
  <si>
    <t>Bavaria, GerGarmisch-Partenkirchen, Germany</t>
  </si>
  <si>
    <t>Oberammergau, Germany</t>
  </si>
  <si>
    <t>Schwangau-Horn, Germany</t>
  </si>
  <si>
    <t>Ngorongoro Crater, Tanzania</t>
  </si>
  <si>
    <t>Karatu, Tanzania</t>
  </si>
  <si>
    <t>Lake Manyara Nat'l Park, Tanzania</t>
  </si>
  <si>
    <t>Arusha, Tanzania</t>
  </si>
  <si>
    <t>Thevara, India</t>
  </si>
  <si>
    <t>Kochi, India</t>
  </si>
  <si>
    <t>Chandiroor, India</t>
  </si>
  <si>
    <t>Cherthala, India</t>
  </si>
  <si>
    <t>Pattanakkad, India</t>
  </si>
  <si>
    <t>Fort Kochi, India</t>
  </si>
  <si>
    <t>Vypin, India</t>
  </si>
  <si>
    <t>Hakipu'u Valley, USA</t>
  </si>
  <si>
    <t>Kualoa Valley, USA</t>
  </si>
  <si>
    <t>Bangkalan, Indonesia</t>
  </si>
  <si>
    <t>Bangil, Indonesia</t>
  </si>
  <si>
    <t>Derma, Bangladesh</t>
  </si>
  <si>
    <t>Sonargaon, Bangladesh</t>
  </si>
  <si>
    <t>Ransdorp, Netherlands</t>
  </si>
  <si>
    <t>Palma, Spain</t>
  </si>
  <si>
    <t>Manacor, Spain</t>
  </si>
  <si>
    <t>Campanet, Spain</t>
  </si>
  <si>
    <t>Sa Pobla, Spain</t>
  </si>
  <si>
    <t>Muro, Spain</t>
  </si>
  <si>
    <t>Villandry, France</t>
  </si>
  <si>
    <t>Amboise, France</t>
  </si>
  <si>
    <t>Cheverny, France</t>
  </si>
  <si>
    <t>Bourre, France</t>
  </si>
  <si>
    <t>Chenonceaux, France</t>
  </si>
  <si>
    <t>Bora Bora, French Polynesia</t>
  </si>
  <si>
    <t>Anau, French Polynesia</t>
  </si>
  <si>
    <t>Motu Piti A'au, French Polynesia</t>
  </si>
  <si>
    <t>Tevairoa, French Polynesia</t>
  </si>
  <si>
    <t>Windwhistle, New Zealand</t>
  </si>
  <si>
    <t>Methven, New Zealand</t>
  </si>
  <si>
    <t>Ubud, Indonesia</t>
  </si>
  <si>
    <t>Gianyar, Indonesia</t>
  </si>
  <si>
    <t>Pecatu, Indonesia</t>
  </si>
  <si>
    <t>Kleine Scheidegg, Switzerland</t>
  </si>
  <si>
    <t>Jungfraujoch, Switzerland</t>
  </si>
  <si>
    <t>Elger, Switzerland</t>
  </si>
  <si>
    <t>Longniddry, Scotland</t>
  </si>
  <si>
    <t>Edinburgh, Scotland</t>
  </si>
  <si>
    <t>County Armagh, Northern Ireland</t>
  </si>
  <si>
    <t>Wash DC, USA</t>
  </si>
  <si>
    <t>Mount Vernon, USA</t>
  </si>
  <si>
    <t>Santa Clarita, USA</t>
  </si>
  <si>
    <t>Alto Hospicio, Chile</t>
  </si>
  <si>
    <t>Tarapaca Region, Chile</t>
  </si>
  <si>
    <t>San Jose de Maipo, Chile</t>
  </si>
  <si>
    <t>Sintra, Portugal</t>
  </si>
  <si>
    <t>Svolvaer, Norway</t>
  </si>
  <si>
    <t>Henningsvaer, Norway</t>
  </si>
  <si>
    <t>Vestvagoy, Norway</t>
  </si>
  <si>
    <t>Sopot, Norway</t>
  </si>
  <si>
    <t>Abu Dhabi, UAE</t>
  </si>
  <si>
    <t>Yas Island, UAE</t>
  </si>
  <si>
    <t>Al Khatim Desert, UAE</t>
  </si>
  <si>
    <t>Al Ain, UAE</t>
  </si>
  <si>
    <t>Chileunyi, Indonesia</t>
  </si>
  <si>
    <t>Padasuka, Indonesia</t>
  </si>
  <si>
    <t>Lembang, Indonesia</t>
  </si>
  <si>
    <t>Parongpong, Indonesia</t>
  </si>
  <si>
    <t>Subang, Indonesia</t>
  </si>
  <si>
    <t>Cisarua, Indonesia</t>
  </si>
  <si>
    <t>Taku Inlet, USA</t>
  </si>
  <si>
    <t>Kota Kinabalu, Malaysia</t>
  </si>
  <si>
    <t>Inanam, Malaysia</t>
  </si>
  <si>
    <t>Kiulu, Malaysia</t>
  </si>
  <si>
    <t>Gombak, Malaysia</t>
  </si>
  <si>
    <t>Koggala, Sri Lanka</t>
  </si>
  <si>
    <t>Anhangama, Sri Lanka</t>
  </si>
  <si>
    <t>Nugegoda, Sri Lanka</t>
  </si>
  <si>
    <t>Rambukkana, Sri Lanka</t>
  </si>
  <si>
    <t>Ambepussa, Sri Lanka</t>
  </si>
  <si>
    <t>Mount Lavinia, Sri Lanka</t>
  </si>
  <si>
    <t>Bagnoregio, Italy</t>
  </si>
  <si>
    <t>Orvielo, Italy</t>
  </si>
  <si>
    <t>Lucerne, Switzerland</t>
  </si>
  <si>
    <t>Wolfenschiessen, Switzerland</t>
  </si>
  <si>
    <t>Mount Titlis, Switzerland</t>
  </si>
  <si>
    <t>Froncysyllte, Wales</t>
  </si>
  <si>
    <t>Tattenhall, England</t>
  </si>
  <si>
    <t>Peckforton, England</t>
  </si>
  <si>
    <t>Carden, England</t>
  </si>
  <si>
    <t>Henderson, USA</t>
  </si>
  <si>
    <t>Charlotte Amalie, Virgin Islands</t>
  </si>
  <si>
    <t>Hans Lollik Island, Virgin Islands</t>
  </si>
  <si>
    <t>Woodstock, England</t>
  </si>
  <si>
    <t>Aberdeen, Scotland</t>
  </si>
  <si>
    <t>Lerwick, Scotland</t>
  </si>
  <si>
    <t>Scalloway, Scotland</t>
  </si>
  <si>
    <t>St. Ninian's Isle, Scotland</t>
  </si>
  <si>
    <t>Malmo, Sweden</t>
  </si>
  <si>
    <t>Amizmiz, Morroco</t>
  </si>
  <si>
    <t>Oumnass, Morroco</t>
  </si>
  <si>
    <t>Hajar, Morroco</t>
  </si>
  <si>
    <t>Tahannaout, Morroco</t>
  </si>
  <si>
    <t>Qrendi, Malta</t>
  </si>
  <si>
    <t>Birgu, Malta</t>
  </si>
  <si>
    <t>Gzira, Malta</t>
  </si>
  <si>
    <t>Valleta, Malta</t>
  </si>
  <si>
    <t>Rosario, Philippines</t>
  </si>
  <si>
    <t>Naic, Philippines</t>
  </si>
  <si>
    <t>Bacoor, Philippines</t>
  </si>
  <si>
    <t>San Pedro, USA</t>
  </si>
  <si>
    <t>Wilmington, USA</t>
  </si>
  <si>
    <t>Rancho Palso Verdes, USA</t>
  </si>
  <si>
    <t>Castaic, USA</t>
  </si>
  <si>
    <t>Kathu, Thailand</t>
  </si>
  <si>
    <t>Mueang Phuket, Thailand</t>
  </si>
  <si>
    <t>Schliersee, Germany</t>
  </si>
  <si>
    <t>Fischbachau, Germany</t>
  </si>
  <si>
    <t>Bayrischzell, Germany</t>
  </si>
  <si>
    <t>Eze, France</t>
  </si>
  <si>
    <t>La Turbie, France</t>
  </si>
  <si>
    <t>Saint-Jean-Cap-Ferrat, France</t>
  </si>
  <si>
    <t>Cap-d'Ail, France</t>
  </si>
  <si>
    <t>Omaruru, Namibia</t>
  </si>
  <si>
    <t>Usakos, Namibia</t>
  </si>
  <si>
    <t>Erongo Region, Namibia</t>
  </si>
  <si>
    <t>Ouderkerk aan de Amstel, Netherlands</t>
  </si>
  <si>
    <t>Trujillo, Peru</t>
  </si>
  <si>
    <t>Santo Domingo, Peru</t>
  </si>
  <si>
    <t>Otuzco, Peru</t>
  </si>
  <si>
    <t>Huanchaco, Peru</t>
  </si>
  <si>
    <t>Venice Beach, USA</t>
  </si>
  <si>
    <t>Rio de Janeiro, Brazil</t>
  </si>
  <si>
    <t>Livingstone, Zambia</t>
  </si>
  <si>
    <t>Mosi-oa-Tunya Nat'l Park, Zambia</t>
  </si>
  <si>
    <t>La Ferte-Alais, France</t>
  </si>
  <si>
    <t>Cerny, France</t>
  </si>
  <si>
    <t>Molenwaard, Netherlands</t>
  </si>
  <si>
    <t>The Hague, Netherlands</t>
  </si>
  <si>
    <t>Wieliczka, Poland</t>
  </si>
  <si>
    <t>Southampton, USA</t>
  </si>
  <si>
    <t>Assorted Cities, USA</t>
  </si>
  <si>
    <t>San Juan Teotihuacan, Mexico</t>
  </si>
  <si>
    <t>Santa Catalina, Colombia</t>
  </si>
  <si>
    <t>Manzanillo del Mar, Colombia</t>
  </si>
  <si>
    <t>Cartagena, Colombia</t>
  </si>
  <si>
    <t>Yerevan, Armenia</t>
  </si>
  <si>
    <t>Garni, Armenia</t>
  </si>
  <si>
    <t>Mtskheta, Georgia</t>
  </si>
  <si>
    <t>Chardakhi, Georgia</t>
  </si>
  <si>
    <t>Al Lisaili, UAE</t>
  </si>
  <si>
    <t>Beraban, Indonesia</t>
  </si>
  <si>
    <t>Kusamba, Indonesia</t>
  </si>
  <si>
    <t>Pesinggahan, Indonesia</t>
  </si>
  <si>
    <t>Denpasar, Indonesia</t>
  </si>
  <si>
    <t>Nusa Lembongan, Indonesia</t>
  </si>
  <si>
    <t>Nusa Ceningan, Indonesia</t>
  </si>
  <si>
    <t>Shenzhen, China</t>
  </si>
  <si>
    <t>Soberania Nat'l Park, Panama</t>
  </si>
  <si>
    <t>Gamboa, Panama</t>
  </si>
  <si>
    <t>Dar es Salam, Tanzania</t>
  </si>
  <si>
    <t>Zanzibar City, Tanzania</t>
  </si>
  <si>
    <t>Godoy, Norway</t>
  </si>
  <si>
    <t>Geiranger, Norway</t>
  </si>
  <si>
    <t>Slinningen, Norway</t>
  </si>
  <si>
    <t>Varenna, Italy</t>
  </si>
  <si>
    <t>Perledo, Italy</t>
  </si>
  <si>
    <t>Menaggio, Italy</t>
  </si>
  <si>
    <t>Tremezzo, Italy</t>
  </si>
  <si>
    <t>Cernobbio, Italy</t>
  </si>
  <si>
    <t>Arachova, Greece</t>
  </si>
  <si>
    <t>Corinth, Germany</t>
  </si>
  <si>
    <t xml:space="preserve">Hoa Lu, Vietnam </t>
  </si>
  <si>
    <t>Husafell, Iceland</t>
  </si>
  <si>
    <t>Reykjavik, Iceland</t>
  </si>
  <si>
    <t>Mosfellsbaer, Iceland</t>
  </si>
  <si>
    <t xml:space="preserve">Tangier, Moracco </t>
  </si>
  <si>
    <t>Saint-Tropez, France</t>
  </si>
  <si>
    <t>Les Baux-de-Provence, France</t>
  </si>
  <si>
    <t>Maussane-les-Alpilles, France</t>
  </si>
  <si>
    <t>Arles, France</t>
  </si>
  <si>
    <t>Marondera, Zimbabwe</t>
  </si>
  <si>
    <t xml:space="preserve">Mashonaland East Province, Zimbabwe </t>
  </si>
  <si>
    <t>Muharraq, Bahrain</t>
  </si>
  <si>
    <t>A'ali, Bahrain</t>
  </si>
  <si>
    <t>Zallaq, Bahrain</t>
  </si>
  <si>
    <t>Sakhir, Bahrain</t>
  </si>
  <si>
    <t>\</t>
  </si>
  <si>
    <t>Alameda, USA</t>
  </si>
  <si>
    <t>Hermosa Beach, USA</t>
  </si>
  <si>
    <t>Ban Xieng Lom, Laos</t>
  </si>
  <si>
    <t>Ban Xiengkeo, Laos</t>
  </si>
  <si>
    <t>Guttannen, Switzerland</t>
  </si>
  <si>
    <t>Meiringen, Switzerland</t>
  </si>
  <si>
    <t>Hofstetten bei Brienz, Switzerland</t>
  </si>
  <si>
    <t>Schwanden bei Brienz, Switzerland</t>
  </si>
  <si>
    <t>Brienz, Switzerland</t>
  </si>
  <si>
    <t>Giethoorn, Netherlands</t>
  </si>
  <si>
    <t>Zwolle, Netherlands</t>
  </si>
  <si>
    <t>Dover, England</t>
  </si>
  <si>
    <t>Saint Augustine, Trinidad and Tobago</t>
  </si>
  <si>
    <t>Crown Point, Trinidad and Tabago</t>
  </si>
  <si>
    <t>Pigeon Point, Trinidad and Tabago</t>
  </si>
  <si>
    <t>Buccoo, Trinidad and Tabago</t>
  </si>
  <si>
    <t>Nemocon, Colombia</t>
  </si>
  <si>
    <t>Tupe Reserve, Brazil</t>
  </si>
  <si>
    <t>Rio Negro, Brazil</t>
  </si>
  <si>
    <t>Chantilly, France</t>
  </si>
  <si>
    <t xml:space="preserve"> </t>
  </si>
  <si>
    <t>Hyderabad, India</t>
  </si>
  <si>
    <t>Tonle Sap, Cambodia</t>
  </si>
  <si>
    <t>Lots of Places, USA</t>
  </si>
  <si>
    <t>Hundwil, Switzerland</t>
  </si>
  <si>
    <t>Urnasch, Switzerland</t>
  </si>
  <si>
    <t>Altstatten, Switzerland</t>
  </si>
  <si>
    <t>Castello-di-Rostino, France</t>
  </si>
  <si>
    <t>Corte, France</t>
  </si>
  <si>
    <t>Venaco, France</t>
  </si>
  <si>
    <t>Giuncaggio, France</t>
  </si>
  <si>
    <t>Zonza, France</t>
  </si>
  <si>
    <t>Pinarello, France</t>
  </si>
  <si>
    <t>Bonifacio, France</t>
  </si>
  <si>
    <t>Thermaikos, Greece</t>
  </si>
  <si>
    <t>Nea Gonia, Greece</t>
  </si>
  <si>
    <t>Heraklea, Greece</t>
  </si>
  <si>
    <t>Nea Kallikrateia, Greece</t>
  </si>
  <si>
    <t>Thessaloniki, Greece</t>
  </si>
  <si>
    <t>Almada, Portugal</t>
  </si>
  <si>
    <t>Setubal, Portugal</t>
  </si>
  <si>
    <t>Cabo Espichel, Portugal</t>
  </si>
  <si>
    <t>Carson, USA</t>
  </si>
  <si>
    <t>Patsch, Austria</t>
  </si>
  <si>
    <t>Aqaba Governorate, Jordan</t>
  </si>
  <si>
    <t>Beynac-et-Cazenac, France</t>
  </si>
  <si>
    <t>Les Eyzies, France</t>
  </si>
  <si>
    <t>Domme, France</t>
  </si>
  <si>
    <t>Ronda, Spain</t>
  </si>
  <si>
    <t>Myrdalshreppur, Iceland</t>
  </si>
  <si>
    <t>Fljoshlio, Iceland</t>
  </si>
  <si>
    <t>Thingvellir Nat'l Park, Iceland</t>
  </si>
  <si>
    <t>Hrunamannahreppur, Iceland</t>
  </si>
  <si>
    <t>Winners = Rob and Brennan</t>
  </si>
  <si>
    <t>*Maps retreived from each season's respective wikipedia article</t>
  </si>
  <si>
    <t>Zoom in to see detail!</t>
  </si>
  <si>
    <t>Livingston, Zambia</t>
  </si>
  <si>
    <t>Livingston District, Zambia</t>
  </si>
  <si>
    <t>Tunis, Tunisia</t>
  </si>
  <si>
    <t>El Djem, Tunisia</t>
  </si>
  <si>
    <t>Tatouine, Tunisia</t>
  </si>
  <si>
    <t>Jebil Nat'l Park, Tunisia</t>
  </si>
  <si>
    <t>Gabes, Tunisia</t>
  </si>
  <si>
    <t>La Marsa, Tunisia</t>
  </si>
  <si>
    <t>San Cesario sul Panaro, Italy</t>
  </si>
  <si>
    <t>Sant'Agata Bolognese, Italy</t>
  </si>
  <si>
    <t>Ferrara, Italy</t>
  </si>
  <si>
    <t>Deshnoke, India</t>
  </si>
  <si>
    <t>Bikaner, India</t>
  </si>
  <si>
    <t>Kanchanaburi, Thailand</t>
  </si>
  <si>
    <t>Krabi, Thailand</t>
  </si>
  <si>
    <t>Ao Nang, Thailand</t>
  </si>
  <si>
    <t>Scotty Lake, USA</t>
  </si>
  <si>
    <t>Glacier View, USA</t>
  </si>
  <si>
    <t>Trapper Creek, USA</t>
  </si>
  <si>
    <t>Talkeetna, USA</t>
  </si>
  <si>
    <t>Countries/Areas traveled to in each Leg</t>
  </si>
  <si>
    <t>Leg #</t>
  </si>
  <si>
    <t>Country/ies</t>
  </si>
  <si>
    <t>Area of World</t>
  </si>
  <si>
    <t>Africa</t>
  </si>
  <si>
    <t>Southern Africa</t>
  </si>
  <si>
    <t>Western Europe</t>
  </si>
  <si>
    <t>Tunisia</t>
  </si>
  <si>
    <t>Northern Africa</t>
  </si>
  <si>
    <t>South Asia</t>
  </si>
  <si>
    <t>East Asia</t>
  </si>
  <si>
    <t>North America</t>
  </si>
  <si>
    <t>South America</t>
  </si>
  <si>
    <t>South Africa</t>
  </si>
  <si>
    <t>Oceania</t>
  </si>
  <si>
    <t>Morocco</t>
  </si>
  <si>
    <t>Eastern Europe</t>
  </si>
  <si>
    <t>Central Europe</t>
  </si>
  <si>
    <t xml:space="preserve">Central Europe </t>
  </si>
  <si>
    <t>Malaysia</t>
  </si>
  <si>
    <t>Uruguay</t>
  </si>
  <si>
    <t>Egypt</t>
  </si>
  <si>
    <t>East Africa</t>
  </si>
  <si>
    <t>Middle East</t>
  </si>
  <si>
    <t>Philippines</t>
  </si>
  <si>
    <t>Northern Europe</t>
  </si>
  <si>
    <t>Sweden</t>
  </si>
  <si>
    <t>Senegal</t>
  </si>
  <si>
    <t>Hungary</t>
  </si>
  <si>
    <t>Turkey</t>
  </si>
  <si>
    <t>Jamaica</t>
  </si>
  <si>
    <t>Panama</t>
  </si>
  <si>
    <t>Central America</t>
  </si>
  <si>
    <t>Costa Rica</t>
  </si>
  <si>
    <t>Southern Europe</t>
  </si>
  <si>
    <t>Mongolia</t>
  </si>
  <si>
    <t>Kuwait</t>
  </si>
  <si>
    <t>Mauritius</t>
  </si>
  <si>
    <t>Madagascar</t>
  </si>
  <si>
    <t>Spain</t>
  </si>
  <si>
    <t>Ecuador</t>
  </si>
  <si>
    <t>Guam</t>
  </si>
  <si>
    <t>Ireland</t>
  </si>
  <si>
    <t>Burkina Faso</t>
  </si>
  <si>
    <t>West Africa</t>
  </si>
  <si>
    <t>Lithuania</t>
  </si>
  <si>
    <t>Taiwan</t>
  </si>
  <si>
    <t>Bolivia</t>
  </si>
  <si>
    <t>Kazakhstan</t>
  </si>
  <si>
    <t>Central Asia</t>
  </si>
  <si>
    <t>Seychelles</t>
  </si>
  <si>
    <t>Salakmalang Village, Indonesia</t>
  </si>
  <si>
    <t>Magelang, Indonesia</t>
  </si>
  <si>
    <t>Malawi</t>
  </si>
  <si>
    <t>Denmark</t>
  </si>
  <si>
    <t>French Polynesia</t>
  </si>
  <si>
    <t>Northern Ireland</t>
  </si>
  <si>
    <t>Caribbean</t>
  </si>
  <si>
    <t>Palermo, Sicily</t>
  </si>
  <si>
    <t>Monaco-Ville, Monaco</t>
  </si>
  <si>
    <t>Monte Carlo, Monaco</t>
  </si>
  <si>
    <t>West Asia</t>
  </si>
  <si>
    <t>Zimbabwe</t>
  </si>
  <si>
    <t>Trinidad and Tabago</t>
  </si>
  <si>
    <t>Germany
Austria</t>
  </si>
  <si>
    <t>Germany
Romania</t>
  </si>
  <si>
    <t>Central Europe
Eastern Europe</t>
  </si>
  <si>
    <t>Finland
Ukraine</t>
  </si>
  <si>
    <t>Northern Europe
Eastern Europe</t>
  </si>
  <si>
    <t>Liechtenstein
Switzerland</t>
  </si>
  <si>
    <t>Netherlands
Panama</t>
  </si>
  <si>
    <t>Central Europe
Central America</t>
  </si>
  <si>
    <t>France
USA</t>
  </si>
  <si>
    <t>Western Europe
North America</t>
  </si>
  <si>
    <t>Puerto Rico
USA</t>
  </si>
  <si>
    <t>Central America
North America</t>
  </si>
  <si>
    <t>Germany
Belgium</t>
  </si>
  <si>
    <t>Austria
Germany</t>
  </si>
  <si>
    <t>England
Wales</t>
  </si>
  <si>
    <t>Netherlands
Sweden</t>
  </si>
  <si>
    <t>Central Europe
Northern Europe</t>
  </si>
  <si>
    <t>Switzerland
France</t>
  </si>
  <si>
    <t>Central Europe
Western Europe</t>
  </si>
  <si>
    <t>France
Monaco</t>
  </si>
  <si>
    <t>England
Scotland</t>
  </si>
  <si>
    <t>France
Ethiopia</t>
  </si>
  <si>
    <t>Western Europe
East Africa</t>
  </si>
  <si>
    <t>Canada
USA</t>
  </si>
  <si>
    <t>Malaysia
Singapore</t>
  </si>
  <si>
    <t>Location</t>
  </si>
  <si>
    <t>#</t>
  </si>
  <si>
    <t>Puerto Rico</t>
  </si>
  <si>
    <t># of Legs</t>
  </si>
  <si>
    <t>Europe</t>
  </si>
  <si>
    <t>Finland</t>
  </si>
  <si>
    <t>Ukraine</t>
  </si>
  <si>
    <t>Wales</t>
  </si>
  <si>
    <t>% of Legs</t>
  </si>
  <si>
    <t>Ethiopia</t>
  </si>
  <si>
    <t>Asia</t>
  </si>
  <si>
    <t>North America
North America</t>
  </si>
  <si>
    <t>Central Europe
Central Europe</t>
  </si>
  <si>
    <t>Western Europe
Western Europe</t>
  </si>
  <si>
    <t>Legs Ran in Each Location:</t>
  </si>
  <si>
    <t>Area</t>
  </si>
  <si>
    <t># of Times</t>
  </si>
  <si>
    <t>Country</t>
  </si>
  <si>
    <t>Romania</t>
  </si>
  <si>
    <t>% of Leg</t>
  </si>
  <si>
    <t>Final Legs</t>
  </si>
  <si>
    <t xml:space="preserve">England </t>
  </si>
  <si>
    <t>England 
USA</t>
  </si>
  <si>
    <r>
      <rPr>
        <b/>
        <sz val="12"/>
        <color theme="1"/>
        <rFont val="Calibri"/>
        <family val="2"/>
        <scheme val="minor"/>
      </rPr>
      <t xml:space="preserve">*NOTE: </t>
    </r>
    <r>
      <rPr>
        <sz val="12"/>
        <color theme="5"/>
        <rFont val="Calibri (Body)"/>
      </rPr>
      <t>Colored</t>
    </r>
    <r>
      <rPr>
        <b/>
        <sz val="12"/>
        <color theme="5"/>
        <rFont val="Calibri (Body)"/>
      </rPr>
      <t xml:space="preserve"> </t>
    </r>
    <r>
      <rPr>
        <sz val="12"/>
        <color theme="5"/>
        <rFont val="Calibri (Body)"/>
      </rPr>
      <t>Legs</t>
    </r>
    <r>
      <rPr>
        <sz val="12"/>
        <color rgb="FFFFC000"/>
        <rFont val="Calibri (Body)"/>
      </rPr>
      <t xml:space="preserve"> </t>
    </r>
    <r>
      <rPr>
        <sz val="12"/>
        <rFont val="Calibri (Body)"/>
      </rPr>
      <t>denote the final leg of that season</t>
    </r>
    <r>
      <rPr>
        <sz val="12"/>
        <color theme="1"/>
        <rFont val="Calibri"/>
        <family val="2"/>
        <scheme val="minor"/>
      </rPr>
      <t>, Leg 13 is always the final leg</t>
    </r>
  </si>
  <si>
    <t>Areas/Countries Ran in Per Leg</t>
  </si>
  <si>
    <t>% of Areas Ran in Per Leg</t>
  </si>
  <si>
    <t>*NOTE: All legs end in the USA</t>
  </si>
  <si>
    <t>Winners = Ricky and Cesar</t>
  </si>
  <si>
    <t>Puento Vallata, Mexico</t>
  </si>
  <si>
    <t>Guatape, Colombia</t>
  </si>
  <si>
    <t>Medellin, Colombia</t>
  </si>
  <si>
    <t>Cordoba, Argentina</t>
  </si>
  <si>
    <t>Montevideo, Uruguay</t>
  </si>
  <si>
    <t>Bridgetown, Barbados</t>
  </si>
  <si>
    <t>Puento Plata, Dominican Republic</t>
  </si>
  <si>
    <t>Sosua Beach, Dominican Republic</t>
  </si>
  <si>
    <t>Careta Beach, Dominican Republic</t>
  </si>
  <si>
    <t>Barbados</t>
  </si>
  <si>
    <t>Dominican Republic</t>
  </si>
  <si>
    <t>Can Tho, Vietnam</t>
  </si>
  <si>
    <t>Cologne, Germany</t>
  </si>
  <si>
    <t>Ljubljana, Slovenia</t>
  </si>
  <si>
    <t>Definitions:</t>
  </si>
  <si>
    <r>
      <rPr>
        <b/>
        <sz val="14"/>
        <color rgb="FFFF0000"/>
        <rFont val="Calibri"/>
        <family val="2"/>
        <scheme val="minor"/>
      </rPr>
      <t>Keywords</t>
    </r>
    <r>
      <rPr>
        <sz val="14"/>
        <color rgb="FFFF0000"/>
        <rFont val="Calibri"/>
        <family val="2"/>
        <scheme val="minor"/>
      </rPr>
      <t xml:space="preserve"> </t>
    </r>
    <r>
      <rPr>
        <sz val="14"/>
        <color theme="1"/>
        <rFont val="Calibri"/>
        <family val="2"/>
        <scheme val="minor"/>
      </rPr>
      <t xml:space="preserve">are indicators of things that "happened" on each leg of the race. These include common types of challenges and phenomenon that occur during multiple different seasons of TAR. </t>
    </r>
  </si>
  <si>
    <t xml:space="preserve">Legs include: </t>
  </si>
  <si>
    <t>challenge(s) that involve some level of attention to detail, such as setting a dinner table or locating a specific tile.</t>
  </si>
  <si>
    <t xml:space="preserve">challenge(s) that involve riding, herding, and/or working with animals in some way, such as riding an elephant or towing a field with an ox. </t>
  </si>
  <si>
    <t>challenge(s) that require team member(s) to ride any type of bicycle to move around.</t>
  </si>
  <si>
    <t xml:space="preserve">challenge(s) that require team member(s) to cook something to the acceptance of judges, like cooking fish over a fire, but not necessarily consume it. </t>
  </si>
  <si>
    <t>challenge(s) that require team member(s) to count specific things, like beans placed in urns.</t>
  </si>
  <si>
    <t>challenge(s) that require team member(s) to learn choreographed moves to perform for judges, may include routines other than dancing such as color guard or martial arts.</t>
  </si>
  <si>
    <t xml:space="preserve">team member(s) driving some kind of automobile to move around, most commonly driving a car to the next clue, almost always includes navigating. </t>
  </si>
  <si>
    <t>challenge(s) where team member(s) are required to consume food and/or drinks, not applicable for teams voluntarily consuming food and/or drinks.</t>
  </si>
  <si>
    <t>challenge(s) that require team member(s) to balance in some way.</t>
  </si>
  <si>
    <t>team member(s) using and/or indentifying geography for a challenge or to get to the next destination.</t>
  </si>
  <si>
    <t>challenge(s) that utilize the hand eye coordination of team member(s), in tasks like baseball and soccer.</t>
  </si>
  <si>
    <t>challenge(s) that take place at large heights that tap into team member(s) fear, such as skydiving and bungee jumping.</t>
  </si>
  <si>
    <t>clue(s) and/or challenge(s) that include a foreign language that needs to be translated and/or memorized to complete the task or travel to the next destination.</t>
  </si>
  <si>
    <t>challenge(s) that require team member(s) to use mathematics to complete it, like adding up money or various books.</t>
  </si>
  <si>
    <t>challenge(s) that require team member(s) to memorize part of the task to complete it OR challenge(s) at the end of the race requiring team member(s) to remember things like challenges and route markers to complete the task.</t>
  </si>
  <si>
    <t>challenge(s) that require team member(s) to learn to play a piece on a musical instrument or read and/or memorize sheet music.</t>
  </si>
  <si>
    <t>challenge(s) that specifically involve teams using a given map to complete it, it's worth noting that every legs requires teams to navigate from clue to clue.</t>
  </si>
  <si>
    <t>challenge(s) that make team member(s) go through pain to complete the task, such as an intense massage and swimming in freezing cold water.</t>
  </si>
  <si>
    <t>challenge(s) that require team member(s) to paint something to complete it with specific attention to detail, such as painting a colorful door.</t>
  </si>
  <si>
    <t>challenge(s) or moment(s) that require team member(s) to utilze physical strength to complete, such as running to clues and moving massive hay bales.</t>
  </si>
  <si>
    <t>clue(s) and/or challenge(s) that require team member(s) to solve a puzzle of some sort to move on, such as riddles, rebus puzzles, slide puzzles, etc.</t>
  </si>
  <si>
    <t>challenge(s) that require team member(s) to search for something to complete the task, such as a route marker, or find the next destination.</t>
  </si>
  <si>
    <t xml:space="preserve">challenge(s) that require team member(s) to rely on non-players to donate funds to meet a quota while they beg and/or perform. </t>
  </si>
  <si>
    <t>challenge(s) that require team member(s) to learn a song to sing and perform for judges.</t>
  </si>
  <si>
    <t>challenge(s) that require team member(s) to swim in a body of water to receive the next clue and/or complete the leg.</t>
  </si>
  <si>
    <r>
      <rPr>
        <b/>
        <sz val="14"/>
        <color rgb="FFFF0000"/>
        <rFont val="Calibri (Body)"/>
      </rPr>
      <t xml:space="preserve">Keywords </t>
    </r>
    <r>
      <rPr>
        <b/>
        <sz val="14"/>
        <color theme="1"/>
        <rFont val="Calibri"/>
        <family val="2"/>
        <scheme val="minor"/>
      </rPr>
      <t>Logged per Season:</t>
    </r>
  </si>
  <si>
    <t>HEC</t>
  </si>
  <si>
    <t>ATD</t>
  </si>
  <si>
    <t>PS</t>
  </si>
  <si>
    <t>Memory</t>
  </si>
  <si>
    <t>challenge(s) that require team member(s) to identify international/domestic flags.</t>
  </si>
  <si>
    <t xml:space="preserve">team(s) running into any kind of issues traveling during the leg, such as flight delays, car troubles, getting lost, etc. </t>
  </si>
  <si>
    <t>*NOTE: many challenges fufill multiple keywords, hopefully in the future I can lay out what keywords apply to each challenge throughout TAR</t>
  </si>
  <si>
    <t>Max</t>
  </si>
  <si>
    <t>Mode</t>
  </si>
  <si>
    <t>Mueang Nonthaburi, Thailand</t>
  </si>
  <si>
    <t>Salaya, Thailand</t>
  </si>
  <si>
    <t>Rai Khing, Thailand</t>
  </si>
  <si>
    <t>Sam Phran, Thailand</t>
  </si>
  <si>
    <t>Trechtingshausen, Germany</t>
  </si>
  <si>
    <t>Lesce, Slovenia</t>
  </si>
  <si>
    <t>Planica, Slovenia</t>
  </si>
  <si>
    <t>Postojna, Slovenia</t>
  </si>
  <si>
    <t>Lucija, Slovenia</t>
  </si>
  <si>
    <t>Socerb, Slovenia</t>
  </si>
  <si>
    <t>Gryttjom, Sweden</t>
  </si>
  <si>
    <t>Vaxholm Municipality, Sweden</t>
  </si>
  <si>
    <t>Dublin, Ireland</t>
  </si>
  <si>
    <t>Kenmore, USA</t>
  </si>
  <si>
    <t>Redmond, USA</t>
  </si>
  <si>
    <t>Slovenia</t>
  </si>
  <si>
    <t>Age</t>
  </si>
  <si>
    <t>Gender</t>
  </si>
  <si>
    <t>Relationship</t>
  </si>
  <si>
    <t>Rob</t>
  </si>
  <si>
    <t>Male</t>
  </si>
  <si>
    <t>Brennan</t>
  </si>
  <si>
    <t>Best Friends</t>
  </si>
  <si>
    <t>Chris</t>
  </si>
  <si>
    <t>Alex</t>
  </si>
  <si>
    <t>Flo</t>
  </si>
  <si>
    <t>Zach</t>
  </si>
  <si>
    <t>Female</t>
  </si>
  <si>
    <t>Reichen</t>
  </si>
  <si>
    <t>Chip</t>
  </si>
  <si>
    <t>Married</t>
  </si>
  <si>
    <t>Kim</t>
  </si>
  <si>
    <t>Freddy</t>
  </si>
  <si>
    <t>Kendra</t>
  </si>
  <si>
    <t>Engaged</t>
  </si>
  <si>
    <t>Uchennna</t>
  </si>
  <si>
    <t>Joyce</t>
  </si>
  <si>
    <t>Nick</t>
  </si>
  <si>
    <t>Megan</t>
  </si>
  <si>
    <t>Tommy</t>
  </si>
  <si>
    <t>BJ</t>
  </si>
  <si>
    <t>Tyler</t>
  </si>
  <si>
    <t>James</t>
  </si>
  <si>
    <t>Models</t>
  </si>
  <si>
    <t>Eric</t>
  </si>
  <si>
    <t>Danielle</t>
  </si>
  <si>
    <t>Dating</t>
  </si>
  <si>
    <t>TK</t>
  </si>
  <si>
    <t>Rachel</t>
  </si>
  <si>
    <t>Starr</t>
  </si>
  <si>
    <t>Siblings</t>
  </si>
  <si>
    <t>Tammy</t>
  </si>
  <si>
    <t>Victor</t>
  </si>
  <si>
    <t>Lawyers</t>
  </si>
  <si>
    <t>Meghan</t>
  </si>
  <si>
    <t>Cheyne</t>
  </si>
  <si>
    <t>San Diego, CA</t>
  </si>
  <si>
    <t>Dan</t>
  </si>
  <si>
    <t>Barrington, RI</t>
  </si>
  <si>
    <t>Nat</t>
  </si>
  <si>
    <t>Kat</t>
  </si>
  <si>
    <t>Doctors</t>
  </si>
  <si>
    <t>CA</t>
  </si>
  <si>
    <t>Kisha</t>
  </si>
  <si>
    <t>Jen</t>
  </si>
  <si>
    <t>Ernie</t>
  </si>
  <si>
    <t>Cindy</t>
  </si>
  <si>
    <t>Chicago, IL</t>
  </si>
  <si>
    <t>Dave</t>
  </si>
  <si>
    <t>Madison, WI</t>
  </si>
  <si>
    <t>Josh</t>
  </si>
  <si>
    <t>Brent</t>
  </si>
  <si>
    <t>Life Partners</t>
  </si>
  <si>
    <t>Sharon Springs, NY</t>
  </si>
  <si>
    <t>Goat Farmer/Advertising Executive/Author
Goat Farmer/CEO</t>
  </si>
  <si>
    <t>Bates</t>
  </si>
  <si>
    <t>Anthony</t>
  </si>
  <si>
    <t>Hockey Players/Bar Owners</t>
  </si>
  <si>
    <t>Raleigh, NC</t>
  </si>
  <si>
    <t>Jason</t>
  </si>
  <si>
    <t>Amy</t>
  </si>
  <si>
    <t>Official Winners</t>
  </si>
  <si>
    <t>Attleboro, MA
Providence, RI</t>
  </si>
  <si>
    <t>Business Owner
Social Media Manager</t>
  </si>
  <si>
    <t>Connor</t>
  </si>
  <si>
    <t>Father &amp; Son</t>
  </si>
  <si>
    <t>Salt Lake City, UT</t>
  </si>
  <si>
    <t>Real Estate Developer
Cyclist/Student</t>
  </si>
  <si>
    <t>Maya</t>
  </si>
  <si>
    <t>Students</t>
  </si>
  <si>
    <t>Laura</t>
  </si>
  <si>
    <t>Blind Dating</t>
  </si>
  <si>
    <t>Los Angeles, CA</t>
  </si>
  <si>
    <t>Talent Broker
Business Co-Founder</t>
  </si>
  <si>
    <t>Los Angeles, CA
Santa Monica, CA</t>
  </si>
  <si>
    <t>Joey</t>
  </si>
  <si>
    <t>Kelsey</t>
  </si>
  <si>
    <t>News Anchors</t>
  </si>
  <si>
    <t>Ventura, CA
Santa Barbara, CA</t>
  </si>
  <si>
    <t>Dana</t>
  </si>
  <si>
    <t>Matt</t>
  </si>
  <si>
    <t>Dancers/Choreographers</t>
  </si>
  <si>
    <t>Brooke</t>
  </si>
  <si>
    <t>Scott</t>
  </si>
  <si>
    <t>Strangers</t>
  </si>
  <si>
    <t>Lynbrook, NY
Charlotte, NC</t>
  </si>
  <si>
    <t>Director of Business Development and Attorney
University Recruiting Manager</t>
  </si>
  <si>
    <t>Cody</t>
  </si>
  <si>
    <t>Jessica</t>
  </si>
  <si>
    <t>Plano, TX
Los Angeles, CA</t>
  </si>
  <si>
    <t>Unemployed</t>
  </si>
  <si>
    <t>Colin</t>
  </si>
  <si>
    <t>Christie</t>
  </si>
  <si>
    <t>Austin, TX</t>
  </si>
  <si>
    <t>Tech Entrepreneur
Relationship Coach</t>
  </si>
  <si>
    <t>Will</t>
  </si>
  <si>
    <t>Nederland, TX
Grand Rapids, MI</t>
  </si>
  <si>
    <t>Public Health Specialist
Event Coordinator</t>
  </si>
  <si>
    <t>Penn</t>
  </si>
  <si>
    <t>Content Creators</t>
  </si>
  <si>
    <t>Derek</t>
  </si>
  <si>
    <t>Claire</t>
  </si>
  <si>
    <t>Product Manager
AI Engineer</t>
  </si>
  <si>
    <t>Greg</t>
  </si>
  <si>
    <t>John</t>
  </si>
  <si>
    <t>NYC, NY
Mountain View, CA</t>
  </si>
  <si>
    <t>Software Developer
Product Manager</t>
  </si>
  <si>
    <t>Ricky</t>
  </si>
  <si>
    <t>Cesar</t>
  </si>
  <si>
    <t xml:space="preserve">NYC, NY </t>
  </si>
  <si>
    <t>Teacher
Food Stylist</t>
  </si>
  <si>
    <t>Minneapolis, MN
Rochester, NY</t>
  </si>
  <si>
    <t>Bartender (Alex)</t>
  </si>
  <si>
    <t>Boston, MA</t>
  </si>
  <si>
    <t>NYC, NY</t>
  </si>
  <si>
    <t>Public Relations Associate
Productions Assistant</t>
  </si>
  <si>
    <t>Pilot
Consultant/Entrepreneur</t>
  </si>
  <si>
    <t>Coto de Caza, CA</t>
  </si>
  <si>
    <t xml:space="preserve">Business Owners </t>
  </si>
  <si>
    <t>Miami, FL</t>
  </si>
  <si>
    <t>Houston, TX</t>
  </si>
  <si>
    <t>Energy Broker
Sales Manager</t>
  </si>
  <si>
    <t>Cincinatti, OH</t>
  </si>
  <si>
    <t>Sales
Emergency Room Tech</t>
  </si>
  <si>
    <t>Los Angeles, CA
San Francisco, CA</t>
  </si>
  <si>
    <t>Tutor
Filmmaker</t>
  </si>
  <si>
    <t>Deerfield Beach, FL
Staten Island, NY</t>
  </si>
  <si>
    <t>Waiter
Bar Tender</t>
  </si>
  <si>
    <t>Huntington Beach, CA</t>
  </si>
  <si>
    <t>Substitute Teacher
Store Owner</t>
  </si>
  <si>
    <t>NYC, NY
Fort Worth, TX</t>
  </si>
  <si>
    <t>Actor
Cheerleader</t>
  </si>
  <si>
    <t>San Francisco, CA
Los Angeles, CA</t>
  </si>
  <si>
    <t>Account Executive
Brand Manager</t>
  </si>
  <si>
    <t>Financial Advisor
Strategic Consultant</t>
  </si>
  <si>
    <t>Santa Monica, CA
Newport Beach, CA</t>
  </si>
  <si>
    <t>The Bronx, NY
Louisville, KY</t>
  </si>
  <si>
    <t>Project Manager
Brand Manager</t>
  </si>
  <si>
    <t>Project Manager
US Army Officer</t>
  </si>
  <si>
    <t>Program Coordinator/Basketball Coach
Marketing Assistant/Assistant Volleyball Coach</t>
  </si>
  <si>
    <t>Finishing Positions</t>
  </si>
  <si>
    <t>Team</t>
  </si>
  <si>
    <t>Teams</t>
  </si>
  <si>
    <t>Rob and Brennan</t>
  </si>
  <si>
    <t>Chris and Alex</t>
  </si>
  <si>
    <t>Flo and Zach</t>
  </si>
  <si>
    <t>Reichen and Chip</t>
  </si>
  <si>
    <t>Chip and Kim</t>
  </si>
  <si>
    <t>Freddy and Kendra</t>
  </si>
  <si>
    <t>Uchenna and Joyce</t>
  </si>
  <si>
    <t>Linz Family</t>
  </si>
  <si>
    <t>BJ and Tyler</t>
  </si>
  <si>
    <t>Tyler and james</t>
  </si>
  <si>
    <t>Eric and Danielle</t>
  </si>
  <si>
    <t>TK and Rachel</t>
  </si>
  <si>
    <t>Nick and Starr</t>
  </si>
  <si>
    <t>Tammy and Victor</t>
  </si>
  <si>
    <t>Meghan and Cheyne</t>
  </si>
  <si>
    <t>Dan and Jordan</t>
  </si>
  <si>
    <t>Nat and Kat</t>
  </si>
  <si>
    <t>Kisha and Jen</t>
  </si>
  <si>
    <t>Ernie and Cindy</t>
  </si>
  <si>
    <t>Rachel and Dave</t>
  </si>
  <si>
    <t>Josh and Brent</t>
  </si>
  <si>
    <t>Bates and Anthony</t>
  </si>
  <si>
    <t>Jason and Amy</t>
  </si>
  <si>
    <t>Dave and Connor</t>
  </si>
  <si>
    <t>Amy and Maya</t>
  </si>
  <si>
    <t>Laura and Tyler</t>
  </si>
  <si>
    <t>Kelsey and Joey</t>
  </si>
  <si>
    <t>Dana and Matt</t>
  </si>
  <si>
    <t>Brooke and Scott</t>
  </si>
  <si>
    <t>Cody and Jessica</t>
  </si>
  <si>
    <t>Colin and Christie</t>
  </si>
  <si>
    <t>Will and James</t>
  </si>
  <si>
    <t>Kim and Penn</t>
  </si>
  <si>
    <t>Derek and Claire</t>
  </si>
  <si>
    <t>Greg and John</t>
  </si>
  <si>
    <t>Ricky and Cesar</t>
  </si>
  <si>
    <t>Winners = TK and Rachel</t>
  </si>
  <si>
    <t>Winners = Greg and John</t>
  </si>
  <si>
    <r>
      <rPr>
        <b/>
        <sz val="12"/>
        <color theme="1"/>
        <rFont val="Calibri"/>
        <family val="2"/>
        <scheme val="minor"/>
      </rPr>
      <t>*NOTE:</t>
    </r>
    <r>
      <rPr>
        <sz val="12"/>
        <color theme="1"/>
        <rFont val="Calibri"/>
        <family val="2"/>
        <scheme val="minor"/>
      </rPr>
      <t xml:space="preserve"> Legs are separated by stepping onto the mat with Phil, even if teams are instructed to continue</t>
    </r>
  </si>
  <si>
    <r>
      <rPr>
        <b/>
        <sz val="12"/>
        <color theme="1"/>
        <rFont val="Calibri"/>
        <family val="2"/>
        <scheme val="minor"/>
      </rPr>
      <t>*NOTE:</t>
    </r>
    <r>
      <rPr>
        <sz val="12"/>
        <color theme="1"/>
        <rFont val="Calibri"/>
        <family val="2"/>
        <scheme val="minor"/>
      </rPr>
      <t xml:space="preserve"> </t>
    </r>
    <r>
      <rPr>
        <b/>
        <i/>
        <sz val="12"/>
        <color theme="1"/>
        <rFont val="Calibri"/>
        <family val="2"/>
        <scheme val="minor"/>
      </rPr>
      <t xml:space="preserve">Numbers </t>
    </r>
    <r>
      <rPr>
        <sz val="12"/>
        <color theme="1"/>
        <rFont val="Calibri"/>
        <family val="2"/>
        <scheme val="minor"/>
      </rPr>
      <t>represent the team coming in last on a non-elim leg</t>
    </r>
  </si>
  <si>
    <t>Ranked Average Finishing Positions</t>
  </si>
  <si>
    <t>Team Demos</t>
  </si>
  <si>
    <t>Co-Ed</t>
  </si>
  <si>
    <t>All Male</t>
  </si>
  <si>
    <t>All Female</t>
  </si>
  <si>
    <t>States</t>
  </si>
  <si>
    <t>Ages</t>
  </si>
  <si>
    <t>Youngest Team:</t>
  </si>
  <si>
    <t>Youngest Member:</t>
  </si>
  <si>
    <t>Oldest Member:</t>
  </si>
  <si>
    <t>Oldest Team:</t>
  </si>
  <si>
    <t>Combined:</t>
  </si>
  <si>
    <t>Older Member:</t>
  </si>
  <si>
    <t>Younger Member:</t>
  </si>
  <si>
    <t>Averages</t>
  </si>
  <si>
    <t>Other</t>
  </si>
  <si>
    <t>Overall Age:</t>
  </si>
  <si>
    <t>Highest Difference:</t>
  </si>
  <si>
    <t>Lowest Difference:</t>
  </si>
  <si>
    <t>Teams Sorted by Youngest to Oldest Team Member</t>
  </si>
  <si>
    <t>Youngest Member</t>
  </si>
  <si>
    <t>Oldest Member</t>
  </si>
  <si>
    <r>
      <rPr>
        <b/>
        <sz val="12"/>
        <color theme="1"/>
        <rFont val="Calibri"/>
        <family val="2"/>
        <scheme val="minor"/>
      </rPr>
      <t xml:space="preserve">*NOTE: </t>
    </r>
    <r>
      <rPr>
        <sz val="12"/>
        <color theme="1"/>
        <rFont val="Calibri"/>
        <family val="2"/>
        <scheme val="minor"/>
      </rPr>
      <t>Tommy is the youngest and Nick is the oldest of the Litz's</t>
    </r>
  </si>
  <si>
    <t>MN</t>
  </si>
  <si>
    <t>NY</t>
  </si>
  <si>
    <t>MA</t>
  </si>
  <si>
    <t>FL</t>
  </si>
  <si>
    <t>TX</t>
  </si>
  <si>
    <t>OH</t>
  </si>
  <si>
    <t>RI</t>
  </si>
  <si>
    <t>WI</t>
  </si>
  <si>
    <t>KY</t>
  </si>
  <si>
    <t>NC</t>
  </si>
  <si>
    <t>MI</t>
  </si>
  <si>
    <t>New York</t>
  </si>
  <si>
    <t>California</t>
  </si>
  <si>
    <t>Florida</t>
  </si>
  <si>
    <t>Texas</t>
  </si>
  <si>
    <t>Michigan</t>
  </si>
  <si>
    <t>Official Winners!</t>
  </si>
  <si>
    <t>Tyler and James</t>
  </si>
  <si>
    <r>
      <t xml:space="preserve">*NOTE: </t>
    </r>
    <r>
      <rPr>
        <sz val="12"/>
        <color theme="1"/>
        <rFont val="Calibri"/>
        <family val="2"/>
        <scheme val="minor"/>
      </rPr>
      <t>Age is team member's age when they won the race</t>
    </r>
  </si>
  <si>
    <t>Overall Challenge Information</t>
  </si>
  <si>
    <t>To see specific information on each challenge, check out their respective sheets :)</t>
  </si>
  <si>
    <t>This sheet details each season's amount of challenges per leg.
Each season includes its respective amount of legs, and types of challenges included during it.</t>
  </si>
  <si>
    <t>Save</t>
  </si>
  <si>
    <r>
      <rPr>
        <sz val="12"/>
        <color rgb="FF0070C0"/>
        <rFont val="Calibri (Body)"/>
      </rPr>
      <t>Route Information</t>
    </r>
    <r>
      <rPr>
        <sz val="12"/>
        <color theme="1"/>
        <rFont val="Calibri"/>
        <family val="2"/>
        <scheme val="minor"/>
      </rPr>
      <t xml:space="preserve"> clues are any clues that require both teams to work together in the same task. 
Normally, this clue means traveling to the next destination, but occasionally this clue will have teams work together in a challenge 
that all teams must perform, similar to a </t>
    </r>
    <r>
      <rPr>
        <sz val="12"/>
        <color rgb="FFFFC000"/>
        <rFont val="Calibri (Body)"/>
      </rPr>
      <t xml:space="preserve">Detour </t>
    </r>
    <r>
      <rPr>
        <sz val="12"/>
        <rFont val="Calibri (Body)"/>
      </rPr>
      <t>but with no choices.</t>
    </r>
  </si>
  <si>
    <t>Number of Challenges per Season</t>
  </si>
  <si>
    <r>
      <rPr>
        <b/>
        <sz val="12"/>
        <color theme="1"/>
        <rFont val="Calibri"/>
        <family val="2"/>
        <scheme val="minor"/>
      </rPr>
      <t xml:space="preserve">NOTE: </t>
    </r>
    <r>
      <rPr>
        <sz val="12"/>
        <color theme="1"/>
        <rFont val="Calibri"/>
        <family val="2"/>
        <scheme val="minor"/>
      </rPr>
      <t>This does not include challenges that teams did without ripping and reading a clue.</t>
    </r>
  </si>
  <si>
    <t>Min</t>
  </si>
  <si>
    <t>Standard Deviation</t>
  </si>
  <si>
    <r>
      <rPr>
        <sz val="12"/>
        <color rgb="FFFF0000"/>
        <rFont val="Calibri (Body)"/>
      </rPr>
      <t>Road Block</t>
    </r>
    <r>
      <rPr>
        <sz val="12"/>
        <color theme="1"/>
        <rFont val="Calibri"/>
        <family val="2"/>
        <scheme val="minor"/>
      </rPr>
      <t xml:space="preserve"> clues are challenges that only one team member may perform before moving on. Since Season 6, each team member
needs to participate in an equal amount of </t>
    </r>
    <r>
      <rPr>
        <sz val="12"/>
        <color rgb="FFFF0000"/>
        <rFont val="Calibri (Body)"/>
      </rPr>
      <t>Road Blocks</t>
    </r>
    <r>
      <rPr>
        <sz val="12"/>
        <color theme="1"/>
        <rFont val="Calibri"/>
        <family val="2"/>
        <scheme val="minor"/>
      </rPr>
      <t xml:space="preserve"> as their partner, assuming they make it all the way through the race. 
Sometimes, </t>
    </r>
    <r>
      <rPr>
        <sz val="12"/>
        <color rgb="FFFF0000"/>
        <rFont val="Calibri (Body)"/>
      </rPr>
      <t>Road Blocks</t>
    </r>
    <r>
      <rPr>
        <sz val="12"/>
        <color theme="1"/>
        <rFont val="Calibri"/>
        <family val="2"/>
        <scheme val="minor"/>
      </rPr>
      <t xml:space="preserve"> will require teams to travel (normally run) to the finish line after completing the challenge, effectively serving as an 
additional </t>
    </r>
    <r>
      <rPr>
        <sz val="12"/>
        <color rgb="FF0070C0"/>
        <rFont val="Calibri (Body)"/>
      </rPr>
      <t>Route Info</t>
    </r>
    <r>
      <rPr>
        <sz val="12"/>
        <color theme="1"/>
        <rFont val="Calibri"/>
        <family val="2"/>
        <scheme val="minor"/>
      </rPr>
      <t xml:space="preserve"> clue requiring teams to travel to the finish line.</t>
    </r>
  </si>
  <si>
    <r>
      <t xml:space="preserve">A </t>
    </r>
    <r>
      <rPr>
        <sz val="12"/>
        <color rgb="FFFFC000"/>
        <rFont val="Calibri (Body)"/>
      </rPr>
      <t xml:space="preserve">Detour </t>
    </r>
    <r>
      <rPr>
        <sz val="12"/>
        <rFont val="Calibri (Body)"/>
      </rPr>
      <t xml:space="preserve">is a choice between two tasks, each with its own pros and cons. Normally, teams select one task to complete before
moving on, but are sometimes required to complete both sides of the </t>
    </r>
    <r>
      <rPr>
        <sz val="12"/>
        <color rgb="FFFFC000"/>
        <rFont val="Calibri (Body)"/>
      </rPr>
      <t>Detour</t>
    </r>
    <r>
      <rPr>
        <sz val="12"/>
        <rFont val="Calibri (Body)"/>
      </rPr>
      <t xml:space="preserve"> due to a </t>
    </r>
    <r>
      <rPr>
        <b/>
        <sz val="12"/>
        <rFont val="Calibri (Body)"/>
      </rPr>
      <t>U-Turn.</t>
    </r>
  </si>
  <si>
    <r>
      <rPr>
        <b/>
        <sz val="14"/>
        <rFont val="Calibri (Body)"/>
      </rPr>
      <t xml:space="preserve">Number of </t>
    </r>
    <r>
      <rPr>
        <b/>
        <sz val="14"/>
        <color rgb="FFFFC000"/>
        <rFont val="Calibri (Body)"/>
      </rPr>
      <t xml:space="preserve">Detours </t>
    </r>
    <r>
      <rPr>
        <b/>
        <sz val="14"/>
        <rFont val="Calibri (Body)"/>
      </rPr>
      <t>per Season</t>
    </r>
  </si>
  <si>
    <r>
      <t xml:space="preserve">Number of </t>
    </r>
    <r>
      <rPr>
        <b/>
        <sz val="14"/>
        <color rgb="FF0070C0"/>
        <rFont val="Calibri (Body)"/>
      </rPr>
      <t>Route Infos</t>
    </r>
    <r>
      <rPr>
        <b/>
        <sz val="14"/>
        <rFont val="Calibri"/>
        <family val="2"/>
        <scheme val="minor"/>
      </rPr>
      <t xml:space="preserve"> per Season</t>
    </r>
  </si>
  <si>
    <r>
      <rPr>
        <b/>
        <sz val="14"/>
        <rFont val="Calibri (Body)"/>
      </rPr>
      <t xml:space="preserve">Number of </t>
    </r>
    <r>
      <rPr>
        <b/>
        <sz val="14"/>
        <color rgb="FFFF0000"/>
        <rFont val="Calibri (Body)"/>
      </rPr>
      <t>Road Blocks</t>
    </r>
    <r>
      <rPr>
        <b/>
        <sz val="14"/>
        <rFont val="Calibri (Body)"/>
      </rPr>
      <t xml:space="preserve"> per Season</t>
    </r>
  </si>
  <si>
    <t xml:space="preserve">Max </t>
  </si>
  <si>
    <r>
      <rPr>
        <b/>
        <sz val="14"/>
        <rFont val="Calibri (Body)"/>
      </rPr>
      <t xml:space="preserve">Number of </t>
    </r>
    <r>
      <rPr>
        <b/>
        <sz val="14"/>
        <color rgb="FF3CFF00"/>
        <rFont val="Calibri (Body)"/>
      </rPr>
      <t>Fast Forwards</t>
    </r>
    <r>
      <rPr>
        <b/>
        <sz val="14"/>
        <color rgb="FFFFC000"/>
        <rFont val="Calibri (Body)"/>
      </rPr>
      <t xml:space="preserve"> </t>
    </r>
    <r>
      <rPr>
        <b/>
        <sz val="14"/>
        <rFont val="Calibri (Body)"/>
      </rPr>
      <t>per Season</t>
    </r>
  </si>
  <si>
    <t>Average (1-4)</t>
  </si>
  <si>
    <t>Average (5-29)</t>
  </si>
  <si>
    <r>
      <t>A</t>
    </r>
    <r>
      <rPr>
        <sz val="12"/>
        <color rgb="FF92D050"/>
        <rFont val="Calibri (Body)"/>
      </rPr>
      <t xml:space="preserve"> Speed Bump</t>
    </r>
    <r>
      <rPr>
        <sz val="12"/>
        <color theme="1"/>
        <rFont val="Calibri"/>
        <family val="2"/>
        <scheme val="minor"/>
      </rPr>
      <t xml:space="preserve"> challenge is a task that a team must perform before moving onto the rest of the leg. The team who must perform 
this task is one who had been save from elimination at the end of the previous leg, except for the </t>
    </r>
    <r>
      <rPr>
        <sz val="12"/>
        <color rgb="FF92D050"/>
        <rFont val="Calibri (Body)"/>
      </rPr>
      <t>Speed Bump</t>
    </r>
    <r>
      <rPr>
        <sz val="12"/>
        <color theme="1"/>
        <rFont val="Calibri"/>
        <family val="2"/>
        <scheme val="minor"/>
      </rPr>
      <t xml:space="preserve"> in Season 33. Please </t>
    </r>
    <r>
      <rPr>
        <b/>
        <sz val="12"/>
        <color theme="1"/>
        <rFont val="Calibri"/>
        <family val="2"/>
        <scheme val="minor"/>
      </rPr>
      <t xml:space="preserve">NOTE, </t>
    </r>
    <r>
      <rPr>
        <sz val="12"/>
        <color theme="1"/>
        <rFont val="Calibri"/>
        <family val="2"/>
        <scheme val="minor"/>
      </rPr>
      <t xml:space="preserve">for the </t>
    </r>
    <r>
      <rPr>
        <sz val="12"/>
        <color rgb="FF92D050"/>
        <rFont val="Calibri (Body)"/>
      </rPr>
      <t xml:space="preserve">Speed Bump </t>
    </r>
    <r>
      <rPr>
        <sz val="12"/>
        <color theme="1"/>
        <rFont val="Calibri (Body)"/>
      </rPr>
      <t>a non-elimination point is a Pit Stop where Phil says it is, and NOT when teams are instructed to continue racing. This spreadsheet does not make a distinction between the two when considering elimination points.</t>
    </r>
    <r>
      <rPr>
        <sz val="12"/>
        <color theme="1"/>
        <rFont val="Calibri"/>
        <family val="2"/>
        <scheme val="minor"/>
      </rPr>
      <t xml:space="preserve">
The </t>
    </r>
    <r>
      <rPr>
        <sz val="12"/>
        <color rgb="FF92D050"/>
        <rFont val="Calibri (Body)"/>
      </rPr>
      <t xml:space="preserve">Speed Bump </t>
    </r>
    <r>
      <rPr>
        <sz val="12"/>
        <rFont val="Calibri (Body)"/>
      </rPr>
      <t xml:space="preserve">was introduced in Season 12, as an alternative to taking team's money and possessions at a non-elimination point, but has not been used in Seasons 34, 35, and 36 due to all Pit Stops being elimination points. </t>
    </r>
  </si>
  <si>
    <r>
      <rPr>
        <b/>
        <sz val="14"/>
        <rFont val="Calibri (Body)"/>
      </rPr>
      <t xml:space="preserve">Number of </t>
    </r>
    <r>
      <rPr>
        <b/>
        <sz val="14"/>
        <color rgb="FF92D050"/>
        <rFont val="Calibri (Body)"/>
      </rPr>
      <t>Speed Bumps</t>
    </r>
    <r>
      <rPr>
        <b/>
        <sz val="14"/>
        <color rgb="FFFFC000"/>
        <rFont val="Calibri (Body)"/>
      </rPr>
      <t xml:space="preserve"> </t>
    </r>
    <r>
      <rPr>
        <b/>
        <sz val="14"/>
        <rFont val="Calibri (Body)"/>
      </rPr>
      <t>per Season</t>
    </r>
  </si>
  <si>
    <r>
      <t xml:space="preserve">*NOTE: </t>
    </r>
    <r>
      <rPr>
        <sz val="12"/>
        <color theme="1"/>
        <rFont val="Calibri"/>
        <family val="2"/>
        <scheme val="minor"/>
      </rPr>
      <t xml:space="preserve">The Hazard, </t>
    </r>
    <r>
      <rPr>
        <sz val="12"/>
        <color rgb="FF00B0F0"/>
        <rFont val="Calibri (Body)"/>
      </rPr>
      <t>City Sprint</t>
    </r>
    <r>
      <rPr>
        <sz val="12"/>
        <color theme="1"/>
        <rFont val="Calibri"/>
        <family val="2"/>
        <scheme val="minor"/>
      </rPr>
      <t xml:space="preserve">, and </t>
    </r>
    <r>
      <rPr>
        <i/>
        <sz val="12"/>
        <color rgb="FFFF0000"/>
        <rFont val="Calibri (Body)"/>
      </rPr>
      <t>Express Pass</t>
    </r>
    <r>
      <rPr>
        <sz val="12"/>
        <color theme="1"/>
        <rFont val="Calibri"/>
        <family val="2"/>
        <scheme val="minor"/>
      </rPr>
      <t xml:space="preserve"> challenges are not explained on their own, so that will be included here:</t>
    </r>
  </si>
  <si>
    <r>
      <t xml:space="preserve">The </t>
    </r>
    <r>
      <rPr>
        <sz val="12"/>
        <color rgb="FF00B0F0"/>
        <rFont val="Calibri (Body)"/>
      </rPr>
      <t>City Sprint</t>
    </r>
    <r>
      <rPr>
        <sz val="12"/>
        <color theme="1"/>
        <rFont val="Calibri"/>
        <family val="2"/>
        <scheme val="minor"/>
      </rPr>
      <t xml:space="preserve"> was only used on Leg 10 of Season 32, and required teams to complete all tasks together meaning 
no </t>
    </r>
    <r>
      <rPr>
        <sz val="12"/>
        <color rgb="FFFF0000"/>
        <rFont val="Calibri (Body)"/>
      </rPr>
      <t xml:space="preserve">Road Blocks </t>
    </r>
    <r>
      <rPr>
        <sz val="12"/>
        <color theme="1"/>
        <rFont val="Calibri"/>
        <family val="2"/>
        <scheme val="minor"/>
      </rPr>
      <t xml:space="preserve">or </t>
    </r>
    <r>
      <rPr>
        <sz val="12"/>
        <color rgb="FFFFC000"/>
        <rFont val="Calibri (Body)"/>
      </rPr>
      <t>Detours</t>
    </r>
    <r>
      <rPr>
        <sz val="12"/>
        <color theme="1"/>
        <rFont val="Calibri"/>
        <family val="2"/>
        <scheme val="minor"/>
      </rPr>
      <t xml:space="preserve">, effectively serving as an all </t>
    </r>
    <r>
      <rPr>
        <sz val="12"/>
        <color rgb="FF0070C0"/>
        <rFont val="Calibri (Body)"/>
      </rPr>
      <t xml:space="preserve">Route Info </t>
    </r>
    <r>
      <rPr>
        <sz val="12"/>
        <color theme="1"/>
        <rFont val="Calibri"/>
        <family val="2"/>
        <scheme val="minor"/>
      </rPr>
      <t>leg.</t>
    </r>
  </si>
  <si>
    <t>Season-by-Season Breakdown:</t>
  </si>
  <si>
    <t>Leg-by-Leg Challenges:</t>
  </si>
  <si>
    <r>
      <t xml:space="preserve">*NOTE: </t>
    </r>
    <r>
      <rPr>
        <sz val="12"/>
        <color theme="1"/>
        <rFont val="Calibri"/>
        <family val="2"/>
        <scheme val="minor"/>
      </rPr>
      <t xml:space="preserve">All final legs are categorized under </t>
    </r>
    <r>
      <rPr>
        <sz val="12"/>
        <color rgb="FFFFC000"/>
        <rFont val="Calibri (Body)"/>
      </rPr>
      <t>Final Legs</t>
    </r>
    <r>
      <rPr>
        <sz val="12"/>
        <color theme="1"/>
        <rFont val="Calibri"/>
        <family val="2"/>
        <scheme val="minor"/>
      </rPr>
      <t>, even if they are Leg 10, 11, 12 of that season.</t>
    </r>
  </si>
  <si>
    <t>Fast Forward (1-4)</t>
  </si>
  <si>
    <t>Fast Forward (5-29)</t>
  </si>
  <si>
    <r>
      <rPr>
        <b/>
        <sz val="12"/>
        <color theme="1"/>
        <rFont val="Calibri"/>
        <family val="2"/>
        <scheme val="minor"/>
      </rPr>
      <t xml:space="preserve">*NOTE: </t>
    </r>
    <r>
      <rPr>
        <sz val="12"/>
        <color theme="1"/>
        <rFont val="Calibri"/>
        <family val="2"/>
        <scheme val="minor"/>
      </rPr>
      <t xml:space="preserve">Average number is divided by 36 for </t>
    </r>
    <r>
      <rPr>
        <sz val="12"/>
        <color rgb="FF0070C0"/>
        <rFont val="Calibri (Body)"/>
      </rPr>
      <t>Route Infos</t>
    </r>
    <r>
      <rPr>
        <sz val="12"/>
        <color theme="1"/>
        <rFont val="Calibri"/>
        <family val="2"/>
        <scheme val="minor"/>
      </rPr>
      <t xml:space="preserve">, </t>
    </r>
    <r>
      <rPr>
        <sz val="12"/>
        <color rgb="FFFF0000"/>
        <rFont val="Calibri (Body)"/>
      </rPr>
      <t>Road Blocks</t>
    </r>
    <r>
      <rPr>
        <sz val="12"/>
        <color theme="1"/>
        <rFont val="Calibri"/>
        <family val="2"/>
        <scheme val="minor"/>
      </rPr>
      <t xml:space="preserve">, and </t>
    </r>
    <r>
      <rPr>
        <sz val="12"/>
        <color rgb="FFFFC000"/>
        <rFont val="Calibri (Body)"/>
      </rPr>
      <t>Detours</t>
    </r>
    <r>
      <rPr>
        <sz val="12"/>
        <color theme="1"/>
        <rFont val="Calibri"/>
        <family val="2"/>
        <scheme val="minor"/>
      </rPr>
      <t xml:space="preserve">, and divided by the respective number of seasons for </t>
    </r>
    <r>
      <rPr>
        <sz val="12"/>
        <color rgb="FF92D050"/>
        <rFont val="Calibri (Body)"/>
      </rPr>
      <t>Speed Bumps</t>
    </r>
    <r>
      <rPr>
        <sz val="12"/>
        <color theme="1"/>
        <rFont val="Calibri"/>
        <family val="2"/>
        <scheme val="minor"/>
      </rPr>
      <t xml:space="preserve"> and </t>
    </r>
    <r>
      <rPr>
        <sz val="12"/>
        <color rgb="FF3CFF00"/>
        <rFont val="Calibri (Body)"/>
      </rPr>
      <t>Fast Forwards</t>
    </r>
    <r>
      <rPr>
        <sz val="12"/>
        <rFont val="Calibri (Body)"/>
      </rPr>
      <t>.</t>
    </r>
  </si>
  <si>
    <r>
      <rPr>
        <b/>
        <sz val="14"/>
        <rFont val="Calibri (Body)"/>
      </rPr>
      <t xml:space="preserve">Number of </t>
    </r>
    <r>
      <rPr>
        <b/>
        <sz val="14"/>
        <color rgb="FF7030A0"/>
        <rFont val="Calibri (Body)"/>
      </rPr>
      <t>Elimination</t>
    </r>
    <r>
      <rPr>
        <b/>
        <sz val="14"/>
        <rFont val="Calibri (Body)"/>
      </rPr>
      <t xml:space="preserve"> and </t>
    </r>
    <r>
      <rPr>
        <b/>
        <sz val="14"/>
        <color rgb="FF00B050"/>
        <rFont val="Calibri (Body)"/>
      </rPr>
      <t>Non-Elimination</t>
    </r>
    <r>
      <rPr>
        <b/>
        <sz val="14"/>
        <rFont val="Calibri (Body)"/>
      </rPr>
      <t xml:space="preserve"> Legs</t>
    </r>
    <r>
      <rPr>
        <b/>
        <sz val="14"/>
        <color rgb="FFFFC000"/>
        <rFont val="Calibri (Body)"/>
      </rPr>
      <t xml:space="preserve"> </t>
    </r>
    <r>
      <rPr>
        <b/>
        <sz val="14"/>
        <rFont val="Calibri (Body)"/>
      </rPr>
      <t>per Season</t>
    </r>
  </si>
  <si>
    <r>
      <t xml:space="preserve">All legs on TAR end in a Pit Stop, where teams are told their placement and if they are </t>
    </r>
    <r>
      <rPr>
        <sz val="12"/>
        <color rgb="FF7030A0"/>
        <rFont val="Calibri (Body)"/>
      </rPr>
      <t>eliminated</t>
    </r>
    <r>
      <rPr>
        <sz val="12"/>
        <color theme="1"/>
        <rFont val="Calibri"/>
        <family val="2"/>
        <scheme val="minor"/>
      </rPr>
      <t xml:space="preserve"> or not by Phil. As such, Pit Stops are defined by when teams meet with Phil on a mat, except for Season 1. Normally, the last team to arrive to the Pit Stop are </t>
    </r>
    <r>
      <rPr>
        <sz val="12"/>
        <color rgb="FF7030A0"/>
        <rFont val="Calibri (Body)"/>
      </rPr>
      <t>eliminated</t>
    </r>
    <r>
      <rPr>
        <sz val="12"/>
        <color theme="1"/>
        <rFont val="Calibri"/>
        <family val="2"/>
        <scheme val="minor"/>
      </rPr>
      <t xml:space="preserve"> because the Pit Stop is marked as an </t>
    </r>
    <r>
      <rPr>
        <sz val="12"/>
        <color rgb="FF7030A0"/>
        <rFont val="Calibri (Body)"/>
      </rPr>
      <t>elimination</t>
    </r>
    <r>
      <rPr>
        <sz val="12"/>
        <color theme="1"/>
        <rFont val="Calibri"/>
        <family val="2"/>
        <scheme val="minor"/>
      </rPr>
      <t xml:space="preserve"> point., but occasionally teams will be saved from </t>
    </r>
    <r>
      <rPr>
        <sz val="12"/>
        <color rgb="FF7030A0"/>
        <rFont val="Calibri (Body)"/>
      </rPr>
      <t>elimination</t>
    </r>
    <r>
      <rPr>
        <sz val="12"/>
        <color theme="1"/>
        <rFont val="Calibri"/>
        <family val="2"/>
        <scheme val="minor"/>
      </rPr>
      <t xml:space="preserve"> because the Pit Stop has been designated as a</t>
    </r>
    <r>
      <rPr>
        <sz val="12"/>
        <color rgb="FF00B050"/>
        <rFont val="Calibri (Body)"/>
      </rPr>
      <t xml:space="preserve"> non-elimination</t>
    </r>
    <r>
      <rPr>
        <sz val="12"/>
        <color theme="1"/>
        <rFont val="Calibri"/>
        <family val="2"/>
        <scheme val="minor"/>
      </rPr>
      <t xml:space="preserve"> point, or teams are told to continue racing. To me, both cases are effectively </t>
    </r>
    <r>
      <rPr>
        <sz val="12"/>
        <color rgb="FF00B050"/>
        <rFont val="Calibri (Body)"/>
      </rPr>
      <t>non-elimination</t>
    </r>
    <r>
      <rPr>
        <sz val="12"/>
        <color theme="1"/>
        <rFont val="Calibri"/>
        <family val="2"/>
        <scheme val="minor"/>
      </rPr>
      <t xml:space="preserve"> legs. </t>
    </r>
    <r>
      <rPr>
        <sz val="12"/>
        <color rgb="FFFFC000"/>
        <rFont val="Calibri (Body)"/>
      </rPr>
      <t>Final Legs</t>
    </r>
    <r>
      <rPr>
        <sz val="12"/>
        <color theme="1"/>
        <rFont val="Calibri"/>
        <family val="2"/>
        <scheme val="minor"/>
      </rPr>
      <t xml:space="preserve"> are neither </t>
    </r>
    <r>
      <rPr>
        <sz val="12"/>
        <color rgb="FF7030A0"/>
        <rFont val="Calibri (Body)"/>
      </rPr>
      <t>elimination</t>
    </r>
    <r>
      <rPr>
        <sz val="12"/>
        <color theme="1"/>
        <rFont val="Calibri"/>
        <family val="2"/>
        <scheme val="minor"/>
      </rPr>
      <t xml:space="preserve"> or </t>
    </r>
    <r>
      <rPr>
        <sz val="12"/>
        <color rgb="FF22A63C"/>
        <rFont val="Calibri (Body)"/>
      </rPr>
      <t xml:space="preserve">non-elimination </t>
    </r>
    <r>
      <rPr>
        <sz val="12"/>
        <color theme="1"/>
        <rFont val="Calibri"/>
        <family val="2"/>
        <scheme val="minor"/>
      </rPr>
      <t>legs.</t>
    </r>
  </si>
  <si>
    <r>
      <rPr>
        <b/>
        <sz val="14"/>
        <rFont val="Calibri (Body)"/>
      </rPr>
      <t xml:space="preserve">Number of </t>
    </r>
    <r>
      <rPr>
        <b/>
        <sz val="14"/>
        <color rgb="FF7030A0"/>
        <rFont val="Calibri (Body)"/>
      </rPr>
      <t>Elimination</t>
    </r>
    <r>
      <rPr>
        <b/>
        <sz val="14"/>
        <rFont val="Calibri (Body)"/>
      </rPr>
      <t xml:space="preserve"> and </t>
    </r>
    <r>
      <rPr>
        <b/>
        <sz val="14"/>
        <color rgb="FF00B050"/>
        <rFont val="Calibri (Body)"/>
      </rPr>
      <t>Non-Elimination</t>
    </r>
    <r>
      <rPr>
        <b/>
        <sz val="14"/>
        <rFont val="Calibri (Body)"/>
      </rPr>
      <t xml:space="preserve"> Legs</t>
    </r>
    <r>
      <rPr>
        <b/>
        <sz val="14"/>
        <color rgb="FFFFC000"/>
        <rFont val="Calibri (Body)"/>
      </rPr>
      <t xml:space="preserve"> </t>
    </r>
    <r>
      <rPr>
        <b/>
        <sz val="14"/>
        <rFont val="Calibri (Body)"/>
      </rPr>
      <t>per Leg</t>
    </r>
  </si>
  <si>
    <r>
      <rPr>
        <b/>
        <sz val="12"/>
        <color rgb="FF000000"/>
        <rFont val="Calibri"/>
        <family val="2"/>
        <scheme val="minor"/>
      </rPr>
      <t>*NOTE:</t>
    </r>
    <r>
      <rPr>
        <sz val="12"/>
        <color rgb="FF000000"/>
        <rFont val="Calibri"/>
        <family val="2"/>
        <scheme val="minor"/>
      </rPr>
      <t xml:space="preserve"> If there is no gap, "N/A" is input. 0 means back-to-back </t>
    </r>
    <r>
      <rPr>
        <sz val="12"/>
        <color rgb="FF00B050"/>
        <rFont val="Calibri (Body)"/>
      </rPr>
      <t>non-elim</t>
    </r>
    <r>
      <rPr>
        <sz val="12"/>
        <color rgb="FF000000"/>
        <rFont val="Calibri"/>
        <family val="2"/>
        <scheme val="minor"/>
      </rPr>
      <t xml:space="preserve"> legs.</t>
    </r>
  </si>
  <si>
    <r>
      <rPr>
        <b/>
        <sz val="12"/>
        <color theme="1"/>
        <rFont val="Calibri"/>
        <family val="2"/>
        <scheme val="minor"/>
      </rPr>
      <t>*NOTE:</t>
    </r>
    <r>
      <rPr>
        <sz val="12"/>
        <color theme="1"/>
        <rFont val="Calibri"/>
        <family val="2"/>
        <scheme val="minor"/>
      </rPr>
      <t xml:space="preserve"> The count includes all </t>
    </r>
    <r>
      <rPr>
        <sz val="12"/>
        <color rgb="FF7030A0"/>
        <rFont val="Calibri (Body)"/>
      </rPr>
      <t>elim</t>
    </r>
    <r>
      <rPr>
        <sz val="12"/>
        <color theme="1"/>
        <rFont val="Calibri"/>
        <family val="2"/>
        <scheme val="minor"/>
      </rPr>
      <t xml:space="preserve"> legs in between two </t>
    </r>
    <r>
      <rPr>
        <sz val="12"/>
        <color rgb="FF00B050"/>
        <rFont val="Calibri (Body)"/>
      </rPr>
      <t>non-elim</t>
    </r>
    <r>
      <rPr>
        <sz val="12"/>
        <color theme="1"/>
        <rFont val="Calibri"/>
        <family val="2"/>
        <scheme val="minor"/>
      </rPr>
      <t xml:space="preserve"> legs.</t>
    </r>
  </si>
  <si>
    <t>N/A</t>
  </si>
  <si>
    <t>Final Gap</t>
  </si>
  <si>
    <t>Latest Leg</t>
  </si>
  <si>
    <t>Earliest Leg</t>
  </si>
  <si>
    <t>Smallest Gap</t>
  </si>
  <si>
    <t>Largest Gap</t>
  </si>
  <si>
    <t>Twists</t>
  </si>
  <si>
    <t>Scramble 2-4</t>
  </si>
  <si>
    <t>Twist</t>
  </si>
  <si>
    <t>Double U-Turn</t>
  </si>
  <si>
    <t>Head-to-Head</t>
  </si>
  <si>
    <t>Intersection</t>
  </si>
  <si>
    <t>Scramble</t>
  </si>
  <si>
    <t/>
  </si>
  <si>
    <r>
      <rPr>
        <b/>
        <sz val="14"/>
        <rFont val="Calibri (Body)"/>
      </rPr>
      <t xml:space="preserve">Number of </t>
    </r>
    <r>
      <rPr>
        <b/>
        <sz val="14"/>
        <color rgb="FFFFC000"/>
        <rFont val="Calibri (Body)"/>
      </rPr>
      <t>Final Legs</t>
    </r>
  </si>
  <si>
    <t>Number</t>
  </si>
  <si>
    <r>
      <rPr>
        <b/>
        <sz val="14"/>
        <rFont val="Calibri (Body)"/>
      </rPr>
      <t xml:space="preserve">Locations of </t>
    </r>
    <r>
      <rPr>
        <b/>
        <sz val="14"/>
        <color rgb="FFFFC000"/>
        <rFont val="Calibri (Body)"/>
      </rPr>
      <t>Final Legs</t>
    </r>
  </si>
  <si>
    <r>
      <rPr>
        <b/>
        <sz val="12"/>
        <color theme="1"/>
        <rFont val="Calibri"/>
        <family val="2"/>
        <scheme val="minor"/>
      </rPr>
      <t>*NOTE:</t>
    </r>
    <r>
      <rPr>
        <sz val="12"/>
        <color theme="1"/>
        <rFont val="Calibri"/>
        <family val="2"/>
        <scheme val="minor"/>
      </rPr>
      <t xml:space="preserve"> This is to show that all legs end in the USA, but sometimes travel to other countries on the way to the finish line.</t>
    </r>
  </si>
  <si>
    <t>State</t>
  </si>
  <si>
    <t>State(s)</t>
  </si>
  <si>
    <t>Alaska</t>
  </si>
  <si>
    <t>Hawaii</t>
  </si>
  <si>
    <t>Washington</t>
  </si>
  <si>
    <t>Arizona</t>
  </si>
  <si>
    <t>Illinois</t>
  </si>
  <si>
    <t>Colorado</t>
  </si>
  <si>
    <t>Oregon</t>
  </si>
  <si>
    <t>Nevada</t>
  </si>
  <si>
    <t>Washington DC</t>
  </si>
  <si>
    <t>Louisiana</t>
  </si>
  <si>
    <t>Tennessee</t>
  </si>
  <si>
    <t xml:space="preserve">Washington </t>
  </si>
  <si>
    <t>Pennsylvania</t>
  </si>
  <si>
    <r>
      <t xml:space="preserve">Challenges on the </t>
    </r>
    <r>
      <rPr>
        <b/>
        <sz val="14"/>
        <color rgb="FFFFC000"/>
        <rFont val="Calibri (Body)"/>
      </rPr>
      <t>Final Leg</t>
    </r>
  </si>
  <si>
    <r>
      <rPr>
        <b/>
        <sz val="14"/>
        <rFont val="Calibri (Body)"/>
      </rPr>
      <t xml:space="preserve">Keywords on </t>
    </r>
    <r>
      <rPr>
        <b/>
        <sz val="14"/>
        <color rgb="FFFFC000"/>
        <rFont val="Calibri (Body)"/>
      </rPr>
      <t>Final Legs</t>
    </r>
  </si>
  <si>
    <t>Keyword</t>
  </si>
  <si>
    <r>
      <rPr>
        <sz val="12"/>
        <color theme="1"/>
        <rFont val="Calibri"/>
        <family val="2"/>
        <scheme val="minor"/>
      </rPr>
      <t xml:space="preserve">% of </t>
    </r>
    <r>
      <rPr>
        <sz val="12"/>
        <color rgb="FFFFC000"/>
        <rFont val="Calibri (Body)"/>
      </rPr>
      <t>Final Legs</t>
    </r>
  </si>
  <si>
    <t>COVID Seasons</t>
  </si>
  <si>
    <t>On February 28th, 2020, Season 33 of TAR halted production due to the COVID-19 pandemic. The season resumed in 2021, with obvious precaution taking, such as Team Will and Abby being automatically eliminated due to testing positive for the virus. The last four seasons of TAR have been directly impacted by COVID due to the inherent traveling and people-to-people interactions in every season, but these seasons have been notably different race-wise, which is what this sheet is dedicated to.</t>
  </si>
  <si>
    <t>Major Noteworthy Differences:</t>
  </si>
  <si>
    <r>
      <t xml:space="preserve">- Seasons 34, 35, and 36 all are only </t>
    </r>
    <r>
      <rPr>
        <sz val="12"/>
        <color rgb="FF7030A0"/>
        <rFont val="Calibri (Body)"/>
      </rPr>
      <t xml:space="preserve">elimination </t>
    </r>
    <r>
      <rPr>
        <sz val="12"/>
        <color theme="1"/>
        <rFont val="Calibri"/>
        <family val="2"/>
        <scheme val="minor"/>
      </rPr>
      <t xml:space="preserve">legs (besides a leg continuation in 
Season 35, which I consider a </t>
    </r>
    <r>
      <rPr>
        <sz val="12"/>
        <color rgb="FF00B050"/>
        <rFont val="Calibri (Body)"/>
      </rPr>
      <t>non-elimination</t>
    </r>
    <r>
      <rPr>
        <sz val="12"/>
        <color theme="1"/>
        <rFont val="Calibri"/>
        <family val="2"/>
        <scheme val="minor"/>
      </rPr>
      <t xml:space="preserve"> leg)</t>
    </r>
  </si>
  <si>
    <t>- Seasons 33, 34, and 36 all featured the TAR Charter Plane, which took teams from 
location-to-location in between legs to avoid contact and spreading of the 
COVID-19 virus.</t>
  </si>
  <si>
    <t>- The locations visited during the race has been significantly reduced for Seasons 33, 34, and 36, due to global travel restrictions.</t>
  </si>
  <si>
    <t>- Season 33 only raced in Europe</t>
  </si>
  <si>
    <t>- Season 34 only raced in Europe and Jordan</t>
  </si>
  <si>
    <t>- Season 36 only raced in Mexico, South America, and the Caribbean</t>
  </si>
  <si>
    <r>
      <t xml:space="preserve">- Seasons 34 and 35 featured the new twist, the </t>
    </r>
    <r>
      <rPr>
        <i/>
        <sz val="12"/>
        <color theme="1"/>
        <rFont val="Calibri"/>
        <family val="2"/>
        <scheme val="minor"/>
      </rPr>
      <t>Scramble.</t>
    </r>
    <r>
      <rPr>
        <sz val="12"/>
        <color theme="1"/>
        <rFont val="Calibri"/>
        <family val="2"/>
        <scheme val="minor"/>
      </rPr>
      <t xml:space="preserve"> Seasons 33, 34, and 36 had no twists besides this.</t>
    </r>
  </si>
  <si>
    <r>
      <t xml:space="preserve">- Season 33 only had one </t>
    </r>
    <r>
      <rPr>
        <sz val="12"/>
        <color rgb="FF92D050"/>
        <rFont val="Calibri (Body)"/>
      </rPr>
      <t>Speed Bump</t>
    </r>
    <r>
      <rPr>
        <sz val="12"/>
        <color theme="1"/>
        <rFont val="Calibri"/>
        <family val="2"/>
        <scheme val="minor"/>
      </rPr>
      <t xml:space="preserve"> for teams being brought back from 
elimination after the COVID hiatus. Besides this, none of the four seasons have any </t>
    </r>
    <r>
      <rPr>
        <sz val="12"/>
        <color rgb="FF92D050"/>
        <rFont val="Calibri (Body)"/>
      </rPr>
      <t>Speed Bump</t>
    </r>
    <r>
      <rPr>
        <sz val="12"/>
        <color theme="1"/>
        <rFont val="Calibri"/>
        <family val="2"/>
        <scheme val="minor"/>
      </rPr>
      <t xml:space="preserve"> or </t>
    </r>
    <r>
      <rPr>
        <sz val="12"/>
        <color rgb="FF2DFF00"/>
        <rFont val="Calibri (Body)"/>
      </rPr>
      <t xml:space="preserve">Fast Forward </t>
    </r>
    <r>
      <rPr>
        <sz val="12"/>
        <color theme="1"/>
        <rFont val="Calibri"/>
        <family val="2"/>
        <scheme val="minor"/>
      </rPr>
      <t>challenges.</t>
    </r>
  </si>
  <si>
    <t>Statistical Differences:</t>
  </si>
  <si>
    <r>
      <t xml:space="preserve">Compare these </t>
    </r>
    <r>
      <rPr>
        <b/>
        <sz val="12"/>
        <color theme="1"/>
        <rFont val="Calibri"/>
        <family val="2"/>
        <scheme val="minor"/>
      </rPr>
      <t>averages</t>
    </r>
    <r>
      <rPr>
        <sz val="12"/>
        <color theme="1"/>
        <rFont val="Calibri"/>
        <family val="2"/>
        <scheme val="minor"/>
      </rPr>
      <t xml:space="preserve"> to the previous 10 seasons of TAR (Seasons 22-32).</t>
    </r>
  </si>
  <si>
    <t>Previous Averages</t>
  </si>
  <si>
    <r>
      <t>- Seasons 33 and 36 feature only 11 legs, and Season 34 features a historic low of 
10 legs (this is in lieu of only</t>
    </r>
    <r>
      <rPr>
        <sz val="12"/>
        <color rgb="FF00B050"/>
        <rFont val="Calibri (Body)"/>
      </rPr>
      <t xml:space="preserve"> elimination </t>
    </r>
    <r>
      <rPr>
        <sz val="12"/>
        <color theme="1"/>
        <rFont val="Calibri"/>
        <family val="2"/>
        <scheme val="minor"/>
      </rPr>
      <t>legs). Season 35 featured a historic high of 13 starting teams to extend the amount of legs to 12.</t>
    </r>
  </si>
  <si>
    <t>- In all four seasons, teams experienced significantly more self-driving between 
challenges to avoid contact and spreading of the virus.</t>
  </si>
  <si>
    <t>% Change</t>
  </si>
  <si>
    <r>
      <t xml:space="preserve">Season 35 is the most recent season of TAR, despite the fact that Season 36 exists. Season 36 was filmed </t>
    </r>
    <r>
      <rPr>
        <i/>
        <sz val="12"/>
        <color theme="1"/>
        <rFont val="Calibri"/>
        <family val="2"/>
        <scheme val="minor"/>
      </rPr>
      <t xml:space="preserve">before </t>
    </r>
    <r>
      <rPr>
        <sz val="12"/>
        <color theme="1"/>
        <rFont val="Calibri"/>
        <family val="2"/>
        <scheme val="minor"/>
      </rPr>
      <t>Season 35, but released after because of the change to hour-and-a-half long episodes. Season 35 has been branded as a return to form for TAR, as global COVID restrictions have been loosened, allowing for traditional travel between legs, which is a significant part of the race in seasons past. This sheet is dedicated to documenting Season 35, so some predictions could be made about Season 37.</t>
    </r>
  </si>
  <si>
    <t>Major Things of Note:</t>
  </si>
  <si>
    <t>- Season 35 started with 13 teams, a historic high.</t>
  </si>
  <si>
    <t>- Season 35 is the first COVID season with 12 legs.</t>
  </si>
  <si>
    <r>
      <t xml:space="preserve">- This season continued the trend of no </t>
    </r>
    <r>
      <rPr>
        <sz val="12"/>
        <color rgb="FF00B050"/>
        <rFont val="Calibri (Body)"/>
      </rPr>
      <t>non-elimination</t>
    </r>
    <r>
      <rPr>
        <sz val="12"/>
        <color theme="1"/>
        <rFont val="Calibri"/>
        <family val="2"/>
        <scheme val="minor"/>
      </rPr>
      <t xml:space="preserve"> legs from the previous two seasons, but had one </t>
    </r>
    <r>
      <rPr>
        <sz val="12"/>
        <color rgb="FF00B050"/>
        <rFont val="Calibri (Body)"/>
      </rPr>
      <t>non-elim</t>
    </r>
    <r>
      <rPr>
        <sz val="12"/>
        <color theme="1"/>
        <rFont val="Calibri"/>
        <family val="2"/>
        <scheme val="minor"/>
      </rPr>
      <t xml:space="preserve"> leg because teams were instructed to continue racing.</t>
    </r>
  </si>
  <si>
    <r>
      <t xml:space="preserve">- The </t>
    </r>
    <r>
      <rPr>
        <i/>
        <sz val="12"/>
        <color theme="1"/>
        <rFont val="Calibri"/>
        <family val="2"/>
        <scheme val="minor"/>
      </rPr>
      <t xml:space="preserve">Scramble </t>
    </r>
    <r>
      <rPr>
        <sz val="12"/>
        <color theme="1"/>
        <rFont val="Calibri"/>
        <family val="2"/>
        <scheme val="minor"/>
      </rPr>
      <t>was utilized for the second time on the final leg of this season.</t>
    </r>
  </si>
  <si>
    <r>
      <t xml:space="preserve">- There were two </t>
    </r>
    <r>
      <rPr>
        <sz val="12"/>
        <color rgb="FFFF0000"/>
        <rFont val="Calibri (Body)"/>
      </rPr>
      <t xml:space="preserve">Express Passes </t>
    </r>
    <r>
      <rPr>
        <sz val="12"/>
        <color theme="1"/>
        <rFont val="Calibri"/>
        <family val="2"/>
        <scheme val="minor"/>
      </rPr>
      <t xml:space="preserve">given out, and they were earned in separate, voluntary challenges. This is different than the traditional way to earn the </t>
    </r>
    <r>
      <rPr>
        <sz val="12"/>
        <color rgb="FFFF0000"/>
        <rFont val="Calibri (Body)"/>
      </rPr>
      <t>pass</t>
    </r>
    <r>
      <rPr>
        <sz val="12"/>
        <color theme="1"/>
        <rFont val="Calibri"/>
        <family val="2"/>
        <scheme val="minor"/>
      </rPr>
      <t>, by coming in first on a specific leg.</t>
    </r>
  </si>
  <si>
    <t>- Traditional travel between legs was reinstituted.</t>
  </si>
  <si>
    <t>- Teams would depart for each leg from around 8:00-9:00 am, as opposed to 12 hours after their arrival time, which is traditional for TAR.</t>
  </si>
  <si>
    <r>
      <t xml:space="preserve">- Season 35 had no </t>
    </r>
    <r>
      <rPr>
        <sz val="12"/>
        <color rgb="FF92D050"/>
        <rFont val="Calibri (Body)"/>
      </rPr>
      <t>Speed Bumps</t>
    </r>
    <r>
      <rPr>
        <sz val="12"/>
        <color theme="1"/>
        <rFont val="Calibri"/>
        <family val="2"/>
        <scheme val="minor"/>
      </rPr>
      <t xml:space="preserve"> or </t>
    </r>
    <r>
      <rPr>
        <sz val="12"/>
        <color rgb="FF2DFF00"/>
        <rFont val="Calibri (Body)"/>
      </rPr>
      <t>Fast Forwards</t>
    </r>
    <r>
      <rPr>
        <sz val="12"/>
        <rFont val="Calibri (Body)"/>
      </rPr>
      <t>.</t>
    </r>
  </si>
  <si>
    <t>- Teams continued the trend of traveling to a new country for TAR in Season 36 by racing in Slovenia.</t>
  </si>
  <si>
    <t>- There was a blind U-Turn vote on Leg 6, and the vote occurred before the leg began.</t>
  </si>
  <si>
    <t>Countries Traveled to:</t>
  </si>
  <si>
    <t>- Season 35 stopped the trend of starting the race outside the USA from Seasons 34 and 36.</t>
  </si>
  <si>
    <r>
      <rPr>
        <b/>
        <sz val="14"/>
        <rFont val="Calibri (Body)"/>
      </rPr>
      <t xml:space="preserve">The </t>
    </r>
    <r>
      <rPr>
        <b/>
        <sz val="14"/>
        <color rgb="FFFFC000"/>
        <rFont val="Calibri (Body)"/>
      </rPr>
      <t>Finish Line</t>
    </r>
  </si>
  <si>
    <r>
      <t xml:space="preserve">The Amazing Race Wiki has an amazing interactive map created noting the location of each </t>
    </r>
    <r>
      <rPr>
        <sz val="12"/>
        <color rgb="FFFFC000"/>
        <rFont val="Calibri (Body)"/>
      </rPr>
      <t>finish line</t>
    </r>
    <r>
      <rPr>
        <sz val="12"/>
        <color theme="1"/>
        <rFont val="Calibri"/>
        <family val="2"/>
        <scheme val="minor"/>
      </rPr>
      <t xml:space="preserve">. </t>
    </r>
  </si>
  <si>
    <t>https://amazingrace.fandom.com/wiki/Finish_Line</t>
  </si>
  <si>
    <t xml:space="preserve">Here is the URL for the site: </t>
  </si>
  <si>
    <t>Other Avgs</t>
  </si>
  <si>
    <r>
      <t xml:space="preserve">Compare these to the </t>
    </r>
    <r>
      <rPr>
        <b/>
        <sz val="12"/>
        <color theme="1"/>
        <rFont val="Calibri"/>
        <family val="2"/>
        <scheme val="minor"/>
      </rPr>
      <t>averages</t>
    </r>
    <r>
      <rPr>
        <sz val="12"/>
        <color theme="1"/>
        <rFont val="Calibri"/>
        <family val="2"/>
        <scheme val="minor"/>
      </rPr>
      <t xml:space="preserve"> of all seasons:</t>
    </r>
  </si>
  <si>
    <r>
      <t xml:space="preserve">Compare these </t>
    </r>
    <r>
      <rPr>
        <b/>
        <sz val="12"/>
        <color theme="1"/>
        <rFont val="Calibri"/>
        <family val="2"/>
        <scheme val="minor"/>
      </rPr>
      <t>averages</t>
    </r>
    <r>
      <rPr>
        <sz val="12"/>
        <color theme="1"/>
        <rFont val="Calibri"/>
        <family val="2"/>
        <scheme val="minor"/>
      </rPr>
      <t xml:space="preserve"> to the previous 10 seasons of TAR (Seasons 22-32):</t>
    </r>
  </si>
  <si>
    <t>- There were no Mega-Legs in Season 35, breaking the streak from Seasons 34 and 36.</t>
  </si>
  <si>
    <t>Challenges:</t>
  </si>
  <si>
    <t>Keywords:</t>
  </si>
  <si>
    <t>Challenge-by-Challenge Statistics:</t>
  </si>
  <si>
    <t>Challenge #</t>
  </si>
  <si>
    <t xml:space="preserve">This sheet details the types of challenge per challenge on each leg.
Each season includes its maximum amount of challenges for one leg, and types of challenges seen. </t>
  </si>
  <si>
    <t>Challenge 11</t>
  </si>
  <si>
    <t>Challenge 12</t>
  </si>
  <si>
    <t>Challenge 13</t>
  </si>
  <si>
    <r>
      <t xml:space="preserve">Compare these to the </t>
    </r>
    <r>
      <rPr>
        <b/>
        <sz val="12"/>
        <color theme="1"/>
        <rFont val="Calibri"/>
        <family val="2"/>
        <scheme val="minor"/>
      </rPr>
      <t>averages</t>
    </r>
    <r>
      <rPr>
        <sz val="12"/>
        <color theme="1"/>
        <rFont val="Calibri"/>
        <family val="2"/>
        <scheme val="minor"/>
      </rPr>
      <t xml:space="preserve"> of the other COVID seasons:</t>
    </r>
  </si>
  <si>
    <t>Created by wavesei (Sam)</t>
  </si>
  <si>
    <r>
      <t xml:space="preserve">to the </t>
    </r>
    <r>
      <rPr>
        <b/>
        <sz val="16"/>
        <rFont val="Helvetica"/>
        <family val="2"/>
      </rPr>
      <t>Amazing Race</t>
    </r>
    <r>
      <rPr>
        <sz val="16"/>
        <color theme="1"/>
        <rFont val="Helvetica"/>
        <family val="2"/>
      </rPr>
      <t xml:space="preserve"> (US) data spreadsheet</t>
    </r>
  </si>
  <si>
    <t>Sheets Information:</t>
  </si>
  <si>
    <t>Logs</t>
  </si>
  <si>
    <t>Race Locations</t>
  </si>
  <si>
    <t>This sheet is for tracking the amount of each challenge type for every leg of every season, then examining them in totality.</t>
  </si>
  <si>
    <t>This sheet is for tracking the amount of each challenge for every challenge on every leg of every season, then examining them in totality.</t>
  </si>
  <si>
    <t>Each twist found on the race is explained and tracked.</t>
  </si>
  <si>
    <t>The last four seasons of TAR have been filmed in a COVID-19 endemic, and are understandably and notably different than other seasons. Here is where you will find information on these differences.</t>
  </si>
  <si>
    <t xml:space="preserve">Season 35 is the most-recently filmed season of the race, and this sheet is for explaining how it is different than other seasons, and may be a snapshot into where TAR is heading. </t>
  </si>
  <si>
    <t>Backstory:</t>
  </si>
  <si>
    <r>
      <t xml:space="preserve">Each </t>
    </r>
    <r>
      <rPr>
        <sz val="12"/>
        <color rgb="FFC00000"/>
        <rFont val="Calibri (Body)"/>
      </rPr>
      <t>keyword</t>
    </r>
    <r>
      <rPr>
        <sz val="12"/>
        <color theme="1"/>
        <rFont val="Calibri"/>
        <family val="2"/>
        <scheme val="minor"/>
      </rPr>
      <t xml:space="preserve"> is explained when and why they are used, and tracked for use in each season.</t>
    </r>
  </si>
  <si>
    <r>
      <t xml:space="preserve">This is where the physical logging (on paper) was translated to. Each season's </t>
    </r>
    <r>
      <rPr>
        <sz val="12"/>
        <color theme="0" tint="-0.499984740745262"/>
        <rFont val="Calibri (Body)"/>
      </rPr>
      <t>challenges</t>
    </r>
    <r>
      <rPr>
        <sz val="12"/>
        <color theme="1"/>
        <rFont val="Calibri"/>
        <family val="2"/>
        <scheme val="minor"/>
      </rPr>
      <t xml:space="preserve">, </t>
    </r>
    <r>
      <rPr>
        <sz val="12"/>
        <color rgb="FF7030A0"/>
        <rFont val="Calibri (Body)"/>
      </rPr>
      <t>eliminations</t>
    </r>
    <r>
      <rPr>
        <sz val="12"/>
        <color theme="1"/>
        <rFont val="Calibri"/>
        <family val="2"/>
        <scheme val="minor"/>
      </rPr>
      <t xml:space="preserve">, twists, </t>
    </r>
    <r>
      <rPr>
        <sz val="12"/>
        <color rgb="FFC00000"/>
        <rFont val="Calibri (Body)"/>
      </rPr>
      <t>keywords</t>
    </r>
    <r>
      <rPr>
        <sz val="12"/>
        <color theme="1"/>
        <rFont val="Calibri"/>
        <family val="2"/>
        <scheme val="minor"/>
      </rPr>
      <t xml:space="preserve">, locations, and </t>
    </r>
    <r>
      <rPr>
        <sz val="12"/>
        <color rgb="FFFFC000"/>
        <rFont val="Calibri (Body)"/>
      </rPr>
      <t>winners</t>
    </r>
    <r>
      <rPr>
        <sz val="12"/>
        <color theme="1"/>
        <rFont val="Calibri"/>
        <family val="2"/>
        <scheme val="minor"/>
      </rPr>
      <t xml:space="preserve"> are logged.</t>
    </r>
  </si>
  <si>
    <r>
      <t xml:space="preserve">This sheet tracks the total amount of </t>
    </r>
    <r>
      <rPr>
        <sz val="12"/>
        <color theme="0" tint="-0.499984740745262"/>
        <rFont val="Calibri (Body)"/>
      </rPr>
      <t xml:space="preserve">challenges </t>
    </r>
    <r>
      <rPr>
        <sz val="12"/>
        <color theme="1"/>
        <rFont val="Calibri"/>
        <family val="2"/>
        <scheme val="minor"/>
      </rPr>
      <t>in each season, and explains the niche challenges in certain seasons, such as the Hazard.</t>
    </r>
  </si>
  <si>
    <r>
      <t xml:space="preserve">Dedicated to tracking the amount of </t>
    </r>
    <r>
      <rPr>
        <sz val="12"/>
        <color rgb="FF0070C0"/>
        <rFont val="Calibri (Body)"/>
      </rPr>
      <t xml:space="preserve">Route Info </t>
    </r>
    <r>
      <rPr>
        <sz val="12"/>
        <color theme="1"/>
        <rFont val="Calibri"/>
        <family val="2"/>
        <scheme val="minor"/>
      </rPr>
      <t>challenges per season.</t>
    </r>
  </si>
  <si>
    <r>
      <t xml:space="preserve">Dedicated to tracking the amount of </t>
    </r>
    <r>
      <rPr>
        <sz val="12"/>
        <color rgb="FFFF0000"/>
        <rFont val="Calibri (Body)"/>
      </rPr>
      <t xml:space="preserve">Road Block </t>
    </r>
    <r>
      <rPr>
        <sz val="12"/>
        <color theme="1"/>
        <rFont val="Calibri"/>
        <family val="2"/>
        <scheme val="minor"/>
      </rPr>
      <t>challenges per season.</t>
    </r>
  </si>
  <si>
    <r>
      <t xml:space="preserve">Dedicated to tracking the amount of </t>
    </r>
    <r>
      <rPr>
        <sz val="12"/>
        <color rgb="FFFFC000"/>
        <rFont val="Calibri (Body)"/>
      </rPr>
      <t xml:space="preserve">Detour </t>
    </r>
    <r>
      <rPr>
        <sz val="12"/>
        <color theme="1"/>
        <rFont val="Calibri"/>
        <family val="2"/>
        <scheme val="minor"/>
      </rPr>
      <t>challenges per season.</t>
    </r>
  </si>
  <si>
    <r>
      <t xml:space="preserve">Dedicated to tracking the amount of </t>
    </r>
    <r>
      <rPr>
        <sz val="12"/>
        <color rgb="FF2DFF00"/>
        <rFont val="Calibri (Body)"/>
      </rPr>
      <t>Fast Forward</t>
    </r>
    <r>
      <rPr>
        <sz val="12"/>
        <color theme="1"/>
        <rFont val="Calibri"/>
        <family val="2"/>
        <scheme val="minor"/>
      </rPr>
      <t xml:space="preserve"> challenges per season.</t>
    </r>
  </si>
  <si>
    <r>
      <t xml:space="preserve">Dedicated to tracking the amount of </t>
    </r>
    <r>
      <rPr>
        <sz val="12"/>
        <color rgb="FF92D050"/>
        <rFont val="Calibri (Body)"/>
      </rPr>
      <t>Speed Bump</t>
    </r>
    <r>
      <rPr>
        <sz val="12"/>
        <color theme="1"/>
        <rFont val="Calibri"/>
        <family val="2"/>
        <scheme val="minor"/>
      </rPr>
      <t xml:space="preserve"> challenges per season.</t>
    </r>
  </si>
  <si>
    <r>
      <t xml:space="preserve">Here is where you will find how many </t>
    </r>
    <r>
      <rPr>
        <sz val="12"/>
        <color rgb="FF7030A0"/>
        <rFont val="Calibri (Body)"/>
      </rPr>
      <t xml:space="preserve">elimination </t>
    </r>
    <r>
      <rPr>
        <sz val="12"/>
        <color theme="1"/>
        <rFont val="Calibri"/>
        <family val="2"/>
        <scheme val="minor"/>
      </rPr>
      <t xml:space="preserve">and </t>
    </r>
    <r>
      <rPr>
        <sz val="12"/>
        <color rgb="FF00B050"/>
        <rFont val="Calibri (Body)"/>
      </rPr>
      <t xml:space="preserve">non-elimination </t>
    </r>
    <r>
      <rPr>
        <sz val="12"/>
        <color theme="1"/>
        <rFont val="Calibri"/>
        <family val="2"/>
        <scheme val="minor"/>
      </rPr>
      <t xml:space="preserve">legs there were per season, tracking each leg of </t>
    </r>
    <r>
      <rPr>
        <sz val="12"/>
        <color rgb="FF7030A0"/>
        <rFont val="Calibri (Body)"/>
      </rPr>
      <t>elimination</t>
    </r>
    <r>
      <rPr>
        <sz val="12"/>
        <color theme="1"/>
        <rFont val="Calibri"/>
        <family val="2"/>
        <scheme val="minor"/>
      </rPr>
      <t xml:space="preserve">, and noting where the </t>
    </r>
    <r>
      <rPr>
        <sz val="12"/>
        <color rgb="FF00B050"/>
        <rFont val="Calibri (Body)"/>
      </rPr>
      <t xml:space="preserve">non-elimination </t>
    </r>
    <r>
      <rPr>
        <sz val="12"/>
        <color theme="1"/>
        <rFont val="Calibri"/>
        <family val="2"/>
        <scheme val="minor"/>
      </rPr>
      <t>legs are located per season.</t>
    </r>
  </si>
  <si>
    <r>
      <t>This sheet is all about every</t>
    </r>
    <r>
      <rPr>
        <sz val="12"/>
        <color rgb="FFFFC000"/>
        <rFont val="Calibri (Body)"/>
      </rPr>
      <t xml:space="preserve"> official winner</t>
    </r>
    <r>
      <rPr>
        <sz val="12"/>
        <color theme="1"/>
        <rFont val="Calibri"/>
        <family val="2"/>
        <scheme val="minor"/>
      </rPr>
      <t xml:space="preserve"> of the race: their names, backgrounds, demographics, and finishing positions.</t>
    </r>
  </si>
  <si>
    <r>
      <t xml:space="preserve">Dedicated to examining what to expect for the final leg in terms of locations, </t>
    </r>
    <r>
      <rPr>
        <sz val="12"/>
        <color theme="0" tint="-0.499984740745262"/>
        <rFont val="Calibri (Body)"/>
      </rPr>
      <t>challenges,</t>
    </r>
    <r>
      <rPr>
        <sz val="12"/>
        <color theme="1"/>
        <rFont val="Calibri"/>
        <family val="2"/>
        <scheme val="minor"/>
      </rPr>
      <t xml:space="preserve"> and </t>
    </r>
    <r>
      <rPr>
        <sz val="12"/>
        <color rgb="FFC00000"/>
        <rFont val="Calibri (Body)"/>
      </rPr>
      <t>keywords.</t>
    </r>
  </si>
  <si>
    <t>Notes for the Future:</t>
  </si>
  <si>
    <t>- Money given at the start of each leg</t>
  </si>
  <si>
    <t>The countries and geographical areas ran to in each leg of every season are listed here, and each country and area is tracked per leg and in totality. Maps for each season of the race are also included.</t>
  </si>
  <si>
    <t>- More statistics and tracking of changes over the course of TAR (again, I've never been much for stats).</t>
  </si>
  <si>
    <t>There are some things that I wish to add to this spreadsheet in the future, in the goal of tracking every piece of data in TAR:</t>
  </si>
  <si>
    <r>
      <rPr>
        <sz val="12"/>
        <color theme="1"/>
        <rFont val="Calibri"/>
        <family val="2"/>
        <scheme val="minor"/>
      </rPr>
      <t xml:space="preserve">When I was in college, I somehow found myself addicted to the Amazing Race (TAR). I was facinated with the traveling, storylines, and amazing moments throughout, and I knew that it was new dream of my to be on the show. To be able to take part in the most compelling reality show of all time, to take part of my own storyline, to hear Phil say that I'm team number 1. Anyways, I was watching old seasons, when I noticed that there are many similarities between seasons, and I became obsessed with tracking how each season/race was ran. I was never much of a stats guy, but I wanted to be in the mind of the show's creators, in case I ever get the oppotunity to take part in this race that so many love. I began "logging" each season of the race in composition notebooks. I have some scans of a few pages below, including my first and last page. In these entries with my God-awful handwriting, I would log what season it was at the top and separate each leg, normally fitting two on a page. I also dated each entry, to track my progress. Each leg would note where racers traveled to (normally incorrectly), if the leg was elimination or not, what type of clue was read for each challenge, a brief description of each challenge, twists that happened, who got eliminated/saved from elimination and briefly why, and what keywords were seen in this leg. I invented these keywords as I noticed similarities between seasons, to see how the building blocks of the race changed over time. I started this journey of watching and logging each season of TAR in June 2021 with Season 32, and finished this month, July 2024 with Season 35. Yes, it took me three years. Sometimes life got busy with work and school, but I watched and logged when I could. In this process I would mostly work backwards, but sometimes jumped all over the place. Truthfully I do not specifically remember when 20-year-old me decided to start this, but I'm glad I saw this project through to completion, and I imagine some cool stuff can be done with this data. I should note that to properly understand this spreadsheet, you have seen at least one episode of TAR, hopefully an entire season. I tried to explain everything for the casual viewer, but I'm sure there is necessary detail this spreadsheet is lacking for someone who has never watched TAR before to understand. I would first start with reading "Sheets Information", to see what each tab is meant for, or just click whatever it's your life. I'm sure that over this three-year-process I made plenty of mistakes, and if you notice any while viewing this document, please reach out and let me know! Obviously, I want this spreadsheet to be as accurate as possible. Huge thank you to Wikipedia and TAR Wiki on making data on the race so easily accessible. </t>
    </r>
    <r>
      <rPr>
        <b/>
        <sz val="12"/>
        <color theme="1"/>
        <rFont val="Calibri"/>
        <family val="2"/>
        <scheme val="minor"/>
      </rPr>
      <t>Happy viewing!</t>
    </r>
  </si>
  <si>
    <r>
      <t xml:space="preserve">The Final Leg of each season sees the last three or four teams race to the finish line, where the team who comes in first is the "Official Winner" of the race. 
There are only three teams who run the </t>
    </r>
    <r>
      <rPr>
        <sz val="12"/>
        <color rgb="FFFFC000"/>
        <rFont val="Calibri (Body)"/>
      </rPr>
      <t xml:space="preserve">Final Leg </t>
    </r>
    <r>
      <rPr>
        <sz val="12"/>
        <rFont val="Calibri (Body)"/>
      </rPr>
      <t>called the</t>
    </r>
    <r>
      <rPr>
        <sz val="12"/>
        <color rgb="FFFFC000"/>
        <rFont val="Calibri (Body)"/>
      </rPr>
      <t xml:space="preserve"> Final Three</t>
    </r>
    <r>
      <rPr>
        <sz val="12"/>
        <color theme="1"/>
        <rFont val="Calibri"/>
        <family val="2"/>
        <scheme val="minor"/>
      </rPr>
      <t>, besides Seasons 25 and 26 which each had four teams.</t>
    </r>
  </si>
  <si>
    <t>- Seasons 34 and 36 both started outside the USA, in Germany and Mexico, respectively.</t>
  </si>
  <si>
    <t>Fly</t>
  </si>
  <si>
    <t>Taxi</t>
  </si>
  <si>
    <t>Ride</t>
  </si>
  <si>
    <t>Run</t>
  </si>
  <si>
    <t>Drive</t>
  </si>
  <si>
    <t>Animal</t>
  </si>
  <si>
    <t>Train</t>
  </si>
  <si>
    <t>Challenge</t>
  </si>
  <si>
    <t>Bus</t>
  </si>
  <si>
    <t>Taxi
Fly</t>
  </si>
  <si>
    <t>Ride
Fly 
Taxi</t>
  </si>
  <si>
    <t>Taxi
Boat</t>
  </si>
  <si>
    <t>Fly
Taxi</t>
  </si>
  <si>
    <t>Train
Taxi</t>
  </si>
  <si>
    <t>Taxi
Boat
Run</t>
  </si>
  <si>
    <r>
      <t xml:space="preserve">Boat
</t>
    </r>
    <r>
      <rPr>
        <b/>
        <sz val="12"/>
        <color theme="1"/>
        <rFont val="Calibri"/>
        <family val="2"/>
        <scheme val="minor"/>
      </rPr>
      <t>Challenge</t>
    </r>
  </si>
  <si>
    <t>Drive
Ride</t>
  </si>
  <si>
    <t>Route Info 1</t>
  </si>
  <si>
    <t>Route Info 2</t>
  </si>
  <si>
    <t>Route Info 3</t>
  </si>
  <si>
    <t>Route Info 4</t>
  </si>
  <si>
    <t>Route Info 5</t>
  </si>
  <si>
    <t>Route Info 6</t>
  </si>
  <si>
    <t>Route Info 7</t>
  </si>
  <si>
    <t>Route Info 8</t>
  </si>
  <si>
    <t>Route Info 9</t>
  </si>
  <si>
    <t>Drive
Fly</t>
  </si>
  <si>
    <t>Taxi
Ride</t>
  </si>
  <si>
    <r>
      <t xml:space="preserve">Boat
Taxi
</t>
    </r>
    <r>
      <rPr>
        <b/>
        <sz val="12"/>
        <color theme="1"/>
        <rFont val="Calibri"/>
        <family val="2"/>
        <scheme val="minor"/>
      </rPr>
      <t>Challenge</t>
    </r>
  </si>
  <si>
    <t>Taxi
Run</t>
  </si>
  <si>
    <t>Boat</t>
  </si>
  <si>
    <t>Taxi
Fly
Boat</t>
  </si>
  <si>
    <r>
      <t>Challenge</t>
    </r>
    <r>
      <rPr>
        <sz val="12"/>
        <color theme="1"/>
        <rFont val="Calibri"/>
        <family val="2"/>
        <scheme val="minor"/>
      </rPr>
      <t xml:space="preserve">
Run</t>
    </r>
  </si>
  <si>
    <t>Drive
Run</t>
  </si>
  <si>
    <r>
      <t>Taxi</t>
    </r>
    <r>
      <rPr>
        <b/>
        <sz val="12"/>
        <color theme="1"/>
        <rFont val="Calibri"/>
        <family val="2"/>
        <scheme val="minor"/>
      </rPr>
      <t xml:space="preserve">
Challenge</t>
    </r>
  </si>
  <si>
    <t>Boat
Bus</t>
  </si>
  <si>
    <t>Taxi
Fly
Drive</t>
  </si>
  <si>
    <t>Drive
Boat</t>
  </si>
  <si>
    <r>
      <t xml:space="preserve">Drive
</t>
    </r>
    <r>
      <rPr>
        <b/>
        <sz val="12"/>
        <color theme="1"/>
        <rFont val="Calibri"/>
        <family val="2"/>
        <scheme val="minor"/>
      </rPr>
      <t>Challenge</t>
    </r>
  </si>
  <si>
    <r>
      <rPr>
        <sz val="12"/>
        <color theme="1"/>
        <rFont val="Calibri"/>
        <family val="2"/>
        <scheme val="minor"/>
      </rPr>
      <t>Taxi</t>
    </r>
    <r>
      <rPr>
        <b/>
        <sz val="12"/>
        <color theme="1"/>
        <rFont val="Calibri"/>
        <family val="2"/>
        <scheme val="minor"/>
      </rPr>
      <t xml:space="preserve">
Challenge</t>
    </r>
  </si>
  <si>
    <t>Taxi
Bus</t>
  </si>
  <si>
    <t>Bus
Taxi</t>
  </si>
  <si>
    <r>
      <t>Challenge</t>
    </r>
    <r>
      <rPr>
        <sz val="12"/>
        <color theme="1"/>
        <rFont val="Calibri"/>
        <family val="2"/>
        <scheme val="minor"/>
      </rPr>
      <t xml:space="preserve">
Taxi</t>
    </r>
  </si>
  <si>
    <t>Drive
Train</t>
  </si>
  <si>
    <r>
      <t>Drive</t>
    </r>
    <r>
      <rPr>
        <b/>
        <sz val="12"/>
        <color theme="1"/>
        <rFont val="Calibri"/>
        <family val="2"/>
        <scheme val="minor"/>
      </rPr>
      <t xml:space="preserve">
Challenge</t>
    </r>
  </si>
  <si>
    <t>Drive
Boat
Train</t>
  </si>
  <si>
    <t>Run
Taxi</t>
  </si>
  <si>
    <r>
      <t>Challenge</t>
    </r>
    <r>
      <rPr>
        <sz val="12"/>
        <color theme="1"/>
        <rFont val="Calibri"/>
        <family val="2"/>
        <scheme val="minor"/>
      </rPr>
      <t xml:space="preserve">
Drive</t>
    </r>
  </si>
  <si>
    <t>Bike</t>
  </si>
  <si>
    <t>Bike
Boat</t>
  </si>
  <si>
    <r>
      <t xml:space="preserve">Challenge
</t>
    </r>
    <r>
      <rPr>
        <sz val="12"/>
        <color theme="1"/>
        <rFont val="Calibri"/>
        <family val="2"/>
        <scheme val="minor"/>
      </rPr>
      <t>Taxi
Fly</t>
    </r>
  </si>
  <si>
    <r>
      <t>Train</t>
    </r>
    <r>
      <rPr>
        <b/>
        <sz val="12"/>
        <color theme="1"/>
        <rFont val="Calibri"/>
        <family val="2"/>
        <scheme val="minor"/>
      </rPr>
      <t xml:space="preserve">
Challenge</t>
    </r>
  </si>
  <si>
    <t>Boat
Taxi</t>
  </si>
  <si>
    <t>Train
Fly</t>
  </si>
  <si>
    <r>
      <t>Train
Fly
Drive</t>
    </r>
    <r>
      <rPr>
        <b/>
        <sz val="12"/>
        <color theme="1"/>
        <rFont val="Calibri"/>
        <family val="2"/>
        <scheme val="minor"/>
      </rPr>
      <t xml:space="preserve">
Challenge</t>
    </r>
  </si>
  <si>
    <r>
      <t>Challenge</t>
    </r>
    <r>
      <rPr>
        <sz val="12"/>
        <color theme="1"/>
        <rFont val="Calibri"/>
        <family val="2"/>
        <scheme val="minor"/>
      </rPr>
      <t xml:space="preserve">
Bus</t>
    </r>
  </si>
  <si>
    <t>Taxi
Fly
Train</t>
  </si>
  <si>
    <t>Taxi
Train</t>
  </si>
  <si>
    <r>
      <t xml:space="preserve">Taxi
Train
</t>
    </r>
    <r>
      <rPr>
        <b/>
        <sz val="12"/>
        <color theme="1"/>
        <rFont val="Calibri"/>
        <family val="2"/>
        <scheme val="minor"/>
      </rPr>
      <t>Challenge</t>
    </r>
  </si>
  <si>
    <t>Tax</t>
  </si>
  <si>
    <t>Drive
Fly
Drive</t>
  </si>
  <si>
    <r>
      <t>Run</t>
    </r>
    <r>
      <rPr>
        <b/>
        <sz val="12"/>
        <color theme="1"/>
        <rFont val="Calibri"/>
        <family val="2"/>
        <scheme val="minor"/>
      </rPr>
      <t xml:space="preserve">
Challenge</t>
    </r>
  </si>
  <si>
    <t>Taxi
Bike</t>
  </si>
  <si>
    <t>Drive
Fly
Bus</t>
  </si>
  <si>
    <r>
      <t>Challenge</t>
    </r>
    <r>
      <rPr>
        <sz val="12"/>
        <color theme="1"/>
        <rFont val="Calibri"/>
        <family val="2"/>
        <scheme val="minor"/>
      </rPr>
      <t xml:space="preserve">
Boat</t>
    </r>
  </si>
  <si>
    <r>
      <t xml:space="preserve">Drive
Boat
</t>
    </r>
    <r>
      <rPr>
        <b/>
        <sz val="12"/>
        <color theme="1"/>
        <rFont val="Calibri"/>
        <family val="2"/>
        <scheme val="minor"/>
      </rPr>
      <t>Challenge</t>
    </r>
  </si>
  <si>
    <t>Drive
Bus
Fly</t>
  </si>
  <si>
    <t>Taxi
Fly
Taxi</t>
  </si>
  <si>
    <t>Taxi
Fly
Fly</t>
  </si>
  <si>
    <t>Taxi
Fly
Fly
Run</t>
  </si>
  <si>
    <r>
      <t xml:space="preserve">Reasons for </t>
    </r>
    <r>
      <rPr>
        <b/>
        <sz val="12"/>
        <color rgb="FF9D00FF"/>
        <rFont val="Calibri (Body)"/>
      </rPr>
      <t xml:space="preserve">Elimination </t>
    </r>
    <r>
      <rPr>
        <b/>
        <sz val="12"/>
        <color rgb="FF00B050"/>
        <rFont val="Calibri (Body)"/>
      </rPr>
      <t>(or almost elimination)</t>
    </r>
  </si>
  <si>
    <t>Season 37</t>
  </si>
  <si>
    <t>Ride
Ride</t>
  </si>
  <si>
    <t>Train
Drive</t>
  </si>
  <si>
    <t>Drive
Train
Bus</t>
  </si>
  <si>
    <t>Bike
Train</t>
  </si>
  <si>
    <t>Boat
Fly
Train</t>
  </si>
  <si>
    <r>
      <t>Bus</t>
    </r>
    <r>
      <rPr>
        <b/>
        <sz val="12"/>
        <color theme="1"/>
        <rFont val="Calibri"/>
        <family val="2"/>
        <scheme val="minor"/>
      </rPr>
      <t xml:space="preserve">
Challenge</t>
    </r>
  </si>
  <si>
    <r>
      <t xml:space="preserve">Taxi
</t>
    </r>
    <r>
      <rPr>
        <b/>
        <sz val="12"/>
        <color theme="1"/>
        <rFont val="Calibri"/>
        <family val="2"/>
        <scheme val="minor"/>
      </rPr>
      <t>Challenge</t>
    </r>
  </si>
  <si>
    <r>
      <rPr>
        <sz val="12"/>
        <color theme="1"/>
        <rFont val="Calibri"/>
        <family val="2"/>
        <scheme val="minor"/>
      </rPr>
      <t>Drive</t>
    </r>
    <r>
      <rPr>
        <b/>
        <sz val="12"/>
        <color theme="1"/>
        <rFont val="Calibri"/>
        <family val="2"/>
        <scheme val="minor"/>
      </rPr>
      <t xml:space="preserve">
Challenge</t>
    </r>
    <r>
      <rPr>
        <sz val="12"/>
        <color theme="1"/>
        <rFont val="Calibri"/>
        <family val="2"/>
        <scheme val="minor"/>
      </rPr>
      <t xml:space="preserve">
Run</t>
    </r>
  </si>
  <si>
    <r>
      <t xml:space="preserve">Challenge
</t>
    </r>
    <r>
      <rPr>
        <sz val="12"/>
        <color theme="1"/>
        <rFont val="Calibri"/>
        <family val="2"/>
        <scheme val="minor"/>
      </rPr>
      <t>Boat</t>
    </r>
  </si>
  <si>
    <r>
      <t>Drive</t>
    </r>
    <r>
      <rPr>
        <b/>
        <sz val="12"/>
        <color theme="1"/>
        <rFont val="Calibri"/>
        <family val="2"/>
        <scheme val="minor"/>
      </rPr>
      <t xml:space="preserve">
Chalenge</t>
    </r>
  </si>
  <si>
    <r>
      <t>Boat</t>
    </r>
    <r>
      <rPr>
        <b/>
        <sz val="12"/>
        <color theme="1"/>
        <rFont val="Calibri"/>
        <family val="2"/>
        <scheme val="minor"/>
      </rPr>
      <t xml:space="preserve">
Challenge</t>
    </r>
  </si>
  <si>
    <t>Run
Bus</t>
  </si>
  <si>
    <r>
      <t xml:space="preserve">Run
</t>
    </r>
    <r>
      <rPr>
        <b/>
        <sz val="12"/>
        <color theme="1"/>
        <rFont val="Calibri"/>
        <family val="2"/>
        <scheme val="minor"/>
      </rPr>
      <t>Challenge</t>
    </r>
  </si>
  <si>
    <t>Bus
Drive</t>
  </si>
  <si>
    <r>
      <t>Challenge</t>
    </r>
    <r>
      <rPr>
        <sz val="12"/>
        <color theme="1"/>
        <rFont val="Calibri"/>
        <family val="2"/>
        <scheme val="minor"/>
      </rPr>
      <t xml:space="preserve">
Ride</t>
    </r>
  </si>
  <si>
    <r>
      <t>Taxi
Fly</t>
    </r>
    <r>
      <rPr>
        <b/>
        <sz val="12"/>
        <color theme="1"/>
        <rFont val="Calibri"/>
        <family val="2"/>
        <scheme val="minor"/>
      </rPr>
      <t xml:space="preserve">
Challenge</t>
    </r>
  </si>
  <si>
    <t>Bike
Boat
Bike</t>
  </si>
  <si>
    <t>Taxi
Fly
Bus</t>
  </si>
  <si>
    <t>Bus
Train</t>
  </si>
  <si>
    <t>Drive
Animal</t>
  </si>
  <si>
    <t>Animal
Drive</t>
  </si>
  <si>
    <r>
      <t>Challenge</t>
    </r>
    <r>
      <rPr>
        <sz val="12"/>
        <color theme="1"/>
        <rFont val="Calibri"/>
        <family val="2"/>
        <scheme val="minor"/>
      </rPr>
      <t xml:space="preserve">
Drive</t>
    </r>
    <r>
      <rPr>
        <b/>
        <sz val="12"/>
        <color theme="1"/>
        <rFont val="Calibri"/>
        <family val="2"/>
        <scheme val="minor"/>
      </rPr>
      <t xml:space="preserve">
</t>
    </r>
    <r>
      <rPr>
        <sz val="12"/>
        <color theme="1"/>
        <rFont val="Calibri"/>
        <family val="2"/>
        <scheme val="minor"/>
      </rPr>
      <t>Run</t>
    </r>
  </si>
  <si>
    <r>
      <t>Taxi
Run</t>
    </r>
    <r>
      <rPr>
        <b/>
        <sz val="12"/>
        <color theme="1"/>
        <rFont val="Calibri"/>
        <family val="2"/>
        <scheme val="minor"/>
      </rPr>
      <t xml:space="preserve">
Challenge</t>
    </r>
  </si>
  <si>
    <t>Taxi
Fly
Bus
Train</t>
  </si>
  <si>
    <t>Taxi
Fly
Ride</t>
  </si>
  <si>
    <t>Taxi
Fly
Ride
Drive</t>
  </si>
  <si>
    <t>Drive
Fly
Boat
Run</t>
  </si>
  <si>
    <t>Drive
Bike</t>
  </si>
  <si>
    <t>Run
Ride</t>
  </si>
  <si>
    <t>Bus
Boat</t>
  </si>
  <si>
    <r>
      <t xml:space="preserve">Taxi
Fly
</t>
    </r>
    <r>
      <rPr>
        <b/>
        <sz val="12"/>
        <color theme="1"/>
        <rFont val="Calibri"/>
        <family val="2"/>
        <scheme val="minor"/>
      </rPr>
      <t>Challenge</t>
    </r>
  </si>
  <si>
    <r>
      <t xml:space="preserve">Challenge
</t>
    </r>
    <r>
      <rPr>
        <sz val="12"/>
        <color theme="1"/>
        <rFont val="Calibri"/>
        <family val="2"/>
        <scheme val="minor"/>
      </rPr>
      <t>Taxi</t>
    </r>
  </si>
  <si>
    <r>
      <rPr>
        <sz val="12"/>
        <color theme="1"/>
        <rFont val="Calibri"/>
        <family val="2"/>
        <scheme val="minor"/>
      </rPr>
      <t xml:space="preserve">Taxi
Fly
</t>
    </r>
    <r>
      <rPr>
        <b/>
        <sz val="12"/>
        <color theme="1"/>
        <rFont val="Calibri"/>
        <family val="2"/>
        <scheme val="minor"/>
      </rPr>
      <t>Challenge</t>
    </r>
  </si>
  <si>
    <r>
      <rPr>
        <sz val="12"/>
        <color theme="1"/>
        <rFont val="Calibri"/>
        <family val="2"/>
        <scheme val="minor"/>
      </rPr>
      <t>Taxi
Fly
Drive</t>
    </r>
    <r>
      <rPr>
        <b/>
        <sz val="12"/>
        <color theme="1"/>
        <rFont val="Calibri"/>
        <family val="2"/>
        <scheme val="minor"/>
      </rPr>
      <t xml:space="preserve">
Challenge</t>
    </r>
  </si>
  <si>
    <t>Drive
Fly
Run</t>
  </si>
  <si>
    <r>
      <t>Drive
Fly</t>
    </r>
    <r>
      <rPr>
        <b/>
        <sz val="12"/>
        <color theme="1"/>
        <rFont val="Calibri"/>
        <family val="2"/>
        <scheme val="minor"/>
      </rPr>
      <t xml:space="preserve">
Challenge</t>
    </r>
  </si>
  <si>
    <r>
      <t xml:space="preserve">Challenge
</t>
    </r>
    <r>
      <rPr>
        <sz val="12"/>
        <color theme="1"/>
        <rFont val="Calibri"/>
        <family val="2"/>
        <scheme val="minor"/>
      </rPr>
      <t>Run</t>
    </r>
  </si>
  <si>
    <r>
      <t>Ride</t>
    </r>
    <r>
      <rPr>
        <b/>
        <sz val="12"/>
        <color theme="1"/>
        <rFont val="Calibri"/>
        <family val="2"/>
        <scheme val="minor"/>
      </rPr>
      <t xml:space="preserve">
Challenge</t>
    </r>
  </si>
  <si>
    <r>
      <t>Challenge</t>
    </r>
    <r>
      <rPr>
        <sz val="12"/>
        <color theme="1"/>
        <rFont val="Calibri"/>
        <family val="2"/>
        <scheme val="minor"/>
      </rPr>
      <t xml:space="preserve">
Drive</t>
    </r>
    <r>
      <rPr>
        <b/>
        <sz val="12"/>
        <color theme="1"/>
        <rFont val="Calibri"/>
        <family val="2"/>
        <scheme val="minor"/>
      </rPr>
      <t xml:space="preserve">
</t>
    </r>
    <r>
      <rPr>
        <sz val="12"/>
        <color theme="1"/>
        <rFont val="Calibri"/>
        <family val="2"/>
        <scheme val="minor"/>
      </rPr>
      <t>Fly</t>
    </r>
  </si>
  <si>
    <r>
      <rPr>
        <sz val="12"/>
        <color theme="1"/>
        <rFont val="Calibri"/>
        <family val="2"/>
        <scheme val="minor"/>
      </rPr>
      <t>Taxi
Fly</t>
    </r>
    <r>
      <rPr>
        <b/>
        <sz val="12"/>
        <color theme="1"/>
        <rFont val="Calibri"/>
        <family val="2"/>
        <scheme val="minor"/>
      </rPr>
      <t xml:space="preserve">
</t>
    </r>
    <r>
      <rPr>
        <sz val="12"/>
        <color theme="1"/>
        <rFont val="Calibri"/>
        <family val="2"/>
        <scheme val="minor"/>
      </rPr>
      <t>Bus</t>
    </r>
  </si>
  <si>
    <r>
      <t>Ferry</t>
    </r>
    <r>
      <rPr>
        <b/>
        <sz val="12"/>
        <color theme="1"/>
        <rFont val="Calibri"/>
        <family val="2"/>
        <scheme val="minor"/>
      </rPr>
      <t xml:space="preserve">
Challenge</t>
    </r>
  </si>
  <si>
    <t>Ride
Fly
Bus
Ride</t>
  </si>
  <si>
    <t>Bus
Drive
Boat
Run</t>
  </si>
  <si>
    <r>
      <t>Bus
Drive</t>
    </r>
    <r>
      <rPr>
        <b/>
        <sz val="12"/>
        <color theme="1"/>
        <rFont val="Calibri"/>
        <family val="2"/>
        <scheme val="minor"/>
      </rPr>
      <t xml:space="preserve">
Challenge</t>
    </r>
  </si>
  <si>
    <t>Taxi
Fly
Train
Run</t>
  </si>
  <si>
    <t>Run
Boat</t>
  </si>
  <si>
    <r>
      <t>Bus
Train</t>
    </r>
    <r>
      <rPr>
        <b/>
        <sz val="12"/>
        <color theme="1"/>
        <rFont val="Calibri"/>
        <family val="2"/>
        <scheme val="minor"/>
      </rPr>
      <t xml:space="preserve">
Challenge</t>
    </r>
  </si>
  <si>
    <t>Drive
Train
Fly</t>
  </si>
  <si>
    <t>Taxi
Fly
Bus
Boat</t>
  </si>
  <si>
    <t>Drive
Fly
Train
Boat</t>
  </si>
  <si>
    <t>Drive
Fly
Taxi</t>
  </si>
  <si>
    <r>
      <t xml:space="preserve">Challenge
</t>
    </r>
    <r>
      <rPr>
        <sz val="12"/>
        <color theme="1"/>
        <rFont val="Calibri"/>
        <family val="2"/>
        <scheme val="minor"/>
      </rPr>
      <t>Drive</t>
    </r>
  </si>
  <si>
    <t>Train
Fly
Taxi</t>
  </si>
  <si>
    <t>Ride
Drive</t>
  </si>
  <si>
    <t xml:space="preserve">
Fly
Drive</t>
  </si>
  <si>
    <t>Taxi
Fly
Fly
Taxi</t>
  </si>
  <si>
    <t>Boat
Fly
Taxi</t>
  </si>
  <si>
    <t>axi</t>
  </si>
  <si>
    <r>
      <rPr>
        <b/>
        <sz val="12"/>
        <color theme="1"/>
        <rFont val="Calibri"/>
        <family val="2"/>
        <scheme val="minor"/>
      </rPr>
      <t>Challenge</t>
    </r>
    <r>
      <rPr>
        <sz val="12"/>
        <color theme="1"/>
        <rFont val="Calibri"/>
        <family val="2"/>
        <scheme val="minor"/>
      </rPr>
      <t xml:space="preserve">
Taxi
Fly
Taxi</t>
    </r>
  </si>
  <si>
    <t>Taxi
Fly
Taxi
Train</t>
  </si>
  <si>
    <t>Boat
Run</t>
  </si>
  <si>
    <r>
      <t>Taxi
Fly
Taxi</t>
    </r>
    <r>
      <rPr>
        <b/>
        <sz val="12"/>
        <color theme="1"/>
        <rFont val="Calibri"/>
        <family val="2"/>
        <scheme val="minor"/>
      </rPr>
      <t xml:space="preserve">
Challenge</t>
    </r>
  </si>
  <si>
    <r>
      <t>Challenge</t>
    </r>
    <r>
      <rPr>
        <sz val="12"/>
        <color theme="1"/>
        <rFont val="Calibri"/>
        <family val="2"/>
        <scheme val="minor"/>
      </rPr>
      <t xml:space="preserve">
Taxi
Fly
Taxi</t>
    </r>
  </si>
  <si>
    <t>Boat
Drive</t>
  </si>
  <si>
    <t>Boat
Fly</t>
  </si>
  <si>
    <r>
      <t>Fly
Taxi</t>
    </r>
    <r>
      <rPr>
        <b/>
        <sz val="12"/>
        <color theme="1"/>
        <rFont val="Calibri"/>
        <family val="2"/>
        <scheme val="minor"/>
      </rPr>
      <t xml:space="preserve">
Challenge</t>
    </r>
  </si>
  <si>
    <t>Taxi
Fly
Taxi
Run</t>
  </si>
  <si>
    <r>
      <t xml:space="preserve">Taxi
Fly
Taxi
</t>
    </r>
    <r>
      <rPr>
        <b/>
        <sz val="12"/>
        <color theme="1"/>
        <rFont val="Calibri"/>
        <family val="2"/>
        <scheme val="minor"/>
      </rPr>
      <t>Challenge</t>
    </r>
  </si>
  <si>
    <r>
      <t xml:space="preserve">Taxi
Fly
Train
Drive
</t>
    </r>
    <r>
      <rPr>
        <b/>
        <sz val="12"/>
        <color theme="1"/>
        <rFont val="Calibri"/>
        <family val="2"/>
        <scheme val="minor"/>
      </rPr>
      <t>Challenge</t>
    </r>
  </si>
  <si>
    <t>Taxi
Fly
Taxi
Fly</t>
  </si>
  <si>
    <t>Boat
Train
Drive</t>
  </si>
  <si>
    <r>
      <t>Challenge</t>
    </r>
    <r>
      <rPr>
        <sz val="12"/>
        <color theme="1"/>
        <rFont val="Calibri"/>
        <family val="2"/>
        <scheme val="minor"/>
      </rPr>
      <t xml:space="preserve">
Animal</t>
    </r>
    <r>
      <rPr>
        <b/>
        <sz val="12"/>
        <color theme="1"/>
        <rFont val="Calibri"/>
        <family val="2"/>
        <scheme val="minor"/>
      </rPr>
      <t xml:space="preserve">
Challenge</t>
    </r>
  </si>
  <si>
    <r>
      <t xml:space="preserve">Drive 
</t>
    </r>
    <r>
      <rPr>
        <b/>
        <sz val="12"/>
        <color theme="1"/>
        <rFont val="Calibri"/>
        <family val="2"/>
        <scheme val="minor"/>
      </rPr>
      <t>Challenge</t>
    </r>
  </si>
  <si>
    <t>Taxi
Fly
Run</t>
  </si>
  <si>
    <r>
      <t xml:space="preserve">Ride
</t>
    </r>
    <r>
      <rPr>
        <b/>
        <sz val="12"/>
        <color theme="1"/>
        <rFont val="Calibri"/>
        <family val="2"/>
        <scheme val="minor"/>
      </rPr>
      <t>Challenge</t>
    </r>
  </si>
  <si>
    <r>
      <t>Challenge</t>
    </r>
    <r>
      <rPr>
        <sz val="12"/>
        <color theme="1"/>
        <rFont val="Calibri"/>
        <family val="2"/>
        <scheme val="minor"/>
      </rPr>
      <t xml:space="preserve">
Drive</t>
    </r>
    <r>
      <rPr>
        <b/>
        <sz val="12"/>
        <color theme="1"/>
        <rFont val="Calibri"/>
        <family val="2"/>
        <scheme val="minor"/>
      </rPr>
      <t xml:space="preserve">
</t>
    </r>
    <r>
      <rPr>
        <sz val="12"/>
        <color theme="1"/>
        <rFont val="Calibri"/>
        <family val="2"/>
        <scheme val="minor"/>
      </rPr>
      <t>Fly
Taxi</t>
    </r>
  </si>
  <si>
    <r>
      <t>Drive</t>
    </r>
    <r>
      <rPr>
        <b/>
        <sz val="12"/>
        <color theme="1"/>
        <rFont val="Calibri"/>
        <family val="2"/>
        <scheme val="minor"/>
      </rPr>
      <t xml:space="preserve">
Challenge
Drive</t>
    </r>
  </si>
  <si>
    <r>
      <rPr>
        <sz val="12"/>
        <color theme="1"/>
        <rFont val="Calibri"/>
        <family val="2"/>
        <scheme val="minor"/>
      </rPr>
      <t>Run</t>
    </r>
    <r>
      <rPr>
        <b/>
        <sz val="12"/>
        <color theme="1"/>
        <rFont val="Calibri"/>
        <family val="2"/>
        <scheme val="minor"/>
      </rPr>
      <t xml:space="preserve">
Challenge</t>
    </r>
  </si>
  <si>
    <t>Ride
Run</t>
  </si>
  <si>
    <r>
      <t>Taxi
Fly
Drive</t>
    </r>
    <r>
      <rPr>
        <b/>
        <sz val="12"/>
        <color theme="1"/>
        <rFont val="Calibri"/>
        <family val="2"/>
        <scheme val="minor"/>
      </rPr>
      <t xml:space="preserve">
Challenge</t>
    </r>
  </si>
  <si>
    <t>Taxi
Fly
Ride
Taxi</t>
  </si>
  <si>
    <r>
      <t>Bike</t>
    </r>
    <r>
      <rPr>
        <b/>
        <sz val="12"/>
        <color theme="1"/>
        <rFont val="Calibri"/>
        <family val="2"/>
        <scheme val="minor"/>
      </rPr>
      <t xml:space="preserve">
Challenge</t>
    </r>
  </si>
  <si>
    <t>*Teams would fly in between legs</t>
  </si>
  <si>
    <r>
      <t xml:space="preserve">Taxi
Fly
Drive
Boat
</t>
    </r>
    <r>
      <rPr>
        <b/>
        <sz val="12"/>
        <color theme="1"/>
        <rFont val="Calibri"/>
        <family val="2"/>
        <scheme val="minor"/>
      </rPr>
      <t>Challenge</t>
    </r>
  </si>
  <si>
    <t>Taxi
Fly
Train
Run
Drive</t>
  </si>
  <si>
    <r>
      <t>Boat
Run</t>
    </r>
    <r>
      <rPr>
        <b/>
        <sz val="12"/>
        <color theme="1"/>
        <rFont val="Calibri"/>
        <family val="2"/>
        <scheme val="minor"/>
      </rPr>
      <t xml:space="preserve">
Challenge</t>
    </r>
  </si>
  <si>
    <t>Taxi
Fly
Drive
Run</t>
  </si>
  <si>
    <t>Season by Season</t>
  </si>
  <si>
    <t xml:space="preserve"># of: </t>
  </si>
  <si>
    <t>Flights</t>
  </si>
  <si>
    <t>Taxis</t>
  </si>
  <si>
    <t>Boats</t>
  </si>
  <si>
    <t>Trains</t>
  </si>
  <si>
    <t>Random Rides</t>
  </si>
  <si>
    <t>Only Challenges</t>
  </si>
  <si>
    <t>Running</t>
  </si>
  <si>
    <t>Buses</t>
  </si>
  <si>
    <r>
      <t xml:space="preserve">Run
</t>
    </r>
    <r>
      <rPr>
        <b/>
        <sz val="12"/>
        <color theme="1"/>
        <rFont val="Calibri"/>
        <family val="2"/>
        <scheme val="minor"/>
      </rPr>
      <t>Challenge</t>
    </r>
    <r>
      <rPr>
        <sz val="12"/>
        <color theme="1"/>
        <rFont val="Calibri"/>
        <family val="2"/>
        <scheme val="minor"/>
      </rPr>
      <t xml:space="preserve">
Boat
Taxi</t>
    </r>
  </si>
  <si>
    <t>Bikes</t>
  </si>
  <si>
    <r>
      <t>Explanation of Tables:</t>
    </r>
    <r>
      <rPr>
        <b/>
        <sz val="12"/>
        <color theme="1"/>
        <rFont val="Calibri"/>
        <family val="2"/>
        <scheme val="minor"/>
      </rPr>
      <t xml:space="preserve">
"Challenges"</t>
    </r>
    <r>
      <rPr>
        <sz val="12"/>
        <color theme="1"/>
        <rFont val="Calibri"/>
        <family val="2"/>
        <scheme val="minor"/>
      </rPr>
      <t xml:space="preserve"> involve any part of the </t>
    </r>
    <r>
      <rPr>
        <sz val="12"/>
        <color rgb="FF0070C0"/>
        <rFont val="Calibri (Body)"/>
      </rPr>
      <t>Route Info</t>
    </r>
    <r>
      <rPr>
        <sz val="12"/>
        <color theme="1"/>
        <rFont val="Calibri"/>
        <family val="2"/>
        <scheme val="minor"/>
      </rPr>
      <t xml:space="preserve"> that is not actively traveling somewhere or picking up the clue from a club box. Some </t>
    </r>
    <r>
      <rPr>
        <sz val="12"/>
        <color rgb="FF0070C0"/>
        <rFont val="Calibri (Body)"/>
      </rPr>
      <t>Route Info</t>
    </r>
    <r>
      <rPr>
        <sz val="12"/>
        <color theme="1"/>
        <rFont val="Calibri"/>
        <family val="2"/>
        <scheme val="minor"/>
      </rPr>
      <t xml:space="preserve"> clues are only comprised of</t>
    </r>
    <r>
      <rPr>
        <b/>
        <sz val="12"/>
        <color theme="1"/>
        <rFont val="Calibri"/>
        <family val="2"/>
        <scheme val="minor"/>
      </rPr>
      <t xml:space="preserve"> Challenge</t>
    </r>
    <r>
      <rPr>
        <sz val="12"/>
        <color theme="1"/>
        <rFont val="Calibri"/>
        <family val="2"/>
        <scheme val="minor"/>
      </rPr>
      <t>s, which I included as the second column below.
"Flights", "Buses", "Taxis", "Boats", "Driving", "Bikes" are all exactly how they appear.
"Running" includes specific verbage in the clue for teams to travel through physical strength, such as hiking or swimming. All route infos include some form of running, this indicator is for that specific verbage.
"Animals" include riding on top of an animal to reach a destination away from the start point. Leading an animal is a</t>
    </r>
    <r>
      <rPr>
        <b/>
        <sz val="12"/>
        <color theme="1"/>
        <rFont val="Calibri"/>
        <family val="2"/>
        <scheme val="minor"/>
      </rPr>
      <t xml:space="preserve"> challenge.</t>
    </r>
    <r>
      <rPr>
        <sz val="12"/>
        <color theme="1"/>
        <rFont val="Calibri"/>
        <family val="2"/>
        <scheme val="minor"/>
      </rPr>
      <t xml:space="preserve">
"Random Rides" are any form of transport not mentioned above, such as ziplines and gondolas.</t>
    </r>
  </si>
  <si>
    <t>Train
Boat</t>
  </si>
  <si>
    <r>
      <t>Taxi
Fly
Drive</t>
    </r>
    <r>
      <rPr>
        <b/>
        <sz val="12"/>
        <color rgb="FF000000"/>
        <rFont val="Calibri"/>
        <family val="2"/>
        <scheme val="minor"/>
      </rPr>
      <t xml:space="preserve">
Challenge</t>
    </r>
  </si>
  <si>
    <t>Bad on challenge</t>
  </si>
  <si>
    <t>Travel Issues
Didn't read clue</t>
  </si>
  <si>
    <t>U-Turned</t>
  </si>
  <si>
    <t>U-Turned
Forgot bag</t>
  </si>
  <si>
    <t>Bad on challenge
Yielded</t>
  </si>
  <si>
    <t>Yielded</t>
  </si>
  <si>
    <t>Travel Issues
Missed clue</t>
  </si>
  <si>
    <t>Travel Issues
Bad on challenge</t>
  </si>
  <si>
    <t>U-Turned
Didn't read clue</t>
  </si>
  <si>
    <t>Didn't read clue</t>
  </si>
  <si>
    <t>Travel Isues</t>
  </si>
  <si>
    <t>Grabbed wrong bag
Outran</t>
  </si>
  <si>
    <t>Bad on challenge
Outran</t>
  </si>
  <si>
    <t>Bad on challenge
Travel issues</t>
  </si>
  <si>
    <t>Bad on challenge
Travel Issues</t>
  </si>
  <si>
    <t>Bad on challenge
U-Turned</t>
  </si>
  <si>
    <t>Didn't do as good</t>
  </si>
  <si>
    <t>U-Turned
Had speed bump</t>
  </si>
  <si>
    <t>Travel Issues
Had speed bump</t>
  </si>
  <si>
    <t>Bad on challenge
Injured</t>
  </si>
  <si>
    <t>Stuck at fast forward</t>
  </si>
  <si>
    <t>Bad on challenge
Injury</t>
  </si>
  <si>
    <t>Injury</t>
  </si>
  <si>
    <t>Forgot bag
Bad on challenge</t>
  </si>
  <si>
    <t>Travel Issues
Outran</t>
  </si>
  <si>
    <t>U-Turned
Travel Issues</t>
  </si>
  <si>
    <t>Didn't do as good
Outran</t>
  </si>
  <si>
    <t>Lost passport</t>
  </si>
  <si>
    <t>Outran</t>
  </si>
  <si>
    <t>Bad on challenge
Didn't use express pass</t>
  </si>
  <si>
    <t>U-Turned
Outran</t>
  </si>
  <si>
    <t>Travel Issues
U-Turned</t>
  </si>
  <si>
    <t>Couldn't find mat</t>
  </si>
  <si>
    <t>Travel issues</t>
  </si>
  <si>
    <t>Forgot and misssed clue</t>
  </si>
  <si>
    <t>Money Issues</t>
  </si>
  <si>
    <t>Lost clue</t>
  </si>
  <si>
    <t>Travel Issues
Forgot bag</t>
  </si>
  <si>
    <t>U-Turned
Bad on challenge</t>
  </si>
  <si>
    <t>Didn’t do as good</t>
  </si>
  <si>
    <t>Forgot bag
Money Issues</t>
  </si>
  <si>
    <t>U-Turned
Had to pee</t>
  </si>
  <si>
    <t>Didn’t read clue</t>
  </si>
  <si>
    <t>Didn't read clue
Bad on challenge</t>
  </si>
  <si>
    <t>Bad on challenge
Money Issues</t>
  </si>
  <si>
    <t>Had speed bump
Bad on challenge</t>
  </si>
  <si>
    <t>Penalty</t>
  </si>
  <si>
    <t>Travel Issues
Didn't do as good</t>
  </si>
  <si>
    <t>Injured</t>
  </si>
  <si>
    <t>Missed clue</t>
  </si>
  <si>
    <t>Missed clue
Bad on challenge</t>
  </si>
  <si>
    <t>Production Issue</t>
  </si>
  <si>
    <t>Money Issue</t>
  </si>
  <si>
    <t>Allianced</t>
  </si>
  <si>
    <t>Clue Issue</t>
  </si>
  <si>
    <t>Passport Issue</t>
  </si>
  <si>
    <t>Bag Issue</t>
  </si>
  <si>
    <t>Amount:</t>
  </si>
  <si>
    <t>Average # per Season:</t>
  </si>
  <si>
    <t>Explanation: 
"Travel Issues" can mean issues with any form of travel and getting lost in general. 
"Didn't do as good" is a catch-all for teams who didn't do anything explicitely wrong
"Clue", "Bag", and "Passport" Issues all could mean forgetting, missing, or misreading</t>
  </si>
  <si>
    <t xml:space="preserve">Country/ies </t>
  </si>
  <si>
    <t xml:space="preserve">Area of World </t>
  </si>
  <si>
    <t xml:space="preserve">Country/ies  </t>
  </si>
  <si>
    <t xml:space="preserve">Area of World  </t>
  </si>
  <si>
    <t xml:space="preserve">Country/ies   </t>
  </si>
  <si>
    <t xml:space="preserve">Area of World   </t>
  </si>
  <si>
    <t xml:space="preserve">Country/ies    </t>
  </si>
  <si>
    <t xml:space="preserve">Area of World    </t>
  </si>
  <si>
    <t xml:space="preserve">Country/ies     </t>
  </si>
  <si>
    <t xml:space="preserve">Area of World     </t>
  </si>
  <si>
    <t xml:space="preserve">Country/ies      </t>
  </si>
  <si>
    <t xml:space="preserve">Area of World         </t>
  </si>
  <si>
    <t xml:space="preserve">Country/ies         </t>
  </si>
  <si>
    <t xml:space="preserve">Area of World        </t>
  </si>
  <si>
    <t xml:space="preserve">Country/ies             </t>
  </si>
  <si>
    <t xml:space="preserve">Area of World       </t>
  </si>
  <si>
    <t xml:space="preserve"> Country/ies </t>
  </si>
  <si>
    <t xml:space="preserve">   Area of World     </t>
  </si>
  <si>
    <t xml:space="preserve">     Country/ies     </t>
  </si>
  <si>
    <t xml:space="preserve">     Area of World      </t>
  </si>
  <si>
    <t xml:space="preserve">     Country/ies      </t>
  </si>
  <si>
    <t xml:space="preserve">       Area of World       </t>
  </si>
  <si>
    <t xml:space="preserve">     Country/ies     2</t>
  </si>
  <si>
    <t xml:space="preserve">      Area of World          </t>
  </si>
  <si>
    <t xml:space="preserve">     Country/ies     3</t>
  </si>
  <si>
    <t xml:space="preserve">      Area of World      </t>
  </si>
  <si>
    <t xml:space="preserve">      Country/ies       </t>
  </si>
  <si>
    <t xml:space="preserve">      Area of World       </t>
  </si>
  <si>
    <t xml:space="preserve">     Country/ies         </t>
  </si>
  <si>
    <t xml:space="preserve">      Area of World         </t>
  </si>
  <si>
    <t xml:space="preserve">Total # </t>
  </si>
  <si>
    <t xml:space="preserve">% of Total </t>
  </si>
  <si>
    <t xml:space="preserve">% per Leg </t>
  </si>
  <si>
    <t>Standard 
Deviation</t>
  </si>
  <si>
    <t>Standard
Deviation</t>
  </si>
  <si>
    <t xml:space="preserve">Avg # </t>
  </si>
  <si>
    <t xml:space="preserve"> Avg # </t>
  </si>
  <si>
    <t xml:space="preserve">Total #  </t>
  </si>
  <si>
    <t xml:space="preserve">Total #   </t>
  </si>
  <si>
    <t>Total #   2</t>
  </si>
  <si>
    <t xml:space="preserve">Avg #   </t>
  </si>
  <si>
    <t xml:space="preserve">   Total #   </t>
  </si>
  <si>
    <t xml:space="preserve">    Avg #    </t>
  </si>
  <si>
    <t xml:space="preserve">% </t>
  </si>
  <si>
    <t xml:space="preserve">% of Chal </t>
  </si>
  <si>
    <t xml:space="preserve">% of Chal  </t>
  </si>
  <si>
    <t xml:space="preserve">%  </t>
  </si>
  <si>
    <t xml:space="preserve">%   </t>
  </si>
  <si>
    <t xml:space="preserve"> % of Chal  </t>
  </si>
  <si>
    <t xml:space="preserve">% of Chal   </t>
  </si>
  <si>
    <t xml:space="preserve">Total #    </t>
  </si>
  <si>
    <t xml:space="preserve">%    </t>
  </si>
  <si>
    <t xml:space="preserve">  %    </t>
  </si>
  <si>
    <t xml:space="preserve">   % of Chal   </t>
  </si>
  <si>
    <t>Total #    2</t>
  </si>
  <si>
    <t xml:space="preserve">  Total #    </t>
  </si>
  <si>
    <t xml:space="preserve">Age </t>
  </si>
  <si>
    <t xml:space="preserve">Gender </t>
  </si>
  <si>
    <t xml:space="preserve"># </t>
  </si>
  <si>
    <t xml:space="preserve">#    </t>
  </si>
  <si>
    <t>Yes x2</t>
  </si>
  <si>
    <t>Fork-in-Road</t>
  </si>
  <si>
    <t>Hong Kong, China</t>
  </si>
  <si>
    <t>Chaung Chau Island, China</t>
  </si>
  <si>
    <t>Macau, China</t>
  </si>
  <si>
    <t>Kyoto, Japan</t>
  </si>
  <si>
    <t>Driver's Seat</t>
  </si>
  <si>
    <t>Bali, Indonesia</t>
  </si>
  <si>
    <t>South East Asia</t>
  </si>
  <si>
    <t>South East Asia
South East Asia</t>
  </si>
  <si>
    <t xml:space="preserve">Avg #    </t>
  </si>
  <si>
    <t>Bulgaria</t>
  </si>
  <si>
    <t>Drive
Fly
Taxi
Run</t>
  </si>
  <si>
    <t>Taxi
Tran
Taxi</t>
  </si>
  <si>
    <t>Outran
Bad on challenge</t>
  </si>
  <si>
    <t>Travel Issues
Driver's Seated</t>
  </si>
  <si>
    <t>Bad on challenge
Lost foot race</t>
  </si>
  <si>
    <t># of Challenges</t>
  </si>
  <si>
    <t>Sofia, Bulgaria</t>
  </si>
  <si>
    <t>Naples, Italy</t>
  </si>
  <si>
    <t>Strasbourg, France</t>
  </si>
  <si>
    <r>
      <t xml:space="preserve">*NOTE: Bolded Legs </t>
    </r>
    <r>
      <rPr>
        <sz val="12"/>
        <color theme="1"/>
        <rFont val="Calibri"/>
        <family val="2"/>
        <scheme val="minor"/>
      </rPr>
      <t xml:space="preserve">indicate "mega-legs", which feature twice the amount of </t>
    </r>
    <r>
      <rPr>
        <sz val="12"/>
        <color rgb="FFFF0000"/>
        <rFont val="Calibri (Body)"/>
      </rPr>
      <t xml:space="preserve">Road Blocks </t>
    </r>
    <r>
      <rPr>
        <sz val="12"/>
        <rFont val="Calibri (Body)"/>
      </rPr>
      <t xml:space="preserve">and </t>
    </r>
    <r>
      <rPr>
        <sz val="12"/>
        <color rgb="FFFFC000"/>
        <rFont val="Calibri (Body)"/>
      </rPr>
      <t>Detours</t>
    </r>
  </si>
  <si>
    <t>Challenges-per-Leg:</t>
  </si>
  <si>
    <t>Legs with # of Challenges:</t>
  </si>
  <si>
    <t>% of Challenges per Leg</t>
  </si>
  <si>
    <t>1</t>
  </si>
  <si>
    <t>2</t>
  </si>
  <si>
    <t>3</t>
  </si>
  <si>
    <t>4</t>
  </si>
  <si>
    <t>5</t>
  </si>
  <si>
    <t>6</t>
  </si>
  <si>
    <t>7</t>
  </si>
  <si>
    <t>8</t>
  </si>
  <si>
    <t>9</t>
  </si>
  <si>
    <t>10</t>
  </si>
  <si>
    <t>11</t>
  </si>
  <si>
    <t>12</t>
  </si>
  <si>
    <t>13</t>
  </si>
  <si>
    <t>Megalegs/Superlegs</t>
  </si>
  <si>
    <t>Legs with a/multiple Detour(s) and no Road Block</t>
  </si>
  <si>
    <t>Legs with a/multiple Road Block(s) and no Detour</t>
  </si>
  <si>
    <r>
      <t xml:space="preserve">The </t>
    </r>
    <r>
      <rPr>
        <sz val="12"/>
        <color rgb="FF3CFF00"/>
        <rFont val="Calibri (Body)"/>
      </rPr>
      <t>Fast Forward</t>
    </r>
    <r>
      <rPr>
        <sz val="12"/>
        <color theme="1"/>
        <rFont val="Calibri"/>
        <family val="2"/>
        <scheme val="minor"/>
      </rPr>
      <t xml:space="preserve"> clue is a task that, once completed, allows teams to skip all remaining tasks and go straight to the Pit Stop. 
In Seasons 1-4, there were </t>
    </r>
    <r>
      <rPr>
        <sz val="12"/>
        <color rgb="FF3CFF00"/>
        <rFont val="Calibri (Body)"/>
      </rPr>
      <t>Fast Forwards</t>
    </r>
    <r>
      <rPr>
        <sz val="12"/>
        <color theme="1"/>
        <rFont val="Calibri"/>
        <family val="2"/>
        <scheme val="minor"/>
      </rPr>
      <t xml:space="preserve"> in almost every leg, with each team allowed to only complete 1 for the duration of the 
race. After a 7 leg hiatus, the Fast Forward is back during Season 37!</t>
    </r>
  </si>
  <si>
    <t>Porto, Portugal</t>
  </si>
  <si>
    <t>Reasons</t>
  </si>
  <si>
    <t>Winners = Carson and Jack</t>
  </si>
  <si>
    <t>Filmed: 5/18/24 - 6/14/24</t>
  </si>
  <si>
    <t>Carson</t>
  </si>
  <si>
    <t>Jack</t>
  </si>
  <si>
    <t>Streamers</t>
  </si>
  <si>
    <t>There have been 37 winning teams of TAR, here is their information:</t>
  </si>
  <si>
    <t>Carson and Jack</t>
  </si>
  <si>
    <t>Anything but a Taxi</t>
  </si>
  <si>
    <t>Taxi
Fly
Taxi
Ride</t>
  </si>
  <si>
    <r>
      <t>Ride
Run</t>
    </r>
    <r>
      <rPr>
        <b/>
        <sz val="12"/>
        <color theme="1"/>
        <rFont val="Calibri"/>
        <family val="2"/>
        <scheme val="minor"/>
      </rPr>
      <t xml:space="preserve">
Challenge</t>
    </r>
  </si>
  <si>
    <t>Drive
Train
Run</t>
  </si>
  <si>
    <t>Taxi
Fly
Taxi
Boat</t>
  </si>
  <si>
    <t>Got lost</t>
  </si>
  <si>
    <t>Got lost
Bad on challenge</t>
  </si>
  <si>
    <r>
      <rPr>
        <b/>
        <sz val="12"/>
        <color theme="1"/>
        <rFont val="Calibri"/>
        <family val="2"/>
        <scheme val="minor"/>
      </rPr>
      <t>*NOTE:</t>
    </r>
    <r>
      <rPr>
        <sz val="12"/>
        <color theme="1"/>
        <rFont val="Calibri"/>
        <family val="2"/>
        <scheme val="minor"/>
      </rPr>
      <t xml:space="preserve"> There have never been Speed Bumps, Fast Forwards, or any other types of challenges on the Final Leg. Seasons 35 and 37 featured a </t>
    </r>
    <r>
      <rPr>
        <i/>
        <sz val="12"/>
        <color theme="1"/>
        <rFont val="Calibri"/>
        <family val="2"/>
        <scheme val="minor"/>
      </rPr>
      <t xml:space="preserve">Scramble </t>
    </r>
    <r>
      <rPr>
        <sz val="12"/>
        <color theme="1"/>
        <rFont val="Calibri"/>
        <family val="2"/>
        <scheme val="minor"/>
      </rPr>
      <t xml:space="preserve">of </t>
    </r>
    <r>
      <rPr>
        <sz val="12"/>
        <color rgb="FF0070C0"/>
        <rFont val="Calibri (Body)"/>
      </rPr>
      <t>Route Info</t>
    </r>
    <r>
      <rPr>
        <sz val="12"/>
        <rFont val="Calibri (Body)"/>
      </rPr>
      <t xml:space="preserve"> and </t>
    </r>
    <r>
      <rPr>
        <sz val="12"/>
        <color rgb="FFFF0000"/>
        <rFont val="Calibri (Body)"/>
      </rPr>
      <t>Road Block</t>
    </r>
    <r>
      <rPr>
        <sz val="12"/>
        <color theme="1"/>
        <rFont val="Calibri"/>
        <family val="2"/>
        <scheme val="minor"/>
      </rPr>
      <t xml:space="preserve"> challenges.</t>
    </r>
  </si>
  <si>
    <r>
      <t xml:space="preserve">Season 37 is now the </t>
    </r>
    <r>
      <rPr>
        <i/>
        <sz val="12"/>
        <color theme="1"/>
        <rFont val="Calibri"/>
        <family val="2"/>
        <scheme val="minor"/>
      </rPr>
      <t xml:space="preserve">true </t>
    </r>
    <r>
      <rPr>
        <sz val="12"/>
        <color theme="1"/>
        <rFont val="Calibri"/>
        <family val="2"/>
        <scheme val="minor"/>
      </rPr>
      <t>newest season of the Amazing Race, and we are finally back to true TAR. I don't even consider this to be a "COVID" Season. I think that this Season is indicative of the Amazing Race making itself bigger and better, espeically with twists on every leg - not that I think that will be true for every forthcoming Season.</t>
    </r>
  </si>
  <si>
    <t>Cast:</t>
  </si>
  <si>
    <t>Route:</t>
  </si>
  <si>
    <t>- This was the first Season with a historic high of 14 teams.</t>
  </si>
  <si>
    <t>- This was the second season in a row with a new country traveled to - Bulgaria.</t>
  </si>
  <si>
    <r>
      <t xml:space="preserve">- There were twists on every leg of the race for the first time. There was a </t>
    </r>
    <r>
      <rPr>
        <i/>
        <sz val="12"/>
        <color theme="1"/>
        <rFont val="Calibri"/>
        <family val="2"/>
        <scheme val="minor"/>
      </rPr>
      <t xml:space="preserve">Scramble </t>
    </r>
    <r>
      <rPr>
        <sz val="12"/>
        <color theme="1"/>
        <rFont val="Calibri"/>
        <family val="2"/>
        <scheme val="minor"/>
      </rPr>
      <t>for the third time on the final leg.</t>
    </r>
  </si>
  <si>
    <t>- This Season had 90 challenges, which is the most since Season 8 and tied for the 5th-most all time with Season 3.</t>
  </si>
  <si>
    <t>% Change Overall</t>
  </si>
  <si>
    <t>% Change from Season 35</t>
  </si>
  <si>
    <r>
      <rPr>
        <sz val="12"/>
        <color rgb="FFFFC000"/>
        <rFont val="Calibri (Body)"/>
      </rPr>
      <t>Winners:</t>
    </r>
    <r>
      <rPr>
        <sz val="12"/>
        <color theme="1"/>
        <rFont val="Calibri"/>
        <family val="2"/>
        <scheme val="minor"/>
      </rPr>
      <t xml:space="preserve"> Carson and Jack!</t>
    </r>
  </si>
  <si>
    <t>- Both Male</t>
  </si>
  <si>
    <t>- Both under 30</t>
  </si>
  <si>
    <t>- From NYC</t>
  </si>
  <si>
    <t>- Best Friends</t>
  </si>
  <si>
    <t>35% Chance</t>
  </si>
  <si>
    <t>22% Chance</t>
  </si>
  <si>
    <t>19% Chance</t>
  </si>
  <si>
    <t>45% Chance</t>
  </si>
  <si>
    <t>Demographics:</t>
  </si>
  <si>
    <t>- Tied7 for winning position: 2.42</t>
  </si>
  <si>
    <t>- This was the first Season since Season 33 with a true non-elimination leg, and the first since Season 4 with a non-elim leg and no penalty. It was also the latest ever on Leg 9.</t>
  </si>
  <si>
    <r>
      <rPr>
        <b/>
        <sz val="14"/>
        <color rgb="FFC00000"/>
        <rFont val="Calibri (Body)"/>
      </rPr>
      <t xml:space="preserve">Keyword </t>
    </r>
    <r>
      <rPr>
        <b/>
        <sz val="14"/>
        <color theme="1"/>
        <rFont val="Calibri"/>
        <family val="2"/>
        <scheme val="minor"/>
      </rPr>
      <t>Bar Graphs:</t>
    </r>
  </si>
  <si>
    <r>
      <rPr>
        <b/>
        <sz val="14"/>
        <color rgb="FFC00000"/>
        <rFont val="Calibri (Body)"/>
      </rPr>
      <t>Keywords</t>
    </r>
    <r>
      <rPr>
        <b/>
        <sz val="14"/>
        <color rgb="FFFF0000"/>
        <rFont val="Calibri (Body)"/>
      </rPr>
      <t xml:space="preserve"> </t>
    </r>
    <r>
      <rPr>
        <b/>
        <sz val="14"/>
        <color theme="1"/>
        <rFont val="Calibri"/>
        <family val="2"/>
        <scheme val="minor"/>
      </rPr>
      <t>per Season:</t>
    </r>
  </si>
  <si>
    <r>
      <rPr>
        <b/>
        <sz val="14"/>
        <color rgb="FFC00000"/>
        <rFont val="Calibri (Body)"/>
      </rPr>
      <t>Keywords</t>
    </r>
    <r>
      <rPr>
        <b/>
        <sz val="14"/>
        <color rgb="FFFF0000"/>
        <rFont val="Calibri (Body)"/>
      </rPr>
      <t xml:space="preserve"> </t>
    </r>
    <r>
      <rPr>
        <b/>
        <sz val="14"/>
        <color theme="1"/>
        <rFont val="Calibri"/>
        <family val="2"/>
        <scheme val="minor"/>
      </rPr>
      <t>Logged per Leg:</t>
    </r>
  </si>
  <si>
    <t>Most Winningest Teams</t>
  </si>
  <si>
    <t># of 1sts</t>
  </si>
  <si>
    <r>
      <t xml:space="preserve">There are several Twists that make TAR interesting:
- </t>
    </r>
    <r>
      <rPr>
        <sz val="12"/>
        <color rgb="FFFF0000"/>
        <rFont val="Calibri (Body)"/>
      </rPr>
      <t>Express Pass</t>
    </r>
    <r>
      <rPr>
        <sz val="12"/>
        <rFont val="Calibri (Body)"/>
      </rPr>
      <t>: a pass that allows a team to skip any task.</t>
    </r>
    <r>
      <rPr>
        <sz val="12"/>
        <color theme="1"/>
        <rFont val="Calibri"/>
        <family val="2"/>
        <scheme val="minor"/>
      </rPr>
      <t xml:space="preserve">
- </t>
    </r>
    <r>
      <rPr>
        <sz val="12"/>
        <color theme="0" tint="-0.499984740745262"/>
        <rFont val="Calibri (Body)"/>
      </rPr>
      <t>Yield</t>
    </r>
    <r>
      <rPr>
        <sz val="12"/>
        <color theme="1"/>
        <rFont val="Calibri"/>
        <family val="2"/>
        <scheme val="minor"/>
      </rPr>
      <t xml:space="preserve">: allows for one team to make another team wait at a clue box for 30 minutes, one use per team.
- </t>
    </r>
    <r>
      <rPr>
        <b/>
        <sz val="12"/>
        <color theme="1"/>
        <rFont val="Calibri"/>
        <family val="2"/>
        <scheme val="minor"/>
      </rPr>
      <t>U-Turn</t>
    </r>
    <r>
      <rPr>
        <sz val="12"/>
        <color theme="1"/>
        <rFont val="Calibri"/>
        <family val="2"/>
        <scheme val="minor"/>
      </rPr>
      <t>: allows for one team to make another team do both sides of a detour, most of the time this choice is made public, but sometimes it is a blind</t>
    </r>
    <r>
      <rPr>
        <b/>
        <sz val="12"/>
        <color theme="1"/>
        <rFont val="Calibri"/>
        <family val="2"/>
        <scheme val="minor"/>
      </rPr>
      <t xml:space="preserve"> U-Turn</t>
    </r>
    <r>
      <rPr>
        <sz val="12"/>
        <color theme="1"/>
        <rFont val="Calibri"/>
        <family val="2"/>
        <scheme val="minor"/>
      </rPr>
      <t xml:space="preserve"> board, one use per team.
- </t>
    </r>
    <r>
      <rPr>
        <b/>
        <sz val="12"/>
        <color theme="1"/>
        <rFont val="Calibri"/>
        <family val="2"/>
        <scheme val="minor"/>
      </rPr>
      <t xml:space="preserve">Double U-Turn: </t>
    </r>
    <r>
      <rPr>
        <sz val="12"/>
        <color theme="1"/>
        <rFont val="Calibri"/>
        <family val="2"/>
        <scheme val="minor"/>
      </rPr>
      <t xml:space="preserve">same thing as </t>
    </r>
    <r>
      <rPr>
        <b/>
        <sz val="12"/>
        <color theme="1"/>
        <rFont val="Calibri"/>
        <family val="2"/>
        <scheme val="minor"/>
      </rPr>
      <t>U-Turn</t>
    </r>
    <r>
      <rPr>
        <sz val="12"/>
        <color theme="1"/>
        <rFont val="Calibri"/>
        <family val="2"/>
        <scheme val="minor"/>
      </rPr>
      <t>, but allows for two selections, labeled as "2 U-Turn" in Logs.
-</t>
    </r>
    <r>
      <rPr>
        <sz val="12"/>
        <color rgb="FFFFC000"/>
        <rFont val="Calibri (Body)"/>
      </rPr>
      <t xml:space="preserve"> Save</t>
    </r>
    <r>
      <rPr>
        <sz val="12"/>
        <color theme="1"/>
        <rFont val="Calibri"/>
        <family val="2"/>
        <scheme val="minor"/>
      </rPr>
      <t xml:space="preserve">: a pass that allows a team to save themselves from elimination.
- </t>
    </r>
    <r>
      <rPr>
        <sz val="12"/>
        <color rgb="FFC00000"/>
        <rFont val="Calibri (Body)"/>
      </rPr>
      <t>Head-to-Head</t>
    </r>
    <r>
      <rPr>
        <sz val="12"/>
        <rFont val="Calibri (Body)"/>
      </rPr>
      <t xml:space="preserve">: a challenge before the Pit Stop that requires teams to face off against one another, with the winning team being able to check-in with Phil, if a team does not win at all on the </t>
    </r>
    <r>
      <rPr>
        <sz val="12"/>
        <color rgb="FFC00000"/>
        <rFont val="Calibri (Body)"/>
      </rPr>
      <t>Head-to-Head</t>
    </r>
    <r>
      <rPr>
        <sz val="12"/>
        <rFont val="Calibri (Body)"/>
      </rPr>
      <t xml:space="preserve"> challenge, they are eliminated, often it functions like a </t>
    </r>
    <r>
      <rPr>
        <sz val="12"/>
        <color rgb="FFFF0000"/>
        <rFont val="Calibri (Body)"/>
      </rPr>
      <t>Road Block</t>
    </r>
    <r>
      <rPr>
        <sz val="12"/>
        <rFont val="Calibri (Body)"/>
      </rPr>
      <t xml:space="preserve"> where one team member competes at a time.</t>
    </r>
    <r>
      <rPr>
        <sz val="12"/>
        <color theme="1"/>
        <rFont val="Calibri"/>
        <family val="2"/>
        <scheme val="minor"/>
      </rPr>
      <t xml:space="preserve">
- </t>
    </r>
    <r>
      <rPr>
        <sz val="12"/>
        <color theme="7"/>
        <rFont val="Calibri (Body)"/>
      </rPr>
      <t>Intersection</t>
    </r>
    <r>
      <rPr>
        <sz val="12"/>
        <color theme="1"/>
        <rFont val="Calibri"/>
        <family val="2"/>
        <scheme val="minor"/>
      </rPr>
      <t xml:space="preserve">: requires teams to choose a team to pair up with to compete together in challenges on a leg, normally for its entirety.
- </t>
    </r>
    <r>
      <rPr>
        <i/>
        <sz val="12"/>
        <color theme="1"/>
        <rFont val="Calibri"/>
        <family val="2"/>
        <scheme val="minor"/>
      </rPr>
      <t>Scramble</t>
    </r>
    <r>
      <rPr>
        <sz val="12"/>
        <color theme="1"/>
        <rFont val="Calibri"/>
        <family val="2"/>
        <scheme val="minor"/>
      </rPr>
      <t xml:space="preserve">: a series of three challenges where teams can pick any order to complete them in.
- Partner Swap: teams swap partners with another team till further notice.
- </t>
    </r>
    <r>
      <rPr>
        <sz val="12"/>
        <color rgb="FFD4A2FF"/>
        <rFont val="Calibri (Body)"/>
      </rPr>
      <t>Driver's Seat:</t>
    </r>
    <r>
      <rPr>
        <sz val="12"/>
        <color theme="1"/>
        <rFont val="Calibri"/>
        <family val="2"/>
        <scheme val="minor"/>
      </rPr>
      <t xml:space="preserve"> The first team to arrive at the challenge determines how hard the challenge is for all other teams.</t>
    </r>
  </si>
  <si>
    <t>- Adding in common triggers for each episode</t>
  </si>
  <si>
    <r>
      <rPr>
        <b/>
        <sz val="12"/>
        <color theme="1"/>
        <rFont val="Calibri"/>
        <family val="2"/>
        <scheme val="minor"/>
      </rPr>
      <t>*NOTE:</t>
    </r>
    <r>
      <rPr>
        <i/>
        <sz val="12"/>
        <color theme="1"/>
        <rFont val="Calibri"/>
        <family val="2"/>
        <scheme val="minor"/>
      </rPr>
      <t xml:space="preserve"> Italicized Teams </t>
    </r>
    <r>
      <rPr>
        <sz val="12"/>
        <color theme="1"/>
        <rFont val="Calibri"/>
        <family val="2"/>
        <scheme val="minor"/>
      </rPr>
      <t>indicate All-Star season</t>
    </r>
  </si>
  <si>
    <r>
      <t xml:space="preserve">Basically a </t>
    </r>
    <r>
      <rPr>
        <sz val="12"/>
        <color rgb="FFFFC000"/>
        <rFont val="Calibri (Body)"/>
      </rPr>
      <t>Detour</t>
    </r>
    <r>
      <rPr>
        <sz val="12"/>
        <color theme="1"/>
        <rFont val="Calibri"/>
        <family val="2"/>
        <scheme val="minor"/>
      </rPr>
      <t xml:space="preserve">. Introduced in Season 37, it forces all teams to pick a challenge path to follow, leading to different mats at the Pit Stop. </t>
    </r>
  </si>
  <si>
    <t>The actual most-recently filmed season of the race, this sheet also examines how it is different from past seasons.</t>
  </si>
  <si>
    <r>
      <t xml:space="preserve">This sheet details the overall amount of challenges per season, including:
- </t>
    </r>
    <r>
      <rPr>
        <sz val="12"/>
        <color rgb="FF0070C0"/>
        <rFont val="Calibri (Body)"/>
      </rPr>
      <t>Route Infos</t>
    </r>
    <r>
      <rPr>
        <sz val="12"/>
        <color theme="1"/>
        <rFont val="Calibri"/>
        <family val="2"/>
        <scheme val="minor"/>
      </rPr>
      <t xml:space="preserve">
- </t>
    </r>
    <r>
      <rPr>
        <sz val="12"/>
        <color rgb="FFFF0000"/>
        <rFont val="Calibri (Body)"/>
      </rPr>
      <t xml:space="preserve">Road Blocks
- </t>
    </r>
    <r>
      <rPr>
        <sz val="12"/>
        <color rgb="FFFFC000"/>
        <rFont val="Calibri (Body)"/>
      </rPr>
      <t xml:space="preserve">Detours
</t>
    </r>
    <r>
      <rPr>
        <sz val="12"/>
        <rFont val="Calibri (Body)"/>
      </rPr>
      <t xml:space="preserve">- </t>
    </r>
    <r>
      <rPr>
        <sz val="12"/>
        <color rgb="FF3CFF00"/>
        <rFont val="Calibri (Body)"/>
      </rPr>
      <t>Fast Forwards</t>
    </r>
    <r>
      <rPr>
        <sz val="12"/>
        <rFont val="Calibri (Body)"/>
      </rPr>
      <t xml:space="preserve">
- </t>
    </r>
    <r>
      <rPr>
        <sz val="12"/>
        <color rgb="FF92D050"/>
        <rFont val="Calibri (Body)"/>
      </rPr>
      <t>Speed Bumps</t>
    </r>
    <r>
      <rPr>
        <sz val="12"/>
        <rFont val="Calibri (Body)"/>
      </rPr>
      <t xml:space="preserve">
- Hazards
- </t>
    </r>
    <r>
      <rPr>
        <sz val="12"/>
        <color rgb="FF00B0F0"/>
        <rFont val="Calibri (Body)"/>
      </rPr>
      <t>City Sprints</t>
    </r>
    <r>
      <rPr>
        <sz val="12"/>
        <rFont val="Calibri (Body)"/>
      </rPr>
      <t xml:space="preserve">
- </t>
    </r>
    <r>
      <rPr>
        <sz val="12"/>
        <color rgb="FFFF0000"/>
        <rFont val="Calibri (Body)"/>
      </rPr>
      <t>Express Pass Challenges</t>
    </r>
    <r>
      <rPr>
        <sz val="12"/>
        <color theme="1"/>
        <rFont val="Calibri"/>
        <family val="2"/>
        <scheme val="minor"/>
      </rPr>
      <t xml:space="preserve">
- Fork in the Roads</t>
    </r>
  </si>
  <si>
    <t>Season 38</t>
  </si>
  <si>
    <t>Hoorne, Netherlands</t>
  </si>
  <si>
    <t>Season 38 Challenge Breakdown</t>
  </si>
  <si>
    <t>Kutna Hora, Czech Republic</t>
  </si>
  <si>
    <r>
      <rPr>
        <b/>
        <sz val="12"/>
        <rFont val="Calibri"/>
        <family val="2"/>
        <scheme val="minor"/>
      </rPr>
      <t xml:space="preserve">*NOTE: </t>
    </r>
    <r>
      <rPr>
        <sz val="12"/>
        <rFont val="Calibri"/>
        <family val="2"/>
        <scheme val="minor"/>
      </rPr>
      <t>Every race starts in the USA except for Seasons 34, 36, and 38</t>
    </r>
  </si>
  <si>
    <t xml:space="preserve">Czech Republic </t>
  </si>
  <si>
    <t>Dubrovnick, Croatia</t>
  </si>
  <si>
    <t>Avg per Leg</t>
  </si>
  <si>
    <t>Occurred:</t>
  </si>
  <si>
    <t>Leg 1 C2</t>
  </si>
  <si>
    <t>*Each is outlined below</t>
  </si>
  <si>
    <t>Dubronick, Croatia</t>
  </si>
  <si>
    <t>Trsteno, Croatia</t>
  </si>
  <si>
    <t>Ston, Croatia</t>
  </si>
  <si>
    <t>Leg 5 C4, Leg 9 C2</t>
  </si>
  <si>
    <t>- Start Times</t>
  </si>
  <si>
    <t>Bike
Drive</t>
  </si>
  <si>
    <t>Taxi
Train
Run</t>
  </si>
  <si>
    <r>
      <t>Challenge</t>
    </r>
    <r>
      <rPr>
        <sz val="12"/>
        <color theme="1"/>
        <rFont val="Calibri"/>
        <family val="2"/>
        <scheme val="minor"/>
      </rPr>
      <t xml:space="preserve">
Train</t>
    </r>
    <r>
      <rPr>
        <b/>
        <sz val="12"/>
        <color theme="1"/>
        <rFont val="Calibri"/>
        <family val="2"/>
        <scheme val="minor"/>
      </rPr>
      <t xml:space="preserve">
</t>
    </r>
    <r>
      <rPr>
        <sz val="12"/>
        <color theme="1"/>
        <rFont val="Calibri"/>
        <family val="2"/>
        <scheme val="minor"/>
      </rPr>
      <t>Run</t>
    </r>
  </si>
  <si>
    <t>Run
Train
Run</t>
  </si>
  <si>
    <r>
      <t>Challenge</t>
    </r>
    <r>
      <rPr>
        <sz val="12"/>
        <color theme="1"/>
        <rFont val="Calibri"/>
        <family val="2"/>
        <scheme val="minor"/>
      </rPr>
      <t xml:space="preserve">
Anything but a Taxi</t>
    </r>
  </si>
  <si>
    <t>Double Vote</t>
  </si>
  <si>
    <t>3 U-Turn</t>
  </si>
  <si>
    <t>A sheet dedicated to the finishing positions of all teams on every season. Please see the key for important notes.</t>
  </si>
  <si>
    <t>AFP</t>
  </si>
  <si>
    <t>Rob &amp; Brennan</t>
  </si>
  <si>
    <t>Frank &amp; Margarita</t>
  </si>
  <si>
    <t>Joe &amp; Bill</t>
  </si>
  <si>
    <t>Kevin &amp; Drew</t>
  </si>
  <si>
    <t>Nancy &amp; Emily</t>
  </si>
  <si>
    <t>Lenny &amp; Karyn</t>
  </si>
  <si>
    <t>Paul &amp; Amie</t>
  </si>
  <si>
    <t>Dave &amp; Margaretta</t>
  </si>
  <si>
    <t>Pat &amp; Brenda</t>
  </si>
  <si>
    <t>Kim &amp; Leslie</t>
  </si>
  <si>
    <t>Matt &amp; Ana</t>
  </si>
  <si>
    <t>Chris &amp; Alex</t>
  </si>
  <si>
    <t>Tara &amp; Wil</t>
  </si>
  <si>
    <t>Blake &amp; Paige</t>
  </si>
  <si>
    <t>Oswald &amp; Danny</t>
  </si>
  <si>
    <t>Gary &amp; Dave</t>
  </si>
  <si>
    <t>Mary &amp; Peach</t>
  </si>
  <si>
    <t>Cyndi &amp; Russell</t>
  </si>
  <si>
    <t>Shola &amp; Doyin</t>
  </si>
  <si>
    <t>Peggy &amp; Claire</t>
  </si>
  <si>
    <t>Hope &amp; Norm</t>
  </si>
  <si>
    <t>Deidre &amp; Hillary</t>
  </si>
  <si>
    <t>Flo &amp; Zach</t>
  </si>
  <si>
    <t>Teri &amp; Ian</t>
  </si>
  <si>
    <t>Ken &amp; Gerard</t>
  </si>
  <si>
    <t>Derek &amp; Drew</t>
  </si>
  <si>
    <t>John Vito &amp; Jill</t>
  </si>
  <si>
    <t>Andre &amp; Damon</t>
  </si>
  <si>
    <t>Aaron &amp; Arianne</t>
  </si>
  <si>
    <t>Michael &amp; Kathy</t>
  </si>
  <si>
    <t>Heather &amp; Eve</t>
  </si>
  <si>
    <t>Dennis &amp; Andrew</t>
  </si>
  <si>
    <t>Tramel &amp; Talicia</t>
  </si>
  <si>
    <t>Gina &amp; Sylvia</t>
  </si>
  <si>
    <t>Reichen &amp; Chip</t>
  </si>
  <si>
    <t>Kelly &amp; Jon</t>
  </si>
  <si>
    <t>David &amp; Jeff</t>
  </si>
  <si>
    <t>Jon &amp; Al</t>
  </si>
  <si>
    <t>Millie &amp; Chuck</t>
  </si>
  <si>
    <t>Tian &amp; Jaree</t>
  </si>
  <si>
    <t>Monica &amp; Sheree</t>
  </si>
  <si>
    <t>Steve &amp; Dave</t>
  </si>
  <si>
    <t>Steve &amp; Josh</t>
  </si>
  <si>
    <t>Russell &amp; Cindy</t>
  </si>
  <si>
    <t>Amanda &amp; Chris</t>
  </si>
  <si>
    <t>Debra &amp; Steve</t>
  </si>
  <si>
    <t>Chip &amp; Kim</t>
  </si>
  <si>
    <t>Colin &amp; Christie</t>
  </si>
  <si>
    <t>Brandon &amp; Nicole</t>
  </si>
  <si>
    <t>Linda &amp; Karen</t>
  </si>
  <si>
    <t>Kami &amp; Karli</t>
  </si>
  <si>
    <t>Charla &amp; Mirna</t>
  </si>
  <si>
    <t>Marshall &amp; Lance</t>
  </si>
  <si>
    <t>Bob &amp; Joyce</t>
  </si>
  <si>
    <t>Jim &amp; Marsha</t>
  </si>
  <si>
    <t>Alison &amp; Donny</t>
  </si>
  <si>
    <t>Dennis &amp; Erika</t>
  </si>
  <si>
    <t>Freddy &amp; Kendra</t>
  </si>
  <si>
    <t>Kris &amp; Jon</t>
  </si>
  <si>
    <t>Adam &amp; Rebecca</t>
  </si>
  <si>
    <t>Hayden &amp; Aaron</t>
  </si>
  <si>
    <t>Lori &amp; Bolo</t>
  </si>
  <si>
    <t>Jonathan &amp; Victoria</t>
  </si>
  <si>
    <t>Gus &amp; Hera</t>
  </si>
  <si>
    <t>Don &amp; Mary Jean</t>
  </si>
  <si>
    <t>Lena &amp; Kristy</t>
  </si>
  <si>
    <t>Meredith &amp; Maria</t>
  </si>
  <si>
    <t>Avi &amp; Joe</t>
  </si>
  <si>
    <t>Uchenna &amp; Joyce</t>
  </si>
  <si>
    <t>Rob &amp; Amber</t>
  </si>
  <si>
    <t>Ron &amp; Kelly</t>
  </si>
  <si>
    <t>Meredith &amp; Gretchen</t>
  </si>
  <si>
    <t>Lynn &amp; Alex</t>
  </si>
  <si>
    <t>Brian &amp; Greg</t>
  </si>
  <si>
    <t>Ray &amp; Deana</t>
  </si>
  <si>
    <t>Susan &amp; Patrick</t>
  </si>
  <si>
    <t>Debbie &amp; Bianca</t>
  </si>
  <si>
    <t>Megan &amp; Heidi</t>
  </si>
  <si>
    <t>Ryan &amp; Chuck</t>
  </si>
  <si>
    <t>Bransen Family</t>
  </si>
  <si>
    <t>Weaver Family</t>
  </si>
  <si>
    <t>Godlewski Family</t>
  </si>
  <si>
    <t>Paolo Family</t>
  </si>
  <si>
    <t>Gaghan Family</t>
  </si>
  <si>
    <t>Schroeder Family</t>
  </si>
  <si>
    <t>Aiello Family</t>
  </si>
  <si>
    <t>Rogers Family</t>
  </si>
  <si>
    <t>Black Family</t>
  </si>
  <si>
    <t>BJ &amp; Tyler</t>
  </si>
  <si>
    <t>Eric &amp; Jeremy</t>
  </si>
  <si>
    <t>Ray &amp; Yolanda</t>
  </si>
  <si>
    <t>Joseph &amp; Monica</t>
  </si>
  <si>
    <t>Fran &amp; Barry</t>
  </si>
  <si>
    <t>Lake &amp; Michelle</t>
  </si>
  <si>
    <t>Dave &amp; Lori</t>
  </si>
  <si>
    <t>Danielle &amp; Dani</t>
  </si>
  <si>
    <t>Wanda &amp; Desiree</t>
  </si>
  <si>
    <t>Lisa &amp; Joni</t>
  </si>
  <si>
    <t>John &amp; Scott</t>
  </si>
  <si>
    <t>Tyler &amp; James</t>
  </si>
  <si>
    <t>Rob &amp; Kimberly</t>
  </si>
  <si>
    <t>Lyn &amp; Karlyn</t>
  </si>
  <si>
    <t>Dustin &amp; Kandice</t>
  </si>
  <si>
    <t>Erwin &amp; Godwin</t>
  </si>
  <si>
    <t>David &amp; Mary</t>
  </si>
  <si>
    <t>Peter &amp; Sarah</t>
  </si>
  <si>
    <t>Tom &amp; Terry</t>
  </si>
  <si>
    <t>Duke &amp; Lauren</t>
  </si>
  <si>
    <t>Kellie &amp; Jamie</t>
  </si>
  <si>
    <t>Vipul &amp; Arti</t>
  </si>
  <si>
    <t>Bilal &amp; Sa'eed</t>
  </si>
  <si>
    <t>Eric &amp; Danielle</t>
  </si>
  <si>
    <t>TK &amp; Rachel</t>
  </si>
  <si>
    <t>Ron &amp; Christina</t>
  </si>
  <si>
    <t>Nicolas &amp; Donald</t>
  </si>
  <si>
    <t>Nathan &amp; Jennifer</t>
  </si>
  <si>
    <t>Kynt &amp; Vyxsin</t>
  </si>
  <si>
    <t>Azaria &amp; Hendekea</t>
  </si>
  <si>
    <t>Shana &amp; Jennifer</t>
  </si>
  <si>
    <t>Lorena &amp; Jason</t>
  </si>
  <si>
    <t>Marianna &amp; Julia</t>
  </si>
  <si>
    <t>Kate &amp; Pat</t>
  </si>
  <si>
    <t>Ari &amp; Staella</t>
  </si>
  <si>
    <t>Nick &amp; Starr</t>
  </si>
  <si>
    <t>Ken &amp; Tina</t>
  </si>
  <si>
    <t>Andrew &amp; Dan</t>
  </si>
  <si>
    <t>Toni &amp; Dallas</t>
  </si>
  <si>
    <t>Terence &amp; Sarah</t>
  </si>
  <si>
    <t>Kelly &amp; Christy</t>
  </si>
  <si>
    <t>Aja &amp; Ty</t>
  </si>
  <si>
    <t>Marisa &amp; Brooke</t>
  </si>
  <si>
    <t>Mark &amp; Bill</t>
  </si>
  <si>
    <t>Anthony &amp; Stephanie</t>
  </si>
  <si>
    <t>Anita &amp; Arthur</t>
  </si>
  <si>
    <t>Tammy &amp; Victor</t>
  </si>
  <si>
    <t>Jaime &amp; Cara</t>
  </si>
  <si>
    <t>Margie &amp; Luke</t>
  </si>
  <si>
    <t>Kisha &amp; Jen</t>
  </si>
  <si>
    <t>Mark &amp; Michael</t>
  </si>
  <si>
    <t>Mel &amp; Mike</t>
  </si>
  <si>
    <t>Christie &amp; Jodi</t>
  </si>
  <si>
    <t>Amanda &amp; Kris</t>
  </si>
  <si>
    <t>Brad &amp; Victoria</t>
  </si>
  <si>
    <t>Steve &amp; Linda</t>
  </si>
  <si>
    <t>Preston &amp; Jennifer</t>
  </si>
  <si>
    <t>Meghan &amp; Cheyne</t>
  </si>
  <si>
    <t>Sam &amp; Dan</t>
  </si>
  <si>
    <t>Brian &amp; Ericka</t>
  </si>
  <si>
    <t>Flight Time &amp; Big Easy</t>
  </si>
  <si>
    <t>Gary &amp; Matt</t>
  </si>
  <si>
    <t>Maria &amp; Tiffany</t>
  </si>
  <si>
    <t>Mika &amp; Canaan</t>
  </si>
  <si>
    <t>Lance &amp; Keri</t>
  </si>
  <si>
    <t>Zev &amp; Justin</t>
  </si>
  <si>
    <t>Marcy &amp; Ron</t>
  </si>
  <si>
    <t>Garrett &amp; Jessica</t>
  </si>
  <si>
    <t>Eric &amp; Lisa</t>
  </si>
  <si>
    <t>Dan &amp; Jordan</t>
  </si>
  <si>
    <t>Jet &amp; Cord</t>
  </si>
  <si>
    <t>Brent &amp; Caite</t>
  </si>
  <si>
    <t>Louie &amp; Michael</t>
  </si>
  <si>
    <t>Carol &amp; Brandy</t>
  </si>
  <si>
    <t>Steve &amp; Allie</t>
  </si>
  <si>
    <t>Jordan &amp; Jeff</t>
  </si>
  <si>
    <t>Joe &amp; Heidi</t>
  </si>
  <si>
    <t>Monique &amp; Shawne</t>
  </si>
  <si>
    <t>Jody &amp; Shannon</t>
  </si>
  <si>
    <t>Dana &amp; Adrian</t>
  </si>
  <si>
    <t>Nat &amp; Kat</t>
  </si>
  <si>
    <t>Brook &amp; Claire</t>
  </si>
  <si>
    <t>Jill &amp; Thomas</t>
  </si>
  <si>
    <t>Nick &amp; Vicki</t>
  </si>
  <si>
    <t>Chad &amp; Stephanie</t>
  </si>
  <si>
    <t>Gary &amp; Mallory</t>
  </si>
  <si>
    <t>Michael &amp; Kevin</t>
  </si>
  <si>
    <t>Katie &amp; Rachel</t>
  </si>
  <si>
    <t>Connor &amp; Jonathan</t>
  </si>
  <si>
    <t>Andie &amp; Jenna</t>
  </si>
  <si>
    <t>Ron &amp; Tony</t>
  </si>
  <si>
    <t>Kent &amp; Vyxsin</t>
  </si>
  <si>
    <t>Ernie &amp; Cindy</t>
  </si>
  <si>
    <t>Jeremy &amp; Sandy</t>
  </si>
  <si>
    <t>Amani &amp; Marcus</t>
  </si>
  <si>
    <t>Andy &amp; Tommy</t>
  </si>
  <si>
    <t>Bill &amp; Cathi</t>
  </si>
  <si>
    <t>Laurence &amp; Zac</t>
  </si>
  <si>
    <t>Justin &amp; Jennifer</t>
  </si>
  <si>
    <t>Liz &amp; Marie</t>
  </si>
  <si>
    <t>Kaylani &amp; Lisa</t>
  </si>
  <si>
    <t>Ethan &amp; Jenna</t>
  </si>
  <si>
    <t>Ron &amp; Bill</t>
  </si>
  <si>
    <t>Rachel &amp; Dave</t>
  </si>
  <si>
    <t>Art &amp; JJ</t>
  </si>
  <si>
    <t>Brendon &amp; Rachel</t>
  </si>
  <si>
    <t>Vanessa &amp; Ralph</t>
  </si>
  <si>
    <t>Bopper &amp; Mark</t>
  </si>
  <si>
    <t>Nary &amp; Jamie</t>
  </si>
  <si>
    <t>Joey &amp; Danny</t>
  </si>
  <si>
    <t>Kerri &amp; Stacy</t>
  </si>
  <si>
    <t>Elliot &amp; Andrew</t>
  </si>
  <si>
    <t>Dave &amp; Cherie</t>
  </si>
  <si>
    <t>Misa &amp; Maiya</t>
  </si>
  <si>
    <t>Josh &amp; Brent</t>
  </si>
  <si>
    <t>Jaymes &amp; James</t>
  </si>
  <si>
    <t>Trey &amp; Lexi</t>
  </si>
  <si>
    <t>Natalie &amp; Nadiya</t>
  </si>
  <si>
    <t>Abbie &amp; Ryan</t>
  </si>
  <si>
    <t>James &amp; Abba</t>
  </si>
  <si>
    <t>Rob &amp; Kelley</t>
  </si>
  <si>
    <t>Gary &amp; Will</t>
  </si>
  <si>
    <t>Caitlin &amp; Brittany</t>
  </si>
  <si>
    <t>Amy &amp; Daniel</t>
  </si>
  <si>
    <t>Rob &amp; Sheila</t>
  </si>
  <si>
    <t>Bates &amp; Anthony</t>
  </si>
  <si>
    <t>Max &amp; Katie</t>
  </si>
  <si>
    <t>Mona &amp; Beth</t>
  </si>
  <si>
    <t>Caroline &amp; Jennifer</t>
  </si>
  <si>
    <t>Joey &amp; Meghan</t>
  </si>
  <si>
    <t>Chuck &amp; Wynona</t>
  </si>
  <si>
    <t>Pam &amp; Winnie</t>
  </si>
  <si>
    <t>Dave &amp; Connor</t>
  </si>
  <si>
    <t>Jessica &amp; John</t>
  </si>
  <si>
    <t>Idries &amp; Jamil</t>
  </si>
  <si>
    <t>Matt &amp; Daniel</t>
  </si>
  <si>
    <t>Jason &amp; Amy</t>
  </si>
  <si>
    <t>Tim &amp; Marie</t>
  </si>
  <si>
    <t>Nicole &amp; Travis</t>
  </si>
  <si>
    <t>Leo &amp; Jamal</t>
  </si>
  <si>
    <t>Ally &amp; Ashley</t>
  </si>
  <si>
    <t>Nicky &amp; Kim</t>
  </si>
  <si>
    <t>Tim &amp; Danny</t>
  </si>
  <si>
    <t>Brandon &amp; Adam</t>
  </si>
  <si>
    <t>Chester &amp; Ephraim</t>
  </si>
  <si>
    <t>Rowan &amp; Shane</t>
  </si>
  <si>
    <t>Hoskote &amp; Naina</t>
  </si>
  <si>
    <t>Mark &amp; Mallory</t>
  </si>
  <si>
    <t>Amy &amp; Maya</t>
  </si>
  <si>
    <t>Misti &amp; Jim</t>
  </si>
  <si>
    <t>Adam &amp; Bethany</t>
  </si>
  <si>
    <t>Brooke &amp; Robbie</t>
  </si>
  <si>
    <t>Kym &amp; Alli</t>
  </si>
  <si>
    <t>Tim &amp; Te Jay</t>
  </si>
  <si>
    <t>Shelley &amp; Nici</t>
  </si>
  <si>
    <t>Keith &amp; Whitney</t>
  </si>
  <si>
    <t>Michael &amp; Scott</t>
  </si>
  <si>
    <t>Dennis &amp; Isabelle</t>
  </si>
  <si>
    <t>Lisa &amp; Michelle</t>
  </si>
  <si>
    <t>Laura &amp; Tyler</t>
  </si>
  <si>
    <t>Jelani &amp; Jenny</t>
  </si>
  <si>
    <t>Hayley &amp; Blair</t>
  </si>
  <si>
    <t>Mike &amp; Rochelle</t>
  </si>
  <si>
    <t>Matt &amp; Ashley</t>
  </si>
  <si>
    <t>Aly &amp; Steve</t>
  </si>
  <si>
    <t>Jeff &amp; Jackie</t>
  </si>
  <si>
    <t>Bergen &amp; Kurt</t>
  </si>
  <si>
    <t>Harley &amp; Jonathan</t>
  </si>
  <si>
    <t>Libby &amp; CJ</t>
  </si>
  <si>
    <t>Jeff &amp; Lyda</t>
  </si>
  <si>
    <t>Kelsey &amp; Joey</t>
  </si>
  <si>
    <t>Justin &amp; Diana</t>
  </si>
  <si>
    <t>Logan &amp; Chris</t>
  </si>
  <si>
    <t>Tiffany &amp; Krista</t>
  </si>
  <si>
    <t>Denise &amp; James Earl</t>
  </si>
  <si>
    <t>Tanner &amp; Josh</t>
  </si>
  <si>
    <t>Cindy &amp; Rick</t>
  </si>
  <si>
    <t>Jazmine &amp; Danielle</t>
  </si>
  <si>
    <t>Ernest &amp; Jin</t>
  </si>
  <si>
    <t>Alex &amp; Adam</t>
  </si>
  <si>
    <t>Kelly &amp; Shevonne</t>
  </si>
  <si>
    <t>Dana &amp; Matt</t>
  </si>
  <si>
    <t>Sheri &amp; Cole</t>
  </si>
  <si>
    <t>Tyler &amp; Korey</t>
  </si>
  <si>
    <t>Burnie &amp; Ashley</t>
  </si>
  <si>
    <t>Brodie &amp; Kurt</t>
  </si>
  <si>
    <t>Zach &amp; Rachel</t>
  </si>
  <si>
    <t>Scott &amp; Blair</t>
  </si>
  <si>
    <t>Erin &amp; Joslyn</t>
  </si>
  <si>
    <t>Brittany &amp; Jessica</t>
  </si>
  <si>
    <t>Darius &amp; Cameron</t>
  </si>
  <si>
    <t>Marty &amp; Hagan</t>
  </si>
  <si>
    <t>Brooke &amp; Scott</t>
  </si>
  <si>
    <t>Tara &amp; Joey</t>
  </si>
  <si>
    <t>London &amp; Logan</t>
  </si>
  <si>
    <t>Matt &amp; Redmond</t>
  </si>
  <si>
    <t>Becca &amp; Floyd</t>
  </si>
  <si>
    <t>Liz &amp; Michael</t>
  </si>
  <si>
    <t>Vanck &amp; Ashton</t>
  </si>
  <si>
    <t>Shamir &amp; Sara</t>
  </si>
  <si>
    <t>Seth &amp; Olive</t>
  </si>
  <si>
    <t>Jessie &amp; Francesca</t>
  </si>
  <si>
    <t>Kevin &amp; Jenn</t>
  </si>
  <si>
    <t>Cody &amp; Jessica</t>
  </si>
  <si>
    <t>Henry &amp; Evan</t>
  </si>
  <si>
    <t>Kristi &amp; Jen</t>
  </si>
  <si>
    <t>Alex &amp; Conor</t>
  </si>
  <si>
    <t>Lucas &amp; Brittany</t>
  </si>
  <si>
    <t>Eric &amp; Daniel</t>
  </si>
  <si>
    <t>Trevor &amp; Chris</t>
  </si>
  <si>
    <t>Joey &amp; Tim</t>
  </si>
  <si>
    <t>Cedric &amp; Shawn</t>
  </si>
  <si>
    <t>April &amp; Sarah</t>
  </si>
  <si>
    <t>Dessie &amp; Kayla</t>
  </si>
  <si>
    <t>Nicole &amp; Victor</t>
  </si>
  <si>
    <t>Chris &amp; Bret</t>
  </si>
  <si>
    <t>Rachel &amp; Elissa</t>
  </si>
  <si>
    <t>Janelle &amp; Britney</t>
  </si>
  <si>
    <t>Corinne &amp; Eliza</t>
  </si>
  <si>
    <t>Rupert &amp; Laura</t>
  </si>
  <si>
    <t>Will &amp; James</t>
  </si>
  <si>
    <t>Hung &amp; Chee</t>
  </si>
  <si>
    <t>Riley &amp; Maddison</t>
  </si>
  <si>
    <t>DeAngelo &amp; Gary</t>
  </si>
  <si>
    <t>Eswar &amp; Aparna</t>
  </si>
  <si>
    <t>Kaylynn &amp; Haley</t>
  </si>
  <si>
    <t>Leo &amp; Alana</t>
  </si>
  <si>
    <t>Michelle &amp; Victoria</t>
  </si>
  <si>
    <t>Jerry &amp; Frank</t>
  </si>
  <si>
    <t>Kellie &amp; LaVonne</t>
  </si>
  <si>
    <t>Nathan &amp; Cody</t>
  </si>
  <si>
    <t>Kim &amp; Penn</t>
  </si>
  <si>
    <t>Raquel &amp; Cayla</t>
  </si>
  <si>
    <t>Ryan &amp; Dusty</t>
  </si>
  <si>
    <t>Arun &amp; Natalia</t>
  </si>
  <si>
    <t>Lulu &amp; Lala</t>
  </si>
  <si>
    <t>Akbar &amp; Sheri</t>
  </si>
  <si>
    <t>Michael &amp; Moe</t>
  </si>
  <si>
    <t>Anthony &amp; Spencer</t>
  </si>
  <si>
    <t>Connie &amp; Sam</t>
  </si>
  <si>
    <t>Caro &amp; Ray</t>
  </si>
  <si>
    <t>Taylor &amp; Isaiah</t>
  </si>
  <si>
    <t>DQ</t>
  </si>
  <si>
    <t>Derek &amp; Claire</t>
  </si>
  <si>
    <t>Emily &amp; Molly</t>
  </si>
  <si>
    <t>Luis &amp; Michelle</t>
  </si>
  <si>
    <t>Aubrey &amp; David</t>
  </si>
  <si>
    <t>Marcus &amp; Michael</t>
  </si>
  <si>
    <t>Quinton &amp; Mattie</t>
  </si>
  <si>
    <t>Glenda &amp; Lumumba</t>
  </si>
  <si>
    <t>Abby &amp; Will</t>
  </si>
  <si>
    <t>Linton &amp; Sharik</t>
  </si>
  <si>
    <t>Rich &amp; Dom</t>
  </si>
  <si>
    <t>Tim &amp; Rex</t>
  </si>
  <si>
    <t>Aastha &amp; Nina</t>
  </si>
  <si>
    <t>Greg &amp; John</t>
  </si>
  <si>
    <t>Joel &amp; Garrett</t>
  </si>
  <si>
    <t>Rob &amp; Corey</t>
  </si>
  <si>
    <t>Steve &amp; Anna Leigh</t>
  </si>
  <si>
    <t>Todd &amp; Ashlie</t>
  </si>
  <si>
    <t>Robbin &amp; Chelsea</t>
  </si>
  <si>
    <t>Morgan &amp; Lena</t>
  </si>
  <si>
    <t>Andrea &amp; Malaina</t>
  </si>
  <si>
    <t>Liam &amp; Yeremi</t>
  </si>
  <si>
    <t>Joe &amp; Ian</t>
  </si>
  <si>
    <t>Jocelyn &amp; Victor</t>
  </si>
  <si>
    <t>Alexandra &amp; Sheridan</t>
  </si>
  <si>
    <t>Elizabeth &amp; Illiana</t>
  </si>
  <si>
    <t>Ricky &amp; Cesar</t>
  </si>
  <si>
    <t>Juan &amp; Shane</t>
  </si>
  <si>
    <t>Rod &amp; Leticia</t>
  </si>
  <si>
    <t>Amber &amp; Vinny</t>
  </si>
  <si>
    <t>Yvonne &amp; Melissa</t>
  </si>
  <si>
    <t>Angie &amp; Danny</t>
  </si>
  <si>
    <t>Sunny &amp; Bizzy</t>
  </si>
  <si>
    <t>Derek &amp; Shelisa</t>
  </si>
  <si>
    <t>Kishori &amp; Karishma</t>
  </si>
  <si>
    <t>Michelle &amp; Sean</t>
  </si>
  <si>
    <t>Anthony &amp; Bailey</t>
  </si>
  <si>
    <t>Chris &amp; Mary</t>
  </si>
  <si>
    <t>Maya &amp; Rohan</t>
  </si>
  <si>
    <t>Carson &amp; Jack</t>
  </si>
  <si>
    <t>Han &amp; Holden</t>
  </si>
  <si>
    <t>Jonathan &amp; Ana</t>
  </si>
  <si>
    <t>Alyssa &amp; Josiah</t>
  </si>
  <si>
    <t>Brett &amp; Mark</t>
  </si>
  <si>
    <t>Melinda &amp; Erika</t>
  </si>
  <si>
    <t>Nick &amp; Mike</t>
  </si>
  <si>
    <t>Pops &amp; Jeff</t>
  </si>
  <si>
    <t>Scott &amp; Lori</t>
  </si>
  <si>
    <t>Bernie &amp; Carrigain</t>
  </si>
  <si>
    <t>Courtney &amp; Jasmin</t>
  </si>
  <si>
    <t>Ernest &amp; Bridget</t>
  </si>
  <si>
    <t>Mark &amp; Larry</t>
  </si>
  <si>
    <t>Jackye &amp; Lauren</t>
  </si>
  <si>
    <t>Key:</t>
  </si>
  <si>
    <t>Indicates eliminated</t>
  </si>
  <si>
    <t>Indicates saved from elimination</t>
  </si>
  <si>
    <r>
      <t>With</t>
    </r>
    <r>
      <rPr>
        <sz val="12"/>
        <color rgb="FFFF0000"/>
        <rFont val="Calibri (Body)"/>
      </rPr>
      <t xml:space="preserve"> red</t>
    </r>
    <r>
      <rPr>
        <sz val="12"/>
        <color theme="1"/>
        <rFont val="Calibri"/>
        <family val="2"/>
        <scheme val="minor"/>
      </rPr>
      <t xml:space="preserve"> text indicates used express pass</t>
    </r>
  </si>
  <si>
    <r>
      <t xml:space="preserve">With </t>
    </r>
    <r>
      <rPr>
        <sz val="12"/>
        <color rgb="FF58FF00"/>
        <rFont val="Calibri (Body)"/>
      </rPr>
      <t>green</t>
    </r>
    <r>
      <rPr>
        <sz val="12"/>
        <color theme="1"/>
        <rFont val="Calibri"/>
        <family val="2"/>
        <scheme val="minor"/>
      </rPr>
      <t xml:space="preserve"> text indicates fast forward used</t>
    </r>
  </si>
  <si>
    <r>
      <t xml:space="preserve">With </t>
    </r>
    <r>
      <rPr>
        <sz val="12"/>
        <color rgb="FFFFFF00"/>
        <rFont val="Calibri (Body)"/>
      </rPr>
      <t xml:space="preserve">yellow </t>
    </r>
    <r>
      <rPr>
        <sz val="12"/>
        <color theme="1"/>
        <rFont val="Calibri"/>
        <family val="2"/>
        <scheme val="minor"/>
      </rPr>
      <t>text indicates hazard</t>
    </r>
  </si>
  <si>
    <r>
      <t xml:space="preserve">With </t>
    </r>
    <r>
      <rPr>
        <b/>
        <sz val="12"/>
        <color theme="1"/>
        <rFont val="Calibri"/>
        <family val="2"/>
        <scheme val="minor"/>
      </rPr>
      <t xml:space="preserve">bolded </t>
    </r>
    <r>
      <rPr>
        <sz val="12"/>
        <color theme="1"/>
        <rFont val="Calibri"/>
        <family val="2"/>
        <scheme val="minor"/>
      </rPr>
      <t>text indicates used U-Turn board</t>
    </r>
  </si>
  <si>
    <r>
      <t xml:space="preserve">With </t>
    </r>
    <r>
      <rPr>
        <i/>
        <sz val="12"/>
        <color theme="1"/>
        <rFont val="Calibri"/>
        <family val="2"/>
        <scheme val="minor"/>
      </rPr>
      <t xml:space="preserve">italicized </t>
    </r>
    <r>
      <rPr>
        <sz val="12"/>
        <color theme="1"/>
        <rFont val="Calibri"/>
        <family val="2"/>
        <scheme val="minor"/>
      </rPr>
      <t>text indicates was U-Turned</t>
    </r>
  </si>
  <si>
    <r>
      <t xml:space="preserve">With </t>
    </r>
    <r>
      <rPr>
        <u val="double"/>
        <sz val="12"/>
        <color theme="1"/>
        <rFont val="Calibri (Body)"/>
      </rPr>
      <t xml:space="preserve">double-underlined </t>
    </r>
    <r>
      <rPr>
        <sz val="12"/>
        <color theme="1"/>
        <rFont val="Calibri (Body)"/>
      </rPr>
      <t>text indicates was Yielded</t>
    </r>
  </si>
  <si>
    <r>
      <t xml:space="preserve">With </t>
    </r>
    <r>
      <rPr>
        <sz val="12"/>
        <color rgb="FFFFC000"/>
        <rFont val="Calibri (Body)"/>
      </rPr>
      <t xml:space="preserve">orange </t>
    </r>
    <r>
      <rPr>
        <sz val="12"/>
        <rFont val="Calibri (Body)"/>
      </rPr>
      <t>text indicates lose battle</t>
    </r>
  </si>
  <si>
    <r>
      <rPr>
        <b/>
        <sz val="12"/>
        <color theme="1"/>
        <rFont val="Calibri"/>
        <family val="2"/>
        <scheme val="minor"/>
      </rPr>
      <t>AFP</t>
    </r>
    <r>
      <rPr>
        <sz val="12"/>
        <color theme="1"/>
        <rFont val="Calibri"/>
        <family val="2"/>
        <scheme val="minor"/>
      </rPr>
      <t xml:space="preserve"> = Average Finishing Position</t>
    </r>
  </si>
  <si>
    <r>
      <t xml:space="preserve">*NOTE: </t>
    </r>
    <r>
      <rPr>
        <b/>
        <sz val="12"/>
        <color theme="1"/>
        <rFont val="Calibri"/>
        <family val="2"/>
        <scheme val="minor"/>
      </rPr>
      <t xml:space="preserve">Bolded </t>
    </r>
    <r>
      <rPr>
        <sz val="12"/>
        <color theme="1"/>
        <rFont val="Calibri"/>
        <family val="2"/>
        <scheme val="minor"/>
      </rPr>
      <t>team means they won race</t>
    </r>
  </si>
  <si>
    <t>Unsorted Data</t>
  </si>
  <si>
    <r>
      <t xml:space="preserve">Type of Challenge for Each </t>
    </r>
    <r>
      <rPr>
        <b/>
        <sz val="12"/>
        <color rgb="FFFFC000"/>
        <rFont val="Calibri (Body)"/>
      </rPr>
      <t>Detour</t>
    </r>
  </si>
  <si>
    <t>Challlenge 5</t>
  </si>
  <si>
    <t>or</t>
  </si>
  <si>
    <t>Chalenge 6</t>
  </si>
  <si>
    <t>Escape magic box</t>
  </si>
  <si>
    <t>Scramble 6</t>
  </si>
  <si>
    <t>Leg 11 C6</t>
  </si>
  <si>
    <t>Leg 3 C2</t>
  </si>
  <si>
    <t>NYC</t>
  </si>
  <si>
    <t>San Fran</t>
  </si>
  <si>
    <t>Seattle</t>
  </si>
  <si>
    <t>Phoenix</t>
  </si>
  <si>
    <t>Dallas</t>
  </si>
  <si>
    <t>Chicago</t>
  </si>
  <si>
    <t>Miami</t>
  </si>
  <si>
    <t>Lewiston</t>
  </si>
  <si>
    <t>Morrison</t>
  </si>
  <si>
    <t>Talkeetna</t>
  </si>
  <si>
    <t>Hana Bay</t>
  </si>
  <si>
    <t xml:space="preserve">Anchorage </t>
  </si>
  <si>
    <t>Big Lake</t>
  </si>
  <si>
    <t>Honolulu</t>
  </si>
  <si>
    <t>Kauai</t>
  </si>
  <si>
    <t>Smithfield, AU</t>
  </si>
  <si>
    <t>Kaulana Bay</t>
  </si>
  <si>
    <t>HVNP</t>
  </si>
  <si>
    <t>Calgary, CA</t>
  </si>
  <si>
    <t>Lucea, JA</t>
  </si>
  <si>
    <t>Montego Bay, JA</t>
  </si>
  <si>
    <t>San Juan, PR</t>
  </si>
  <si>
    <t>Aguadila, PR</t>
  </si>
  <si>
    <t>Fort Lauterdale</t>
  </si>
  <si>
    <t>Montreal, CA</t>
  </si>
  <si>
    <t>Toronto, CA</t>
  </si>
  <si>
    <t>Queenston, CA</t>
  </si>
  <si>
    <t>Anchorage</t>
  </si>
  <si>
    <t>Golden</t>
  </si>
  <si>
    <t>Paris, FR</t>
  </si>
  <si>
    <t>Caen, FR</t>
  </si>
  <si>
    <t>Carpiquet, FR</t>
  </si>
  <si>
    <t>Garrison</t>
  </si>
  <si>
    <t>Lana'i</t>
  </si>
  <si>
    <t>Girdwood</t>
  </si>
  <si>
    <t>Newberg</t>
  </si>
  <si>
    <t>Cascade Locks</t>
  </si>
  <si>
    <t>Portland</t>
  </si>
  <si>
    <t>Keokea</t>
  </si>
  <si>
    <t>Maalaea</t>
  </si>
  <si>
    <t>Waikapu</t>
  </si>
  <si>
    <t>Peahi</t>
  </si>
  <si>
    <t>Las Vegas</t>
  </si>
  <si>
    <t>Long Beach</t>
  </si>
  <si>
    <t>Pasadena</t>
  </si>
  <si>
    <t>Beverly Hills</t>
  </si>
  <si>
    <t>Key Largo</t>
  </si>
  <si>
    <t>Big Pine Key</t>
  </si>
  <si>
    <t>Horseshoe Island</t>
  </si>
  <si>
    <t>Marathon</t>
  </si>
  <si>
    <t>Pigeon Key</t>
  </si>
  <si>
    <t>Atlanta</t>
  </si>
  <si>
    <t>Hakipu'u Valley</t>
  </si>
  <si>
    <t>Kualoa Valley</t>
  </si>
  <si>
    <t>London, EN</t>
  </si>
  <si>
    <t>Mount Vernon</t>
  </si>
  <si>
    <t>Juneau</t>
  </si>
  <si>
    <t>Taku Inlet</t>
  </si>
  <si>
    <t>Henderson</t>
  </si>
  <si>
    <t>Los Angeles</t>
  </si>
  <si>
    <t>San Pedro</t>
  </si>
  <si>
    <t>Wilmington</t>
  </si>
  <si>
    <t>Rancho Palso Verdes</t>
  </si>
  <si>
    <t>Southampton</t>
  </si>
  <si>
    <t>Santa Barbara</t>
  </si>
  <si>
    <t>Santa Ynez</t>
  </si>
  <si>
    <t>Alameda</t>
  </si>
  <si>
    <t>Detroit</t>
  </si>
  <si>
    <t>New Orleans</t>
  </si>
  <si>
    <t>Nashville</t>
  </si>
  <si>
    <t>Kenmore</t>
  </si>
  <si>
    <t>Redmond</t>
  </si>
  <si>
    <t>Philadelphia</t>
  </si>
  <si>
    <t>Jas &amp; Jag</t>
  </si>
  <si>
    <t>Kyland &amp; Taylor</t>
  </si>
  <si>
    <t>Joseph &amp; Adam</t>
  </si>
  <si>
    <t>Izzy &amp; Paige</t>
  </si>
  <si>
    <t>Jack &amp; Chelsie</t>
  </si>
  <si>
    <t>Tucker &amp; Eric</t>
  </si>
  <si>
    <t>Natalie &amp; Stephanie</t>
  </si>
  <si>
    <t>Kristine &amp; Rubina</t>
  </si>
  <si>
    <t>Hannah &amp; Simone</t>
  </si>
  <si>
    <t>Kat &amp; Alex</t>
  </si>
  <si>
    <t>Megan &amp; Matt</t>
  </si>
  <si>
    <t>Angela &amp; Lexi</t>
  </si>
  <si>
    <t>Jack &amp; Enzo</t>
  </si>
  <si>
    <t>Jas and Jag</t>
  </si>
  <si>
    <t>Jas</t>
  </si>
  <si>
    <t>Jag</t>
  </si>
  <si>
    <t>Entrepreneurs</t>
  </si>
  <si>
    <t>Omak, WA</t>
  </si>
  <si>
    <t>WA</t>
  </si>
  <si>
    <t>Jag and Jas</t>
  </si>
  <si>
    <t>- Track the amount of miles traveled per Season</t>
  </si>
  <si>
    <t>The Hazard was an additional task given in Leg 1 of Season 19 and Season 38 for the team who came in last in the first challenge of the race.</t>
  </si>
  <si>
    <t>In Season 35 and 37, teams had the chance to win the Express Pass by completing an extra task, instead of coming in first on a specific leg. Thus, this is a signifier of a separate, voluntary challenge teams could complete in this Season.</t>
  </si>
  <si>
    <t>Percentages of Challenges per Season</t>
  </si>
  <si>
    <t>St Dev</t>
  </si>
  <si>
    <r>
      <t>Legs in Between</t>
    </r>
    <r>
      <rPr>
        <b/>
        <sz val="14"/>
        <color rgb="FF00B050"/>
        <rFont val="Calibri (Body)"/>
      </rPr>
      <t xml:space="preserve"> Non-Elims </t>
    </r>
    <r>
      <rPr>
        <b/>
        <sz val="14"/>
        <color theme="1"/>
        <rFont val="Calibri"/>
        <family val="2"/>
        <scheme val="minor"/>
      </rPr>
      <t>per Season</t>
    </r>
  </si>
  <si>
    <r>
      <t xml:space="preserve">First Leg of </t>
    </r>
    <r>
      <rPr>
        <b/>
        <sz val="14"/>
        <color rgb="FF00B050"/>
        <rFont val="Calibri (Body)"/>
      </rPr>
      <t xml:space="preserve">Non-Elim </t>
    </r>
    <r>
      <rPr>
        <b/>
        <sz val="14"/>
        <color theme="1"/>
        <rFont val="Calibri"/>
        <family val="2"/>
        <scheme val="minor"/>
      </rPr>
      <t>per Season</t>
    </r>
  </si>
  <si>
    <r>
      <t>*</t>
    </r>
    <r>
      <rPr>
        <b/>
        <sz val="12"/>
        <color theme="1"/>
        <rFont val="Calibri"/>
        <family val="2"/>
        <scheme val="minor"/>
      </rPr>
      <t>NOTE</t>
    </r>
    <r>
      <rPr>
        <sz val="12"/>
        <color theme="1"/>
        <rFont val="Calibri"/>
        <family val="2"/>
        <scheme val="minor"/>
      </rPr>
      <t>: The</t>
    </r>
    <r>
      <rPr>
        <sz val="12"/>
        <color rgb="FFFFC000"/>
        <rFont val="Calibri (Body)"/>
      </rPr>
      <t xml:space="preserve"> final gap</t>
    </r>
    <r>
      <rPr>
        <sz val="12"/>
        <rFont val="Calibri (Body)"/>
      </rPr>
      <t xml:space="preserve"> is the amount of </t>
    </r>
    <r>
      <rPr>
        <sz val="12"/>
        <color rgb="FF7030A0"/>
        <rFont val="Calibri (Body)"/>
      </rPr>
      <t>elim</t>
    </r>
    <r>
      <rPr>
        <sz val="12"/>
        <color rgb="FFFFC000"/>
        <rFont val="Calibri (Body)"/>
      </rPr>
      <t xml:space="preserve"> </t>
    </r>
    <r>
      <rPr>
        <sz val="12"/>
        <rFont val="Calibri (Body)"/>
      </rPr>
      <t>legs until the</t>
    </r>
    <r>
      <rPr>
        <sz val="12"/>
        <color rgb="FFFFC000"/>
        <rFont val="Calibri (Body)"/>
      </rPr>
      <t xml:space="preserve"> final leg.</t>
    </r>
  </si>
  <si>
    <t>Got lost
Hazard</t>
  </si>
  <si>
    <t>Got Lost
Bad on challenge</t>
  </si>
  <si>
    <t>Got lost
Clue Issue</t>
  </si>
  <si>
    <t>Legs with no Detour(s) OR Road Block(s)</t>
  </si>
  <si>
    <t xml:space="preserve">Season 16 </t>
  </si>
  <si>
    <t>Scramble 3</t>
  </si>
  <si>
    <t>Vote</t>
  </si>
  <si>
    <t>2 thru 4</t>
  </si>
  <si>
    <t>Blind</t>
  </si>
  <si>
    <t xml:space="preserve">Scramble </t>
  </si>
  <si>
    <t xml:space="preserve">Express Pass </t>
  </si>
  <si>
    <t xml:space="preserve">x2 </t>
  </si>
  <si>
    <t>2 thru 5</t>
  </si>
  <si>
    <r>
      <rPr>
        <b/>
        <sz val="12"/>
        <color theme="1"/>
        <rFont val="Calibri"/>
        <family val="2"/>
        <scheme val="minor"/>
      </rPr>
      <t>*NOTE:</t>
    </r>
    <r>
      <rPr>
        <sz val="12"/>
        <color theme="1"/>
        <rFont val="Calibri"/>
        <family val="2"/>
        <scheme val="minor"/>
      </rPr>
      <t xml:space="preserve"> Yields on every leg, but not all were shown</t>
    </r>
  </si>
  <si>
    <t>x2</t>
  </si>
  <si>
    <t>When Twists Appeared - by Leg by Challenge</t>
  </si>
  <si>
    <t>Blind Vote</t>
  </si>
  <si>
    <r>
      <t xml:space="preserve">*NOTE: Bolded </t>
    </r>
    <r>
      <rPr>
        <sz val="12"/>
        <rFont val="Calibri"/>
        <family val="2"/>
        <scheme val="minor"/>
      </rPr>
      <t>indicates an Express Pass Challenge</t>
    </r>
    <r>
      <rPr>
        <b/>
        <sz val="12"/>
        <rFont val="Calibri"/>
        <family val="2"/>
        <scheme val="minor"/>
      </rPr>
      <t>,</t>
    </r>
    <r>
      <rPr>
        <b/>
        <i/>
        <sz val="12"/>
        <rFont val="Calibri"/>
        <family val="2"/>
        <scheme val="minor"/>
      </rPr>
      <t xml:space="preserve"> Italicized</t>
    </r>
    <r>
      <rPr>
        <b/>
        <sz val="12"/>
        <rFont val="Calibri"/>
        <family val="2"/>
        <scheme val="minor"/>
      </rPr>
      <t xml:space="preserve"> indicates two Express Passes</t>
    </r>
  </si>
  <si>
    <t>Longest Leg per Season</t>
  </si>
  <si>
    <t xml:space="preserve">Leg 7 </t>
  </si>
  <si>
    <t>Longest Legs by Number</t>
  </si>
  <si>
    <t>Longest Legs by Challenge Number</t>
  </si>
  <si>
    <t># of Seasons</t>
  </si>
  <si>
    <r>
      <rPr>
        <b/>
        <sz val="12"/>
        <color theme="1"/>
        <rFont val="Calibri"/>
        <family val="2"/>
        <scheme val="minor"/>
      </rPr>
      <t>*NOTE:</t>
    </r>
    <r>
      <rPr>
        <sz val="12"/>
        <color theme="1"/>
        <rFont val="Calibri"/>
        <family val="2"/>
        <scheme val="minor"/>
      </rPr>
      <t xml:space="preserve"> Seasons not shown don't have a Megaleg(s)/Superleg(s)</t>
    </r>
  </si>
  <si>
    <r>
      <rPr>
        <b/>
        <sz val="12"/>
        <color theme="1"/>
        <rFont val="Calibri"/>
        <family val="2"/>
        <scheme val="minor"/>
      </rPr>
      <t>*NOTE:</t>
    </r>
    <r>
      <rPr>
        <sz val="12"/>
        <color theme="1"/>
        <rFont val="Calibri"/>
        <family val="2"/>
        <scheme val="minor"/>
      </rPr>
      <t xml:space="preserve"> Mode is the most accurate representation of the amount of </t>
    </r>
    <r>
      <rPr>
        <sz val="12"/>
        <color rgb="FFFF0000"/>
        <rFont val="Calibri (Body)"/>
      </rPr>
      <t xml:space="preserve">Road Blocks </t>
    </r>
    <r>
      <rPr>
        <sz val="12"/>
        <color theme="1"/>
        <rFont val="Calibri"/>
        <family val="2"/>
        <scheme val="minor"/>
      </rPr>
      <t xml:space="preserve">per season, with team members completing 6 </t>
    </r>
    <r>
      <rPr>
        <sz val="12"/>
        <color rgb="FFFF0000"/>
        <rFont val="Calibri (Body)"/>
      </rPr>
      <t>Road Blocks</t>
    </r>
    <r>
      <rPr>
        <sz val="12"/>
        <color theme="1"/>
        <rFont val="Calibri"/>
        <family val="2"/>
        <scheme val="minor"/>
      </rPr>
      <t xml:space="preserve"> each.</t>
    </r>
  </si>
  <si>
    <r>
      <t xml:space="preserve">Type of Challenge for Each </t>
    </r>
    <r>
      <rPr>
        <b/>
        <sz val="14"/>
        <color rgb="FFFF0000"/>
        <rFont val="Calibri (Body)"/>
      </rPr>
      <t>Road Block</t>
    </r>
  </si>
  <si>
    <t>OR</t>
  </si>
  <si>
    <t>Wash laundry</t>
  </si>
  <si>
    <t>Luck</t>
  </si>
  <si>
    <t>% of Road Block per Challenge per Leg</t>
  </si>
  <si>
    <t>Keywords of Road Block per Leg</t>
  </si>
  <si>
    <t># of Road Block per Challenge per Season</t>
  </si>
  <si>
    <t>Winners = Jag and Jas</t>
  </si>
  <si>
    <t>Filmed: 3/17/25 - 4/9/25</t>
  </si>
  <si>
    <r>
      <t xml:space="preserve">Using Keywords, describing what type each </t>
    </r>
    <r>
      <rPr>
        <sz val="12"/>
        <color rgb="FFFF0000"/>
        <rFont val="Calibri (Body)"/>
      </rPr>
      <t>Road Block</t>
    </r>
    <r>
      <rPr>
        <sz val="12"/>
        <color theme="1"/>
        <rFont val="Calibri"/>
        <family val="2"/>
        <scheme val="minor"/>
      </rPr>
      <t xml:space="preserve"> is</t>
    </r>
  </si>
  <si>
    <t>Sky lanterns</t>
  </si>
  <si>
    <t>Dentures</t>
  </si>
  <si>
    <r>
      <t xml:space="preserve">Using Keywords, describing what type each </t>
    </r>
    <r>
      <rPr>
        <sz val="12"/>
        <color rgb="FFFFC000"/>
        <rFont val="Calibri (Body)"/>
      </rPr>
      <t>Detour</t>
    </r>
    <r>
      <rPr>
        <sz val="12"/>
        <color theme="1"/>
        <rFont val="Calibri"/>
        <family val="2"/>
        <scheme val="minor"/>
      </rPr>
      <t xml:space="preserve"> is</t>
    </r>
  </si>
  <si>
    <t>Percent of Keywords on Road Blocks</t>
  </si>
  <si>
    <t>Percent of Keywords on Detours</t>
  </si>
  <si>
    <t># of Keyword Road Blocks per Season</t>
  </si>
  <si>
    <t>1st Half</t>
  </si>
  <si>
    <t>2nd Half</t>
  </si>
  <si>
    <t>1st Half2</t>
  </si>
  <si>
    <t>2nd Half3</t>
  </si>
  <si>
    <t>1st Half4</t>
  </si>
  <si>
    <t>2nd Half5</t>
  </si>
  <si>
    <t>1st Half6</t>
  </si>
  <si>
    <t>2nd Half7</t>
  </si>
  <si>
    <t>1st Half8</t>
  </si>
  <si>
    <t>2nd Half9</t>
  </si>
  <si>
    <t>1st Half10</t>
  </si>
  <si>
    <t>2nd Half11</t>
  </si>
  <si>
    <t>1st Half12</t>
  </si>
  <si>
    <t>2nd Half13</t>
  </si>
  <si>
    <t>1st Half14</t>
  </si>
  <si>
    <t>2nd Half15</t>
  </si>
  <si>
    <t>1st Half16</t>
  </si>
  <si>
    <t>2nd Half17</t>
  </si>
  <si>
    <t>1st Half18</t>
  </si>
  <si>
    <t>2nd Half19</t>
  </si>
  <si>
    <t>1st Half20</t>
  </si>
  <si>
    <t>2nd Half21</t>
  </si>
  <si>
    <t>1st Half22</t>
  </si>
  <si>
    <t>2nd Half23</t>
  </si>
  <si>
    <t>1st Half24</t>
  </si>
  <si>
    <t>2nd Half25</t>
  </si>
  <si>
    <t>1st Half26</t>
  </si>
  <si>
    <t>2nd Half27</t>
  </si>
  <si>
    <t>1st Half28</t>
  </si>
  <si>
    <t>2nd Half29</t>
  </si>
  <si>
    <t>1st Half30</t>
  </si>
  <si>
    <t>2nd Half31</t>
  </si>
  <si>
    <t>1st Half32</t>
  </si>
  <si>
    <t>2nd Half33</t>
  </si>
  <si>
    <t>1st Half34</t>
  </si>
  <si>
    <t>2nd Half35</t>
  </si>
  <si>
    <t>1st Half36</t>
  </si>
  <si>
    <t>2nd Half37</t>
  </si>
  <si>
    <t>1st Half38</t>
  </si>
  <si>
    <t>2nd Half39</t>
  </si>
  <si>
    <t>1st Half40</t>
  </si>
  <si>
    <t>2nd Half41</t>
  </si>
  <si>
    <t>1st Half42</t>
  </si>
  <si>
    <t>2nd Half43</t>
  </si>
  <si>
    <t>1st Half44</t>
  </si>
  <si>
    <t>2nd Half45</t>
  </si>
  <si>
    <t>1st Half46</t>
  </si>
  <si>
    <t>2nd Half47</t>
  </si>
  <si>
    <t>1st Half48</t>
  </si>
  <si>
    <t>2nd Half49</t>
  </si>
  <si>
    <t>1st Half50</t>
  </si>
  <si>
    <t>2nd Half51</t>
  </si>
  <si>
    <t>1st Half52</t>
  </si>
  <si>
    <t>2nd Half53</t>
  </si>
  <si>
    <t>1st Half54</t>
  </si>
  <si>
    <t>2nd Half55</t>
  </si>
  <si>
    <t>1st Half56</t>
  </si>
  <si>
    <t>2nd Half57</t>
  </si>
  <si>
    <t>1st Half58</t>
  </si>
  <si>
    <t>2nd Half59</t>
  </si>
  <si>
    <t>1st Half60</t>
  </si>
  <si>
    <t>2nd Half61</t>
  </si>
  <si>
    <t>1st Half62</t>
  </si>
  <si>
    <t>2nd Half63</t>
  </si>
  <si>
    <t>1st Half64</t>
  </si>
  <si>
    <t>2nd Half65</t>
  </si>
  <si>
    <t>1st Half66</t>
  </si>
  <si>
    <t>2nd Half67</t>
  </si>
  <si>
    <t>1st Half68</t>
  </si>
  <si>
    <t>2nd Half69</t>
  </si>
  <si>
    <t>1st Half70</t>
  </si>
  <si>
    <t>2nd Half71</t>
  </si>
  <si>
    <t>1st Half72</t>
  </si>
  <si>
    <t>2nd Half73</t>
  </si>
  <si>
    <t>1st Half74</t>
  </si>
  <si>
    <t>2nd Half75</t>
  </si>
  <si>
    <t>Maximums</t>
  </si>
  <si>
    <t>Modes</t>
  </si>
  <si>
    <t>Maximum</t>
  </si>
  <si>
    <t>Minimum</t>
  </si>
  <si>
    <t>- Detour twists (blind Detours, e.g.)</t>
  </si>
  <si>
    <r>
      <t xml:space="preserve">Type of Challenge for Each </t>
    </r>
    <r>
      <rPr>
        <b/>
        <sz val="14"/>
        <color rgb="FF63FF2E"/>
        <rFont val="Calibri (Body)"/>
      </rPr>
      <t>Fast Forward</t>
    </r>
  </si>
  <si>
    <r>
      <t>Using Keywords, describing what type each</t>
    </r>
    <r>
      <rPr>
        <sz val="12"/>
        <color rgb="FF63FF2E"/>
        <rFont val="Calibri"/>
        <family val="2"/>
        <scheme val="minor"/>
      </rPr>
      <t>Fast Forward</t>
    </r>
    <r>
      <rPr>
        <sz val="12"/>
        <color theme="1"/>
        <rFont val="Calibri"/>
        <family val="2"/>
        <scheme val="minor"/>
      </rPr>
      <t xml:space="preserve"> is</t>
    </r>
  </si>
  <si>
    <r>
      <t xml:space="preserve">*NOTE: </t>
    </r>
    <r>
      <rPr>
        <sz val="12"/>
        <color theme="1"/>
        <rFont val="Calibri"/>
        <family val="2"/>
        <scheme val="minor"/>
      </rPr>
      <t xml:space="preserve">Not all </t>
    </r>
    <r>
      <rPr>
        <sz val="12"/>
        <color rgb="FFFF0000"/>
        <rFont val="Calibri (Body)"/>
      </rPr>
      <t>Road Block</t>
    </r>
    <r>
      <rPr>
        <sz val="12"/>
        <color theme="1"/>
        <rFont val="Calibri"/>
        <family val="2"/>
        <scheme val="minor"/>
      </rPr>
      <t xml:space="preserve"> challenges could be categorized, these are briefly described without a keyword</t>
    </r>
  </si>
  <si>
    <r>
      <rPr>
        <b/>
        <sz val="12"/>
        <color theme="1"/>
        <rFont val="Calibri"/>
        <family val="2"/>
        <scheme val="minor"/>
      </rPr>
      <t xml:space="preserve">*NOTE: </t>
    </r>
    <r>
      <rPr>
        <sz val="12"/>
        <color theme="1"/>
        <rFont val="Calibri"/>
        <family val="2"/>
        <scheme val="minor"/>
      </rPr>
      <t>Not all</t>
    </r>
    <r>
      <rPr>
        <sz val="12"/>
        <color rgb="FFFFC000"/>
        <rFont val="Calibri (Body)"/>
      </rPr>
      <t xml:space="preserve"> Detour</t>
    </r>
    <r>
      <rPr>
        <sz val="12"/>
        <color theme="1"/>
        <rFont val="Calibri"/>
        <family val="2"/>
        <scheme val="minor"/>
      </rPr>
      <t xml:space="preserve"> challenges could be categorized, these are briefly described without a keyword</t>
    </r>
  </si>
  <si>
    <t>???</t>
  </si>
  <si>
    <r>
      <t xml:space="preserve">*NOTE: </t>
    </r>
    <r>
      <rPr>
        <sz val="12"/>
        <color theme="1"/>
        <rFont val="Calibri"/>
        <family val="2"/>
        <scheme val="minor"/>
      </rPr>
      <t xml:space="preserve">Not all </t>
    </r>
    <r>
      <rPr>
        <sz val="12"/>
        <color rgb="FF63FF2E"/>
        <rFont val="Calibri (Body)"/>
      </rPr>
      <t>Fast Forward</t>
    </r>
    <r>
      <rPr>
        <sz val="12"/>
        <color theme="1"/>
        <rFont val="Calibri"/>
        <family val="2"/>
        <scheme val="minor"/>
      </rPr>
      <t xml:space="preserve"> challenges could be categorized, these are briefly described without a keyword. Many were not aired nor published online (left with "???") - if you have info on any of these please reach out!</t>
    </r>
  </si>
  <si>
    <t>%1-4</t>
  </si>
  <si>
    <t>% 5-38'</t>
  </si>
  <si>
    <r>
      <t xml:space="preserve">Type of Challenge for Each </t>
    </r>
    <r>
      <rPr>
        <b/>
        <sz val="14"/>
        <color rgb="FF92D050"/>
        <rFont val="Calibri"/>
        <family val="2"/>
        <scheme val="minor"/>
      </rPr>
      <t>Speed Bump</t>
    </r>
  </si>
  <si>
    <r>
      <t xml:space="preserve">Using Keywords, describing what type each </t>
    </r>
    <r>
      <rPr>
        <sz val="12"/>
        <color rgb="FF92D050"/>
        <rFont val="Calibri"/>
        <family val="2"/>
        <scheme val="minor"/>
      </rPr>
      <t>Fast Forward</t>
    </r>
    <r>
      <rPr>
        <sz val="12"/>
        <color theme="1"/>
        <rFont val="Calibri"/>
        <family val="2"/>
        <scheme val="minor"/>
      </rPr>
      <t xml:space="preserve"> is</t>
    </r>
  </si>
  <si>
    <r>
      <t xml:space="preserve">*NOTE: </t>
    </r>
    <r>
      <rPr>
        <sz val="12"/>
        <color theme="1"/>
        <rFont val="Calibri"/>
        <family val="2"/>
        <scheme val="minor"/>
      </rPr>
      <t xml:space="preserve">Not all </t>
    </r>
    <r>
      <rPr>
        <sz val="12"/>
        <color rgb="FF92D050"/>
        <rFont val="Calibri (Body)"/>
      </rPr>
      <t>Speed Bump</t>
    </r>
    <r>
      <rPr>
        <sz val="12"/>
        <color theme="1"/>
        <rFont val="Calibri"/>
        <family val="2"/>
        <scheme val="minor"/>
      </rPr>
      <t xml:space="preserve"> challenges could be categorized, these are briefly described without a keyword. Many were not aired nor published online (left with "???") - if you have info on any of these please reach out!</t>
    </r>
  </si>
  <si>
    <t>Escort priest</t>
  </si>
  <si>
    <t>Hang lanterns</t>
  </si>
  <si>
    <t>Put on beards</t>
  </si>
  <si>
    <t>Team Color</t>
  </si>
  <si>
    <t>Blue</t>
  </si>
  <si>
    <t>NA</t>
  </si>
  <si>
    <t>Orange</t>
  </si>
  <si>
    <t>Multicolored</t>
  </si>
  <si>
    <t>Dark blue</t>
  </si>
  <si>
    <t>Black &amp; White</t>
  </si>
  <si>
    <t>Camo</t>
  </si>
  <si>
    <t>Yellow</t>
  </si>
  <si>
    <t>Light blue</t>
  </si>
  <si>
    <t>Dark pink</t>
  </si>
  <si>
    <t>Black</t>
  </si>
  <si>
    <t>Green</t>
  </si>
  <si>
    <t>Purple</t>
  </si>
  <si>
    <t>#'</t>
  </si>
  <si>
    <t>Red</t>
  </si>
  <si>
    <t>Pink</t>
  </si>
  <si>
    <t>Black/White</t>
  </si>
  <si>
    <t>Team Colors</t>
  </si>
  <si>
    <t>Blue Multicolored</t>
  </si>
  <si>
    <t>Occupation(s)</t>
  </si>
  <si>
    <t>Residence</t>
  </si>
  <si>
    <t>Member_1</t>
  </si>
  <si>
    <t>Member_2</t>
  </si>
  <si>
    <t>Leg-by-Challenge</t>
  </si>
  <si>
    <t>This sheet details how each leg breaks down by its challenges</t>
  </si>
  <si>
    <t>Leg-by-Challenges:</t>
  </si>
  <si>
    <r>
      <rPr>
        <b/>
        <sz val="14"/>
        <color rgb="FFFF0000"/>
        <rFont val="Calibri"/>
        <family val="2"/>
        <scheme val="minor"/>
      </rPr>
      <t>Route Info Breakdown</t>
    </r>
    <r>
      <rPr>
        <b/>
        <sz val="14"/>
        <color theme="1"/>
        <rFont val="Calibri"/>
        <family val="2"/>
        <scheme val="minor"/>
      </rPr>
      <t xml:space="preserve"> - </t>
    </r>
    <r>
      <rPr>
        <sz val="14"/>
        <color theme="1"/>
        <rFont val="Calibri"/>
        <family val="2"/>
        <scheme val="minor"/>
      </rPr>
      <t>Types of Transportation/Team Challenge</t>
    </r>
  </si>
  <si>
    <r>
      <t xml:space="preserve">Type of Challenge for Each </t>
    </r>
    <r>
      <rPr>
        <b/>
        <sz val="14"/>
        <color rgb="FF0070C0"/>
        <rFont val="Calibri (Body)"/>
      </rPr>
      <t>Route Info</t>
    </r>
  </si>
  <si>
    <r>
      <t xml:space="preserve">Using Keywords, describing what type each </t>
    </r>
    <r>
      <rPr>
        <sz val="12"/>
        <color rgb="FF0070C0"/>
        <rFont val="Calibri (Body)"/>
      </rPr>
      <t>Route Info</t>
    </r>
    <r>
      <rPr>
        <sz val="12"/>
        <color theme="1"/>
        <rFont val="Calibri"/>
        <family val="2"/>
        <scheme val="minor"/>
      </rPr>
      <t xml:space="preserve"> is</t>
    </r>
  </si>
  <si>
    <r>
      <t xml:space="preserve">*NOTE: </t>
    </r>
    <r>
      <rPr>
        <sz val="12"/>
        <color theme="1"/>
        <rFont val="Calibri"/>
        <family val="2"/>
        <scheme val="minor"/>
      </rPr>
      <t xml:space="preserve">Not all </t>
    </r>
    <r>
      <rPr>
        <sz val="12"/>
        <color rgb="FF0070C0"/>
        <rFont val="Calibri (Body)"/>
      </rPr>
      <t>Route Info</t>
    </r>
    <r>
      <rPr>
        <sz val="12"/>
        <color theme="1"/>
        <rFont val="Calibri"/>
        <family val="2"/>
        <scheme val="minor"/>
      </rPr>
      <t xml:space="preserve"> challenges could be categorized, these are briefly described without a keyword</t>
    </r>
  </si>
  <si>
    <r>
      <t xml:space="preserve">Challenge </t>
    </r>
    <r>
      <rPr>
        <sz val="12"/>
        <color theme="1"/>
        <rFont val="Calibri"/>
        <family val="2"/>
        <scheme val="minor"/>
      </rPr>
      <t>Ride</t>
    </r>
  </si>
  <si>
    <r>
      <rPr>
        <sz val="12"/>
        <color theme="1"/>
        <rFont val="Calibri"/>
        <family val="2"/>
        <scheme val="minor"/>
      </rPr>
      <t>Taxi</t>
    </r>
    <r>
      <rPr>
        <b/>
        <sz val="12"/>
        <color theme="1"/>
        <rFont val="Calibri"/>
        <family val="2"/>
        <scheme val="minor"/>
      </rPr>
      <t xml:space="preserve"> Challenge</t>
    </r>
  </si>
  <si>
    <r>
      <rPr>
        <sz val="12"/>
        <color theme="1"/>
        <rFont val="Calibri"/>
        <family val="2"/>
        <scheme val="minor"/>
      </rPr>
      <t>Taxi</t>
    </r>
    <r>
      <rPr>
        <b/>
        <sz val="12"/>
        <color theme="1"/>
        <rFont val="Calibri"/>
        <family val="2"/>
        <scheme val="minor"/>
      </rPr>
      <t xml:space="preserve"> Challenge </t>
    </r>
  </si>
  <si>
    <r>
      <t xml:space="preserve">Challenge </t>
    </r>
    <r>
      <rPr>
        <sz val="12"/>
        <color theme="1"/>
        <rFont val="Calibri"/>
        <family val="2"/>
        <scheme val="minor"/>
      </rPr>
      <t>Fly 
Taxi</t>
    </r>
  </si>
  <si>
    <t>Give blessings</t>
  </si>
  <si>
    <r>
      <rPr>
        <sz val="12"/>
        <color theme="1"/>
        <rFont val="Calibri"/>
        <family val="2"/>
        <scheme val="minor"/>
      </rPr>
      <t>Fly</t>
    </r>
    <r>
      <rPr>
        <b/>
        <sz val="12"/>
        <color theme="1"/>
        <rFont val="Calibri"/>
        <family val="2"/>
        <scheme val="minor"/>
      </rPr>
      <t xml:space="preserve">
Challenge</t>
    </r>
  </si>
  <si>
    <r>
      <t>Taxi
Train
Taxi</t>
    </r>
    <r>
      <rPr>
        <b/>
        <sz val="12"/>
        <color theme="1"/>
        <rFont val="Calibri"/>
        <family val="2"/>
        <scheme val="minor"/>
      </rPr>
      <t xml:space="preserve">
Challenge</t>
    </r>
  </si>
  <si>
    <r>
      <t xml:space="preserve">% of </t>
    </r>
    <r>
      <rPr>
        <b/>
        <sz val="14"/>
        <color rgb="FF0070C0"/>
        <rFont val="Calibri"/>
        <family val="2"/>
        <scheme val="minor"/>
      </rPr>
      <t xml:space="preserve">Route Info </t>
    </r>
    <r>
      <rPr>
        <b/>
        <sz val="14"/>
        <color rgb="FFFF0000"/>
        <rFont val="Calibri"/>
        <family val="2"/>
        <scheme val="minor"/>
      </rPr>
      <t>per Challenge per Leg</t>
    </r>
  </si>
  <si>
    <r>
      <t xml:space="preserve">% of </t>
    </r>
    <r>
      <rPr>
        <b/>
        <sz val="14"/>
        <color rgb="FFFFC000"/>
        <rFont val="Calibri"/>
        <family val="2"/>
        <scheme val="minor"/>
      </rPr>
      <t>Detour</t>
    </r>
    <r>
      <rPr>
        <b/>
        <sz val="14"/>
        <color rgb="FFFF0000"/>
        <rFont val="Calibri"/>
        <family val="2"/>
        <scheme val="minor"/>
      </rPr>
      <t xml:space="preserve"> per Challenge per Leg</t>
    </r>
  </si>
  <si>
    <r>
      <t xml:space="preserve"># of </t>
    </r>
    <r>
      <rPr>
        <b/>
        <sz val="14"/>
        <color rgb="FFFFC000"/>
        <rFont val="Calibri"/>
        <family val="2"/>
        <scheme val="minor"/>
      </rPr>
      <t>Detours</t>
    </r>
    <r>
      <rPr>
        <b/>
        <sz val="14"/>
        <color rgb="FFFF0000"/>
        <rFont val="Calibri"/>
        <family val="2"/>
        <scheme val="minor"/>
      </rPr>
      <t xml:space="preserve"> per Challenge per Season</t>
    </r>
  </si>
  <si>
    <r>
      <t xml:space="preserve">Keywords of </t>
    </r>
    <r>
      <rPr>
        <b/>
        <sz val="14"/>
        <color rgb="FFFFC000"/>
        <rFont val="Calibri"/>
        <family val="2"/>
        <scheme val="minor"/>
      </rPr>
      <t>Detours</t>
    </r>
    <r>
      <rPr>
        <b/>
        <sz val="14"/>
        <color rgb="FFFF0000"/>
        <rFont val="Calibri"/>
        <family val="2"/>
        <scheme val="minor"/>
      </rPr>
      <t xml:space="preserve"> per Leg</t>
    </r>
  </si>
  <si>
    <r>
      <t xml:space="preserve">Keywords of </t>
    </r>
    <r>
      <rPr>
        <b/>
        <sz val="14"/>
        <color rgb="FFFFC000"/>
        <rFont val="Calibri"/>
        <family val="2"/>
        <scheme val="minor"/>
      </rPr>
      <t>Detour</t>
    </r>
    <r>
      <rPr>
        <b/>
        <sz val="14"/>
        <color rgb="FFFF0000"/>
        <rFont val="Calibri"/>
        <family val="2"/>
        <scheme val="minor"/>
      </rPr>
      <t xml:space="preserve"> per Leg</t>
    </r>
  </si>
  <si>
    <r>
      <t>Keywords of</t>
    </r>
    <r>
      <rPr>
        <b/>
        <sz val="14"/>
        <color rgb="FFFFC000"/>
        <rFont val="Calibri"/>
        <family val="2"/>
        <scheme val="minor"/>
      </rPr>
      <t xml:space="preserve"> Detour</t>
    </r>
    <r>
      <rPr>
        <b/>
        <sz val="14"/>
        <color rgb="FFFF0000"/>
        <rFont val="Calibri"/>
        <family val="2"/>
        <scheme val="minor"/>
      </rPr>
      <t xml:space="preserve"> per Season</t>
    </r>
  </si>
  <si>
    <r>
      <t xml:space="preserve">Keywords of </t>
    </r>
    <r>
      <rPr>
        <b/>
        <sz val="14"/>
        <color rgb="FFFFC000"/>
        <rFont val="Calibri"/>
        <family val="2"/>
        <scheme val="minor"/>
      </rPr>
      <t xml:space="preserve">Detour </t>
    </r>
    <r>
      <rPr>
        <b/>
        <sz val="14"/>
        <color rgb="FFFF0000"/>
        <rFont val="Calibri"/>
        <family val="2"/>
        <scheme val="minor"/>
      </rPr>
      <t>per Half of Detour</t>
    </r>
  </si>
  <si>
    <r>
      <t xml:space="preserve">% of </t>
    </r>
    <r>
      <rPr>
        <b/>
        <sz val="14"/>
        <color rgb="FF63FF2E"/>
        <rFont val="Calibri"/>
        <family val="2"/>
        <scheme val="minor"/>
      </rPr>
      <t>Fast Forwards</t>
    </r>
    <r>
      <rPr>
        <b/>
        <sz val="14"/>
        <color rgb="FFFF0000"/>
        <rFont val="Calibri"/>
        <family val="2"/>
        <scheme val="minor"/>
      </rPr>
      <t xml:space="preserve"> per Challenge per Leg</t>
    </r>
  </si>
  <si>
    <r>
      <t># of</t>
    </r>
    <r>
      <rPr>
        <b/>
        <sz val="14"/>
        <color rgb="FF63FF2E"/>
        <rFont val="Calibri"/>
        <family val="2"/>
        <scheme val="minor"/>
      </rPr>
      <t xml:space="preserve"> Fast Forwards</t>
    </r>
    <r>
      <rPr>
        <b/>
        <sz val="14"/>
        <color rgb="FFFF0000"/>
        <rFont val="Calibri"/>
        <family val="2"/>
        <scheme val="minor"/>
      </rPr>
      <t xml:space="preserve"> per Challenge per Season</t>
    </r>
  </si>
  <si>
    <r>
      <t>Keywords of</t>
    </r>
    <r>
      <rPr>
        <b/>
        <sz val="14"/>
        <color rgb="FF63FF2E"/>
        <rFont val="Calibri"/>
        <family val="2"/>
        <scheme val="minor"/>
      </rPr>
      <t xml:space="preserve"> Fast Forwards</t>
    </r>
    <r>
      <rPr>
        <b/>
        <sz val="14"/>
        <color rgb="FFFF0000"/>
        <rFont val="Calibri"/>
        <family val="2"/>
        <scheme val="minor"/>
      </rPr>
      <t xml:space="preserve"> per Leg</t>
    </r>
  </si>
  <si>
    <r>
      <t xml:space="preserve">Keywords of </t>
    </r>
    <r>
      <rPr>
        <b/>
        <sz val="14"/>
        <color rgb="FF63FF2E"/>
        <rFont val="Calibri"/>
        <family val="2"/>
        <scheme val="minor"/>
      </rPr>
      <t>Fast Forwards</t>
    </r>
    <r>
      <rPr>
        <b/>
        <sz val="14"/>
        <color rgb="FFFF0000"/>
        <rFont val="Calibri"/>
        <family val="2"/>
        <scheme val="minor"/>
      </rPr>
      <t xml:space="preserve"> per Leg</t>
    </r>
  </si>
  <si>
    <r>
      <t xml:space="preserve"># of Keyword </t>
    </r>
    <r>
      <rPr>
        <b/>
        <sz val="14"/>
        <color rgb="FF63FF2E"/>
        <rFont val="Calibri"/>
        <family val="2"/>
        <scheme val="minor"/>
      </rPr>
      <t>Fast Forwards</t>
    </r>
    <r>
      <rPr>
        <b/>
        <sz val="14"/>
        <color rgb="FFFF0000"/>
        <rFont val="Calibri"/>
        <family val="2"/>
        <scheme val="minor"/>
      </rPr>
      <t xml:space="preserve"> per Season</t>
    </r>
  </si>
  <si>
    <r>
      <t xml:space="preserve">Percent of Keywords on </t>
    </r>
    <r>
      <rPr>
        <b/>
        <sz val="14"/>
        <color rgb="FF63FF2E"/>
        <rFont val="Calibri"/>
        <family val="2"/>
        <scheme val="minor"/>
      </rPr>
      <t>Fast Forwards</t>
    </r>
    <r>
      <rPr>
        <b/>
        <sz val="14"/>
        <color rgb="FFFF0000"/>
        <rFont val="Calibri"/>
        <family val="2"/>
        <scheme val="minor"/>
      </rPr>
      <t>(1-4 / 5-38)</t>
    </r>
  </si>
  <si>
    <r>
      <t xml:space="preserve">Percent of Keywords on </t>
    </r>
    <r>
      <rPr>
        <b/>
        <sz val="14"/>
        <color rgb="FF63FF2E"/>
        <rFont val="Calibri"/>
        <family val="2"/>
        <scheme val="minor"/>
      </rPr>
      <t>Fast Forwards</t>
    </r>
  </si>
  <si>
    <r>
      <t xml:space="preserve">Keywords of </t>
    </r>
    <r>
      <rPr>
        <b/>
        <sz val="14"/>
        <color rgb="FF92D050"/>
        <rFont val="Calibri"/>
        <family val="2"/>
        <scheme val="minor"/>
      </rPr>
      <t>Speed Bumps</t>
    </r>
    <r>
      <rPr>
        <b/>
        <sz val="14"/>
        <color rgb="FFFF0000"/>
        <rFont val="Calibri"/>
        <family val="2"/>
        <scheme val="minor"/>
      </rPr>
      <t xml:space="preserve"> per Leg</t>
    </r>
  </si>
  <si>
    <r>
      <t xml:space="preserve">Keywords of </t>
    </r>
    <r>
      <rPr>
        <b/>
        <sz val="14"/>
        <color rgb="FF92D050"/>
        <rFont val="Calibri"/>
        <family val="2"/>
        <scheme val="minor"/>
      </rPr>
      <t xml:space="preserve">Speed Bumps </t>
    </r>
    <r>
      <rPr>
        <b/>
        <sz val="14"/>
        <color rgb="FFFF0000"/>
        <rFont val="Calibri"/>
        <family val="2"/>
        <scheme val="minor"/>
      </rPr>
      <t>per Leg</t>
    </r>
  </si>
  <si>
    <r>
      <t xml:space="preserve"># of </t>
    </r>
    <r>
      <rPr>
        <b/>
        <sz val="14"/>
        <color rgb="FF92D050"/>
        <rFont val="Calibri"/>
        <family val="2"/>
        <scheme val="minor"/>
      </rPr>
      <t>Speed Bumps</t>
    </r>
    <r>
      <rPr>
        <b/>
        <sz val="14"/>
        <color rgb="FFFF0000"/>
        <rFont val="Calibri"/>
        <family val="2"/>
        <scheme val="minor"/>
      </rPr>
      <t xml:space="preserve"> per Challenge per Season</t>
    </r>
  </si>
  <si>
    <r>
      <t xml:space="preserve">% of </t>
    </r>
    <r>
      <rPr>
        <b/>
        <sz val="14"/>
        <color rgb="FF92D050"/>
        <rFont val="Calibri"/>
        <family val="2"/>
        <scheme val="minor"/>
      </rPr>
      <t>Speed Bump</t>
    </r>
    <r>
      <rPr>
        <b/>
        <sz val="14"/>
        <color rgb="FFFF0000"/>
        <rFont val="Calibri"/>
        <family val="2"/>
        <scheme val="minor"/>
      </rPr>
      <t>s per Challenge per Leg</t>
    </r>
  </si>
  <si>
    <r>
      <t># of Keyword</t>
    </r>
    <r>
      <rPr>
        <b/>
        <sz val="14"/>
        <color rgb="FF92D050"/>
        <rFont val="Calibri"/>
        <family val="2"/>
        <scheme val="minor"/>
      </rPr>
      <t xml:space="preserve"> Speed Bumps</t>
    </r>
    <r>
      <rPr>
        <b/>
        <sz val="14"/>
        <color rgb="FFFF0000"/>
        <rFont val="Calibri"/>
        <family val="2"/>
        <scheme val="minor"/>
      </rPr>
      <t xml:space="preserve"> per Season</t>
    </r>
  </si>
  <si>
    <r>
      <t xml:space="preserve">Percent of Keywords on </t>
    </r>
    <r>
      <rPr>
        <b/>
        <sz val="14"/>
        <color rgb="FF92D050"/>
        <rFont val="Calibri"/>
        <family val="2"/>
        <scheme val="minor"/>
      </rPr>
      <t>Speed Bumps</t>
    </r>
  </si>
  <si>
    <r>
      <t xml:space="preserve"># of </t>
    </r>
    <r>
      <rPr>
        <b/>
        <sz val="14"/>
        <color rgb="FF0070C0"/>
        <rFont val="Calibri"/>
        <family val="2"/>
        <scheme val="minor"/>
      </rPr>
      <t>Route Infos</t>
    </r>
    <r>
      <rPr>
        <b/>
        <sz val="14"/>
        <color rgb="FFFF0000"/>
        <rFont val="Calibri"/>
        <family val="2"/>
        <scheme val="minor"/>
      </rPr>
      <t xml:space="preserve"> per Challenge per Season</t>
    </r>
  </si>
  <si>
    <t>Challenge 14</t>
  </si>
  <si>
    <r>
      <t xml:space="preserve">Keywords of </t>
    </r>
    <r>
      <rPr>
        <b/>
        <sz val="14"/>
        <color rgb="FF0070C0"/>
        <rFont val="Calibri"/>
        <family val="2"/>
        <scheme val="minor"/>
      </rPr>
      <t xml:space="preserve">Route Infos </t>
    </r>
    <r>
      <rPr>
        <b/>
        <sz val="14"/>
        <color rgb="FFFF0000"/>
        <rFont val="Calibri"/>
        <family val="2"/>
        <scheme val="minor"/>
      </rPr>
      <t>per Leg</t>
    </r>
  </si>
  <si>
    <r>
      <t xml:space="preserve">Keywords of </t>
    </r>
    <r>
      <rPr>
        <b/>
        <sz val="14"/>
        <color rgb="FF0070C0"/>
        <rFont val="Calibri"/>
        <family val="2"/>
        <scheme val="minor"/>
      </rPr>
      <t>Route Infos</t>
    </r>
    <r>
      <rPr>
        <b/>
        <sz val="14"/>
        <color rgb="FFFF0000"/>
        <rFont val="Calibri"/>
        <family val="2"/>
        <scheme val="minor"/>
      </rPr>
      <t xml:space="preserve"> per Leg</t>
    </r>
  </si>
  <si>
    <r>
      <t xml:space="preserve">Percent of Keywords on </t>
    </r>
    <r>
      <rPr>
        <b/>
        <sz val="14"/>
        <color rgb="FF0070C0"/>
        <rFont val="Calibri"/>
        <family val="2"/>
        <scheme val="minor"/>
      </rPr>
      <t>Route Infos</t>
    </r>
  </si>
  <si>
    <r>
      <t xml:space="preserve"># of Keyword </t>
    </r>
    <r>
      <rPr>
        <b/>
        <sz val="14"/>
        <color rgb="FF0070C0"/>
        <rFont val="Calibri"/>
        <family val="2"/>
        <scheme val="minor"/>
      </rPr>
      <t>Route Infos</t>
    </r>
    <r>
      <rPr>
        <b/>
        <sz val="14"/>
        <color rgb="FFFF0000"/>
        <rFont val="Calibri"/>
        <family val="2"/>
        <scheme val="minor"/>
      </rPr>
      <t xml:space="preserve"> per Season</t>
    </r>
  </si>
  <si>
    <r>
      <rPr>
        <b/>
        <sz val="12"/>
        <color theme="1"/>
        <rFont val="Calibri"/>
        <family val="2"/>
        <scheme val="minor"/>
      </rPr>
      <t>*NOTE:</t>
    </r>
    <r>
      <rPr>
        <sz val="12"/>
        <color theme="1"/>
        <rFont val="Calibri"/>
        <family val="2"/>
        <scheme val="minor"/>
      </rPr>
      <t xml:space="preserve"> I am only counting </t>
    </r>
    <r>
      <rPr>
        <sz val="12"/>
        <color rgb="FF0070C0"/>
        <rFont val="Calibri"/>
        <family val="2"/>
        <scheme val="minor"/>
      </rPr>
      <t xml:space="preserve">Route Infos </t>
    </r>
    <r>
      <rPr>
        <sz val="12"/>
        <color theme="1"/>
        <rFont val="Calibri"/>
        <family val="2"/>
        <scheme val="minor"/>
      </rPr>
      <t>that actually require some challenge from all teams - no traveling. Unless the traveling is a unique challenge in itself, like walking an animal somewhere.</t>
    </r>
  </si>
  <si>
    <r>
      <rPr>
        <b/>
        <sz val="12"/>
        <color theme="1"/>
        <rFont val="Calibri"/>
        <family val="2"/>
        <scheme val="minor"/>
      </rPr>
      <t xml:space="preserve">*NOTE: </t>
    </r>
    <r>
      <rPr>
        <sz val="12"/>
        <color theme="1"/>
        <rFont val="Calibri"/>
        <family val="2"/>
        <scheme val="minor"/>
      </rPr>
      <t>All legs not labeled as "</t>
    </r>
    <r>
      <rPr>
        <sz val="12"/>
        <color rgb="FFFFC000"/>
        <rFont val="Calibri"/>
        <family val="2"/>
        <scheme val="minor"/>
      </rPr>
      <t>Final Leg</t>
    </r>
    <r>
      <rPr>
        <sz val="12"/>
        <color theme="1"/>
        <rFont val="Calibri"/>
        <family val="2"/>
        <scheme val="minor"/>
      </rPr>
      <t>" are not the final leg of each season, obviously</t>
    </r>
  </si>
  <si>
    <t>Countries traveled to in each Leg</t>
  </si>
  <si>
    <t xml:space="preserve">Malaysia
</t>
  </si>
  <si>
    <t xml:space="preserve">England
</t>
  </si>
  <si>
    <t xml:space="preserve">Germany
</t>
  </si>
  <si>
    <t># of Countries traveled to on each Season</t>
  </si>
  <si>
    <t># of Unique Countries</t>
  </si>
  <si>
    <t>Firsts</t>
  </si>
  <si>
    <t>Leg_1</t>
  </si>
  <si>
    <t>Indicates that they won the Leg_ (Yellow text indicates won race)</t>
  </si>
  <si>
    <t>*NOTE: Kaylynn &amp; Haley were Yielded twice on Leg_ 8, so it's bolded</t>
  </si>
  <si>
    <t>Leg_2</t>
  </si>
  <si>
    <t>Leg_3</t>
  </si>
  <si>
    <t>Leg_4</t>
  </si>
  <si>
    <t>Leg_5</t>
  </si>
  <si>
    <t>Leg_6</t>
  </si>
  <si>
    <t>Leg_7</t>
  </si>
  <si>
    <t>Leg_8</t>
  </si>
  <si>
    <t>Leg_9</t>
  </si>
  <si>
    <t>Leg_10</t>
  </si>
  <si>
    <t>Leg_11</t>
  </si>
  <si>
    <t>Leg_12</t>
  </si>
  <si>
    <t>Leg_13</t>
  </si>
  <si>
    <t>Final</t>
  </si>
  <si>
    <t>Team_Name</t>
  </si>
  <si>
    <t>Equalizers</t>
  </si>
  <si>
    <t>This sheet is dedicated to equalizers on TAR, which is when teams are held at a certain point during the leg (intentionally or not) so that other teams might have the opportunity to catch up to the front.</t>
  </si>
  <si>
    <t>Leg</t>
  </si>
  <si>
    <t>Type</t>
  </si>
  <si>
    <t>Successful?</t>
  </si>
  <si>
    <r>
      <rPr>
        <b/>
        <sz val="12"/>
        <color theme="1"/>
        <rFont val="Calibri"/>
        <family val="2"/>
        <scheme val="minor"/>
      </rPr>
      <t>*NOTE:</t>
    </r>
    <r>
      <rPr>
        <sz val="12"/>
        <color theme="1"/>
        <rFont val="Calibri"/>
        <family val="2"/>
        <scheme val="minor"/>
      </rPr>
      <t xml:space="preserve"> A successful equalizer is when </t>
    </r>
    <r>
      <rPr>
        <i/>
        <sz val="12"/>
        <color theme="1"/>
        <rFont val="Calibri"/>
        <family val="2"/>
        <scheme val="minor"/>
      </rPr>
      <t xml:space="preserve">all </t>
    </r>
    <r>
      <rPr>
        <sz val="12"/>
        <color theme="1"/>
        <rFont val="Calibri"/>
        <family val="2"/>
        <scheme val="minor"/>
      </rPr>
      <t>teams are able to catch up, I will make note of when/why equalizers are not successful.</t>
    </r>
  </si>
  <si>
    <t>Time</t>
  </si>
  <si>
    <r>
      <t>*NOTE: For U-Turns,</t>
    </r>
    <r>
      <rPr>
        <sz val="12"/>
        <rFont val="Calibri (Body)"/>
      </rPr>
      <t xml:space="preserve"> </t>
    </r>
    <r>
      <rPr>
        <i/>
        <sz val="12"/>
        <rFont val="Calibri (Body)"/>
      </rPr>
      <t xml:space="preserve">Italicized </t>
    </r>
    <r>
      <rPr>
        <sz val="12"/>
        <rFont val="Calibri (Body)"/>
      </rPr>
      <t xml:space="preserve">indicates a U-Turn vote, </t>
    </r>
    <r>
      <rPr>
        <u/>
        <sz val="12"/>
        <rFont val="Calibri (Body)"/>
      </rPr>
      <t>Underlined</t>
    </r>
    <r>
      <rPr>
        <sz val="12"/>
        <rFont val="Calibri (Body)"/>
      </rPr>
      <t xml:space="preserve"> indicates a Blind U-Turn, and </t>
    </r>
    <r>
      <rPr>
        <b/>
        <sz val="12"/>
        <rFont val="Calibri (Body)"/>
      </rPr>
      <t xml:space="preserve">Bolded </t>
    </r>
    <r>
      <rPr>
        <sz val="12"/>
        <rFont val="Calibri (Body)"/>
      </rPr>
      <t>indicates a 3x U-Turn</t>
    </r>
  </si>
  <si>
    <r>
      <t xml:space="preserve">Okay, </t>
    </r>
    <r>
      <rPr>
        <i/>
        <sz val="12"/>
        <color theme="1"/>
        <rFont val="Calibri"/>
        <family val="2"/>
        <scheme val="minor"/>
      </rPr>
      <t xml:space="preserve">NOW </t>
    </r>
    <r>
      <rPr>
        <sz val="12"/>
        <color theme="1"/>
        <rFont val="Calibri"/>
        <family val="2"/>
        <scheme val="minor"/>
      </rPr>
      <t xml:space="preserve">Season 38 is the </t>
    </r>
    <r>
      <rPr>
        <b/>
        <i/>
        <sz val="12"/>
        <color theme="1"/>
        <rFont val="Calibri"/>
        <family val="2"/>
        <scheme val="minor"/>
      </rPr>
      <t xml:space="preserve">TRUE </t>
    </r>
    <r>
      <rPr>
        <sz val="12"/>
        <color theme="1"/>
        <rFont val="Calibri"/>
        <family val="2"/>
        <scheme val="minor"/>
      </rPr>
      <t>latest season of the race, filmed in March and April of 2025. Again, we are moving further away from being a "COVID" season as no travel was affected. However, this season is known as a "European Adventure" where all countries traveled to were in Europe - besides the final leg. Also, this season exclusively featured teams comprised of one Big Brother alumni and their travel partner.</t>
    </r>
  </si>
  <si>
    <r>
      <rPr>
        <sz val="12"/>
        <color rgb="FFFFC000"/>
        <rFont val="Calibri (Body)"/>
      </rPr>
      <t>Winners:</t>
    </r>
    <r>
      <rPr>
        <sz val="12"/>
        <color theme="1"/>
        <rFont val="Calibri"/>
        <family val="2"/>
        <scheme val="minor"/>
      </rPr>
      <t xml:space="preserve"> Jag and Jas!</t>
    </r>
  </si>
  <si>
    <t>- Siblings</t>
  </si>
  <si>
    <t>- Both under 30 (28 and 27)</t>
  </si>
  <si>
    <t>- First team from Washington State</t>
  </si>
  <si>
    <t>- 2nd best winning team by AFP</t>
  </si>
  <si>
    <t>- Tied 2nd for most wins with 7 legs (should be 8)</t>
  </si>
  <si>
    <t>- First Sikh Punjabi team to win</t>
  </si>
  <si>
    <t>% Change from Season 37</t>
  </si>
  <si>
    <t>Important Things of Note:</t>
  </si>
  <si>
    <t>- This season had the first instance of a triple U-Turn</t>
  </si>
  <si>
    <t>- The Hazard returned this season on Leg 1</t>
  </si>
  <si>
    <t>- The "penalty" for the non-elimination leg was an extra vote during the U-Turn Vote</t>
  </si>
  <si>
    <t>- Teams started the race in Hoorn, Netherlands (not the USA)</t>
  </si>
  <si>
    <t>- All legs were raced in Europe, except for the last</t>
  </si>
  <si>
    <t>Cities</t>
  </si>
  <si>
    <t>NonElim</t>
  </si>
  <si>
    <t>- This is the 3rd season with only one non-elimination leg</t>
  </si>
  <si>
    <t>- Not a new country, but they haven't been to Romania since Season 14</t>
  </si>
  <si>
    <t>Seasons</t>
  </si>
  <si>
    <t>This is THE REAL newest season of the race. Another sheet dedicated to the newest season and what sets it apart from the rest.</t>
  </si>
  <si>
    <t>Route_Info</t>
  </si>
  <si>
    <r>
      <t xml:space="preserve">*NOTE: </t>
    </r>
    <r>
      <rPr>
        <sz val="12"/>
        <color theme="1"/>
        <rFont val="Calibri"/>
        <family val="2"/>
        <scheme val="minor"/>
      </rPr>
      <t>Types of challenges are headed where they were first introduced, and counts for challenges are cut off on the last season they were used</t>
    </r>
    <r>
      <rPr>
        <b/>
        <sz val="12"/>
        <color theme="1"/>
        <rFont val="Calibri"/>
        <family val="2"/>
        <scheme val="minor"/>
      </rPr>
      <t xml:space="preserve">. For instance, </t>
    </r>
    <r>
      <rPr>
        <sz val="12"/>
        <color rgb="FF92D050"/>
        <rFont val="Calibri (Body)"/>
      </rPr>
      <t xml:space="preserve">Speed Bumps </t>
    </r>
    <r>
      <rPr>
        <sz val="12"/>
        <rFont val="Calibri (Body)"/>
      </rPr>
      <t>were introduced in Season 12 and were last used in Season 33.</t>
    </r>
  </si>
  <si>
    <r>
      <t>Keywords of</t>
    </r>
    <r>
      <rPr>
        <b/>
        <sz val="14"/>
        <color rgb="FFFFC000"/>
        <rFont val="Calibri"/>
        <family val="2"/>
        <scheme val="minor"/>
      </rPr>
      <t xml:space="preserve"> Detour</t>
    </r>
    <r>
      <rPr>
        <b/>
        <sz val="14"/>
        <color rgb="FFFF0000"/>
        <rFont val="Calibri"/>
        <family val="2"/>
        <scheme val="minor"/>
      </rPr>
      <t xml:space="preserve"> per each half per Season</t>
    </r>
  </si>
  <si>
    <t>challenge(s) that require the assembly of something - provided instructions or otherwise.</t>
  </si>
  <si>
    <t>This sheet is for tracking the amount of challenge per leg.</t>
  </si>
  <si>
    <t>This sheet is to note the performance of every team in TAR US history.</t>
  </si>
  <si>
    <t>Challenge_1</t>
  </si>
  <si>
    <t>Challenge_2</t>
  </si>
  <si>
    <t>Challenge_3</t>
  </si>
  <si>
    <t>Challenge_4</t>
  </si>
  <si>
    <t>Challenge_5</t>
  </si>
  <si>
    <t>Challenge_6</t>
  </si>
  <si>
    <t>Challenge_7</t>
  </si>
  <si>
    <t>Challenge_8</t>
  </si>
  <si>
    <t>Challenge_9</t>
  </si>
  <si>
    <t>Challenge_10</t>
  </si>
  <si>
    <t>Challenge_11</t>
  </si>
  <si>
    <t>Challenge_12</t>
  </si>
  <si>
    <t>Challenge_13</t>
  </si>
  <si>
    <t>Season_Num</t>
  </si>
  <si>
    <t>Leg_Num</t>
  </si>
  <si>
    <t xml:space="preserve">Final </t>
  </si>
  <si>
    <t>Challenge Type</t>
  </si>
  <si>
    <t>SQL Query Maker</t>
  </si>
  <si>
    <t>Geographic_Area</t>
  </si>
  <si>
    <t>Caribbean
North America</t>
  </si>
  <si>
    <t>Elimination</t>
  </si>
  <si>
    <t>Challenge_Num</t>
  </si>
  <si>
    <t xml:space="preserve">Yield </t>
  </si>
  <si>
    <t>2 thru 3</t>
  </si>
  <si>
    <t>3 thru 4</t>
  </si>
  <si>
    <t xml:space="preserve">Partner Swap </t>
  </si>
  <si>
    <t>Double U-Turn
Express Pass</t>
  </si>
  <si>
    <t>5 and 10</t>
  </si>
  <si>
    <t>Dropdown Lists</t>
  </si>
  <si>
    <t xml:space="preserve">
In each of the dropdowns, either select an option, or leave it blank! SQL will show a list below that meets the requirements you specified. This Query tracks challenges, locations, eliminations, and twists for each season and leg. If your selections have not happened before, the query will return blank. If all the dropdowns are left blank, then information from every leg will return.
</t>
  </si>
  <si>
    <t>Winning_Team</t>
  </si>
  <si>
    <t>hello!</t>
  </si>
  <si>
    <t>Sorted Data</t>
  </si>
  <si>
    <t>VBA Script for SQL Data</t>
  </si>
  <si>
    <t>Tara &amp; Wil
Blake &amp; Paige</t>
  </si>
  <si>
    <t>Oswald &amp; Danny
Uchenna &amp; Joyce</t>
  </si>
  <si>
    <t>Alex &amp; Conor
Lucas &amp; Brittany</t>
  </si>
  <si>
    <t>Carson &amp; Jack
Alyssa &amp; Josiah</t>
  </si>
  <si>
    <t>Millie &amp; Chuck
Steve &amp; Josh
Amanda &amp; Chris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</si>
</sst>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226">
    <font>
      <sz val="12"/>
      <color theme="1"/>
      <name val="Calibri"/>
      <family val="2"/>
      <scheme val="minor"/>
    </font>
    <font>
      <sz val="12"/>
      <color rgb="FFFF0000"/>
      <name val="Calibri"/>
      <family val="2"/>
      <scheme val="minor"/>
    </font>
    <font>
      <sz val="12"/>
      <color theme="0"/>
      <name val="Calibri"/>
      <family val="2"/>
      <scheme val="minor"/>
    </font>
    <font>
      <sz val="8"/>
      <name val="Calibri"/>
      <family val="2"/>
      <scheme val="minor"/>
    </font>
    <font>
      <b/>
      <sz val="16"/>
      <color theme="1"/>
      <name val="Calibri"/>
      <family val="2"/>
      <scheme val="minor"/>
    </font>
    <font>
      <b/>
      <sz val="20"/>
      <color theme="1"/>
      <name val="Calibri (Body)"/>
    </font>
    <font>
      <sz val="12"/>
      <color rgb="FF7030A0"/>
      <name val="Calibri"/>
      <family val="2"/>
      <scheme val="minor"/>
    </font>
    <font>
      <sz val="12"/>
      <color rgb="FFC00000"/>
      <name val="Calibri"/>
      <family val="2"/>
      <scheme val="minor"/>
    </font>
    <font>
      <sz val="12"/>
      <color rgb="FF003EFF"/>
      <name val="Calibri"/>
      <family val="2"/>
      <scheme val="minor"/>
    </font>
    <font>
      <sz val="12"/>
      <color theme="1"/>
      <name val="Calibri (Body)"/>
    </font>
    <font>
      <sz val="12"/>
      <color rgb="FFFFFFFF"/>
      <name val="Calibri"/>
      <family val="2"/>
      <scheme val="minor"/>
    </font>
    <font>
      <sz val="12"/>
      <color rgb="FF000000"/>
      <name val="Calibri"/>
      <family val="2"/>
      <scheme val="minor"/>
    </font>
    <font>
      <sz val="12"/>
      <color rgb="FFFFC000"/>
      <name val="Calibri"/>
      <family val="2"/>
      <scheme val="minor"/>
    </font>
    <font>
      <sz val="14"/>
      <color rgb="FFFF0000"/>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2"/>
      <color rgb="FF58FF00"/>
      <name val="Calibri"/>
      <family val="2"/>
      <scheme val="minor"/>
    </font>
    <font>
      <sz val="14"/>
      <color rgb="FF0070C0"/>
      <name val="Calibri"/>
      <family val="2"/>
      <scheme val="minor"/>
    </font>
    <font>
      <sz val="12"/>
      <color rgb="FFFF00E6"/>
      <name val="Calibri"/>
      <family val="2"/>
      <scheme val="minor"/>
    </font>
    <font>
      <sz val="12"/>
      <name val="Calibri"/>
      <family val="2"/>
      <scheme val="minor"/>
    </font>
    <font>
      <sz val="12"/>
      <name val="Calibri (Body)"/>
    </font>
    <font>
      <sz val="12"/>
      <color rgb="FFFFFF00"/>
      <name val="Calibri (Body)"/>
    </font>
    <font>
      <sz val="12"/>
      <color rgb="FFFF8592"/>
      <name val="Calibri"/>
      <family val="2"/>
      <scheme val="minor"/>
    </font>
    <font>
      <b/>
      <sz val="14"/>
      <color theme="1"/>
      <name val="Calibri"/>
      <family val="2"/>
      <scheme val="minor"/>
    </font>
    <font>
      <sz val="16"/>
      <color theme="1"/>
      <name val="Helvetica"/>
      <family val="2"/>
    </font>
    <font>
      <sz val="72"/>
      <color rgb="FFFFC000"/>
      <name val="Britannic Bold"/>
    </font>
    <font>
      <b/>
      <sz val="16"/>
      <name val="Helvetica"/>
      <family val="2"/>
    </font>
    <font>
      <sz val="14"/>
      <color rgb="FFFF0000"/>
      <name val="Helvetica"/>
      <family val="2"/>
    </font>
    <font>
      <i/>
      <sz val="12"/>
      <color theme="1"/>
      <name val="Calibri"/>
      <family val="2"/>
      <scheme val="minor"/>
    </font>
    <font>
      <sz val="26"/>
      <color theme="0"/>
      <name val="Calibri"/>
      <family val="2"/>
      <scheme val="minor"/>
    </font>
    <font>
      <b/>
      <sz val="12"/>
      <color rgb="FF7030A0"/>
      <name val="Calibri"/>
      <family val="2"/>
      <scheme val="minor"/>
    </font>
    <font>
      <sz val="12"/>
      <color rgb="FF00B050"/>
      <name val="Calibri"/>
      <family val="2"/>
      <scheme val="minor"/>
    </font>
    <font>
      <sz val="12"/>
      <color rgb="FF0070C0"/>
      <name val="Calibri"/>
      <family val="2"/>
      <scheme val="minor"/>
    </font>
    <font>
      <b/>
      <sz val="12"/>
      <name val="Calibri"/>
      <family val="2"/>
      <scheme val="minor"/>
    </font>
    <font>
      <b/>
      <sz val="12"/>
      <color rgb="FFFFC000"/>
      <name val="Calibri"/>
      <family val="2"/>
      <scheme val="minor"/>
    </font>
    <font>
      <b/>
      <sz val="12"/>
      <color rgb="FFFFC000"/>
      <name val="Calibri (Body)"/>
    </font>
    <font>
      <sz val="12"/>
      <color rgb="FFFFC000"/>
      <name val="Calibri (Body)"/>
    </font>
    <font>
      <i/>
      <sz val="12"/>
      <name val="Calibri"/>
      <family val="2"/>
      <scheme val="minor"/>
    </font>
    <font>
      <i/>
      <sz val="12"/>
      <color rgb="FFFFC000"/>
      <name val="Calibri"/>
      <family val="2"/>
      <scheme val="minor"/>
    </font>
    <font>
      <sz val="12"/>
      <color theme="5"/>
      <name val="Calibri"/>
      <family val="2"/>
      <scheme val="minor"/>
    </font>
    <font>
      <i/>
      <sz val="12"/>
      <color theme="5"/>
      <name val="Calibri"/>
      <family val="2"/>
      <scheme val="minor"/>
    </font>
    <font>
      <b/>
      <sz val="12"/>
      <color theme="5"/>
      <name val="Calibri"/>
      <family val="2"/>
      <scheme val="minor"/>
    </font>
    <font>
      <b/>
      <sz val="12"/>
      <color rgb="FFFF0000"/>
      <name val="Calibri"/>
      <family val="2"/>
      <scheme val="minor"/>
    </font>
    <font>
      <b/>
      <sz val="14"/>
      <color rgb="FFFF0000"/>
      <name val="Calibri"/>
      <family val="2"/>
      <scheme val="minor"/>
    </font>
    <font>
      <u/>
      <sz val="12"/>
      <color theme="10"/>
      <name val="Calibri"/>
      <family val="2"/>
      <scheme val="minor"/>
    </font>
    <font>
      <sz val="12"/>
      <color rgb="FFACFFA5"/>
      <name val="Calibri"/>
      <family val="2"/>
      <scheme val="minor"/>
    </font>
    <font>
      <sz val="12"/>
      <color rgb="FF00B0F0"/>
      <name val="Calibri"/>
      <family val="2"/>
      <scheme val="minor"/>
    </font>
    <font>
      <i/>
      <sz val="12"/>
      <color rgb="FF000000"/>
      <name val="Calibri"/>
      <family val="2"/>
      <scheme val="minor"/>
    </font>
    <font>
      <b/>
      <sz val="14"/>
      <color rgb="FFFFC000"/>
      <name val="Calibri (Body)"/>
    </font>
    <font>
      <sz val="12"/>
      <color theme="5"/>
      <name val="Calibri (Body)"/>
    </font>
    <font>
      <b/>
      <sz val="12"/>
      <color theme="5"/>
      <name val="Calibri (Body)"/>
    </font>
    <font>
      <b/>
      <sz val="26"/>
      <color theme="0"/>
      <name val="Calibri"/>
      <family val="2"/>
      <scheme val="minor"/>
    </font>
    <font>
      <i/>
      <sz val="12"/>
      <color theme="0"/>
      <name val="Calibri"/>
      <family val="2"/>
      <scheme val="minor"/>
    </font>
    <font>
      <sz val="12"/>
      <color rgb="FFFF0000"/>
      <name val="Calibri (Body)"/>
    </font>
    <font>
      <sz val="12"/>
      <color rgb="FFFFC001"/>
      <name val="Calibri"/>
      <family val="2"/>
      <scheme val="minor"/>
    </font>
    <font>
      <sz val="12"/>
      <color rgb="FFBFBFBF"/>
      <name val="Calibri"/>
      <family val="2"/>
      <scheme val="minor"/>
    </font>
    <font>
      <sz val="12"/>
      <color rgb="FFE95000"/>
      <name val="Calibri"/>
      <family val="2"/>
      <scheme val="minor"/>
    </font>
    <font>
      <sz val="12"/>
      <color rgb="FFD9D9D9"/>
      <name val="Calibri"/>
      <family val="2"/>
      <scheme val="minor"/>
    </font>
    <font>
      <sz val="12"/>
      <color rgb="FFD4A2FF"/>
      <name val="Calibri"/>
      <family val="2"/>
      <scheme val="minor"/>
    </font>
    <font>
      <sz val="12"/>
      <color rgb="FF001F60"/>
      <name val="Calibri"/>
      <family val="2"/>
      <scheme val="minor"/>
    </font>
    <font>
      <sz val="12"/>
      <color rgb="FFFFFF8E"/>
      <name val="Calibri"/>
      <family val="2"/>
      <scheme val="minor"/>
    </font>
    <font>
      <sz val="12"/>
      <color rgb="FFEDFF52"/>
      <name val="Calibri"/>
      <family val="2"/>
      <scheme val="minor"/>
    </font>
    <font>
      <sz val="12"/>
      <color rgb="FF7B0CFF"/>
      <name val="Calibri"/>
      <family val="2"/>
      <scheme val="minor"/>
    </font>
    <font>
      <sz val="12"/>
      <color rgb="FFF4B184"/>
      <name val="Calibri"/>
      <family val="2"/>
      <scheme val="minor"/>
    </font>
    <font>
      <sz val="12"/>
      <color rgb="FFFF4157"/>
      <name val="Calibri"/>
      <family val="2"/>
      <scheme val="minor"/>
    </font>
    <font>
      <sz val="12"/>
      <color rgb="FF01FFE1"/>
      <name val="Calibri"/>
      <family val="2"/>
      <scheme val="minor"/>
    </font>
    <font>
      <sz val="12"/>
      <color rgb="FFFF9300"/>
      <name val="Calibri"/>
      <family val="2"/>
      <scheme val="minor"/>
    </font>
    <font>
      <sz val="12"/>
      <color rgb="FF92FFD4"/>
      <name val="Calibri"/>
      <family val="2"/>
      <scheme val="minor"/>
    </font>
    <font>
      <sz val="12"/>
      <color rgb="FFFF0D83"/>
      <name val="Calibri"/>
      <family val="2"/>
      <scheme val="minor"/>
    </font>
    <font>
      <sz val="12"/>
      <color rgb="FF00B33C"/>
      <name val="Calibri"/>
      <family val="2"/>
      <scheme val="minor"/>
    </font>
    <font>
      <sz val="12"/>
      <color rgb="FFFFFF00"/>
      <name val="Calibri"/>
      <family val="2"/>
      <scheme val="minor"/>
    </font>
    <font>
      <sz val="12"/>
      <color rgb="FF9BC3E6"/>
      <name val="Calibri"/>
      <family val="2"/>
      <scheme val="minor"/>
    </font>
    <font>
      <sz val="12"/>
      <color rgb="FF70AE47"/>
      <name val="Calibri"/>
      <family val="2"/>
      <scheme val="minor"/>
    </font>
    <font>
      <b/>
      <sz val="14"/>
      <color rgb="FFFF0000"/>
      <name val="Calibri (Body)"/>
    </font>
    <font>
      <b/>
      <sz val="12"/>
      <name val="Calibri (Body)"/>
    </font>
    <font>
      <b/>
      <i/>
      <sz val="12"/>
      <color theme="1"/>
      <name val="Calibri"/>
      <family val="2"/>
      <scheme val="minor"/>
    </font>
    <font>
      <sz val="26"/>
      <color theme="1"/>
      <name val="Calibri"/>
      <family val="2"/>
      <scheme val="minor"/>
    </font>
    <font>
      <sz val="12"/>
      <color rgb="FF0070C0"/>
      <name val="Calibri (Body)"/>
    </font>
    <font>
      <sz val="12"/>
      <color rgb="FF92D050"/>
      <name val="Calibri (Body)"/>
    </font>
    <font>
      <sz val="12"/>
      <color rgb="FF00B050"/>
      <name val="Calibri (Body)"/>
    </font>
    <font>
      <sz val="12"/>
      <color rgb="FF3CFF00"/>
      <name val="Calibri (Body)"/>
    </font>
    <font>
      <sz val="12"/>
      <color rgb="FF00B0F0"/>
      <name val="Calibri (Body)"/>
    </font>
    <font>
      <sz val="12"/>
      <color rgb="FF3CFF00"/>
      <name val="Calibri"/>
      <family val="2"/>
      <scheme val="minor"/>
    </font>
    <font>
      <sz val="12"/>
      <color rgb="FF92D050"/>
      <name val="Calibri"/>
      <family val="2"/>
      <scheme val="minor"/>
    </font>
    <font>
      <i/>
      <sz val="12"/>
      <color rgb="FFFF0000"/>
      <name val="Calibri"/>
      <family val="2"/>
      <scheme val="minor"/>
    </font>
    <font>
      <b/>
      <sz val="12"/>
      <color rgb="FF0070C0"/>
      <name val="Calibri"/>
      <family val="2"/>
      <scheme val="minor"/>
    </font>
    <font>
      <b/>
      <sz val="14"/>
      <name val="Calibri (Body)"/>
    </font>
    <font>
      <b/>
      <sz val="14"/>
      <name val="Calibri"/>
      <family val="2"/>
      <scheme val="minor"/>
    </font>
    <font>
      <b/>
      <sz val="14"/>
      <color rgb="FF0070C0"/>
      <name val="Calibri (Body)"/>
    </font>
    <font>
      <b/>
      <sz val="14"/>
      <color rgb="FF3CFF00"/>
      <name val="Calibri (Body)"/>
    </font>
    <font>
      <b/>
      <sz val="14"/>
      <color rgb="FF92D050"/>
      <name val="Calibri (Body)"/>
    </font>
    <font>
      <sz val="12"/>
      <color rgb="FF7030A0"/>
      <name val="Calibri (Body)"/>
    </font>
    <font>
      <i/>
      <sz val="12"/>
      <color rgb="FFFF0000"/>
      <name val="Calibri (Body)"/>
    </font>
    <font>
      <b/>
      <sz val="14"/>
      <color rgb="FF7030A0"/>
      <name val="Calibri (Body)"/>
    </font>
    <font>
      <b/>
      <sz val="14"/>
      <color rgb="FF00B050"/>
      <name val="Calibri (Body)"/>
    </font>
    <font>
      <b/>
      <sz val="12"/>
      <color rgb="FF00B050"/>
      <name val="Calibri"/>
      <family val="2"/>
      <scheme val="minor"/>
    </font>
    <font>
      <sz val="12"/>
      <color rgb="FF22A63C"/>
      <name val="Calibri (Body)"/>
    </font>
    <font>
      <b/>
      <sz val="12"/>
      <color rgb="FF00B050"/>
      <name val="Calibri (Body)"/>
    </font>
    <font>
      <b/>
      <sz val="12"/>
      <color rgb="FF000000"/>
      <name val="Calibri"/>
      <family val="2"/>
      <scheme val="minor"/>
    </font>
    <font>
      <sz val="12"/>
      <color theme="0" tint="-0.499984740745262"/>
      <name val="Calibri (Body)"/>
    </font>
    <font>
      <sz val="12"/>
      <color rgb="FFC00000"/>
      <name val="Calibri (Body)"/>
    </font>
    <font>
      <sz val="12"/>
      <color theme="7"/>
      <name val="Calibri (Body)"/>
    </font>
    <font>
      <sz val="12"/>
      <color theme="0" tint="-0.34998626667073579"/>
      <name val="Calibri"/>
      <family val="2"/>
      <scheme val="minor"/>
    </font>
    <font>
      <sz val="12"/>
      <color theme="0" tint="-0.249977111117893"/>
      <name val="Calibri"/>
      <family val="2"/>
      <scheme val="minor"/>
    </font>
    <font>
      <sz val="12"/>
      <color rgb="FF2DFF00"/>
      <name val="Calibri (Body)"/>
    </font>
    <font>
      <sz val="12"/>
      <color rgb="FF2DFF00"/>
      <name val="Calibri"/>
      <family val="2"/>
      <scheme val="minor"/>
    </font>
    <font>
      <b/>
      <sz val="12"/>
      <color rgb="FF2DFF00"/>
      <name val="Calibri"/>
      <family val="2"/>
      <scheme val="minor"/>
    </font>
    <font>
      <b/>
      <sz val="12"/>
      <color rgb="FF92D050"/>
      <name val="Calibri"/>
      <family val="2"/>
      <scheme val="minor"/>
    </font>
    <font>
      <b/>
      <sz val="12"/>
      <color rgb="FF00B0F0"/>
      <name val="Calibri"/>
      <family val="2"/>
      <scheme val="minor"/>
    </font>
    <font>
      <b/>
      <i/>
      <sz val="12"/>
      <color rgb="FFFF0000"/>
      <name val="Calibri"/>
      <family val="2"/>
      <scheme val="minor"/>
    </font>
    <font>
      <b/>
      <sz val="14"/>
      <color theme="1"/>
      <name val="Calibri (Body)"/>
    </font>
    <font>
      <b/>
      <sz val="12"/>
      <color rgb="FF9D00FF"/>
      <name val="Calibri (Body)"/>
    </font>
    <font>
      <b/>
      <sz val="12"/>
      <color rgb="FFFF0000"/>
      <name val="Calibri (Body)"/>
    </font>
    <font>
      <b/>
      <sz val="12"/>
      <color theme="0"/>
      <name val="Calibri"/>
      <family val="2"/>
      <scheme val="minor"/>
    </font>
    <font>
      <sz val="12"/>
      <color theme="7"/>
      <name val="Calibri"/>
      <family val="2"/>
      <scheme val="minor"/>
    </font>
    <font>
      <sz val="12"/>
      <color rgb="FF70AF47"/>
      <name val="Calibri"/>
      <family val="2"/>
      <scheme val="minor"/>
    </font>
    <font>
      <sz val="12"/>
      <color theme="4" tint="0.39997558519241921"/>
      <name val="Calibri"/>
      <family val="2"/>
      <scheme val="minor"/>
    </font>
    <font>
      <sz val="12"/>
      <color rgb="FF92FFD5"/>
      <name val="Calibri"/>
      <family val="2"/>
      <scheme val="minor"/>
    </font>
    <font>
      <sz val="12"/>
      <color rgb="FF90F7FE"/>
      <name val="Calibri"/>
      <family val="2"/>
      <scheme val="minor"/>
    </font>
    <font>
      <sz val="12"/>
      <color rgb="FFF4B284"/>
      <name val="Calibri"/>
      <family val="2"/>
      <scheme val="minor"/>
    </font>
    <font>
      <sz val="12"/>
      <color rgb="FF002060"/>
      <name val="Calibri"/>
      <family val="2"/>
      <scheme val="minor"/>
    </font>
    <font>
      <sz val="12"/>
      <color theme="6" tint="-0.249977111117893"/>
      <name val="Calibri"/>
      <family val="2"/>
      <scheme val="minor"/>
    </font>
    <font>
      <sz val="12"/>
      <color theme="2" tint="-0.499984740745262"/>
      <name val="Calibri"/>
      <family val="2"/>
      <scheme val="minor"/>
    </font>
    <font>
      <sz val="12"/>
      <color theme="2" tint="-0.249977111117893"/>
      <name val="Calibri"/>
      <family val="2"/>
      <scheme val="minor"/>
    </font>
    <font>
      <sz val="12"/>
      <color rgb="FFF90D80"/>
      <name val="Calibri"/>
      <family val="2"/>
      <scheme val="minor"/>
    </font>
    <font>
      <sz val="12"/>
      <color theme="4"/>
      <name val="Calibri"/>
      <family val="2"/>
      <scheme val="minor"/>
    </font>
    <font>
      <b/>
      <sz val="14"/>
      <color rgb="FFC00000"/>
      <name val="Calibri (Body)"/>
    </font>
    <font>
      <sz val="12"/>
      <color rgb="FFD4A2FF"/>
      <name val="Calibri (Body)"/>
    </font>
    <font>
      <b/>
      <i/>
      <sz val="12"/>
      <name val="Calibri"/>
      <family val="2"/>
      <scheme val="minor"/>
    </font>
    <font>
      <b/>
      <sz val="26"/>
      <color theme="1"/>
      <name val="Calibri"/>
      <family val="2"/>
      <scheme val="minor"/>
    </font>
    <font>
      <sz val="18"/>
      <color rgb="FFFF0000"/>
      <name val="Calibri"/>
      <family val="2"/>
      <scheme val="minor"/>
    </font>
    <font>
      <sz val="18"/>
      <color theme="0"/>
      <name val="Calibri"/>
      <family val="2"/>
      <scheme val="minor"/>
    </font>
    <font>
      <sz val="18"/>
      <color theme="1"/>
      <name val="Calibri"/>
      <family val="2"/>
      <scheme val="minor"/>
    </font>
    <font>
      <sz val="18"/>
      <color rgb="FFFFFF00"/>
      <name val="Calibri (Body)"/>
    </font>
    <font>
      <sz val="17"/>
      <color theme="1"/>
      <name val="Calibri"/>
      <family val="2"/>
      <scheme val="minor"/>
    </font>
    <font>
      <sz val="12"/>
      <color rgb="FF9590FF"/>
      <name val="Calibri"/>
      <family val="2"/>
      <scheme val="minor"/>
    </font>
    <font>
      <sz val="12"/>
      <color theme="1"/>
      <name val="Helvetica"/>
      <family val="2"/>
    </font>
    <font>
      <sz val="14"/>
      <color theme="1"/>
      <name val="Britannic Bold"/>
    </font>
    <font>
      <u/>
      <sz val="12"/>
      <color theme="1"/>
      <name val="Calibri"/>
      <family val="2"/>
      <scheme val="minor"/>
    </font>
    <font>
      <u val="double"/>
      <sz val="12"/>
      <color theme="1"/>
      <name val="Calibri"/>
      <family val="2"/>
      <scheme val="minor"/>
    </font>
    <font>
      <u val="double"/>
      <sz val="12"/>
      <color theme="1"/>
      <name val="Calibri (Body)"/>
    </font>
    <font>
      <b/>
      <sz val="12"/>
      <color theme="1"/>
      <name val="Helvetica"/>
      <family val="2"/>
    </font>
    <font>
      <b/>
      <sz val="12"/>
      <name val="Helvetica"/>
      <family val="2"/>
    </font>
    <font>
      <sz val="12"/>
      <name val="Helvetica"/>
      <family val="2"/>
    </font>
    <font>
      <sz val="12"/>
      <color rgb="FF58FF00"/>
      <name val="Calibri (Body)"/>
    </font>
    <font>
      <u/>
      <sz val="12"/>
      <name val="Calibri"/>
      <family val="2"/>
      <scheme val="minor"/>
    </font>
    <font>
      <u val="double"/>
      <sz val="12"/>
      <name val="Calibri"/>
      <family val="2"/>
      <scheme val="minor"/>
    </font>
    <font>
      <b/>
      <u val="double"/>
      <sz val="12"/>
      <name val="Calibri"/>
      <family val="2"/>
      <scheme val="minor"/>
    </font>
    <font>
      <b/>
      <sz val="12"/>
      <color rgb="FFFF0000"/>
      <name val="Helvetica"/>
      <family val="2"/>
    </font>
    <font>
      <b/>
      <sz val="12"/>
      <color theme="2" tint="-0.249977111117893"/>
      <name val="Calibri"/>
      <family val="2"/>
      <scheme val="minor"/>
    </font>
    <font>
      <sz val="12"/>
      <color rgb="FFADCEEB"/>
      <name val="Calibri"/>
      <family val="2"/>
      <scheme val="minor"/>
    </font>
    <font>
      <sz val="12"/>
      <color theme="3" tint="-0.499984740745262"/>
      <name val="Calibri"/>
      <family val="2"/>
      <scheme val="minor"/>
    </font>
    <font>
      <sz val="12"/>
      <color rgb="FFD5B7F0"/>
      <name val="Calibri"/>
      <family val="2"/>
      <scheme val="minor"/>
    </font>
    <font>
      <i/>
      <u/>
      <sz val="12"/>
      <color theme="1"/>
      <name val="Calibri"/>
      <family val="2"/>
      <scheme val="minor"/>
    </font>
    <font>
      <sz val="12"/>
      <color rgb="FF00FF2A"/>
      <name val="Calibri"/>
      <family val="2"/>
      <scheme val="minor"/>
    </font>
    <font>
      <i/>
      <sz val="12"/>
      <color rgb="FF0070C0"/>
      <name val="Calibri"/>
      <family val="2"/>
      <scheme val="minor"/>
    </font>
    <font>
      <i/>
      <sz val="12"/>
      <color theme="2" tint="-0.499984740745262"/>
      <name val="Calibri"/>
      <family val="2"/>
      <scheme val="minor"/>
    </font>
    <font>
      <i/>
      <sz val="12"/>
      <color rgb="FF9590FF"/>
      <name val="Calibri"/>
      <family val="2"/>
      <scheme val="minor"/>
    </font>
    <font>
      <i/>
      <sz val="12"/>
      <color theme="2" tint="-0.249977111117893"/>
      <name val="Calibri"/>
      <family val="2"/>
      <scheme val="minor"/>
    </font>
    <font>
      <i/>
      <sz val="12"/>
      <color rgb="FFD4A2FF"/>
      <name val="Calibri"/>
      <family val="2"/>
      <scheme val="minor"/>
    </font>
    <font>
      <i/>
      <sz val="12"/>
      <color rgb="FFFF00E6"/>
      <name val="Calibri"/>
      <family val="2"/>
      <scheme val="minor"/>
    </font>
    <font>
      <i/>
      <sz val="12"/>
      <color rgb="FF002060"/>
      <name val="Calibri"/>
      <family val="2"/>
      <scheme val="minor"/>
    </font>
    <font>
      <i/>
      <sz val="12"/>
      <color rgb="FF7030A0"/>
      <name val="Calibri"/>
      <family val="2"/>
      <scheme val="minor"/>
    </font>
    <font>
      <i/>
      <sz val="12"/>
      <color rgb="FFF4B284"/>
      <name val="Calibri"/>
      <family val="2"/>
      <scheme val="minor"/>
    </font>
    <font>
      <i/>
      <sz val="12"/>
      <color rgb="FFFF4157"/>
      <name val="Calibri"/>
      <family val="2"/>
      <scheme val="minor"/>
    </font>
    <font>
      <i/>
      <sz val="12"/>
      <color rgb="FF00B0F0"/>
      <name val="Calibri"/>
      <family val="2"/>
      <scheme val="minor"/>
    </font>
    <font>
      <i/>
      <sz val="12"/>
      <color rgb="FF92D050"/>
      <name val="Calibri"/>
      <family val="2"/>
      <scheme val="minor"/>
    </font>
    <font>
      <i/>
      <sz val="12"/>
      <color rgb="FF92FFD4"/>
      <name val="Calibri"/>
      <family val="2"/>
      <scheme val="minor"/>
    </font>
    <font>
      <i/>
      <sz val="12"/>
      <color rgb="FFFF0D83"/>
      <name val="Calibri"/>
      <family val="2"/>
      <scheme val="minor"/>
    </font>
    <font>
      <i/>
      <sz val="12"/>
      <color rgb="FF00FF2A"/>
      <name val="Calibri"/>
      <family val="2"/>
      <scheme val="minor"/>
    </font>
    <font>
      <i/>
      <sz val="12"/>
      <color rgb="FFC00000"/>
      <name val="Calibri"/>
      <family val="2"/>
      <scheme val="minor"/>
    </font>
    <font>
      <i/>
      <sz val="12"/>
      <color rgb="FFFF8592"/>
      <name val="Calibri"/>
      <family val="2"/>
      <scheme val="minor"/>
    </font>
    <font>
      <i/>
      <sz val="12"/>
      <color rgb="FF00B33C"/>
      <name val="Calibri"/>
      <family val="2"/>
      <scheme val="minor"/>
    </font>
    <font>
      <i/>
      <sz val="12"/>
      <color rgb="FF9BC3E6"/>
      <name val="Calibri"/>
      <family val="2"/>
      <scheme val="minor"/>
    </font>
    <font>
      <b/>
      <sz val="12"/>
      <color theme="2" tint="-0.499984740745262"/>
      <name val="Calibri"/>
      <family val="2"/>
      <scheme val="minor"/>
    </font>
    <font>
      <sz val="12"/>
      <color theme="5" tint="-0.249977111117893"/>
      <name val="Calibri"/>
      <family val="2"/>
      <scheme val="minor"/>
    </font>
    <font>
      <b/>
      <sz val="12"/>
      <color theme="5" tint="-0.249977111117893"/>
      <name val="Calibri"/>
      <family val="2"/>
      <scheme val="minor"/>
    </font>
    <font>
      <b/>
      <sz val="12"/>
      <color rgb="FF9590FF"/>
      <name val="Calibri"/>
      <family val="2"/>
      <scheme val="minor"/>
    </font>
    <font>
      <b/>
      <sz val="12"/>
      <color rgb="FFD4A2FF"/>
      <name val="Calibri"/>
      <family val="2"/>
      <scheme val="minor"/>
    </font>
    <font>
      <sz val="12"/>
      <color rgb="FFFF1C97"/>
      <name val="Calibri"/>
      <family val="2"/>
      <scheme val="minor"/>
    </font>
    <font>
      <b/>
      <sz val="12"/>
      <color rgb="FFFF1C97"/>
      <name val="Calibri"/>
      <family val="2"/>
      <scheme val="minor"/>
    </font>
    <font>
      <sz val="12"/>
      <color rgb="FF1FFFF0"/>
      <name val="Calibri"/>
      <family val="2"/>
      <scheme val="minor"/>
    </font>
    <font>
      <b/>
      <sz val="12"/>
      <color rgb="FF1FFFF0"/>
      <name val="Calibri"/>
      <family val="2"/>
      <scheme val="minor"/>
    </font>
    <font>
      <sz val="12"/>
      <color rgb="FFFF982D"/>
      <name val="Calibri"/>
      <family val="2"/>
      <scheme val="minor"/>
    </font>
    <font>
      <b/>
      <sz val="12"/>
      <color rgb="FFFF982D"/>
      <name val="Calibri"/>
      <family val="2"/>
      <scheme val="minor"/>
    </font>
    <font>
      <sz val="12"/>
      <color rgb="FF27FF76"/>
      <name val="Calibri"/>
      <family val="2"/>
      <scheme val="minor"/>
    </font>
    <font>
      <b/>
      <sz val="12"/>
      <color rgb="FF27FF76"/>
      <name val="Calibri"/>
      <family val="2"/>
      <scheme val="minor"/>
    </font>
    <font>
      <sz val="12"/>
      <color rgb="FFFF87A1"/>
      <name val="Calibri"/>
      <family val="2"/>
      <scheme val="minor"/>
    </font>
    <font>
      <b/>
      <sz val="12"/>
      <color rgb="FFFF87A1"/>
      <name val="Calibri"/>
      <family val="2"/>
      <scheme val="minor"/>
    </font>
    <font>
      <b/>
      <sz val="12"/>
      <color rgb="FFF4B184"/>
      <name val="Calibri"/>
      <family val="2"/>
      <scheme val="minor"/>
    </font>
    <font>
      <b/>
      <sz val="12"/>
      <color rgb="FF002060"/>
      <name val="Calibri"/>
      <family val="2"/>
      <scheme val="minor"/>
    </font>
    <font>
      <sz val="12"/>
      <color rgb="FFE103CB"/>
      <name val="Calibri"/>
      <family val="2"/>
      <scheme val="minor"/>
    </font>
    <font>
      <b/>
      <sz val="12"/>
      <color rgb="FFE103CB"/>
      <name val="Calibri"/>
      <family val="2"/>
      <scheme val="minor"/>
    </font>
    <font>
      <sz val="12"/>
      <color rgb="FF63FF2E"/>
      <name val="Calibri"/>
      <family val="2"/>
      <scheme val="minor"/>
    </font>
    <font>
      <b/>
      <sz val="12"/>
      <color rgb="FF63FF2E"/>
      <name val="Calibri"/>
      <family val="2"/>
      <scheme val="minor"/>
    </font>
    <font>
      <b/>
      <sz val="12"/>
      <color rgb="FFC00000"/>
      <name val="Calibri"/>
      <family val="2"/>
      <scheme val="minor"/>
    </font>
    <font>
      <b/>
      <sz val="12"/>
      <color theme="4"/>
      <name val="Calibri"/>
      <family val="2"/>
      <scheme val="minor"/>
    </font>
    <font>
      <sz val="12"/>
      <color rgb="FFF88E02"/>
      <name val="Calibri"/>
      <family val="2"/>
      <scheme val="minor"/>
    </font>
    <font>
      <b/>
      <sz val="14"/>
      <color rgb="FF63FF2E"/>
      <name val="Calibri (Body)"/>
    </font>
    <font>
      <sz val="12"/>
      <color rgb="FF63FF2E"/>
      <name val="Calibri (Body)"/>
    </font>
    <font>
      <sz val="12"/>
      <color theme="3" tint="0.59999389629810485"/>
      <name val="Calibri"/>
      <family val="2"/>
      <scheme val="minor"/>
    </font>
    <font>
      <sz val="12"/>
      <color rgb="FFDC7488"/>
      <name val="Calibri"/>
      <family val="2"/>
      <scheme val="minor"/>
    </font>
    <font>
      <sz val="12"/>
      <color theme="8"/>
      <name val="Calibri"/>
      <family val="2"/>
      <scheme val="minor"/>
    </font>
    <font>
      <b/>
      <sz val="14"/>
      <color rgb="FF92D050"/>
      <name val="Calibri"/>
      <family val="2"/>
      <scheme val="minor"/>
    </font>
    <font>
      <sz val="12"/>
      <color rgb="FFF24362"/>
      <name val="Calibri"/>
      <family val="2"/>
      <scheme val="minor"/>
    </font>
    <font>
      <b/>
      <sz val="14"/>
      <color rgb="FF0070C0"/>
      <name val="Calibri"/>
      <family val="2"/>
      <scheme val="minor"/>
    </font>
    <font>
      <b/>
      <sz val="14"/>
      <color rgb="FFFFC000"/>
      <name val="Calibri"/>
      <family val="2"/>
      <scheme val="minor"/>
    </font>
    <font>
      <b/>
      <sz val="14"/>
      <color rgb="FF63FF2E"/>
      <name val="Calibri"/>
      <family val="2"/>
      <scheme val="minor"/>
    </font>
    <font>
      <sz val="12"/>
      <color rgb="FF9999FF"/>
      <name val="Calibri"/>
      <family val="2"/>
      <scheme val="minor"/>
    </font>
    <font>
      <sz val="12"/>
      <color rgb="FFFFB99A"/>
      <name val="Calibri"/>
      <family val="2"/>
      <scheme val="minor"/>
    </font>
    <font>
      <b/>
      <sz val="12"/>
      <color rgb="FFFF9300"/>
      <name val="Calibri"/>
      <family val="2"/>
      <scheme val="minor"/>
    </font>
    <font>
      <b/>
      <sz val="12"/>
      <color theme="8"/>
      <name val="Calibri"/>
      <family val="2"/>
      <scheme val="minor"/>
    </font>
    <font>
      <i/>
      <sz val="12"/>
      <color theme="8"/>
      <name val="Calibri"/>
      <family val="2"/>
      <scheme val="minor"/>
    </font>
    <font>
      <i/>
      <sz val="12"/>
      <color rgb="FF63FF2E"/>
      <name val="Calibri"/>
      <family val="2"/>
      <scheme val="minor"/>
    </font>
    <font>
      <sz val="10.8"/>
      <name val="Consolas"/>
      <family val="3"/>
    </font>
    <font>
      <sz val="12"/>
      <name val="Helvetica"/>
    </font>
    <font>
      <b/>
      <i/>
      <sz val="12"/>
      <color theme="0"/>
      <name val="Calibri"/>
      <family val="2"/>
      <scheme val="minor"/>
    </font>
    <font>
      <u val="double"/>
      <sz val="12"/>
      <color theme="0"/>
      <name val="Calibri"/>
      <family val="2"/>
      <scheme val="minor"/>
    </font>
    <font>
      <u/>
      <sz val="12"/>
      <color theme="0"/>
      <name val="Calibri"/>
      <family val="2"/>
      <scheme val="minor"/>
    </font>
    <font>
      <sz val="14"/>
      <color theme="1"/>
      <name val="Britannic Bold"/>
      <family val="2"/>
    </font>
    <font>
      <i/>
      <sz val="12"/>
      <name val="Calibri (Body)"/>
    </font>
    <font>
      <u/>
      <sz val="12"/>
      <name val="Calibri (Body)"/>
    </font>
    <font>
      <b/>
      <sz val="12"/>
      <name val="Helvetica"/>
    </font>
    <font>
      <b/>
      <sz val="12"/>
      <color theme="1"/>
      <name val="Helvetica"/>
    </font>
    <font>
      <b/>
      <sz val="18"/>
      <color theme="1"/>
      <name val="Calibri"/>
      <family val="2"/>
      <scheme val="minor"/>
    </font>
  </fonts>
  <fills count="77">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rgb="FF00B050"/>
        <bgColor indexed="64"/>
      </patternFill>
    </fill>
    <fill>
      <patternFill patternType="solid">
        <fgColor theme="1"/>
        <bgColor indexed="64"/>
      </patternFill>
    </fill>
    <fill>
      <patternFill patternType="solid">
        <fgColor rgb="FFFFC000"/>
        <bgColor indexed="64"/>
      </patternFill>
    </fill>
    <fill>
      <patternFill patternType="solid">
        <fgColor rgb="FFC00000"/>
        <bgColor indexed="64"/>
      </patternFill>
    </fill>
    <fill>
      <patternFill patternType="solid">
        <fgColor theme="7"/>
        <bgColor indexed="64"/>
      </patternFill>
    </fill>
    <fill>
      <patternFill patternType="solid">
        <fgColor theme="9"/>
        <bgColor indexed="64"/>
      </patternFill>
    </fill>
    <fill>
      <patternFill patternType="solid">
        <fgColor rgb="FF002060"/>
        <bgColor indexed="64"/>
      </patternFill>
    </fill>
    <fill>
      <patternFill patternType="solid">
        <fgColor rgb="FFFF00E6"/>
        <bgColor indexed="64"/>
      </patternFill>
    </fill>
    <fill>
      <patternFill patternType="solid">
        <fgColor rgb="FF95F4FF"/>
        <bgColor indexed="64"/>
      </patternFill>
    </fill>
    <fill>
      <patternFill patternType="solid">
        <fgColor rgb="FF58FF00"/>
        <bgColor indexed="64"/>
      </patternFill>
    </fill>
    <fill>
      <patternFill patternType="solid">
        <fgColor rgb="FF003EFF"/>
        <bgColor indexed="64"/>
      </patternFill>
    </fill>
    <fill>
      <patternFill patternType="solid">
        <fgColor rgb="FF00FFE0"/>
        <bgColor indexed="64"/>
      </patternFill>
    </fill>
    <fill>
      <patternFill patternType="solid">
        <fgColor rgb="FFFFFF8E"/>
        <bgColor indexed="64"/>
      </patternFill>
    </fill>
    <fill>
      <patternFill patternType="solid">
        <fgColor theme="0"/>
        <bgColor indexed="64"/>
      </patternFill>
    </fill>
    <fill>
      <patternFill patternType="solid">
        <fgColor rgb="FFFF8592"/>
        <bgColor indexed="64"/>
      </patternFill>
    </fill>
    <fill>
      <patternFill patternType="solid">
        <fgColor rgb="FFA4A4A4"/>
        <bgColor indexed="64"/>
      </patternFill>
    </fill>
    <fill>
      <patternFill patternType="solid">
        <fgColor rgb="FF92D050"/>
        <bgColor indexed="64"/>
      </patternFill>
    </fill>
    <fill>
      <patternFill patternType="solid">
        <fgColor rgb="FF0070C0"/>
        <bgColor rgb="FF000000"/>
      </patternFill>
    </fill>
    <fill>
      <patternFill patternType="solid">
        <fgColor rgb="FF58FF00"/>
        <bgColor rgb="FF000000"/>
      </patternFill>
    </fill>
    <fill>
      <patternFill patternType="solid">
        <fgColor rgb="FFFF00E6"/>
        <bgColor rgb="FF000000"/>
      </patternFill>
    </fill>
    <fill>
      <patternFill patternType="solid">
        <fgColor theme="7" tint="0.7999816888943144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91F8FF"/>
        <bgColor indexed="64"/>
      </patternFill>
    </fill>
    <fill>
      <patternFill patternType="solid">
        <fgColor rgb="FFDB89C3"/>
        <bgColor indexed="64"/>
      </patternFill>
    </fill>
    <fill>
      <patternFill patternType="solid">
        <fgColor rgb="FFBB77FF"/>
        <bgColor indexed="64"/>
      </patternFill>
    </fill>
    <fill>
      <patternFill patternType="solid">
        <fgColor rgb="FF9590FF"/>
        <bgColor indexed="64"/>
      </patternFill>
    </fill>
    <fill>
      <patternFill patternType="solid">
        <fgColor rgb="FFACFFA5"/>
        <bgColor indexed="64"/>
      </patternFill>
    </fill>
    <fill>
      <patternFill patternType="solid">
        <fgColor theme="5" tint="0.39997558519241921"/>
        <bgColor indexed="64"/>
      </patternFill>
    </fill>
    <fill>
      <patternFill patternType="solid">
        <fgColor rgb="FFE85000"/>
        <bgColor indexed="64"/>
      </patternFill>
    </fill>
    <fill>
      <patternFill patternType="solid">
        <fgColor rgb="FF7B0EFF"/>
        <bgColor indexed="64"/>
      </patternFill>
    </fill>
    <fill>
      <patternFill patternType="solid">
        <fgColor rgb="FFD4A2FF"/>
        <bgColor indexed="64"/>
      </patternFill>
    </fill>
    <fill>
      <patternFill patternType="solid">
        <fgColor theme="8" tint="0.39997558519241921"/>
        <bgColor indexed="64"/>
      </patternFill>
    </fill>
    <fill>
      <patternFill patternType="solid">
        <fgColor rgb="FFFF4157"/>
        <bgColor indexed="64"/>
      </patternFill>
    </fill>
    <fill>
      <patternFill patternType="solid">
        <fgColor rgb="FF92FFD3"/>
        <bgColor indexed="64"/>
      </patternFill>
    </fill>
    <fill>
      <patternFill patternType="solid">
        <fgColor rgb="FFFF9200"/>
        <bgColor indexed="64"/>
      </patternFill>
    </fill>
    <fill>
      <patternFill patternType="solid">
        <fgColor rgb="FFFF0E83"/>
        <bgColor indexed="64"/>
      </patternFill>
    </fill>
    <fill>
      <patternFill patternType="solid">
        <fgColor rgb="FF00B33C"/>
        <bgColor indexed="64"/>
      </patternFill>
    </fill>
    <fill>
      <patternFill patternType="solid">
        <fgColor rgb="FF0093FF"/>
        <bgColor indexed="64"/>
      </patternFill>
    </fill>
    <fill>
      <patternFill patternType="solid">
        <fgColor rgb="FFEDFF52"/>
        <bgColor indexed="64"/>
      </patternFill>
    </fill>
    <fill>
      <patternFill patternType="solid">
        <fgColor theme="5"/>
        <bgColor indexed="64"/>
      </patternFill>
    </fill>
    <fill>
      <patternFill patternType="solid">
        <fgColor rgb="FF000000"/>
        <bgColor rgb="FF000000"/>
      </patternFill>
    </fill>
    <fill>
      <patternFill patternType="solid">
        <fgColor rgb="FF3CFF00"/>
        <bgColor indexed="64"/>
      </patternFill>
    </fill>
    <fill>
      <patternFill patternType="solid">
        <fgColor rgb="FF7030A0"/>
        <bgColor rgb="FF000000"/>
      </patternFill>
    </fill>
    <fill>
      <patternFill patternType="solid">
        <fgColor rgb="FF00B050"/>
        <bgColor rgb="FF000000"/>
      </patternFill>
    </fill>
    <fill>
      <patternFill patternType="solid">
        <fgColor theme="0" tint="-4.9989318521683403E-2"/>
        <bgColor indexed="64"/>
      </patternFill>
    </fill>
    <fill>
      <patternFill patternType="solid">
        <fgColor rgb="FF001F60"/>
        <bgColor indexed="64"/>
      </patternFill>
    </fill>
    <fill>
      <patternFill patternType="solid">
        <fgColor rgb="FF9D00FF"/>
        <bgColor indexed="64"/>
      </patternFill>
    </fill>
    <fill>
      <patternFill patternType="solid">
        <fgColor rgb="FF2DFF00"/>
        <bgColor indexed="64"/>
      </patternFill>
    </fill>
    <fill>
      <patternFill patternType="solid">
        <fgColor rgb="FFFFA001"/>
        <bgColor indexed="64"/>
      </patternFill>
    </fill>
    <fill>
      <patternFill patternType="solid">
        <fgColor rgb="FF1F3764"/>
        <bgColor indexed="64"/>
      </patternFill>
    </fill>
    <fill>
      <patternFill patternType="solid">
        <fgColor rgb="FFD9D9D9"/>
        <bgColor rgb="FF000000"/>
      </patternFill>
    </fill>
    <fill>
      <patternFill patternType="solid">
        <fgColor rgb="FFD9D9D9"/>
        <bgColor indexed="64"/>
      </patternFill>
    </fill>
    <fill>
      <patternFill patternType="solid">
        <fgColor rgb="FF90F7FE"/>
        <bgColor indexed="64"/>
      </patternFill>
    </fill>
    <fill>
      <patternFill patternType="solid">
        <fgColor theme="7" tint="0.79998168889431442"/>
        <bgColor theme="7" tint="0.79998168889431442"/>
      </patternFill>
    </fill>
    <fill>
      <patternFill patternType="solid">
        <fgColor rgb="FFD4A2FF"/>
        <bgColor rgb="FF000000"/>
      </patternFill>
    </fill>
    <fill>
      <patternFill patternType="solid">
        <fgColor rgb="FF92FFD5"/>
        <bgColor indexed="64"/>
      </patternFill>
    </fill>
    <fill>
      <patternFill patternType="solid">
        <fgColor theme="0"/>
        <bgColor theme="7" tint="0.79998168889431442"/>
      </patternFill>
    </fill>
    <fill>
      <patternFill patternType="solid">
        <fgColor rgb="FF9590FF"/>
        <bgColor rgb="FF000000"/>
      </patternFill>
    </fill>
    <fill>
      <patternFill patternType="solid">
        <fgColor rgb="FFFFF2CC"/>
        <bgColor indexed="64"/>
      </patternFill>
    </fill>
    <fill>
      <patternFill patternType="solid">
        <fgColor rgb="FF63FF2E"/>
        <bgColor indexed="64"/>
      </patternFill>
    </fill>
    <fill>
      <patternFill patternType="solid">
        <fgColor theme="4" tint="-0.249977111117893"/>
        <bgColor indexed="64"/>
      </patternFill>
    </fill>
    <fill>
      <patternFill patternType="solid">
        <fgColor rgb="FF663300"/>
        <bgColor indexed="64"/>
      </patternFill>
    </fill>
    <fill>
      <patternFill patternType="solid">
        <fgColor theme="3"/>
        <bgColor indexed="64"/>
      </patternFill>
    </fill>
    <fill>
      <patternFill patternType="solid">
        <fgColor rgb="FF66FF99"/>
        <bgColor indexed="64"/>
      </patternFill>
    </fill>
    <fill>
      <patternFill patternType="solid">
        <fgColor theme="6" tint="0.79998168889431442"/>
        <bgColor theme="6" tint="0.79998168889431442"/>
      </patternFill>
    </fill>
  </fills>
  <borders count="175">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diagonal/>
    </border>
    <border>
      <left/>
      <right style="thin">
        <color indexed="64"/>
      </right>
      <top style="thin">
        <color theme="7"/>
      </top>
      <bottom style="thin">
        <color theme="7"/>
      </bottom>
      <diagonal/>
    </border>
    <border>
      <left/>
      <right/>
      <top/>
      <bottom style="thin">
        <color theme="1"/>
      </bottom>
      <diagonal/>
    </border>
    <border>
      <left style="thin">
        <color theme="1"/>
      </left>
      <right style="thin">
        <color indexed="64"/>
      </right>
      <top style="thin">
        <color theme="1"/>
      </top>
      <bottom style="thin">
        <color indexed="64"/>
      </bottom>
      <diagonal/>
    </border>
    <border>
      <left style="thin">
        <color theme="1"/>
      </left>
      <right style="thin">
        <color theme="1"/>
      </right>
      <top style="thin">
        <color theme="1"/>
      </top>
      <bottom style="medium">
        <color theme="1"/>
      </bottom>
      <diagonal/>
    </border>
    <border>
      <left/>
      <right/>
      <top/>
      <bottom style="medium">
        <color theme="1"/>
      </bottom>
      <diagonal/>
    </border>
    <border>
      <left style="medium">
        <color rgb="FFFF0000"/>
      </left>
      <right style="medium">
        <color rgb="FFFF0000"/>
      </right>
      <top style="medium">
        <color rgb="FFFF0000"/>
      </top>
      <bottom style="medium">
        <color rgb="FFFF0000"/>
      </bottom>
      <diagonal/>
    </border>
    <border>
      <left style="medium">
        <color theme="1"/>
      </left>
      <right style="medium">
        <color theme="1"/>
      </right>
      <top style="medium">
        <color theme="1"/>
      </top>
      <bottom style="medium">
        <color theme="1"/>
      </bottom>
      <diagonal/>
    </border>
    <border>
      <left style="medium">
        <color rgb="FFD4A2FF"/>
      </left>
      <right style="medium">
        <color rgb="FFD4A2FF"/>
      </right>
      <top style="medium">
        <color rgb="FFD4A2FF"/>
      </top>
      <bottom style="medium">
        <color rgb="FFD4A2FF"/>
      </bottom>
      <diagonal/>
    </border>
    <border>
      <left/>
      <right style="thin">
        <color theme="1"/>
      </right>
      <top/>
      <bottom style="thin">
        <color theme="1"/>
      </bottom>
      <diagonal/>
    </border>
    <border>
      <left/>
      <right style="thin">
        <color theme="1"/>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right/>
      <top style="thin">
        <color theme="1"/>
      </top>
      <bottom/>
      <diagonal/>
    </border>
    <border>
      <left style="thin">
        <color theme="1"/>
      </left>
      <right style="thin">
        <color theme="1"/>
      </right>
      <top/>
      <bottom/>
      <diagonal/>
    </border>
    <border>
      <left style="thin">
        <color theme="1"/>
      </left>
      <right/>
      <top/>
      <bottom/>
      <diagonal/>
    </border>
    <border>
      <left style="thin">
        <color theme="1"/>
      </left>
      <right/>
      <top/>
      <bottom style="thin">
        <color theme="1"/>
      </bottom>
      <diagonal/>
    </border>
    <border>
      <left/>
      <right style="thin">
        <color theme="1"/>
      </right>
      <top style="thin">
        <color theme="1"/>
      </top>
      <bottom/>
      <diagonal/>
    </border>
    <border>
      <left/>
      <right style="double">
        <color theme="1"/>
      </right>
      <top style="thin">
        <color theme="1"/>
      </top>
      <bottom/>
      <diagonal/>
    </border>
    <border>
      <left style="double">
        <color theme="1"/>
      </left>
      <right/>
      <top/>
      <bottom/>
      <diagonal/>
    </border>
    <border>
      <left style="thin">
        <color theme="1"/>
      </left>
      <right style="thin">
        <color theme="1"/>
      </right>
      <top style="double">
        <color theme="1"/>
      </top>
      <bottom/>
      <diagonal/>
    </border>
    <border>
      <left style="thin">
        <color theme="1"/>
      </left>
      <right style="thin">
        <color indexed="64"/>
      </right>
      <top/>
      <bottom style="thin">
        <color indexed="64"/>
      </bottom>
      <diagonal/>
    </border>
    <border>
      <left/>
      <right/>
      <top/>
      <bottom style="double">
        <color theme="1"/>
      </bottom>
      <diagonal/>
    </border>
    <border>
      <left/>
      <right/>
      <top style="double">
        <color theme="1"/>
      </top>
      <bottom/>
      <diagonal/>
    </border>
    <border>
      <left style="thin">
        <color theme="1"/>
      </left>
      <right style="thin">
        <color indexed="64"/>
      </right>
      <top style="double">
        <color theme="1"/>
      </top>
      <bottom style="thin">
        <color indexed="64"/>
      </bottom>
      <diagonal/>
    </border>
    <border>
      <left style="thin">
        <color theme="1"/>
      </left>
      <right style="thin">
        <color indexed="64"/>
      </right>
      <top style="double">
        <color theme="1"/>
      </top>
      <bottom/>
      <diagonal/>
    </border>
    <border>
      <left/>
      <right/>
      <top/>
      <bottom style="double">
        <color indexed="64"/>
      </bottom>
      <diagonal/>
    </border>
    <border>
      <left/>
      <right/>
      <top style="double">
        <color indexed="64"/>
      </top>
      <bottom/>
      <diagonal/>
    </border>
    <border>
      <left style="thin">
        <color theme="1"/>
      </left>
      <right style="thin">
        <color indexed="64"/>
      </right>
      <top style="double">
        <color indexed="64"/>
      </top>
      <bottom/>
      <diagonal/>
    </border>
    <border>
      <left style="thin">
        <color theme="1"/>
      </left>
      <right style="thin">
        <color indexed="64"/>
      </right>
      <top style="double">
        <color indexed="64"/>
      </top>
      <bottom style="thin">
        <color indexed="64"/>
      </bottom>
      <diagonal/>
    </border>
    <border>
      <left style="thin">
        <color theme="1"/>
      </left>
      <right/>
      <top style="thin">
        <color theme="1"/>
      </top>
      <bottom style="thin">
        <color indexed="64"/>
      </bottom>
      <diagonal/>
    </border>
    <border>
      <left style="thin">
        <color theme="0" tint="-0.499984740745262"/>
      </left>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top/>
      <bottom style="double">
        <color theme="0" tint="-0.499984740745262"/>
      </bottom>
      <diagonal/>
    </border>
    <border>
      <left style="thin">
        <color theme="1"/>
      </left>
      <right style="thin">
        <color indexed="64"/>
      </right>
      <top/>
      <bottom/>
      <diagonal/>
    </border>
    <border>
      <left/>
      <right/>
      <top style="double">
        <color theme="0" tint="-0.499984740745262"/>
      </top>
      <bottom/>
      <diagonal/>
    </border>
    <border>
      <left style="thin">
        <color theme="1"/>
      </left>
      <right style="thin">
        <color indexed="64"/>
      </right>
      <top style="double">
        <color theme="0" tint="-0.499984740745262"/>
      </top>
      <bottom style="thin">
        <color indexed="64"/>
      </bottom>
      <diagonal/>
    </border>
    <border>
      <left style="thin">
        <color theme="1"/>
      </left>
      <right style="thin">
        <color indexed="64"/>
      </right>
      <top style="double">
        <color theme="0" tint="-0.499984740745262"/>
      </top>
      <bottom/>
      <diagonal/>
    </border>
    <border>
      <left style="thin">
        <color theme="1"/>
      </left>
      <right/>
      <top style="double">
        <color theme="0" tint="-0.499984740745262"/>
      </top>
      <bottom style="thin">
        <color indexed="64"/>
      </bottom>
      <diagonal/>
    </border>
    <border>
      <left/>
      <right style="thin">
        <color indexed="64"/>
      </right>
      <top style="thin">
        <color theme="1"/>
      </top>
      <bottom/>
      <diagonal/>
    </border>
    <border>
      <left style="thin">
        <color theme="1"/>
      </left>
      <right/>
      <top/>
      <bottom style="thin">
        <color indexed="64"/>
      </bottom>
      <diagonal/>
    </border>
    <border>
      <left style="thin">
        <color indexed="64"/>
      </left>
      <right/>
      <top/>
      <bottom style="thin">
        <color theme="1"/>
      </bottom>
      <diagonal/>
    </border>
    <border>
      <left/>
      <right style="thin">
        <color indexed="64"/>
      </right>
      <top style="thin">
        <color theme="7"/>
      </top>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right style="thin">
        <color indexed="64"/>
      </right>
      <top style="thin">
        <color indexed="64"/>
      </top>
      <bottom style="double">
        <color theme="1"/>
      </bottom>
      <diagonal/>
    </border>
    <border>
      <left style="thin">
        <color indexed="64"/>
      </left>
      <right style="thin">
        <color theme="1"/>
      </right>
      <top/>
      <bottom/>
      <diagonal/>
    </border>
    <border>
      <left style="thin">
        <color theme="5"/>
      </left>
      <right style="thin">
        <color theme="5"/>
      </right>
      <top style="thin">
        <color theme="5"/>
      </top>
      <bottom style="thin">
        <color theme="5"/>
      </bottom>
      <diagonal/>
    </border>
    <border>
      <left style="medium">
        <color indexed="64"/>
      </left>
      <right style="medium">
        <color indexed="64"/>
      </right>
      <top style="medium">
        <color indexed="64"/>
      </top>
      <bottom style="medium">
        <color indexed="64"/>
      </bottom>
      <diagonal/>
    </border>
    <border>
      <left style="thin">
        <color theme="2" tint="-0.499984740745262"/>
      </left>
      <right/>
      <top/>
      <bottom/>
      <diagonal/>
    </border>
    <border>
      <left/>
      <right/>
      <top style="thin">
        <color theme="2" tint="-0.499984740745262"/>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style="medium">
        <color rgb="FFFFF2CC"/>
      </left>
      <right style="medium">
        <color rgb="FFFFF2CC"/>
      </right>
      <top style="medium">
        <color rgb="FFFFF2CC"/>
      </top>
      <bottom style="medium">
        <color rgb="FFFFF2CC"/>
      </bottom>
      <diagonal/>
    </border>
    <border>
      <left style="medium">
        <color rgb="FFFFF2CC"/>
      </left>
      <right/>
      <top style="medium">
        <color rgb="FFFFF2CC"/>
      </top>
      <bottom style="medium">
        <color rgb="FFFFF2CC"/>
      </bottom>
      <diagonal/>
    </border>
    <border>
      <left style="medium">
        <color rgb="FFC00000"/>
      </left>
      <right style="medium">
        <color rgb="FFC00000"/>
      </right>
      <top style="medium">
        <color rgb="FFC00000"/>
      </top>
      <bottom style="medium">
        <color rgb="FFC00000"/>
      </bottom>
      <diagonal/>
    </border>
    <border>
      <left style="medium">
        <color rgb="FFC00000"/>
      </left>
      <right/>
      <top/>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diagonal/>
    </border>
    <border>
      <left style="medium">
        <color theme="2" tint="-0.249977111117893"/>
      </left>
      <right style="medium">
        <color theme="2" tint="-0.249977111117893"/>
      </right>
      <top/>
      <bottom style="medium">
        <color theme="2" tint="-0.249977111117893"/>
      </bottom>
      <diagonal/>
    </border>
    <border>
      <left/>
      <right style="thin">
        <color theme="2" tint="-0.499984740745262"/>
      </right>
      <top/>
      <bottom/>
      <diagonal/>
    </border>
    <border>
      <left style="medium">
        <color rgb="FFFF0000"/>
      </left>
      <right/>
      <top/>
      <bottom/>
      <diagonal/>
    </border>
    <border>
      <left/>
      <right style="medium">
        <color rgb="FFFF0000"/>
      </right>
      <top/>
      <bottom/>
      <diagonal/>
    </border>
    <border>
      <left/>
      <right style="medium">
        <color rgb="FFFF0000"/>
      </right>
      <top style="medium">
        <color rgb="FFFF0000"/>
      </top>
      <bottom style="medium">
        <color rgb="FFFF0000"/>
      </bottom>
      <diagonal/>
    </border>
    <border>
      <left style="medium">
        <color rgb="FFFF0000"/>
      </left>
      <right style="medium">
        <color theme="1"/>
      </right>
      <top style="medium">
        <color theme="1"/>
      </top>
      <bottom style="medium">
        <color rgb="FFFF0000"/>
      </bottom>
      <diagonal/>
    </border>
    <border>
      <left/>
      <right style="medium">
        <color theme="1"/>
      </right>
      <top style="medium">
        <color theme="1"/>
      </top>
      <bottom style="medium">
        <color theme="1"/>
      </bottom>
      <diagonal/>
    </border>
    <border>
      <left style="medium">
        <color rgb="FFFFC000"/>
      </left>
      <right/>
      <top/>
      <bottom/>
      <diagonal/>
    </border>
    <border>
      <left style="medium">
        <color rgb="FFFFC000"/>
      </left>
      <right style="medium">
        <color rgb="FFFFC000"/>
      </right>
      <top style="medium">
        <color rgb="FFFFC000"/>
      </top>
      <bottom style="medium">
        <color rgb="FFFFC000"/>
      </bottom>
      <diagonal/>
    </border>
    <border>
      <left/>
      <right style="medium">
        <color rgb="FFFFC000"/>
      </right>
      <top/>
      <bottom/>
      <diagonal/>
    </border>
    <border>
      <left/>
      <right/>
      <top style="medium">
        <color rgb="FFFFC000"/>
      </top>
      <bottom style="medium">
        <color rgb="FFFFC000"/>
      </bottom>
      <diagonal/>
    </border>
    <border>
      <left style="medium">
        <color theme="1"/>
      </left>
      <right/>
      <top style="medium">
        <color theme="1"/>
      </top>
      <bottom style="medium">
        <color theme="1"/>
      </bottom>
      <diagonal/>
    </border>
    <border>
      <left style="medium">
        <color theme="0"/>
      </left>
      <right/>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theme="0"/>
      </left>
      <right/>
      <top style="medium">
        <color theme="0"/>
      </top>
      <bottom/>
      <diagonal/>
    </border>
    <border>
      <left/>
      <right/>
      <top style="medium">
        <color rgb="FFFF0000"/>
      </top>
      <bottom/>
      <diagonal/>
    </border>
    <border>
      <left/>
      <right/>
      <top/>
      <bottom style="medium">
        <color rgb="FFFF0000"/>
      </bottom>
      <diagonal/>
    </border>
    <border>
      <left/>
      <right/>
      <top style="thin">
        <color indexed="64"/>
      </top>
      <bottom style="medium">
        <color theme="2" tint="-0.249977111117893"/>
      </bottom>
      <diagonal/>
    </border>
    <border>
      <left/>
      <right/>
      <top style="medium">
        <color theme="2" tint="-0.249977111117893"/>
      </top>
      <bottom/>
      <diagonal/>
    </border>
    <border>
      <left/>
      <right/>
      <top style="medium">
        <color rgb="FFFFF2CC"/>
      </top>
      <bottom/>
      <diagonal/>
    </border>
    <border>
      <left style="medium">
        <color rgb="FFFFF2CC"/>
      </left>
      <right/>
      <top/>
      <bottom/>
      <diagonal/>
    </border>
    <border>
      <left/>
      <right style="medium">
        <color rgb="FFFFF2CC"/>
      </right>
      <top style="medium">
        <color rgb="FFFFF2CC"/>
      </top>
      <bottom style="medium">
        <color rgb="FFFFF2CC"/>
      </bottom>
      <diagonal/>
    </border>
    <border>
      <left/>
      <right style="medium">
        <color rgb="FFFFF2CC"/>
      </right>
      <top/>
      <bottom/>
      <diagonal/>
    </border>
    <border>
      <left style="medium">
        <color theme="2" tint="-0.499984740745262"/>
      </left>
      <right/>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right style="medium">
        <color theme="2" tint="-0.499984740745262"/>
      </right>
      <top/>
      <bottom/>
      <diagonal/>
    </border>
    <border>
      <left/>
      <right/>
      <top/>
      <bottom style="medium">
        <color theme="2" tint="-0.499984740745262"/>
      </bottom>
      <diagonal/>
    </border>
    <border>
      <left/>
      <right style="medium">
        <color theme="2" tint="-0.499984740745262"/>
      </right>
      <top/>
      <bottom style="medium">
        <color theme="2" tint="-0.499984740745262"/>
      </bottom>
      <diagonal/>
    </border>
    <border>
      <left/>
      <right style="medium">
        <color theme="2" tint="-0.499984740745262"/>
      </right>
      <top style="thin">
        <color theme="2" tint="-0.499984740745262"/>
      </top>
      <bottom/>
      <diagonal/>
    </border>
    <border>
      <left style="medium">
        <color theme="2" tint="-0.499984740745262"/>
      </left>
      <right/>
      <top style="thin">
        <color theme="2" tint="-0.499984740745262"/>
      </top>
      <bottom/>
      <diagonal/>
    </border>
    <border>
      <left/>
      <right/>
      <top/>
      <bottom style="thin">
        <color theme="2" tint="-0.499984740745262"/>
      </bottom>
      <diagonal/>
    </border>
    <border>
      <left/>
      <right style="thin">
        <color theme="2" tint="-0.499984740745262"/>
      </right>
      <top style="thin">
        <color theme="2" tint="-0.499984740745262"/>
      </top>
      <bottom/>
      <diagonal/>
    </border>
    <border>
      <left/>
      <right style="medium">
        <color theme="2" tint="-0.499984740745262"/>
      </right>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right/>
      <top style="thin">
        <color theme="2" tint="-0.499984740745262"/>
      </top>
      <bottom style="thin">
        <color theme="2" tint="-0.499984740745262"/>
      </bottom>
      <diagonal/>
    </border>
    <border>
      <left/>
      <right/>
      <top/>
      <bottom style="double">
        <color theme="2" tint="-0.499984740745262"/>
      </bottom>
      <diagonal/>
    </border>
    <border>
      <left/>
      <right/>
      <top style="thin">
        <color theme="2" tint="-0.499984740745262"/>
      </top>
      <bottom style="double">
        <color theme="2" tint="-0.499984740745262"/>
      </bottom>
      <diagonal/>
    </border>
    <border>
      <left/>
      <right/>
      <top style="double">
        <color theme="2" tint="-0.499984740745262"/>
      </top>
      <bottom/>
      <diagonal/>
    </border>
    <border>
      <left style="thin">
        <color indexed="64"/>
      </left>
      <right/>
      <top/>
      <bottom style="thin">
        <color theme="2" tint="-0.499984740745262"/>
      </bottom>
      <diagonal/>
    </border>
    <border>
      <left style="thin">
        <color theme="1"/>
      </left>
      <right style="thin">
        <color indexed="64"/>
      </right>
      <top style="thin">
        <color theme="1"/>
      </top>
      <bottom/>
      <diagonal/>
    </border>
    <border>
      <left/>
      <right style="thin">
        <color theme="1"/>
      </right>
      <top/>
      <bottom style="thin">
        <color theme="2" tint="-0.499984740745262"/>
      </bottom>
      <diagonal/>
    </border>
    <border>
      <left style="thin">
        <color theme="1"/>
      </left>
      <right/>
      <top style="thin">
        <color theme="1"/>
      </top>
      <bottom/>
      <diagonal/>
    </border>
    <border>
      <left/>
      <right style="thin">
        <color indexed="64"/>
      </right>
      <top style="thin">
        <color theme="1"/>
      </top>
      <bottom style="thin">
        <color indexed="64"/>
      </bottom>
      <diagonal/>
    </border>
    <border>
      <left style="thin">
        <color theme="1"/>
      </left>
      <right style="thin">
        <color indexed="64"/>
      </right>
      <top style="double">
        <color theme="2" tint="-0.499984740745262"/>
      </top>
      <bottom style="thin">
        <color indexed="64"/>
      </bottom>
      <diagonal/>
    </border>
    <border>
      <left/>
      <right style="thin">
        <color indexed="64"/>
      </right>
      <top style="double">
        <color theme="2" tint="-0.499984740745262"/>
      </top>
      <bottom/>
      <diagonal/>
    </border>
    <border>
      <left/>
      <right/>
      <top style="thin">
        <color theme="2" tint="-0.499984740745262"/>
      </top>
      <bottom style="double">
        <color theme="1"/>
      </bottom>
      <diagonal/>
    </border>
    <border>
      <left/>
      <right/>
      <top style="thin">
        <color theme="2" tint="-0.499984740745262"/>
      </top>
      <bottom style="double">
        <color indexed="64"/>
      </bottom>
      <diagonal/>
    </border>
    <border>
      <left/>
      <right/>
      <top style="thin">
        <color theme="2" tint="-0.499984740745262"/>
      </top>
      <bottom style="double">
        <color theme="0" tint="-0.499984740745262"/>
      </bottom>
      <diagonal/>
    </border>
    <border>
      <left/>
      <right style="thin">
        <color theme="1"/>
      </right>
      <top style="thin">
        <color theme="1"/>
      </top>
      <bottom style="medium">
        <color theme="1"/>
      </bottom>
      <diagonal/>
    </border>
    <border>
      <left style="medium">
        <color theme="2" tint="-0.499984740745262"/>
      </left>
      <right style="thin">
        <color indexed="64"/>
      </right>
      <top style="thin">
        <color theme="1"/>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thin">
        <color theme="2" tint="-0.499984740745262"/>
      </bottom>
      <diagonal/>
    </border>
    <border>
      <left/>
      <right/>
      <top/>
      <bottom style="medium">
        <color indexed="64"/>
      </bottom>
      <diagonal/>
    </border>
    <border>
      <left/>
      <right/>
      <top style="thin">
        <color indexed="64"/>
      </top>
      <bottom style="double">
        <color theme="2"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theme="1"/>
      </top>
      <bottom style="medium">
        <color indexed="64"/>
      </bottom>
      <diagonal/>
    </border>
    <border>
      <left style="medium">
        <color indexed="64"/>
      </left>
      <right style="thin">
        <color indexed="64"/>
      </right>
      <top style="thin">
        <color theme="1"/>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theme="1"/>
      </right>
      <top style="thin">
        <color theme="1"/>
      </top>
      <bottom style="medium">
        <color theme="1"/>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theme="7"/>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double">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medium">
        <color indexed="64"/>
      </bottom>
      <diagonal/>
    </border>
    <border>
      <left style="thin">
        <color rgb="FFFFFFFF"/>
      </left>
      <right style="thin">
        <color rgb="FFFFFFFF"/>
      </right>
      <top style="thin">
        <color rgb="FFFFFFFF"/>
      </top>
      <bottom style="thin">
        <color theme="0"/>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s>
  <cellStyleXfs count="4">
    <xf numFmtId="0" fontId="0" fillId="0" borderId="0"/>
    <xf numFmtId="9" fontId="14" fillId="0" borderId="0" applyFont="0" applyFill="0" applyBorder="0" applyAlignment="0" applyProtection="0"/>
    <xf numFmtId="0" fontId="45" fillId="0" borderId="0" applyNumberFormat="0" applyFill="0" applyBorder="0" applyAlignment="0" applyProtection="0"/>
    <xf numFmtId="43" fontId="14" fillId="0" borderId="0" applyFont="0" applyFill="0" applyBorder="0" applyAlignment="0" applyProtection="0"/>
  </cellStyleXfs>
  <cellXfs count="1840">
    <xf numFmtId="0" fontId="0" fillId="0" borderId="0" xfId="0"/>
    <xf numFmtId="0" fontId="4" fillId="0" borderId="0" xfId="0" applyFont="1"/>
    <xf numFmtId="0" fontId="5" fillId="0" borderId="0" xfId="0" applyFont="1"/>
    <xf numFmtId="0" fontId="2" fillId="2" borderId="0" xfId="0" applyFont="1" applyFill="1"/>
    <xf numFmtId="0" fontId="0" fillId="3" borderId="0" xfId="0" applyFill="1"/>
    <xf numFmtId="0" fontId="2" fillId="4" borderId="0" xfId="0" applyFont="1" applyFill="1"/>
    <xf numFmtId="0" fontId="2" fillId="5" borderId="0" xfId="0" applyFont="1" applyFill="1"/>
    <xf numFmtId="0" fontId="2" fillId="6" borderId="0" xfId="0" applyFont="1" applyFill="1"/>
    <xf numFmtId="0" fontId="1" fillId="0" borderId="0" xfId="0" applyFont="1"/>
    <xf numFmtId="0" fontId="6" fillId="0" borderId="1" xfId="0" applyFont="1" applyBorder="1"/>
    <xf numFmtId="0" fontId="7" fillId="0" borderId="0" xfId="0" applyFont="1"/>
    <xf numFmtId="0" fontId="2" fillId="7" borderId="0" xfId="0" applyFont="1" applyFill="1"/>
    <xf numFmtId="0" fontId="2" fillId="0" borderId="0" xfId="0" applyFont="1"/>
    <xf numFmtId="0" fontId="0" fillId="8" borderId="0" xfId="0" applyFill="1"/>
    <xf numFmtId="0" fontId="2" fillId="9" borderId="0" xfId="0" applyFont="1" applyFill="1"/>
    <xf numFmtId="0" fontId="0" fillId="11" borderId="0" xfId="0" applyFill="1"/>
    <xf numFmtId="0" fontId="2" fillId="12" borderId="0" xfId="0" applyFont="1" applyFill="1"/>
    <xf numFmtId="0" fontId="2" fillId="13" borderId="0" xfId="0" applyFont="1" applyFill="1"/>
    <xf numFmtId="0" fontId="0" fillId="14" borderId="0" xfId="0" applyFill="1"/>
    <xf numFmtId="0" fontId="0" fillId="15" borderId="0" xfId="0" applyFill="1"/>
    <xf numFmtId="0" fontId="0" fillId="0" borderId="1" xfId="0" applyBorder="1"/>
    <xf numFmtId="0" fontId="0" fillId="10" borderId="0" xfId="0" applyFill="1"/>
    <xf numFmtId="0" fontId="2" fillId="16" borderId="0" xfId="0" applyFont="1" applyFill="1"/>
    <xf numFmtId="0" fontId="0" fillId="17" borderId="0" xfId="0" applyFill="1"/>
    <xf numFmtId="0" fontId="0" fillId="18" borderId="0" xfId="0" applyFill="1"/>
    <xf numFmtId="0" fontId="8" fillId="0" borderId="0" xfId="0" applyFont="1"/>
    <xf numFmtId="0" fontId="0" fillId="19" borderId="0" xfId="0" applyFill="1"/>
    <xf numFmtId="0" fontId="0" fillId="20" borderId="0" xfId="0" applyFill="1"/>
    <xf numFmtId="0" fontId="0" fillId="21" borderId="0" xfId="0" applyFill="1"/>
    <xf numFmtId="0" fontId="2" fillId="22" borderId="0" xfId="0" applyFont="1" applyFill="1"/>
    <xf numFmtId="0" fontId="10" fillId="23" borderId="0" xfId="0" applyFont="1" applyFill="1"/>
    <xf numFmtId="0" fontId="11" fillId="24" borderId="0" xfId="0" applyFont="1" applyFill="1"/>
    <xf numFmtId="0" fontId="0" fillId="0" borderId="3" xfId="0" applyBorder="1"/>
    <xf numFmtId="0" fontId="12" fillId="0" borderId="0" xfId="0" applyFont="1"/>
    <xf numFmtId="0" fontId="17" fillId="0" borderId="0" xfId="0" applyFont="1"/>
    <xf numFmtId="0" fontId="15" fillId="0" borderId="0" xfId="0" applyFont="1"/>
    <xf numFmtId="0" fontId="19" fillId="0" borderId="0" xfId="0" applyFont="1"/>
    <xf numFmtId="0" fontId="20" fillId="0" borderId="0" xfId="0" applyFont="1"/>
    <xf numFmtId="0" fontId="22" fillId="7" borderId="0" xfId="0" applyFont="1" applyFill="1"/>
    <xf numFmtId="0" fontId="23" fillId="0" borderId="0" xfId="0" applyFont="1"/>
    <xf numFmtId="0" fontId="24" fillId="0" borderId="0" xfId="0" applyFont="1"/>
    <xf numFmtId="2" fontId="0" fillId="0" borderId="0" xfId="0" applyNumberFormat="1"/>
    <xf numFmtId="1" fontId="0" fillId="0" borderId="0" xfId="0" applyNumberFormat="1"/>
    <xf numFmtId="0" fontId="10" fillId="25" borderId="0" xfId="0" applyFont="1" applyFill="1"/>
    <xf numFmtId="0" fontId="10" fillId="0" borderId="0" xfId="0" applyFont="1"/>
    <xf numFmtId="0" fontId="29" fillId="0" borderId="0" xfId="0" applyFont="1"/>
    <xf numFmtId="0" fontId="0" fillId="26" borderId="0" xfId="0" applyFill="1"/>
    <xf numFmtId="0" fontId="30" fillId="0" borderId="0" xfId="0" applyFont="1" applyAlignment="1">
      <alignment horizontal="center"/>
    </xf>
    <xf numFmtId="0" fontId="2" fillId="19" borderId="0" xfId="0" applyFont="1" applyFill="1" applyAlignment="1">
      <alignment horizontal="center"/>
    </xf>
    <xf numFmtId="0" fontId="30" fillId="19" borderId="0" xfId="0" applyFont="1" applyFill="1" applyAlignment="1">
      <alignment horizontal="center"/>
    </xf>
    <xf numFmtId="0" fontId="16" fillId="19" borderId="0" xfId="0" applyFont="1" applyFill="1"/>
    <xf numFmtId="0" fontId="18" fillId="19" borderId="0" xfId="0" applyFont="1" applyFill="1"/>
    <xf numFmtId="0" fontId="20" fillId="0" borderId="0" xfId="0" applyFont="1" applyAlignment="1">
      <alignment horizontal="left"/>
    </xf>
    <xf numFmtId="0" fontId="20" fillId="0" borderId="0" xfId="0" applyFont="1" applyAlignment="1">
      <alignment horizontal="right"/>
    </xf>
    <xf numFmtId="0" fontId="20" fillId="0" borderId="0" xfId="0" applyFont="1" applyAlignment="1">
      <alignment horizontal="left" vertical="center"/>
    </xf>
    <xf numFmtId="0" fontId="20" fillId="0" borderId="1" xfId="0" applyFont="1" applyBorder="1" applyAlignment="1">
      <alignment horizontal="center"/>
    </xf>
    <xf numFmtId="0" fontId="0" fillId="0" borderId="0" xfId="0" applyAlignment="1">
      <alignment horizontal="center"/>
    </xf>
    <xf numFmtId="0" fontId="15" fillId="0" borderId="0" xfId="0" applyFont="1" applyAlignment="1">
      <alignment horizontal="center"/>
    </xf>
    <xf numFmtId="0" fontId="0" fillId="0" borderId="0" xfId="0" applyAlignment="1">
      <alignment horizontal="left"/>
    </xf>
    <xf numFmtId="0" fontId="0" fillId="0" borderId="0" xfId="0" applyAlignment="1">
      <alignment horizontal="left" vertical="top"/>
    </xf>
    <xf numFmtId="0" fontId="38" fillId="28" borderId="1" xfId="0" applyFont="1" applyFill="1" applyBorder="1" applyAlignment="1">
      <alignment horizontal="center"/>
    </xf>
    <xf numFmtId="0" fontId="38" fillId="0" borderId="0" xfId="0" applyFont="1" applyAlignment="1">
      <alignment horizontal="left"/>
    </xf>
    <xf numFmtId="0" fontId="0" fillId="28" borderId="0" xfId="0" applyFill="1"/>
    <xf numFmtId="0" fontId="31" fillId="0" borderId="3" xfId="0" applyFont="1" applyBorder="1" applyAlignment="1">
      <alignment horizontal="left" vertical="top"/>
    </xf>
    <xf numFmtId="0" fontId="20" fillId="0" borderId="2" xfId="0" applyFont="1" applyBorder="1" applyAlignment="1">
      <alignment horizontal="right"/>
    </xf>
    <xf numFmtId="0" fontId="40" fillId="0" borderId="0" xfId="0" applyFont="1" applyAlignment="1">
      <alignment horizontal="left"/>
    </xf>
    <xf numFmtId="0" fontId="40" fillId="0" borderId="0" xfId="0" applyFont="1"/>
    <xf numFmtId="0" fontId="20" fillId="0" borderId="0" xfId="0" applyFont="1" applyAlignment="1">
      <alignment horizontal="left" wrapText="1"/>
    </xf>
    <xf numFmtId="0" fontId="44" fillId="0" borderId="0" xfId="0" applyFont="1" applyAlignment="1">
      <alignment horizontal="left" vertical="top"/>
    </xf>
    <xf numFmtId="0" fontId="44" fillId="0" borderId="0" xfId="0" applyFont="1"/>
    <xf numFmtId="0" fontId="0" fillId="0" borderId="6" xfId="0" applyBorder="1"/>
    <xf numFmtId="0" fontId="15" fillId="0" borderId="1" xfId="0" applyFont="1" applyBorder="1"/>
    <xf numFmtId="0" fontId="0" fillId="0" borderId="2" xfId="0" applyBorder="1"/>
    <xf numFmtId="0" fontId="20" fillId="30" borderId="2" xfId="0" applyFont="1" applyFill="1" applyBorder="1"/>
    <xf numFmtId="0" fontId="20" fillId="30" borderId="3" xfId="0" applyFont="1" applyFill="1" applyBorder="1"/>
    <xf numFmtId="0" fontId="15" fillId="30" borderId="2" xfId="0" applyFont="1" applyFill="1" applyBorder="1" applyAlignment="1">
      <alignment horizontal="right"/>
    </xf>
    <xf numFmtId="0" fontId="34" fillId="31" borderId="2" xfId="0" applyFont="1" applyFill="1" applyBorder="1" applyAlignment="1">
      <alignment horizontal="right"/>
    </xf>
    <xf numFmtId="0" fontId="0" fillId="31" borderId="0" xfId="0" applyFill="1"/>
    <xf numFmtId="0" fontId="20" fillId="31" borderId="2" xfId="0" applyFont="1" applyFill="1" applyBorder="1"/>
    <xf numFmtId="0" fontId="34" fillId="32" borderId="2" xfId="0" applyFont="1" applyFill="1" applyBorder="1" applyAlignment="1">
      <alignment horizontal="right"/>
    </xf>
    <xf numFmtId="0" fontId="20" fillId="32" borderId="2" xfId="0" applyFont="1" applyFill="1" applyBorder="1"/>
    <xf numFmtId="0" fontId="20" fillId="32" borderId="3" xfId="0" applyFont="1" applyFill="1" applyBorder="1"/>
    <xf numFmtId="0" fontId="15" fillId="0" borderId="3" xfId="0" applyFont="1" applyBorder="1" applyAlignment="1">
      <alignment horizontal="center"/>
    </xf>
    <xf numFmtId="0" fontId="15" fillId="0" borderId="1" xfId="0" applyFont="1" applyBorder="1" applyAlignment="1">
      <alignment horizontal="center"/>
    </xf>
    <xf numFmtId="0" fontId="34" fillId="33" borderId="2" xfId="0" applyFont="1" applyFill="1" applyBorder="1" applyAlignment="1">
      <alignment horizontal="right"/>
    </xf>
    <xf numFmtId="0" fontId="20" fillId="33" borderId="2" xfId="0" applyFont="1" applyFill="1" applyBorder="1"/>
    <xf numFmtId="0" fontId="20" fillId="30" borderId="0" xfId="0" applyFont="1" applyFill="1"/>
    <xf numFmtId="0" fontId="15" fillId="0" borderId="8" xfId="0" applyFont="1" applyBorder="1" applyAlignment="1">
      <alignment horizontal="center"/>
    </xf>
    <xf numFmtId="0" fontId="0" fillId="30" borderId="7" xfId="0" applyFill="1" applyBorder="1"/>
    <xf numFmtId="0" fontId="0" fillId="32" borderId="8" xfId="0" applyFill="1" applyBorder="1"/>
    <xf numFmtId="0" fontId="0" fillId="0" borderId="0" xfId="0" applyAlignment="1">
      <alignment horizontal="right"/>
    </xf>
    <xf numFmtId="0" fontId="15" fillId="0" borderId="9" xfId="0" applyFont="1" applyBorder="1" applyAlignment="1">
      <alignment horizontal="center"/>
    </xf>
    <xf numFmtId="0" fontId="0" fillId="30" borderId="6" xfId="0" applyFill="1" applyBorder="1"/>
    <xf numFmtId="0" fontId="0" fillId="30" borderId="9" xfId="0" applyFill="1" applyBorder="1"/>
    <xf numFmtId="0" fontId="0" fillId="31" borderId="6" xfId="0" applyFill="1" applyBorder="1"/>
    <xf numFmtId="0" fontId="0" fillId="31" borderId="9" xfId="0" applyFill="1" applyBorder="1"/>
    <xf numFmtId="0" fontId="0" fillId="32" borderId="6" xfId="0" applyFill="1" applyBorder="1"/>
    <xf numFmtId="0" fontId="0" fillId="33" borderId="6" xfId="0" applyFill="1" applyBorder="1"/>
    <xf numFmtId="0" fontId="0" fillId="0" borderId="7" xfId="0" applyBorder="1"/>
    <xf numFmtId="0" fontId="20" fillId="33" borderId="3" xfId="0" applyFont="1" applyFill="1" applyBorder="1"/>
    <xf numFmtId="0" fontId="0" fillId="0" borderId="11" xfId="0" applyBorder="1"/>
    <xf numFmtId="0" fontId="0" fillId="34" borderId="7" xfId="0" applyFill="1" applyBorder="1"/>
    <xf numFmtId="0" fontId="34" fillId="35" borderId="0" xfId="0" applyFont="1" applyFill="1" applyAlignment="1">
      <alignment horizontal="right"/>
    </xf>
    <xf numFmtId="0" fontId="20" fillId="35" borderId="0" xfId="0" applyFont="1" applyFill="1"/>
    <xf numFmtId="0" fontId="0" fillId="35" borderId="7" xfId="0" applyFill="1" applyBorder="1"/>
    <xf numFmtId="0" fontId="0" fillId="0" borderId="5" xfId="0" applyBorder="1"/>
    <xf numFmtId="0" fontId="0" fillId="34" borderId="8" xfId="0" applyFill="1" applyBorder="1"/>
    <xf numFmtId="0" fontId="0" fillId="36" borderId="7" xfId="0" applyFill="1" applyBorder="1"/>
    <xf numFmtId="9" fontId="0" fillId="33" borderId="8" xfId="1" applyFont="1" applyFill="1" applyBorder="1"/>
    <xf numFmtId="9" fontId="15" fillId="32" borderId="6" xfId="1" applyFont="1" applyFill="1" applyBorder="1"/>
    <xf numFmtId="9" fontId="15" fillId="34" borderId="0" xfId="1" applyFont="1" applyFill="1"/>
    <xf numFmtId="9" fontId="0" fillId="34" borderId="0" xfId="1" applyFont="1" applyFill="1"/>
    <xf numFmtId="9" fontId="0" fillId="34" borderId="1" xfId="1" applyFont="1" applyFill="1" applyBorder="1"/>
    <xf numFmtId="9" fontId="0" fillId="34" borderId="0" xfId="1" applyFont="1" applyFill="1" applyBorder="1"/>
    <xf numFmtId="9" fontId="0" fillId="36" borderId="0" xfId="1" applyFont="1" applyFill="1"/>
    <xf numFmtId="9" fontId="15" fillId="36" borderId="0" xfId="1" applyFont="1" applyFill="1"/>
    <xf numFmtId="9" fontId="15" fillId="30" borderId="11" xfId="1" applyFont="1" applyFill="1" applyBorder="1"/>
    <xf numFmtId="9" fontId="0" fillId="30" borderId="7" xfId="1" applyFont="1" applyFill="1" applyBorder="1"/>
    <xf numFmtId="9" fontId="0" fillId="30" borderId="8" xfId="1" applyFont="1" applyFill="1" applyBorder="1"/>
    <xf numFmtId="9" fontId="15" fillId="31" borderId="7" xfId="1" applyFont="1" applyFill="1" applyBorder="1"/>
    <xf numFmtId="9" fontId="0" fillId="31" borderId="7" xfId="1" applyFont="1" applyFill="1" applyBorder="1"/>
    <xf numFmtId="9" fontId="0" fillId="31" borderId="8" xfId="1" applyFont="1" applyFill="1" applyBorder="1"/>
    <xf numFmtId="9" fontId="0" fillId="32" borderId="7" xfId="1" applyFont="1" applyFill="1" applyBorder="1"/>
    <xf numFmtId="9" fontId="0" fillId="32" borderId="8" xfId="1" applyFont="1" applyFill="1" applyBorder="1"/>
    <xf numFmtId="9" fontId="15" fillId="33" borderId="7" xfId="1" applyFont="1" applyFill="1" applyBorder="1"/>
    <xf numFmtId="9" fontId="0" fillId="33" borderId="7" xfId="1" applyFont="1" applyFill="1" applyBorder="1"/>
    <xf numFmtId="9" fontId="15" fillId="35" borderId="7" xfId="1" applyFont="1" applyFill="1" applyBorder="1"/>
    <xf numFmtId="9" fontId="0" fillId="35" borderId="7" xfId="1" applyFont="1" applyFill="1" applyBorder="1"/>
    <xf numFmtId="0" fontId="0" fillId="34" borderId="2" xfId="0" applyFill="1" applyBorder="1"/>
    <xf numFmtId="0" fontId="15" fillId="34" borderId="11" xfId="0" applyFont="1" applyFill="1" applyBorder="1" applyAlignment="1">
      <alignment horizontal="right"/>
    </xf>
    <xf numFmtId="0" fontId="20" fillId="34" borderId="8" xfId="0" applyFont="1" applyFill="1" applyBorder="1" applyAlignment="1">
      <alignment horizontal="left"/>
    </xf>
    <xf numFmtId="0" fontId="20" fillId="34" borderId="7" xfId="0" applyFont="1" applyFill="1" applyBorder="1" applyAlignment="1">
      <alignment horizontal="left"/>
    </xf>
    <xf numFmtId="0" fontId="34" fillId="36" borderId="7" xfId="0" applyFont="1" applyFill="1" applyBorder="1" applyAlignment="1">
      <alignment horizontal="right"/>
    </xf>
    <xf numFmtId="0" fontId="20" fillId="36" borderId="7" xfId="0" applyFont="1" applyFill="1" applyBorder="1" applyAlignment="1">
      <alignment horizontal="left"/>
    </xf>
    <xf numFmtId="0" fontId="15" fillId="34" borderId="11" xfId="0" applyFont="1" applyFill="1" applyBorder="1"/>
    <xf numFmtId="0" fontId="15" fillId="37" borderId="6" xfId="0" applyFont="1" applyFill="1" applyBorder="1" applyAlignment="1">
      <alignment horizontal="right"/>
    </xf>
    <xf numFmtId="9" fontId="15" fillId="37" borderId="11" xfId="1" applyFont="1" applyFill="1" applyBorder="1"/>
    <xf numFmtId="0" fontId="0" fillId="37" borderId="6" xfId="0" applyFill="1" applyBorder="1"/>
    <xf numFmtId="0" fontId="0" fillId="37" borderId="7" xfId="0" applyFill="1" applyBorder="1"/>
    <xf numFmtId="9" fontId="0" fillId="37" borderId="7" xfId="1" applyFont="1" applyFill="1" applyBorder="1"/>
    <xf numFmtId="0" fontId="15" fillId="38" borderId="11" xfId="0" applyFont="1" applyFill="1" applyBorder="1" applyAlignment="1">
      <alignment horizontal="right"/>
    </xf>
    <xf numFmtId="0" fontId="0" fillId="38" borderId="7" xfId="0" applyFill="1" applyBorder="1"/>
    <xf numFmtId="0" fontId="47" fillId="0" borderId="0" xfId="0" applyFont="1"/>
    <xf numFmtId="9" fontId="0" fillId="0" borderId="0" xfId="1" applyFont="1"/>
    <xf numFmtId="9" fontId="0" fillId="0" borderId="0" xfId="0" applyNumberFormat="1"/>
    <xf numFmtId="0" fontId="0" fillId="0" borderId="9" xfId="0" applyBorder="1"/>
    <xf numFmtId="9" fontId="0" fillId="0" borderId="2" xfId="1" applyFont="1" applyBorder="1"/>
    <xf numFmtId="0" fontId="29" fillId="0" borderId="0" xfId="0" applyFont="1" applyAlignment="1">
      <alignment horizontal="right"/>
    </xf>
    <xf numFmtId="0" fontId="0" fillId="0" borderId="0" xfId="0" applyAlignment="1">
      <alignment vertical="center"/>
    </xf>
    <xf numFmtId="0" fontId="0" fillId="0" borderId="0" xfId="0" applyAlignment="1">
      <alignment vertical="top"/>
    </xf>
    <xf numFmtId="0" fontId="0" fillId="0" borderId="0" xfId="0" applyAlignment="1">
      <alignment horizontal="right" vertical="top"/>
    </xf>
    <xf numFmtId="0" fontId="49" fillId="0" borderId="0" xfId="0" applyFont="1"/>
    <xf numFmtId="17" fontId="0" fillId="0" borderId="0" xfId="0" applyNumberFormat="1"/>
    <xf numFmtId="0" fontId="38" fillId="0" borderId="0" xfId="0" applyFont="1" applyAlignment="1">
      <alignment horizontal="right"/>
    </xf>
    <xf numFmtId="0" fontId="20" fillId="0" borderId="6" xfId="0" applyFont="1" applyBorder="1" applyAlignment="1">
      <alignment horizontal="right"/>
    </xf>
    <xf numFmtId="0" fontId="20" fillId="0" borderId="6" xfId="0" applyFont="1" applyBorder="1" applyAlignment="1">
      <alignment horizontal="right" wrapText="1"/>
    </xf>
    <xf numFmtId="0" fontId="29" fillId="0" borderId="6" xfId="0" applyFont="1" applyBorder="1" applyAlignment="1">
      <alignment horizontal="right"/>
    </xf>
    <xf numFmtId="0" fontId="48" fillId="0" borderId="6" xfId="0" applyFont="1" applyBorder="1" applyAlignment="1">
      <alignment horizontal="right"/>
    </xf>
    <xf numFmtId="0" fontId="0" fillId="0" borderId="6" xfId="0" applyBorder="1" applyAlignment="1">
      <alignment horizontal="right" vertical="top"/>
    </xf>
    <xf numFmtId="0" fontId="0" fillId="0" borderId="6" xfId="0" applyBorder="1" applyAlignment="1">
      <alignment horizontal="right" vertical="top" wrapText="1"/>
    </xf>
    <xf numFmtId="0" fontId="38" fillId="0" borderId="6" xfId="0" applyFont="1" applyBorder="1" applyAlignment="1">
      <alignment horizontal="right"/>
    </xf>
    <xf numFmtId="0" fontId="38" fillId="0" borderId="6" xfId="0" applyFont="1" applyBorder="1" applyAlignment="1">
      <alignment horizontal="right" wrapText="1"/>
    </xf>
    <xf numFmtId="9" fontId="0" fillId="0" borderId="0" xfId="1" applyFont="1" applyBorder="1"/>
    <xf numFmtId="0" fontId="0" fillId="0" borderId="2" xfId="0" applyBorder="1" applyAlignment="1">
      <alignment horizontal="right"/>
    </xf>
    <xf numFmtId="0" fontId="0" fillId="0" borderId="6" xfId="0" applyBorder="1" applyAlignment="1">
      <alignment horizontal="right"/>
    </xf>
    <xf numFmtId="0" fontId="20" fillId="0" borderId="6" xfId="0" applyFont="1" applyBorder="1" applyAlignment="1">
      <alignment horizontal="left" wrapText="1"/>
    </xf>
    <xf numFmtId="0" fontId="41" fillId="0" borderId="6" xfId="0" applyFont="1" applyBorder="1" applyAlignment="1">
      <alignment horizontal="right"/>
    </xf>
    <xf numFmtId="0" fontId="40" fillId="0" borderId="6" xfId="0" applyFont="1" applyBorder="1" applyAlignment="1">
      <alignment horizontal="right"/>
    </xf>
    <xf numFmtId="0" fontId="0" fillId="28" borderId="2" xfId="0" applyFill="1" applyBorder="1" applyAlignment="1">
      <alignment horizontal="center"/>
    </xf>
    <xf numFmtId="0" fontId="15" fillId="28" borderId="9" xfId="0" applyFont="1" applyFill="1" applyBorder="1" applyAlignment="1">
      <alignment horizontal="center"/>
    </xf>
    <xf numFmtId="0" fontId="15" fillId="28" borderId="1" xfId="0" applyFont="1" applyFill="1" applyBorder="1" applyAlignment="1">
      <alignment horizontal="center"/>
    </xf>
    <xf numFmtId="0" fontId="15" fillId="28" borderId="3" xfId="0" applyFont="1" applyFill="1" applyBorder="1" applyAlignment="1">
      <alignment horizontal="center"/>
    </xf>
    <xf numFmtId="0" fontId="38" fillId="28" borderId="6" xfId="0" applyFont="1" applyFill="1" applyBorder="1" applyAlignment="1">
      <alignment horizontal="right"/>
    </xf>
    <xf numFmtId="9" fontId="0" fillId="28" borderId="2" xfId="1" applyFont="1" applyFill="1" applyBorder="1"/>
    <xf numFmtId="0" fontId="0" fillId="28" borderId="6" xfId="0" applyFill="1" applyBorder="1"/>
    <xf numFmtId="0" fontId="0" fillId="28" borderId="2" xfId="0" applyFill="1" applyBorder="1"/>
    <xf numFmtId="0" fontId="20" fillId="28" borderId="6" xfId="0" applyFont="1" applyFill="1" applyBorder="1" applyAlignment="1">
      <alignment horizontal="right"/>
    </xf>
    <xf numFmtId="0" fontId="20" fillId="28" borderId="6" xfId="0" applyFont="1" applyFill="1" applyBorder="1" applyAlignment="1">
      <alignment horizontal="right" wrapText="1"/>
    </xf>
    <xf numFmtId="0" fontId="29" fillId="28" borderId="6" xfId="0" applyFont="1" applyFill="1" applyBorder="1" applyAlignment="1">
      <alignment horizontal="right"/>
    </xf>
    <xf numFmtId="0" fontId="38" fillId="28" borderId="6" xfId="0" applyFont="1" applyFill="1" applyBorder="1" applyAlignment="1">
      <alignment horizontal="right" wrapText="1"/>
    </xf>
    <xf numFmtId="0" fontId="20" fillId="28" borderId="6" xfId="0" applyFont="1" applyFill="1" applyBorder="1" applyAlignment="1">
      <alignment horizontal="left"/>
    </xf>
    <xf numFmtId="0" fontId="0" fillId="28" borderId="6" xfId="0" applyFill="1" applyBorder="1" applyAlignment="1">
      <alignment horizontal="right"/>
    </xf>
    <xf numFmtId="9" fontId="0" fillId="28" borderId="0" xfId="1" applyFont="1" applyFill="1" applyBorder="1"/>
    <xf numFmtId="9" fontId="0" fillId="0" borderId="0" xfId="1" applyFont="1" applyFill="1" applyBorder="1"/>
    <xf numFmtId="0" fontId="20" fillId="31" borderId="8" xfId="0" applyFont="1" applyFill="1" applyBorder="1"/>
    <xf numFmtId="0" fontId="20" fillId="31" borderId="7" xfId="0" applyFont="1" applyFill="1" applyBorder="1"/>
    <xf numFmtId="9" fontId="0" fillId="0" borderId="2" xfId="1" applyFont="1" applyFill="1" applyBorder="1"/>
    <xf numFmtId="0" fontId="53" fillId="4" borderId="0" xfId="0" applyFont="1" applyFill="1"/>
    <xf numFmtId="0" fontId="21" fillId="39" borderId="0" xfId="0" applyFont="1" applyFill="1"/>
    <xf numFmtId="0" fontId="2" fillId="37" borderId="0" xfId="0" applyFont="1" applyFill="1"/>
    <xf numFmtId="0" fontId="2" fillId="40" borderId="0" xfId="0" applyFont="1" applyFill="1"/>
    <xf numFmtId="0" fontId="2" fillId="41" borderId="0" xfId="0" applyFont="1" applyFill="1"/>
    <xf numFmtId="0" fontId="0" fillId="38" borderId="0" xfId="0" applyFill="1"/>
    <xf numFmtId="0" fontId="20" fillId="42" borderId="0" xfId="0" applyFont="1" applyFill="1"/>
    <xf numFmtId="0" fontId="20" fillId="29" borderId="0" xfId="0" applyFont="1" applyFill="1"/>
    <xf numFmtId="0" fontId="0" fillId="43" borderId="0" xfId="0" applyFill="1"/>
    <xf numFmtId="0" fontId="2" fillId="44" borderId="0" xfId="0" applyFont="1" applyFill="1"/>
    <xf numFmtId="0" fontId="0" fillId="45" borderId="0" xfId="0" applyFill="1"/>
    <xf numFmtId="0" fontId="2" fillId="46" borderId="0" xfId="0" applyFont="1" applyFill="1"/>
    <xf numFmtId="0" fontId="2" fillId="47" borderId="0" xfId="0" applyFont="1" applyFill="1"/>
    <xf numFmtId="0" fontId="2" fillId="48" borderId="0" xfId="0" applyFont="1" applyFill="1"/>
    <xf numFmtId="0" fontId="0" fillId="50" borderId="0" xfId="0" applyFill="1"/>
    <xf numFmtId="0" fontId="16" fillId="0" borderId="0" xfId="0" applyFont="1" applyAlignment="1">
      <alignment horizontal="left"/>
    </xf>
    <xf numFmtId="0" fontId="44" fillId="0" borderId="2" xfId="0" applyFont="1" applyBorder="1" applyAlignment="1">
      <alignment horizontal="right"/>
    </xf>
    <xf numFmtId="0" fontId="2" fillId="16" borderId="2" xfId="0" applyFont="1" applyFill="1" applyBorder="1" applyAlignment="1">
      <alignment horizontal="center"/>
    </xf>
    <xf numFmtId="0" fontId="0" fillId="8" borderId="2" xfId="0" applyFill="1" applyBorder="1" applyAlignment="1">
      <alignment horizontal="center"/>
    </xf>
    <xf numFmtId="0" fontId="20" fillId="29" borderId="2" xfId="0" applyFont="1" applyFill="1" applyBorder="1" applyAlignment="1">
      <alignment horizontal="center"/>
    </xf>
    <xf numFmtId="0" fontId="2" fillId="40" borderId="2" xfId="0" applyFont="1" applyFill="1" applyBorder="1" applyAlignment="1">
      <alignment horizontal="center"/>
    </xf>
    <xf numFmtId="0" fontId="2" fillId="7" borderId="2" xfId="0" applyFont="1" applyFill="1" applyBorder="1" applyAlignment="1">
      <alignment horizontal="center"/>
    </xf>
    <xf numFmtId="0" fontId="20" fillId="42" borderId="2" xfId="0" applyFont="1" applyFill="1" applyBorder="1" applyAlignment="1">
      <alignment horizontal="center"/>
    </xf>
    <xf numFmtId="0" fontId="2" fillId="13" borderId="2" xfId="0" applyFont="1" applyFill="1" applyBorder="1" applyAlignment="1">
      <alignment horizontal="center"/>
    </xf>
    <xf numFmtId="0" fontId="2" fillId="12" borderId="2" xfId="0" applyFont="1" applyFill="1" applyBorder="1" applyAlignment="1">
      <alignment horizontal="center"/>
    </xf>
    <xf numFmtId="0" fontId="0" fillId="18" borderId="2" xfId="0" applyFill="1" applyBorder="1" applyAlignment="1">
      <alignment horizontal="center"/>
    </xf>
    <xf numFmtId="0" fontId="0" fillId="50" borderId="2" xfId="0" applyFill="1" applyBorder="1" applyAlignment="1">
      <alignment horizontal="center"/>
    </xf>
    <xf numFmtId="0" fontId="2" fillId="41" borderId="2" xfId="0" applyFont="1" applyFill="1" applyBorder="1" applyAlignment="1">
      <alignment horizontal="center"/>
    </xf>
    <xf numFmtId="0" fontId="2" fillId="4" borderId="2" xfId="0" applyFont="1" applyFill="1" applyBorder="1" applyAlignment="1">
      <alignment horizontal="center"/>
    </xf>
    <xf numFmtId="0" fontId="21" fillId="39" borderId="2" xfId="0" applyFont="1" applyFill="1" applyBorder="1" applyAlignment="1">
      <alignment horizontal="center"/>
    </xf>
    <xf numFmtId="0" fontId="2" fillId="44" borderId="2" xfId="0" applyFont="1" applyFill="1" applyBorder="1" applyAlignment="1">
      <alignment horizontal="center"/>
    </xf>
    <xf numFmtId="0" fontId="0" fillId="17" borderId="2" xfId="0" applyFill="1" applyBorder="1" applyAlignment="1">
      <alignment horizontal="center"/>
    </xf>
    <xf numFmtId="0" fontId="0" fillId="38" borderId="2" xfId="0" applyFill="1" applyBorder="1" applyAlignment="1">
      <alignment horizontal="center"/>
    </xf>
    <xf numFmtId="0" fontId="2" fillId="46" borderId="2" xfId="0" applyFont="1" applyFill="1" applyBorder="1" applyAlignment="1">
      <alignment horizontal="center"/>
    </xf>
    <xf numFmtId="0" fontId="0" fillId="45" borderId="2" xfId="0" applyFill="1" applyBorder="1" applyAlignment="1">
      <alignment horizontal="center"/>
    </xf>
    <xf numFmtId="0" fontId="2" fillId="47" borderId="2" xfId="0" applyFont="1" applyFill="1" applyBorder="1" applyAlignment="1">
      <alignment horizontal="center"/>
    </xf>
    <xf numFmtId="0" fontId="0" fillId="15" borderId="2" xfId="0" applyFill="1" applyBorder="1" applyAlignment="1">
      <alignment horizontal="center"/>
    </xf>
    <xf numFmtId="0" fontId="2" fillId="9" borderId="2" xfId="0" applyFont="1" applyFill="1" applyBorder="1" applyAlignment="1">
      <alignment horizontal="center"/>
    </xf>
    <xf numFmtId="0" fontId="0" fillId="20" borderId="2" xfId="0" applyFill="1" applyBorder="1" applyAlignment="1">
      <alignment horizontal="center"/>
    </xf>
    <xf numFmtId="0" fontId="2" fillId="48" borderId="2" xfId="0" applyFont="1" applyFill="1" applyBorder="1" applyAlignment="1">
      <alignment horizontal="center"/>
    </xf>
    <xf numFmtId="0" fontId="0" fillId="3" borderId="2" xfId="0" applyFill="1" applyBorder="1" applyAlignment="1">
      <alignment horizontal="center"/>
    </xf>
    <xf numFmtId="0" fontId="0" fillId="43" borderId="2" xfId="0" applyFill="1" applyBorder="1" applyAlignment="1">
      <alignment horizontal="center"/>
    </xf>
    <xf numFmtId="0" fontId="0" fillId="11" borderId="2" xfId="0" applyFill="1" applyBorder="1" applyAlignment="1">
      <alignment horizontal="center"/>
    </xf>
    <xf numFmtId="0" fontId="46" fillId="28" borderId="0" xfId="0" applyFont="1" applyFill="1"/>
    <xf numFmtId="0" fontId="2" fillId="4" borderId="0" xfId="0" applyFont="1" applyFill="1" applyAlignment="1">
      <alignment horizontal="center"/>
    </xf>
    <xf numFmtId="0" fontId="55" fillId="0" borderId="0" xfId="0" applyFont="1"/>
    <xf numFmtId="0" fontId="59" fillId="0" borderId="0" xfId="0" applyFont="1"/>
    <xf numFmtId="0" fontId="60" fillId="0" borderId="0" xfId="0" applyFont="1"/>
    <xf numFmtId="0" fontId="61" fillId="28" borderId="0" xfId="0" applyFont="1" applyFill="1" applyAlignment="1">
      <alignment horizontal="left"/>
    </xf>
    <xf numFmtId="0" fontId="62" fillId="28" borderId="0" xfId="0" applyFont="1" applyFill="1" applyAlignment="1">
      <alignment horizontal="left"/>
    </xf>
    <xf numFmtId="0" fontId="63" fillId="0" borderId="0" xfId="0" applyFont="1"/>
    <xf numFmtId="0" fontId="64" fillId="0" borderId="0" xfId="0" applyFont="1"/>
    <xf numFmtId="0" fontId="65" fillId="0" borderId="0" xfId="0" applyFont="1" applyAlignment="1">
      <alignment horizontal="left"/>
    </xf>
    <xf numFmtId="0" fontId="67" fillId="0" borderId="0" xfId="0" applyFont="1" applyAlignment="1">
      <alignment horizontal="left"/>
    </xf>
    <xf numFmtId="0" fontId="68" fillId="28" borderId="0" xfId="0" applyFont="1" applyFill="1"/>
    <xf numFmtId="0" fontId="6" fillId="0" borderId="0" xfId="0" applyFont="1"/>
    <xf numFmtId="0" fontId="6" fillId="0" borderId="3" xfId="0" applyFont="1" applyBorder="1" applyAlignment="1">
      <alignment horizontal="right"/>
    </xf>
    <xf numFmtId="0" fontId="2" fillId="16" borderId="3" xfId="0" applyFont="1" applyFill="1" applyBorder="1" applyAlignment="1">
      <alignment horizontal="center"/>
    </xf>
    <xf numFmtId="0" fontId="0" fillId="8" borderId="3" xfId="0" applyFill="1" applyBorder="1" applyAlignment="1">
      <alignment horizontal="center"/>
    </xf>
    <xf numFmtId="0" fontId="20" fillId="29" borderId="3" xfId="0" applyFont="1" applyFill="1" applyBorder="1" applyAlignment="1">
      <alignment horizontal="center"/>
    </xf>
    <xf numFmtId="0" fontId="2" fillId="40" borderId="3" xfId="0" applyFont="1" applyFill="1" applyBorder="1" applyAlignment="1">
      <alignment horizontal="center"/>
    </xf>
    <xf numFmtId="0" fontId="2" fillId="7" borderId="3" xfId="0" applyFont="1" applyFill="1" applyBorder="1" applyAlignment="1">
      <alignment horizontal="center"/>
    </xf>
    <xf numFmtId="0" fontId="0" fillId="28" borderId="3" xfId="0" applyFill="1" applyBorder="1" applyAlignment="1">
      <alignment horizontal="center"/>
    </xf>
    <xf numFmtId="0" fontId="20" fillId="42" borderId="3" xfId="0" applyFont="1" applyFill="1" applyBorder="1" applyAlignment="1">
      <alignment horizontal="center"/>
    </xf>
    <xf numFmtId="0" fontId="2" fillId="13" borderId="3" xfId="0" applyFont="1" applyFill="1" applyBorder="1" applyAlignment="1">
      <alignment horizontal="center"/>
    </xf>
    <xf numFmtId="0" fontId="2" fillId="49" borderId="3" xfId="0" applyFont="1" applyFill="1" applyBorder="1" applyAlignment="1">
      <alignment horizontal="center"/>
    </xf>
    <xf numFmtId="0" fontId="2" fillId="12" borderId="3" xfId="0" applyFont="1" applyFill="1" applyBorder="1" applyAlignment="1">
      <alignment horizontal="center"/>
    </xf>
    <xf numFmtId="0" fontId="0" fillId="18" borderId="3" xfId="0" applyFill="1" applyBorder="1" applyAlignment="1">
      <alignment horizontal="center"/>
    </xf>
    <xf numFmtId="0" fontId="0" fillId="50" borderId="3" xfId="0" applyFill="1" applyBorder="1" applyAlignment="1">
      <alignment horizontal="center"/>
    </xf>
    <xf numFmtId="0" fontId="2" fillId="41" borderId="3" xfId="0" applyFont="1" applyFill="1" applyBorder="1" applyAlignment="1">
      <alignment horizontal="center"/>
    </xf>
    <xf numFmtId="0" fontId="2" fillId="4" borderId="3" xfId="0" applyFont="1" applyFill="1" applyBorder="1" applyAlignment="1">
      <alignment horizontal="center"/>
    </xf>
    <xf numFmtId="0" fontId="21" fillId="39" borderId="3" xfId="0" applyFont="1" applyFill="1" applyBorder="1" applyAlignment="1">
      <alignment horizontal="center"/>
    </xf>
    <xf numFmtId="0" fontId="2" fillId="44" borderId="3" xfId="0" applyFont="1" applyFill="1" applyBorder="1" applyAlignment="1">
      <alignment horizontal="center"/>
    </xf>
    <xf numFmtId="0" fontId="0" fillId="17" borderId="3" xfId="0" applyFill="1" applyBorder="1" applyAlignment="1">
      <alignment horizontal="center"/>
    </xf>
    <xf numFmtId="0" fontId="0" fillId="38" borderId="3" xfId="0" applyFill="1" applyBorder="1" applyAlignment="1">
      <alignment horizontal="center"/>
    </xf>
    <xf numFmtId="0" fontId="2" fillId="46" borderId="3" xfId="0" applyFont="1" applyFill="1" applyBorder="1" applyAlignment="1">
      <alignment horizontal="center"/>
    </xf>
    <xf numFmtId="0" fontId="0" fillId="45" borderId="3" xfId="0" applyFill="1" applyBorder="1" applyAlignment="1">
      <alignment horizontal="center"/>
    </xf>
    <xf numFmtId="0" fontId="2" fillId="47" borderId="3" xfId="0" applyFont="1" applyFill="1" applyBorder="1" applyAlignment="1">
      <alignment horizontal="center"/>
    </xf>
    <xf numFmtId="0" fontId="0" fillId="15" borderId="3" xfId="0" applyFill="1" applyBorder="1" applyAlignment="1">
      <alignment horizontal="center"/>
    </xf>
    <xf numFmtId="0" fontId="2" fillId="9" borderId="3" xfId="0" applyFont="1" applyFill="1" applyBorder="1" applyAlignment="1">
      <alignment horizontal="center"/>
    </xf>
    <xf numFmtId="0" fontId="0" fillId="20" borderId="3" xfId="0" applyFill="1" applyBorder="1" applyAlignment="1">
      <alignment horizontal="center"/>
    </xf>
    <xf numFmtId="0" fontId="2" fillId="48" borderId="3" xfId="0" applyFont="1" applyFill="1" applyBorder="1" applyAlignment="1">
      <alignment horizontal="center"/>
    </xf>
    <xf numFmtId="0" fontId="0" fillId="3" borderId="3" xfId="0" applyFill="1" applyBorder="1" applyAlignment="1">
      <alignment horizontal="center"/>
    </xf>
    <xf numFmtId="0" fontId="0" fillId="43" borderId="3" xfId="0" applyFill="1" applyBorder="1" applyAlignment="1">
      <alignment horizontal="center"/>
    </xf>
    <xf numFmtId="0" fontId="0" fillId="11" borderId="3" xfId="0" applyFill="1" applyBorder="1" applyAlignment="1">
      <alignment horizontal="center"/>
    </xf>
    <xf numFmtId="0" fontId="15" fillId="0" borderId="2" xfId="0" applyFont="1" applyBorder="1" applyAlignment="1">
      <alignment horizontal="right"/>
    </xf>
    <xf numFmtId="0" fontId="0" fillId="0" borderId="3" xfId="0" applyBorder="1" applyAlignment="1">
      <alignment horizontal="right"/>
    </xf>
    <xf numFmtId="0" fontId="68" fillId="28" borderId="6" xfId="0" applyFont="1" applyFill="1" applyBorder="1"/>
    <xf numFmtId="0" fontId="0" fillId="28" borderId="0" xfId="0" applyFill="1" applyAlignment="1">
      <alignment horizontal="left"/>
    </xf>
    <xf numFmtId="0" fontId="69" fillId="0" borderId="0" xfId="0" applyFont="1"/>
    <xf numFmtId="0" fontId="70" fillId="0" borderId="0" xfId="0" applyFont="1"/>
    <xf numFmtId="0" fontId="71" fillId="28" borderId="0" xfId="0" applyFont="1" applyFill="1"/>
    <xf numFmtId="0" fontId="72" fillId="0" borderId="0" xfId="0" applyFont="1"/>
    <xf numFmtId="0" fontId="73" fillId="0" borderId="0" xfId="0" applyFont="1"/>
    <xf numFmtId="0" fontId="2"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xf>
    <xf numFmtId="0" fontId="15" fillId="0" borderId="10" xfId="0" applyFont="1" applyBorder="1"/>
    <xf numFmtId="0" fontId="15" fillId="0" borderId="5" xfId="0" applyFont="1" applyBorder="1"/>
    <xf numFmtId="0" fontId="75" fillId="0" borderId="0" xfId="0" applyFont="1"/>
    <xf numFmtId="0" fontId="15" fillId="0" borderId="0" xfId="0" applyFont="1" applyAlignment="1">
      <alignment horizontal="right"/>
    </xf>
    <xf numFmtId="0" fontId="29" fillId="0" borderId="2" xfId="0" applyFont="1" applyBorder="1" applyAlignment="1">
      <alignment horizontal="right"/>
    </xf>
    <xf numFmtId="1" fontId="29" fillId="0" borderId="0" xfId="0" applyNumberFormat="1" applyFont="1"/>
    <xf numFmtId="9" fontId="38" fillId="28" borderId="2" xfId="1" applyFont="1" applyFill="1" applyBorder="1" applyAlignment="1">
      <alignment horizontal="right"/>
    </xf>
    <xf numFmtId="0" fontId="15" fillId="0" borderId="6" xfId="0" applyFont="1" applyBorder="1"/>
    <xf numFmtId="0" fontId="6" fillId="0" borderId="1" xfId="0" applyFont="1" applyBorder="1" applyAlignment="1">
      <alignment horizontal="right"/>
    </xf>
    <xf numFmtId="0" fontId="0" fillId="0" borderId="2" xfId="0" applyBorder="1" applyAlignment="1">
      <alignment vertical="top"/>
    </xf>
    <xf numFmtId="0" fontId="0" fillId="0" borderId="2" xfId="0" applyBorder="1" applyAlignment="1">
      <alignment horizontal="right" vertical="center"/>
    </xf>
    <xf numFmtId="0" fontId="0" fillId="0" borderId="2" xfId="0" applyBorder="1"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right"/>
    </xf>
    <xf numFmtId="0" fontId="15" fillId="0" borderId="1" xfId="0" applyFont="1" applyBorder="1" applyAlignment="1">
      <alignment horizontal="right"/>
    </xf>
    <xf numFmtId="0" fontId="6" fillId="0" borderId="1" xfId="0" applyFont="1" applyBorder="1" applyAlignment="1">
      <alignment horizontal="center"/>
    </xf>
    <xf numFmtId="0" fontId="29" fillId="0" borderId="2" xfId="0" applyFont="1" applyBorder="1" applyAlignment="1">
      <alignment horizontal="right" vertical="center"/>
    </xf>
    <xf numFmtId="0" fontId="0" fillId="0" borderId="6" xfId="0" applyBorder="1" applyAlignment="1">
      <alignment vertical="center"/>
    </xf>
    <xf numFmtId="0" fontId="29" fillId="0" borderId="1" xfId="0" applyFont="1" applyBorder="1" applyAlignment="1">
      <alignment horizontal="center"/>
    </xf>
    <xf numFmtId="0" fontId="15" fillId="0" borderId="0" xfId="0" applyFont="1" applyAlignment="1">
      <alignment vertical="center"/>
    </xf>
    <xf numFmtId="1" fontId="0" fillId="0" borderId="2" xfId="0" applyNumberFormat="1" applyBorder="1"/>
    <xf numFmtId="0" fontId="22" fillId="7" borderId="0" xfId="0" applyFont="1" applyFill="1" applyAlignment="1">
      <alignment horizontal="center"/>
    </xf>
    <xf numFmtId="0" fontId="53" fillId="4" borderId="0" xfId="0" applyFont="1" applyFill="1" applyAlignment="1">
      <alignment horizontal="center"/>
    </xf>
    <xf numFmtId="0" fontId="2" fillId="2" borderId="1" xfId="0" applyFont="1" applyFill="1" applyBorder="1" applyAlignment="1">
      <alignment horizontal="center"/>
    </xf>
    <xf numFmtId="0" fontId="2" fillId="4" borderId="1" xfId="0" applyFont="1" applyFill="1" applyBorder="1" applyAlignment="1">
      <alignment horizontal="center"/>
    </xf>
    <xf numFmtId="0" fontId="0" fillId="3" borderId="1" xfId="0" applyFill="1" applyBorder="1" applyAlignment="1">
      <alignment horizontal="center"/>
    </xf>
    <xf numFmtId="0" fontId="0" fillId="15" borderId="1" xfId="0" applyFill="1" applyBorder="1" applyAlignment="1">
      <alignment horizontal="center"/>
    </xf>
    <xf numFmtId="0" fontId="2" fillId="22" borderId="1" xfId="0" applyFont="1" applyFill="1" applyBorder="1" applyAlignment="1">
      <alignment horizontal="center"/>
    </xf>
    <xf numFmtId="0" fontId="22" fillId="7" borderId="1" xfId="0" applyFont="1" applyFill="1" applyBorder="1" applyAlignment="1">
      <alignment horizontal="center"/>
    </xf>
    <xf numFmtId="0" fontId="0" fillId="14" borderId="1" xfId="0" applyFill="1" applyBorder="1" applyAlignment="1">
      <alignment horizontal="center"/>
    </xf>
    <xf numFmtId="0" fontId="53" fillId="4" borderId="1" xfId="0" applyFont="1" applyFill="1" applyBorder="1" applyAlignment="1">
      <alignment horizontal="center"/>
    </xf>
    <xf numFmtId="0" fontId="0" fillId="0" borderId="4" xfId="0" applyBorder="1" applyAlignment="1">
      <alignment horizontal="right"/>
    </xf>
    <xf numFmtId="0" fontId="6" fillId="0" borderId="0" xfId="0" applyFont="1" applyAlignment="1">
      <alignment horizontal="right"/>
    </xf>
    <xf numFmtId="0" fontId="15" fillId="0" borderId="4" xfId="0" applyFont="1" applyBorder="1" applyAlignment="1">
      <alignment horizontal="right"/>
    </xf>
    <xf numFmtId="0" fontId="33" fillId="0" borderId="0" xfId="0" applyFont="1"/>
    <xf numFmtId="0" fontId="33" fillId="0" borderId="1" xfId="0" applyFont="1" applyBorder="1"/>
    <xf numFmtId="0" fontId="33" fillId="0" borderId="5" xfId="0" applyFont="1" applyBorder="1"/>
    <xf numFmtId="0" fontId="1" fillId="0" borderId="1" xfId="0" applyFont="1" applyBorder="1"/>
    <xf numFmtId="0" fontId="1" fillId="0" borderId="5" xfId="0" applyFont="1" applyBorder="1"/>
    <xf numFmtId="0" fontId="12" fillId="0" borderId="5" xfId="0" applyFont="1" applyBorder="1"/>
    <xf numFmtId="0" fontId="12" fillId="0" borderId="1" xfId="0" applyFont="1" applyBorder="1"/>
    <xf numFmtId="0" fontId="83" fillId="0" borderId="0" xfId="0" applyFont="1"/>
    <xf numFmtId="0" fontId="83" fillId="0" borderId="1" xfId="0" applyFont="1" applyBorder="1"/>
    <xf numFmtId="0" fontId="83" fillId="0" borderId="5" xfId="0" applyFont="1" applyBorder="1"/>
    <xf numFmtId="0" fontId="84" fillId="0" borderId="0" xfId="0" applyFont="1"/>
    <xf numFmtId="0" fontId="84" fillId="0" borderId="5" xfId="0" applyFont="1" applyBorder="1"/>
    <xf numFmtId="0" fontId="20" fillId="0" borderId="5" xfId="0" applyFont="1" applyBorder="1"/>
    <xf numFmtId="0" fontId="71" fillId="52" borderId="1" xfId="0" applyFont="1" applyFill="1" applyBorder="1" applyAlignment="1">
      <alignment horizontal="center"/>
    </xf>
    <xf numFmtId="0" fontId="85" fillId="0" borderId="0" xfId="0" applyFont="1"/>
    <xf numFmtId="0" fontId="84" fillId="0" borderId="1" xfId="0" applyFont="1" applyBorder="1"/>
    <xf numFmtId="0" fontId="15" fillId="0" borderId="0" xfId="0" applyFont="1" applyAlignment="1">
      <alignment wrapText="1"/>
    </xf>
    <xf numFmtId="0" fontId="15" fillId="0" borderId="5" xfId="0" applyFont="1" applyBorder="1" applyAlignment="1">
      <alignment horizontal="right"/>
    </xf>
    <xf numFmtId="0" fontId="2" fillId="2" borderId="9" xfId="0" applyFont="1" applyFill="1" applyBorder="1" applyAlignment="1">
      <alignment horizontal="center"/>
    </xf>
    <xf numFmtId="0" fontId="33" fillId="0" borderId="6" xfId="0" applyFont="1" applyBorder="1"/>
    <xf numFmtId="2" fontId="33" fillId="0" borderId="0" xfId="0" applyNumberFormat="1" applyFont="1"/>
    <xf numFmtId="1" fontId="33" fillId="0" borderId="0" xfId="0" applyNumberFormat="1" applyFont="1"/>
    <xf numFmtId="0" fontId="2" fillId="4" borderId="9" xfId="0" applyFont="1" applyFill="1" applyBorder="1" applyAlignment="1">
      <alignment horizontal="center"/>
    </xf>
    <xf numFmtId="0" fontId="1" fillId="0" borderId="6" xfId="0" applyFont="1" applyBorder="1"/>
    <xf numFmtId="0" fontId="1" fillId="0" borderId="9" xfId="0" applyFont="1" applyBorder="1"/>
    <xf numFmtId="2" fontId="1" fillId="0" borderId="0" xfId="0" applyNumberFormat="1" applyFont="1"/>
    <xf numFmtId="0" fontId="74" fillId="0" borderId="0" xfId="0" applyFont="1" applyAlignment="1">
      <alignment horizontal="left" vertical="top"/>
    </xf>
    <xf numFmtId="0" fontId="88" fillId="0" borderId="0" xfId="0" applyFont="1" applyAlignment="1">
      <alignment horizontal="left" vertical="top"/>
    </xf>
    <xf numFmtId="0" fontId="92" fillId="0" borderId="1" xfId="0" applyFont="1" applyBorder="1" applyAlignment="1">
      <alignment horizontal="right"/>
    </xf>
    <xf numFmtId="2" fontId="84" fillId="0" borderId="0" xfId="0" applyNumberFormat="1" applyFont="1"/>
    <xf numFmtId="0" fontId="22" fillId="7" borderId="1" xfId="0" applyFont="1" applyFill="1" applyBorder="1" applyAlignment="1">
      <alignment horizontal="right"/>
    </xf>
    <xf numFmtId="0" fontId="0" fillId="14" borderId="0" xfId="0" applyFill="1" applyAlignment="1">
      <alignment horizontal="right"/>
    </xf>
    <xf numFmtId="0" fontId="53" fillId="4" borderId="0" xfId="0" applyFont="1" applyFill="1" applyAlignment="1">
      <alignment horizontal="right"/>
    </xf>
    <xf numFmtId="0" fontId="47" fillId="0" borderId="5" xfId="0" applyFont="1" applyBorder="1"/>
    <xf numFmtId="0" fontId="2" fillId="2" borderId="0" xfId="0" applyFont="1" applyFill="1" applyAlignment="1">
      <alignment horizontal="center"/>
    </xf>
    <xf numFmtId="0" fontId="0" fillId="3" borderId="0" xfId="0" applyFill="1" applyAlignment="1">
      <alignment horizontal="center"/>
    </xf>
    <xf numFmtId="0" fontId="0" fillId="0" borderId="1" xfId="0" applyBorder="1" applyAlignment="1">
      <alignment horizontal="center"/>
    </xf>
    <xf numFmtId="0" fontId="33" fillId="0" borderId="10" xfId="0" applyFont="1" applyBorder="1"/>
    <xf numFmtId="2" fontId="0" fillId="0" borderId="5" xfId="0" applyNumberFormat="1" applyBorder="1"/>
    <xf numFmtId="0" fontId="21" fillId="0" borderId="0" xfId="0" applyFont="1" applyAlignment="1">
      <alignment horizontal="right"/>
    </xf>
    <xf numFmtId="0" fontId="2" fillId="5" borderId="1" xfId="0" applyFont="1" applyFill="1" applyBorder="1" applyAlignment="1">
      <alignment horizontal="center"/>
    </xf>
    <xf numFmtId="0" fontId="2" fillId="6" borderId="1" xfId="0" applyFont="1" applyFill="1" applyBorder="1" applyAlignment="1">
      <alignment horizontal="center"/>
    </xf>
    <xf numFmtId="0" fontId="32" fillId="0" borderId="0" xfId="0" applyFont="1"/>
    <xf numFmtId="0" fontId="96" fillId="0" borderId="5" xfId="0" applyFont="1" applyBorder="1"/>
    <xf numFmtId="0" fontId="31" fillId="0" borderId="5" xfId="0" applyFont="1" applyBorder="1"/>
    <xf numFmtId="2" fontId="6" fillId="0" borderId="0" xfId="0" applyNumberFormat="1" applyFont="1"/>
    <xf numFmtId="2" fontId="32" fillId="0" borderId="0" xfId="0" applyNumberFormat="1" applyFont="1"/>
    <xf numFmtId="0" fontId="11" fillId="0" borderId="1" xfId="0" applyFont="1" applyBorder="1" applyAlignment="1">
      <alignment horizontal="center"/>
    </xf>
    <xf numFmtId="0" fontId="1" fillId="0" borderId="3" xfId="0" applyFont="1" applyBorder="1" applyAlignment="1">
      <alignment horizontal="right"/>
    </xf>
    <xf numFmtId="9" fontId="6" fillId="0" borderId="0" xfId="1" applyFont="1"/>
    <xf numFmtId="9" fontId="32" fillId="0" borderId="0" xfId="1" applyFont="1"/>
    <xf numFmtId="0" fontId="15" fillId="0" borderId="3" xfId="0" applyFont="1" applyBorder="1" applyAlignment="1">
      <alignment horizontal="right"/>
    </xf>
    <xf numFmtId="0" fontId="11" fillId="0" borderId="0" xfId="0" applyFont="1" applyAlignment="1">
      <alignment horizontal="left"/>
    </xf>
    <xf numFmtId="0" fontId="15" fillId="0" borderId="9" xfId="0" applyFont="1" applyBorder="1"/>
    <xf numFmtId="2" fontId="0" fillId="0" borderId="6" xfId="0" applyNumberFormat="1" applyBorder="1"/>
    <xf numFmtId="0" fontId="32" fillId="0" borderId="2" xfId="0" applyFont="1" applyBorder="1" applyAlignment="1">
      <alignment horizontal="right"/>
    </xf>
    <xf numFmtId="0" fontId="12" fillId="0" borderId="0" xfId="0" applyFont="1" applyAlignment="1">
      <alignment horizontal="right"/>
    </xf>
    <xf numFmtId="0" fontId="38" fillId="0" borderId="0" xfId="0" applyFont="1"/>
    <xf numFmtId="0" fontId="87" fillId="0" borderId="0" xfId="0" applyFont="1" applyAlignment="1">
      <alignment horizontal="left" vertical="top"/>
    </xf>
    <xf numFmtId="0" fontId="0" fillId="0" borderId="0" xfId="0" quotePrefix="1"/>
    <xf numFmtId="0" fontId="39" fillId="0" borderId="0" xfId="0" applyFont="1" applyAlignment="1">
      <alignment horizontal="right"/>
    </xf>
    <xf numFmtId="0" fontId="6" fillId="0" borderId="9" xfId="0" applyFont="1" applyBorder="1" applyAlignment="1">
      <alignment horizontal="right"/>
    </xf>
    <xf numFmtId="0" fontId="0" fillId="0" borderId="6" xfId="0" applyBorder="1" applyAlignment="1">
      <alignment horizontal="left"/>
    </xf>
    <xf numFmtId="0" fontId="87" fillId="0" borderId="0" xfId="0" applyFont="1" applyAlignment="1">
      <alignment vertical="top"/>
    </xf>
    <xf numFmtId="0" fontId="74" fillId="0" borderId="0" xfId="0" applyFont="1" applyAlignment="1">
      <alignment vertical="top"/>
    </xf>
    <xf numFmtId="0" fontId="1" fillId="0" borderId="0" xfId="0" applyFont="1" applyAlignment="1">
      <alignment horizontal="right"/>
    </xf>
    <xf numFmtId="0" fontId="21" fillId="0" borderId="0" xfId="0" applyFont="1"/>
    <xf numFmtId="0" fontId="43" fillId="0" borderId="5" xfId="0" applyFont="1" applyBorder="1"/>
    <xf numFmtId="0" fontId="35" fillId="0" borderId="5" xfId="0" applyFont="1" applyBorder="1"/>
    <xf numFmtId="0" fontId="0" fillId="0" borderId="0" xfId="0" quotePrefix="1" applyAlignment="1">
      <alignment vertical="top" wrapText="1"/>
    </xf>
    <xf numFmtId="0" fontId="0" fillId="0" borderId="0" xfId="0" quotePrefix="1" applyAlignment="1">
      <alignment vertical="top"/>
    </xf>
    <xf numFmtId="0" fontId="0" fillId="0" borderId="0" xfId="0" quotePrefix="1" applyAlignment="1">
      <alignment wrapText="1"/>
    </xf>
    <xf numFmtId="2" fontId="11" fillId="0" borderId="0" xfId="0" applyNumberFormat="1" applyFont="1"/>
    <xf numFmtId="9" fontId="29" fillId="0" borderId="0" xfId="1" applyFont="1"/>
    <xf numFmtId="0" fontId="29" fillId="0" borderId="5" xfId="0" applyFont="1" applyBorder="1" applyAlignment="1">
      <alignment horizontal="right"/>
    </xf>
    <xf numFmtId="9" fontId="29" fillId="0" borderId="5" xfId="1" applyFont="1" applyBorder="1"/>
    <xf numFmtId="2" fontId="0" fillId="0" borderId="1" xfId="0" applyNumberFormat="1" applyBorder="1"/>
    <xf numFmtId="0" fontId="37" fillId="0" borderId="1" xfId="0" applyFont="1" applyBorder="1" applyAlignment="1">
      <alignment horizontal="right"/>
    </xf>
    <xf numFmtId="0" fontId="41" fillId="0" borderId="0" xfId="0" applyFont="1" applyAlignment="1">
      <alignment horizontal="left"/>
    </xf>
    <xf numFmtId="0" fontId="45" fillId="0" borderId="0" xfId="2"/>
    <xf numFmtId="2" fontId="0" fillId="0" borderId="2" xfId="0" applyNumberFormat="1" applyBorder="1"/>
    <xf numFmtId="0" fontId="29" fillId="0" borderId="1" xfId="0" applyFont="1" applyBorder="1"/>
    <xf numFmtId="0" fontId="54" fillId="0" borderId="0" xfId="0" applyFont="1" applyAlignment="1">
      <alignment horizontal="right"/>
    </xf>
    <xf numFmtId="0" fontId="86" fillId="0" borderId="5" xfId="0" applyFont="1" applyBorder="1"/>
    <xf numFmtId="0" fontId="106" fillId="0" borderId="0" xfId="0" applyFont="1"/>
    <xf numFmtId="0" fontId="107" fillId="0" borderId="5" xfId="0" applyFont="1" applyBorder="1"/>
    <xf numFmtId="0" fontId="86" fillId="0" borderId="0" xfId="0" applyFont="1"/>
    <xf numFmtId="0" fontId="108" fillId="0" borderId="5" xfId="0" applyFont="1" applyBorder="1"/>
    <xf numFmtId="0" fontId="34" fillId="0" borderId="5" xfId="0" applyFont="1" applyBorder="1"/>
    <xf numFmtId="0" fontId="109" fillId="0" borderId="5" xfId="0" applyFont="1" applyBorder="1"/>
    <xf numFmtId="0" fontId="53" fillId="4" borderId="1" xfId="0" applyFont="1" applyFill="1" applyBorder="1"/>
    <xf numFmtId="0" fontId="110" fillId="0" borderId="5" xfId="0" applyFont="1" applyBorder="1"/>
    <xf numFmtId="164" fontId="0" fillId="0" borderId="0" xfId="1" applyNumberFormat="1" applyFont="1"/>
    <xf numFmtId="164" fontId="29" fillId="0" borderId="0" xfId="1" applyNumberFormat="1" applyFont="1"/>
    <xf numFmtId="164" fontId="14" fillId="0" borderId="0" xfId="1" applyNumberFormat="1" applyFont="1"/>
    <xf numFmtId="0" fontId="26" fillId="19" borderId="0" xfId="0" applyFont="1" applyFill="1"/>
    <xf numFmtId="0" fontId="25" fillId="19" borderId="0" xfId="0" applyFont="1" applyFill="1"/>
    <xf numFmtId="0" fontId="28" fillId="19" borderId="0" xfId="0" applyFont="1" applyFill="1"/>
    <xf numFmtId="0" fontId="111" fillId="19" borderId="0" xfId="0" applyFont="1" applyFill="1"/>
    <xf numFmtId="0" fontId="24" fillId="19" borderId="0" xfId="0" applyFont="1" applyFill="1"/>
    <xf numFmtId="0" fontId="0" fillId="19" borderId="0" xfId="0" quotePrefix="1" applyFill="1"/>
    <xf numFmtId="9" fontId="48" fillId="0" borderId="0" xfId="0" applyNumberFormat="1" applyFont="1"/>
    <xf numFmtId="0" fontId="45" fillId="19" borderId="0" xfId="2" applyFill="1"/>
    <xf numFmtId="0" fontId="0" fillId="0" borderId="0" xfId="0" applyAlignment="1">
      <alignment wrapText="1"/>
    </xf>
    <xf numFmtId="0" fontId="15" fillId="0" borderId="0" xfId="0" applyFont="1" applyAlignment="1">
      <alignment vertical="center" wrapText="1"/>
    </xf>
    <xf numFmtId="0" fontId="113" fillId="0" borderId="3" xfId="0" applyFont="1" applyBorder="1"/>
    <xf numFmtId="0" fontId="11" fillId="0" borderId="0" xfId="0" applyFont="1" applyAlignment="1">
      <alignment vertical="center" wrapText="1"/>
    </xf>
    <xf numFmtId="0" fontId="0" fillId="0" borderId="0" xfId="0" applyAlignment="1">
      <alignment horizontal="left" wrapText="1"/>
    </xf>
    <xf numFmtId="0" fontId="0" fillId="0" borderId="6" xfId="0" applyBorder="1" applyAlignment="1">
      <alignment horizontal="left" vertical="center"/>
    </xf>
    <xf numFmtId="0" fontId="113" fillId="0" borderId="0" xfId="0" applyFont="1"/>
    <xf numFmtId="0" fontId="11" fillId="0" borderId="0" xfId="0" applyFont="1" applyAlignment="1">
      <alignment vertical="center"/>
    </xf>
    <xf numFmtId="0" fontId="96" fillId="19" borderId="1" xfId="0" applyFont="1" applyFill="1" applyBorder="1" applyAlignment="1">
      <alignment horizontal="center"/>
    </xf>
    <xf numFmtId="0" fontId="36" fillId="19" borderId="1" xfId="0" applyFont="1" applyFill="1" applyBorder="1" applyAlignment="1">
      <alignment horizontal="center"/>
    </xf>
    <xf numFmtId="0" fontId="114" fillId="0" borderId="1" xfId="0" applyFont="1" applyBorder="1" applyAlignment="1">
      <alignment horizontal="center"/>
    </xf>
    <xf numFmtId="0" fontId="20" fillId="0" borderId="0" xfId="0" applyFont="1" applyAlignment="1">
      <alignment vertical="center"/>
    </xf>
    <xf numFmtId="0" fontId="20" fillId="0" borderId="0" xfId="0" applyFont="1" applyAlignment="1">
      <alignment vertical="center" wrapText="1"/>
    </xf>
    <xf numFmtId="0" fontId="6" fillId="19" borderId="1" xfId="0" applyFont="1" applyFill="1" applyBorder="1" applyAlignment="1">
      <alignment horizontal="left"/>
    </xf>
    <xf numFmtId="0" fontId="0" fillId="0" borderId="2" xfId="0" applyBorder="1" applyAlignment="1">
      <alignment horizontal="right" wrapText="1"/>
    </xf>
    <xf numFmtId="2" fontId="33" fillId="0" borderId="0" xfId="0" applyNumberFormat="1" applyFont="1" applyAlignment="1">
      <alignment vertical="center"/>
    </xf>
    <xf numFmtId="2" fontId="1" fillId="0" borderId="0" xfId="0" applyNumberFormat="1" applyFont="1" applyAlignment="1">
      <alignment vertical="center"/>
    </xf>
    <xf numFmtId="0" fontId="6" fillId="19" borderId="3" xfId="0" applyFont="1" applyFill="1" applyBorder="1" applyAlignment="1">
      <alignment horizontal="left"/>
    </xf>
    <xf numFmtId="0" fontId="20" fillId="3" borderId="1" xfId="0" applyFont="1" applyFill="1" applyBorder="1" applyAlignment="1">
      <alignment horizontal="center"/>
    </xf>
    <xf numFmtId="2" fontId="20" fillId="0" borderId="0" xfId="0" applyNumberFormat="1" applyFont="1"/>
    <xf numFmtId="0" fontId="6" fillId="0" borderId="3" xfId="0" applyFont="1" applyBorder="1" applyAlignment="1">
      <alignment horizontal="left"/>
    </xf>
    <xf numFmtId="2" fontId="20" fillId="0" borderId="0" xfId="0" applyNumberFormat="1" applyFont="1" applyAlignment="1">
      <alignment vertical="center"/>
    </xf>
    <xf numFmtId="0" fontId="92" fillId="0" borderId="3" xfId="0" applyFont="1" applyBorder="1" applyAlignment="1">
      <alignment horizontal="left"/>
    </xf>
    <xf numFmtId="2" fontId="84" fillId="0" borderId="0" xfId="0" applyNumberFormat="1" applyFont="1" applyAlignment="1">
      <alignment vertical="center"/>
    </xf>
    <xf numFmtId="0" fontId="115" fillId="19" borderId="0" xfId="0" applyFont="1" applyFill="1"/>
    <xf numFmtId="0" fontId="115" fillId="19" borderId="5" xfId="0" applyFont="1" applyFill="1" applyBorder="1"/>
    <xf numFmtId="0" fontId="12" fillId="19" borderId="0" xfId="0" applyFont="1" applyFill="1"/>
    <xf numFmtId="0" fontId="35" fillId="19" borderId="5" xfId="0" applyFont="1" applyFill="1" applyBorder="1"/>
    <xf numFmtId="0" fontId="37" fillId="19" borderId="3" xfId="0" applyFont="1" applyFill="1" applyBorder="1" applyAlignment="1">
      <alignment horizontal="right"/>
    </xf>
    <xf numFmtId="0" fontId="44" fillId="19" borderId="0" xfId="0" applyFont="1" applyFill="1"/>
    <xf numFmtId="0" fontId="0" fillId="19" borderId="0" xfId="0" applyFill="1" applyAlignment="1">
      <alignment vertical="center"/>
    </xf>
    <xf numFmtId="0" fontId="0" fillId="19" borderId="0" xfId="0" applyFill="1" applyAlignment="1">
      <alignment vertical="center" wrapText="1"/>
    </xf>
    <xf numFmtId="0" fontId="0" fillId="19" borderId="0" xfId="0" applyFill="1" applyAlignment="1">
      <alignment horizontal="left" vertical="center"/>
    </xf>
    <xf numFmtId="0" fontId="29" fillId="19" borderId="0" xfId="0" applyFont="1" applyFill="1"/>
    <xf numFmtId="0" fontId="0" fillId="0" borderId="1" xfId="0" applyBorder="1" applyAlignment="1">
      <alignment horizontal="left"/>
    </xf>
    <xf numFmtId="0" fontId="0" fillId="0" borderId="3" xfId="0" applyBorder="1" applyAlignment="1">
      <alignment horizontal="left"/>
    </xf>
    <xf numFmtId="0" fontId="15" fillId="0" borderId="1" xfId="0" applyFont="1" applyBorder="1" applyAlignment="1">
      <alignment horizontal="left"/>
    </xf>
    <xf numFmtId="0" fontId="12" fillId="19" borderId="2" xfId="0" applyFont="1" applyFill="1" applyBorder="1" applyAlignment="1">
      <alignment horizontal="right" vertical="center"/>
    </xf>
    <xf numFmtId="0" fontId="12" fillId="19" borderId="2" xfId="0" applyFont="1" applyFill="1" applyBorder="1"/>
    <xf numFmtId="0" fontId="29" fillId="0" borderId="1" xfId="0" applyFont="1" applyBorder="1" applyAlignment="1">
      <alignment horizontal="left"/>
    </xf>
    <xf numFmtId="0" fontId="29" fillId="0" borderId="3" xfId="0" applyFont="1" applyBorder="1" applyAlignment="1">
      <alignment horizontal="left"/>
    </xf>
    <xf numFmtId="0" fontId="29" fillId="0" borderId="9" xfId="0" applyFont="1" applyBorder="1" applyAlignment="1">
      <alignment horizontal="left"/>
    </xf>
    <xf numFmtId="0" fontId="15" fillId="0" borderId="9" xfId="0" applyFont="1" applyBorder="1" applyAlignment="1">
      <alignment horizontal="left"/>
    </xf>
    <xf numFmtId="0" fontId="15" fillId="0" borderId="3" xfId="0" applyFont="1" applyBorder="1" applyAlignment="1">
      <alignment horizontal="left"/>
    </xf>
    <xf numFmtId="0" fontId="2" fillId="2" borderId="1" xfId="0" applyFont="1" applyFill="1" applyBorder="1" applyAlignment="1">
      <alignment horizontal="left"/>
    </xf>
    <xf numFmtId="0" fontId="2" fillId="4" borderId="1" xfId="0" applyFont="1" applyFill="1" applyBorder="1" applyAlignment="1">
      <alignment horizontal="left"/>
    </xf>
    <xf numFmtId="0" fontId="20" fillId="3" borderId="1" xfId="0" applyFont="1" applyFill="1" applyBorder="1" applyAlignment="1">
      <alignment horizontal="left"/>
    </xf>
    <xf numFmtId="0" fontId="34" fillId="19" borderId="9" xfId="0" applyFont="1" applyFill="1" applyBorder="1" applyAlignment="1">
      <alignment horizontal="left"/>
    </xf>
    <xf numFmtId="0" fontId="2" fillId="16" borderId="3" xfId="0" applyFont="1" applyFill="1" applyBorder="1" applyAlignment="1">
      <alignment horizontal="left"/>
    </xf>
    <xf numFmtId="0" fontId="0" fillId="8" borderId="3" xfId="0" applyFill="1" applyBorder="1" applyAlignment="1">
      <alignment horizontal="left"/>
    </xf>
    <xf numFmtId="0" fontId="20" fillId="29" borderId="3" xfId="0" applyFont="1" applyFill="1" applyBorder="1" applyAlignment="1">
      <alignment horizontal="left"/>
    </xf>
    <xf numFmtId="0" fontId="2" fillId="40" borderId="3" xfId="0" applyFont="1" applyFill="1" applyBorder="1" applyAlignment="1">
      <alignment horizontal="left"/>
    </xf>
    <xf numFmtId="0" fontId="2" fillId="7" borderId="3" xfId="0" applyFont="1" applyFill="1" applyBorder="1" applyAlignment="1">
      <alignment horizontal="left"/>
    </xf>
    <xf numFmtId="0" fontId="20" fillId="42" borderId="3" xfId="0" applyFont="1" applyFill="1" applyBorder="1" applyAlignment="1">
      <alignment horizontal="left"/>
    </xf>
    <xf numFmtId="0" fontId="2" fillId="13" borderId="3" xfId="0" applyFont="1" applyFill="1" applyBorder="1" applyAlignment="1">
      <alignment horizontal="left"/>
    </xf>
    <xf numFmtId="0" fontId="2" fillId="49" borderId="3" xfId="0" applyFont="1" applyFill="1" applyBorder="1" applyAlignment="1">
      <alignment horizontal="left"/>
    </xf>
    <xf numFmtId="0" fontId="2" fillId="12" borderId="3" xfId="0" applyFont="1" applyFill="1" applyBorder="1" applyAlignment="1">
      <alignment horizontal="left"/>
    </xf>
    <xf numFmtId="0" fontId="20" fillId="18" borderId="3" xfId="0" applyFont="1" applyFill="1" applyBorder="1" applyAlignment="1">
      <alignment horizontal="left"/>
    </xf>
    <xf numFmtId="0" fontId="20" fillId="50" borderId="3" xfId="0" applyFont="1" applyFill="1" applyBorder="1" applyAlignment="1">
      <alignment horizontal="left"/>
    </xf>
    <xf numFmtId="0" fontId="2" fillId="41" borderId="3" xfId="0" applyFont="1" applyFill="1" applyBorder="1" applyAlignment="1">
      <alignment horizontal="left"/>
    </xf>
    <xf numFmtId="0" fontId="2" fillId="4" borderId="3" xfId="0" applyFont="1" applyFill="1" applyBorder="1" applyAlignment="1">
      <alignment horizontal="left"/>
    </xf>
    <xf numFmtId="0" fontId="21" fillId="39" borderId="3" xfId="0" applyFont="1" applyFill="1" applyBorder="1" applyAlignment="1">
      <alignment horizontal="left"/>
    </xf>
    <xf numFmtId="0" fontId="2" fillId="44" borderId="3" xfId="0" applyFont="1" applyFill="1" applyBorder="1" applyAlignment="1">
      <alignment horizontal="left"/>
    </xf>
    <xf numFmtId="0" fontId="0" fillId="17" borderId="3" xfId="0" applyFill="1" applyBorder="1" applyAlignment="1">
      <alignment horizontal="left"/>
    </xf>
    <xf numFmtId="0" fontId="2" fillId="46" borderId="3" xfId="0" applyFont="1" applyFill="1" applyBorder="1" applyAlignment="1">
      <alignment horizontal="left"/>
    </xf>
    <xf numFmtId="0" fontId="2" fillId="47" borderId="3" xfId="0" applyFont="1" applyFill="1" applyBorder="1" applyAlignment="1">
      <alignment horizontal="left"/>
    </xf>
    <xf numFmtId="0" fontId="0" fillId="15" borderId="3" xfId="0" applyFill="1" applyBorder="1" applyAlignment="1">
      <alignment horizontal="left"/>
    </xf>
    <xf numFmtId="0" fontId="2" fillId="9" borderId="3" xfId="0" applyFont="1" applyFill="1" applyBorder="1" applyAlignment="1">
      <alignment horizontal="left"/>
    </xf>
    <xf numFmtId="0" fontId="0" fillId="20" borderId="3" xfId="0" applyFill="1" applyBorder="1" applyAlignment="1">
      <alignment horizontal="left"/>
    </xf>
    <xf numFmtId="0" fontId="2" fillId="48" borderId="3" xfId="0" applyFont="1" applyFill="1" applyBorder="1" applyAlignment="1">
      <alignment horizontal="left"/>
    </xf>
    <xf numFmtId="0" fontId="0" fillId="43" borderId="3" xfId="0" applyFill="1" applyBorder="1" applyAlignment="1">
      <alignment horizontal="left"/>
    </xf>
    <xf numFmtId="0" fontId="0" fillId="11" borderId="3" xfId="0" applyFill="1" applyBorder="1" applyAlignment="1">
      <alignment horizontal="left"/>
    </xf>
    <xf numFmtId="0" fontId="20" fillId="38" borderId="3" xfId="0" applyFont="1" applyFill="1" applyBorder="1" applyAlignment="1">
      <alignment horizontal="left"/>
    </xf>
    <xf numFmtId="0" fontId="20" fillId="45" borderId="3" xfId="0" applyFont="1" applyFill="1" applyBorder="1" applyAlignment="1">
      <alignment horizontal="left"/>
    </xf>
    <xf numFmtId="0" fontId="20" fillId="3" borderId="3" xfId="0" applyFont="1" applyFill="1" applyBorder="1" applyAlignment="1">
      <alignment horizontal="left"/>
    </xf>
    <xf numFmtId="0" fontId="20" fillId="28" borderId="3" xfId="0" applyFont="1" applyFill="1" applyBorder="1" applyAlignment="1">
      <alignment horizontal="left"/>
    </xf>
    <xf numFmtId="0" fontId="65" fillId="0" borderId="0" xfId="0" applyFont="1"/>
    <xf numFmtId="0" fontId="46" fillId="0" borderId="0" xfId="0" applyFont="1"/>
    <xf numFmtId="0" fontId="67" fillId="0" borderId="0" xfId="0" applyFont="1"/>
    <xf numFmtId="0" fontId="68" fillId="0" borderId="0" xfId="0" applyFont="1"/>
    <xf numFmtId="0" fontId="2" fillId="16" borderId="1" xfId="0" applyFont="1" applyFill="1" applyBorder="1" applyAlignment="1">
      <alignment horizontal="left"/>
    </xf>
    <xf numFmtId="0" fontId="0" fillId="8" borderId="1" xfId="0" applyFill="1" applyBorder="1" applyAlignment="1">
      <alignment horizontal="left"/>
    </xf>
    <xf numFmtId="0" fontId="20" fillId="29" borderId="1" xfId="0" applyFont="1" applyFill="1" applyBorder="1" applyAlignment="1">
      <alignment horizontal="left"/>
    </xf>
    <xf numFmtId="0" fontId="2" fillId="40" borderId="1" xfId="0" applyFont="1" applyFill="1" applyBorder="1" applyAlignment="1">
      <alignment horizontal="left"/>
    </xf>
    <xf numFmtId="0" fontId="2" fillId="7" borderId="1" xfId="0" applyFont="1" applyFill="1" applyBorder="1" applyAlignment="1">
      <alignment horizontal="left"/>
    </xf>
    <xf numFmtId="0" fontId="0" fillId="28" borderId="1" xfId="0" applyFill="1" applyBorder="1" applyAlignment="1">
      <alignment horizontal="left"/>
    </xf>
    <xf numFmtId="0" fontId="20" fillId="42" borderId="1" xfId="0" applyFont="1" applyFill="1" applyBorder="1" applyAlignment="1">
      <alignment horizontal="left"/>
    </xf>
    <xf numFmtId="0" fontId="2" fillId="13" borderId="1" xfId="0" applyFont="1" applyFill="1" applyBorder="1" applyAlignment="1">
      <alignment horizontal="left"/>
    </xf>
    <xf numFmtId="0" fontId="2" fillId="12" borderId="1" xfId="0" applyFont="1" applyFill="1" applyBorder="1" applyAlignment="1">
      <alignment horizontal="left"/>
    </xf>
    <xf numFmtId="0" fontId="2" fillId="41" borderId="1" xfId="0" applyFont="1" applyFill="1" applyBorder="1" applyAlignment="1">
      <alignment horizontal="left"/>
    </xf>
    <xf numFmtId="0" fontId="21" fillId="39" borderId="1" xfId="0" applyFont="1" applyFill="1" applyBorder="1" applyAlignment="1">
      <alignment horizontal="left"/>
    </xf>
    <xf numFmtId="0" fontId="2" fillId="44" borderId="1" xfId="0" applyFont="1" applyFill="1" applyBorder="1" applyAlignment="1">
      <alignment horizontal="left"/>
    </xf>
    <xf numFmtId="0" fontId="0" fillId="17" borderId="1" xfId="0" applyFill="1" applyBorder="1" applyAlignment="1">
      <alignment horizontal="left"/>
    </xf>
    <xf numFmtId="0" fontId="0" fillId="38" borderId="1" xfId="0" applyFill="1" applyBorder="1" applyAlignment="1">
      <alignment horizontal="left"/>
    </xf>
    <xf numFmtId="0" fontId="2" fillId="46" borderId="1" xfId="0" applyFont="1" applyFill="1" applyBorder="1" applyAlignment="1">
      <alignment horizontal="left"/>
    </xf>
    <xf numFmtId="0" fontId="0" fillId="45" borderId="1" xfId="0" applyFill="1" applyBorder="1" applyAlignment="1">
      <alignment horizontal="left"/>
    </xf>
    <xf numFmtId="0" fontId="2" fillId="47" borderId="1" xfId="0" applyFont="1" applyFill="1" applyBorder="1" applyAlignment="1">
      <alignment horizontal="left"/>
    </xf>
    <xf numFmtId="0" fontId="0" fillId="15" borderId="1" xfId="0" applyFill="1" applyBorder="1" applyAlignment="1">
      <alignment horizontal="left"/>
    </xf>
    <xf numFmtId="0" fontId="2" fillId="9" borderId="1" xfId="0" applyFont="1" applyFill="1" applyBorder="1" applyAlignment="1">
      <alignment horizontal="left"/>
    </xf>
    <xf numFmtId="0" fontId="0" fillId="20" borderId="1" xfId="0" applyFill="1" applyBorder="1" applyAlignment="1">
      <alignment horizontal="left"/>
    </xf>
    <xf numFmtId="0" fontId="2" fillId="48" borderId="1" xfId="0" applyFont="1" applyFill="1" applyBorder="1" applyAlignment="1">
      <alignment horizontal="left"/>
    </xf>
    <xf numFmtId="0" fontId="0" fillId="3" borderId="1" xfId="0" applyFill="1" applyBorder="1" applyAlignment="1">
      <alignment horizontal="left"/>
    </xf>
    <xf numFmtId="0" fontId="0" fillId="43" borderId="1" xfId="0" applyFill="1" applyBorder="1" applyAlignment="1">
      <alignment horizontal="left"/>
    </xf>
    <xf numFmtId="0" fontId="0" fillId="11" borderId="1" xfId="0" applyFill="1" applyBorder="1" applyAlignment="1">
      <alignment horizontal="left"/>
    </xf>
    <xf numFmtId="0" fontId="12" fillId="7" borderId="2" xfId="0" applyFont="1" applyFill="1" applyBorder="1" applyAlignment="1">
      <alignment horizontal="right"/>
    </xf>
    <xf numFmtId="0" fontId="20" fillId="18" borderId="1" xfId="0" applyFont="1" applyFill="1" applyBorder="1" applyAlignment="1">
      <alignment horizontal="left"/>
    </xf>
    <xf numFmtId="0" fontId="20" fillId="50" borderId="1" xfId="0" applyFont="1" applyFill="1" applyBorder="1" applyAlignment="1">
      <alignment horizontal="left"/>
    </xf>
    <xf numFmtId="0" fontId="20" fillId="8" borderId="0" xfId="0" applyFont="1" applyFill="1"/>
    <xf numFmtId="0" fontId="0" fillId="35" borderId="11" xfId="0" applyFill="1" applyBorder="1"/>
    <xf numFmtId="0" fontId="15" fillId="19" borderId="0" xfId="0" applyFont="1" applyFill="1" applyAlignment="1">
      <alignment horizontal="center"/>
    </xf>
    <xf numFmtId="0" fontId="11" fillId="0" borderId="2" xfId="0" applyFont="1" applyBorder="1" applyAlignment="1">
      <alignment horizontal="right"/>
    </xf>
    <xf numFmtId="0" fontId="2" fillId="42" borderId="0" xfId="0" applyFont="1" applyFill="1"/>
    <xf numFmtId="0" fontId="15" fillId="0" borderId="6" xfId="0" applyFont="1" applyBorder="1" applyAlignment="1">
      <alignment horizontal="center"/>
    </xf>
    <xf numFmtId="0" fontId="0" fillId="19" borderId="0" xfId="0" applyFill="1" applyAlignment="1">
      <alignment horizontal="center"/>
    </xf>
    <xf numFmtId="0" fontId="38" fillId="62" borderId="12" xfId="0" applyFont="1" applyFill="1" applyBorder="1" applyAlignment="1">
      <alignment horizontal="left"/>
    </xf>
    <xf numFmtId="0" fontId="0" fillId="63" borderId="0" xfId="0" applyFill="1"/>
    <xf numFmtId="0" fontId="15" fillId="0" borderId="2" xfId="0" applyFont="1" applyBorder="1" applyAlignment="1">
      <alignment horizontal="center"/>
    </xf>
    <xf numFmtId="0" fontId="0" fillId="37" borderId="7" xfId="0" applyFill="1" applyBorder="1" applyAlignment="1">
      <alignment horizontal="right"/>
    </xf>
    <xf numFmtId="0" fontId="0" fillId="37" borderId="8" xfId="0" applyFill="1" applyBorder="1" applyAlignment="1">
      <alignment horizontal="right"/>
    </xf>
    <xf numFmtId="0" fontId="0" fillId="37" borderId="8" xfId="0" applyFill="1" applyBorder="1"/>
    <xf numFmtId="9" fontId="0" fillId="37" borderId="3" xfId="1" applyFont="1" applyFill="1" applyBorder="1"/>
    <xf numFmtId="0" fontId="0" fillId="64" borderId="0" xfId="0" applyFill="1"/>
    <xf numFmtId="0" fontId="0" fillId="64" borderId="1" xfId="0" applyFill="1" applyBorder="1"/>
    <xf numFmtId="0" fontId="0" fillId="64" borderId="7" xfId="0" applyFill="1" applyBorder="1" applyAlignment="1">
      <alignment horizontal="right"/>
    </xf>
    <xf numFmtId="0" fontId="0" fillId="64" borderId="8" xfId="0" applyFill="1" applyBorder="1" applyAlignment="1">
      <alignment horizontal="right"/>
    </xf>
    <xf numFmtId="9" fontId="0" fillId="64" borderId="7" xfId="1" applyFont="1" applyFill="1" applyBorder="1"/>
    <xf numFmtId="9" fontId="0" fillId="64" borderId="8" xfId="1" applyFont="1" applyFill="1" applyBorder="1"/>
    <xf numFmtId="0" fontId="0" fillId="38" borderId="6" xfId="0" applyFill="1" applyBorder="1" applyAlignment="1">
      <alignment horizontal="right"/>
    </xf>
    <xf numFmtId="0" fontId="0" fillId="38" borderId="9" xfId="0" applyFill="1" applyBorder="1" applyAlignment="1">
      <alignment horizontal="right"/>
    </xf>
    <xf numFmtId="0" fontId="0" fillId="38" borderId="7" xfId="0" applyFill="1" applyBorder="1" applyAlignment="1">
      <alignment horizontal="right"/>
    </xf>
    <xf numFmtId="0" fontId="0" fillId="38" borderId="8" xfId="0" applyFill="1" applyBorder="1" applyAlignment="1">
      <alignment horizontal="right"/>
    </xf>
    <xf numFmtId="0" fontId="0" fillId="63" borderId="6" xfId="0" applyFill="1" applyBorder="1"/>
    <xf numFmtId="0" fontId="0" fillId="63" borderId="2" xfId="0" applyFill="1" applyBorder="1"/>
    <xf numFmtId="0" fontId="11" fillId="0" borderId="0" xfId="0" applyFont="1" applyAlignment="1">
      <alignment horizontal="right"/>
    </xf>
    <xf numFmtId="0" fontId="11" fillId="0" borderId="0" xfId="0" applyFont="1"/>
    <xf numFmtId="0" fontId="106" fillId="0" borderId="5" xfId="0" applyFont="1" applyBorder="1"/>
    <xf numFmtId="0" fontId="43" fillId="0" borderId="0" xfId="0" applyFont="1"/>
    <xf numFmtId="0" fontId="35" fillId="0" borderId="0" xfId="0" applyFont="1"/>
    <xf numFmtId="9" fontId="29" fillId="0" borderId="0" xfId="1" applyFont="1" applyBorder="1"/>
    <xf numFmtId="0" fontId="83" fillId="19" borderId="0" xfId="0" applyFont="1" applyFill="1"/>
    <xf numFmtId="0" fontId="83" fillId="19" borderId="5" xfId="0" applyFont="1" applyFill="1" applyBorder="1"/>
    <xf numFmtId="0" fontId="0" fillId="0" borderId="9" xfId="0" applyBorder="1" applyAlignment="1">
      <alignment horizontal="center"/>
    </xf>
    <xf numFmtId="0" fontId="34" fillId="0" borderId="0" xfId="0" applyFont="1"/>
    <xf numFmtId="0" fontId="15" fillId="0" borderId="11" xfId="0" applyFont="1" applyBorder="1"/>
    <xf numFmtId="0" fontId="85" fillId="0" borderId="5" xfId="0" applyFont="1" applyBorder="1"/>
    <xf numFmtId="0" fontId="86" fillId="0" borderId="10" xfId="0" applyFont="1" applyBorder="1"/>
    <xf numFmtId="0" fontId="20" fillId="0" borderId="10" xfId="0" applyFont="1" applyBorder="1"/>
    <xf numFmtId="0" fontId="20" fillId="8" borderId="1" xfId="0" applyFont="1" applyFill="1" applyBorder="1"/>
    <xf numFmtId="0" fontId="32" fillId="0" borderId="4" xfId="0" applyFont="1" applyBorder="1" applyAlignment="1">
      <alignment horizontal="right"/>
    </xf>
    <xf numFmtId="0" fontId="20" fillId="0" borderId="0" xfId="0" applyFont="1" applyAlignment="1">
      <alignment horizontal="right" vertical="center"/>
    </xf>
    <xf numFmtId="0" fontId="53" fillId="0" borderId="0" xfId="0" applyFont="1"/>
    <xf numFmtId="0" fontId="34" fillId="0" borderId="0" xfId="0" applyFont="1" applyAlignment="1">
      <alignment horizontal="center"/>
    </xf>
    <xf numFmtId="0" fontId="118" fillId="0" borderId="0" xfId="0" applyFont="1"/>
    <xf numFmtId="0" fontId="119" fillId="0" borderId="0" xfId="0" applyFont="1"/>
    <xf numFmtId="0" fontId="120" fillId="0" borderId="0" xfId="0" applyFont="1"/>
    <xf numFmtId="0" fontId="121" fillId="0" borderId="0" xfId="0" applyFont="1"/>
    <xf numFmtId="0" fontId="0" fillId="0" borderId="7" xfId="0" applyBorder="1" applyAlignment="1">
      <alignment horizontal="right"/>
    </xf>
    <xf numFmtId="0" fontId="0" fillId="0" borderId="0" xfId="0" applyAlignment="1">
      <alignment vertical="top" wrapText="1"/>
    </xf>
    <xf numFmtId="0" fontId="87" fillId="0" borderId="0" xfId="0" applyFont="1" applyAlignment="1">
      <alignment horizontal="left"/>
    </xf>
    <xf numFmtId="0" fontId="11" fillId="0" borderId="1" xfId="0" applyFont="1" applyBorder="1" applyAlignment="1">
      <alignment horizontal="left"/>
    </xf>
    <xf numFmtId="0" fontId="12" fillId="0" borderId="1" xfId="0" applyFont="1" applyBorder="1" applyAlignment="1">
      <alignment horizontal="left"/>
    </xf>
    <xf numFmtId="9" fontId="76" fillId="0" borderId="6" xfId="1" applyFont="1" applyBorder="1"/>
    <xf numFmtId="0" fontId="0" fillId="11" borderId="1" xfId="0" applyFill="1" applyBorder="1" applyAlignment="1">
      <alignment horizontal="center"/>
    </xf>
    <xf numFmtId="0" fontId="123" fillId="0" borderId="0" xfId="0" applyFont="1" applyAlignment="1">
      <alignment horizontal="right"/>
    </xf>
    <xf numFmtId="0" fontId="7" fillId="0" borderId="0" xfId="0" applyFont="1" applyAlignment="1">
      <alignment horizontal="right"/>
    </xf>
    <xf numFmtId="0" fontId="123" fillId="0" borderId="0" xfId="0" applyFont="1"/>
    <xf numFmtId="0" fontId="124" fillId="0" borderId="0" xfId="0" applyFont="1"/>
    <xf numFmtId="0" fontId="125" fillId="0" borderId="0" xfId="0" applyFont="1"/>
    <xf numFmtId="0" fontId="126" fillId="0" borderId="0" xfId="0" applyFont="1"/>
    <xf numFmtId="0" fontId="15" fillId="0" borderId="0" xfId="0" applyFont="1" applyAlignment="1">
      <alignment horizontal="left"/>
    </xf>
    <xf numFmtId="0" fontId="114" fillId="0" borderId="0" xfId="0" applyFont="1" applyAlignment="1">
      <alignment horizontal="left"/>
    </xf>
    <xf numFmtId="0" fontId="0" fillId="65" borderId="13" xfId="0" applyFill="1" applyBorder="1" applyAlignment="1">
      <alignment horizontal="right" vertical="center"/>
    </xf>
    <xf numFmtId="0" fontId="0" fillId="0" borderId="13" xfId="0" applyBorder="1" applyAlignment="1">
      <alignment horizontal="right" vertical="center"/>
    </xf>
    <xf numFmtId="0" fontId="29" fillId="65" borderId="13" xfId="0" applyFont="1" applyFill="1" applyBorder="1" applyAlignment="1">
      <alignment horizontal="right" vertical="center"/>
    </xf>
    <xf numFmtId="0" fontId="29" fillId="0" borderId="13" xfId="0" applyFont="1" applyBorder="1" applyAlignment="1">
      <alignment horizontal="right" vertical="center"/>
    </xf>
    <xf numFmtId="0" fontId="12" fillId="0" borderId="13" xfId="0" applyFont="1" applyBorder="1" applyAlignment="1">
      <alignment horizontal="right" vertical="center"/>
    </xf>
    <xf numFmtId="0" fontId="124" fillId="65" borderId="13" xfId="0" applyFont="1" applyFill="1" applyBorder="1" applyAlignment="1">
      <alignment horizontal="right" vertical="center"/>
    </xf>
    <xf numFmtId="0" fontId="124" fillId="0" borderId="13" xfId="0" applyFont="1" applyBorder="1" applyAlignment="1">
      <alignment horizontal="right" vertical="center"/>
    </xf>
    <xf numFmtId="0" fontId="41" fillId="0" borderId="13" xfId="0" applyFont="1" applyBorder="1" applyAlignment="1">
      <alignment horizontal="right" vertical="center"/>
    </xf>
    <xf numFmtId="0" fontId="12" fillId="0" borderId="2" xfId="0" applyFont="1" applyBorder="1" applyAlignment="1">
      <alignment horizontal="right" vertical="center"/>
    </xf>
    <xf numFmtId="0" fontId="124" fillId="0" borderId="2" xfId="0" applyFont="1" applyBorder="1" applyAlignment="1">
      <alignment horizontal="right" vertical="center"/>
    </xf>
    <xf numFmtId="0" fontId="40" fillId="0" borderId="2" xfId="0" applyFont="1" applyBorder="1" applyAlignment="1">
      <alignment horizontal="right" vertical="center"/>
    </xf>
    <xf numFmtId="0" fontId="0" fillId="68" borderId="13" xfId="0" applyFill="1" applyBorder="1" applyAlignment="1">
      <alignment horizontal="right" vertical="center"/>
    </xf>
    <xf numFmtId="0" fontId="124" fillId="68" borderId="13" xfId="0" applyFont="1" applyFill="1" applyBorder="1" applyAlignment="1">
      <alignment horizontal="right" vertical="center"/>
    </xf>
    <xf numFmtId="0" fontId="20" fillId="8" borderId="0" xfId="0" applyFont="1" applyFill="1" applyAlignment="1">
      <alignment horizontal="right"/>
    </xf>
    <xf numFmtId="0" fontId="33" fillId="7" borderId="0" xfId="0" applyFont="1" applyFill="1" applyAlignment="1">
      <alignment horizontal="center"/>
    </xf>
    <xf numFmtId="0" fontId="133" fillId="19" borderId="0" xfId="0" applyFont="1" applyFill="1"/>
    <xf numFmtId="0" fontId="2" fillId="19" borderId="0" xfId="0" applyFont="1" applyFill="1"/>
    <xf numFmtId="0" fontId="22" fillId="19" borderId="0" xfId="0" applyFont="1" applyFill="1"/>
    <xf numFmtId="0" fontId="0" fillId="38" borderId="11" xfId="0" applyFill="1" applyBorder="1"/>
    <xf numFmtId="0" fontId="131" fillId="7" borderId="0" xfId="0" applyFont="1" applyFill="1" applyAlignment="1">
      <alignment horizontal="center" vertical="center"/>
    </xf>
    <xf numFmtId="0" fontId="2" fillId="2" borderId="18" xfId="0" applyFont="1" applyFill="1" applyBorder="1"/>
    <xf numFmtId="0" fontId="2" fillId="2" borderId="19" xfId="0" applyFont="1" applyFill="1" applyBorder="1"/>
    <xf numFmtId="0" fontId="13" fillId="19" borderId="0" xfId="0" applyFont="1" applyFill="1" applyAlignment="1">
      <alignment horizontal="center" vertical="center"/>
    </xf>
    <xf numFmtId="0" fontId="135" fillId="19" borderId="0" xfId="0" applyFont="1" applyFill="1" applyAlignment="1">
      <alignment horizontal="center"/>
    </xf>
    <xf numFmtId="0" fontId="2" fillId="4" borderId="20" xfId="0" applyFont="1" applyFill="1" applyBorder="1"/>
    <xf numFmtId="0" fontId="133" fillId="19" borderId="14" xfId="0" applyFont="1" applyFill="1" applyBorder="1"/>
    <xf numFmtId="0" fontId="13" fillId="7" borderId="22" xfId="0" applyFont="1" applyFill="1" applyBorder="1" applyAlignment="1">
      <alignment horizontal="center" vertical="center"/>
    </xf>
    <xf numFmtId="2" fontId="133" fillId="19" borderId="22" xfId="0" applyNumberFormat="1" applyFont="1" applyFill="1" applyBorder="1"/>
    <xf numFmtId="0" fontId="0" fillId="19" borderId="14" xfId="0" applyFill="1" applyBorder="1"/>
    <xf numFmtId="0" fontId="0" fillId="19" borderId="21" xfId="0" applyFill="1" applyBorder="1"/>
    <xf numFmtId="0" fontId="0" fillId="19" borderId="23" xfId="0" applyFill="1" applyBorder="1"/>
    <xf numFmtId="0" fontId="130" fillId="19" borderId="24" xfId="0" applyFont="1" applyFill="1" applyBorder="1"/>
    <xf numFmtId="0" fontId="0" fillId="19" borderId="25" xfId="0" applyFill="1" applyBorder="1"/>
    <xf numFmtId="0" fontId="0" fillId="19" borderId="26" xfId="0" applyFill="1" applyBorder="1"/>
    <xf numFmtId="0" fontId="0" fillId="19" borderId="27" xfId="0" applyFill="1" applyBorder="1" applyAlignment="1">
      <alignment horizontal="center"/>
    </xf>
    <xf numFmtId="0" fontId="0" fillId="19" borderId="27" xfId="0" applyFill="1" applyBorder="1"/>
    <xf numFmtId="0" fontId="0" fillId="19" borderId="28" xfId="0" applyFill="1" applyBorder="1"/>
    <xf numFmtId="0" fontId="0" fillId="19" borderId="17" xfId="0" applyFill="1" applyBorder="1"/>
    <xf numFmtId="0" fontId="0" fillId="19" borderId="29" xfId="0" applyFill="1" applyBorder="1"/>
    <xf numFmtId="0" fontId="131" fillId="0" borderId="0" xfId="0" applyFont="1" applyAlignment="1">
      <alignment horizontal="center" vertical="center"/>
    </xf>
    <xf numFmtId="0" fontId="0" fillId="19" borderId="30" xfId="0" applyFill="1" applyBorder="1"/>
    <xf numFmtId="0" fontId="15" fillId="0" borderId="1" xfId="0" applyFont="1" applyBorder="1" applyAlignment="1">
      <alignment wrapText="1"/>
    </xf>
    <xf numFmtId="0" fontId="0" fillId="0" borderId="1" xfId="0" applyBorder="1" applyAlignment="1">
      <alignment horizontal="right" wrapText="1"/>
    </xf>
    <xf numFmtId="0" fontId="2" fillId="2" borderId="0" xfId="0" applyFont="1" applyFill="1" applyAlignment="1">
      <alignment horizontal="center" vertical="center" wrapText="1"/>
    </xf>
    <xf numFmtId="0" fontId="2" fillId="0" borderId="0" xfId="0" applyFont="1" applyAlignment="1">
      <alignment horizontal="right" wrapText="1"/>
    </xf>
    <xf numFmtId="0" fontId="2" fillId="0" borderId="0" xfId="0" applyFont="1" applyAlignment="1">
      <alignment horizontal="center" vertical="center" wrapText="1"/>
    </xf>
    <xf numFmtId="0" fontId="0" fillId="0" borderId="0" xfId="0" applyAlignment="1">
      <alignment horizontal="right" wrapText="1"/>
    </xf>
    <xf numFmtId="0" fontId="2" fillId="19" borderId="0" xfId="0" applyFont="1" applyFill="1" applyAlignment="1">
      <alignment horizontal="center" vertical="center" wrapText="1"/>
    </xf>
    <xf numFmtId="0" fontId="15" fillId="19" borderId="0" xfId="0" applyFont="1" applyFill="1"/>
    <xf numFmtId="0" fontId="136" fillId="0" borderId="0" xfId="0" applyFont="1"/>
    <xf numFmtId="0" fontId="114" fillId="37" borderId="16" xfId="0" applyFont="1" applyFill="1" applyBorder="1"/>
    <xf numFmtId="0" fontId="137" fillId="0" borderId="0" xfId="0" applyFont="1"/>
    <xf numFmtId="0" fontId="137" fillId="0" borderId="22" xfId="0" applyFont="1" applyBorder="1"/>
    <xf numFmtId="0" fontId="15" fillId="0" borderId="14" xfId="0" applyFont="1" applyBorder="1" applyAlignment="1">
      <alignment horizontal="center"/>
    </xf>
    <xf numFmtId="0" fontId="76" fillId="0" borderId="33" xfId="0" applyFont="1" applyBorder="1" applyAlignment="1">
      <alignment horizontal="center"/>
    </xf>
    <xf numFmtId="2" fontId="76" fillId="0" borderId="32" xfId="0" applyNumberFormat="1" applyFont="1" applyBorder="1"/>
    <xf numFmtId="0" fontId="138" fillId="0" borderId="21" xfId="0" applyFont="1" applyBorder="1"/>
    <xf numFmtId="0" fontId="0" fillId="4" borderId="0" xfId="0" applyFill="1"/>
    <xf numFmtId="0" fontId="0" fillId="6" borderId="0" xfId="0" applyFill="1"/>
    <xf numFmtId="0" fontId="0" fillId="4" borderId="32" xfId="0" applyFill="1" applyBorder="1"/>
    <xf numFmtId="0" fontId="0" fillId="0" borderId="32" xfId="0" applyBorder="1"/>
    <xf numFmtId="0" fontId="15" fillId="8" borderId="0" xfId="0" applyFont="1" applyFill="1"/>
    <xf numFmtId="0" fontId="0" fillId="8" borderId="32" xfId="0" applyFill="1" applyBorder="1"/>
    <xf numFmtId="0" fontId="139" fillId="0" borderId="0" xfId="0" applyFont="1"/>
    <xf numFmtId="0" fontId="140" fillId="0" borderId="0" xfId="0" applyFont="1"/>
    <xf numFmtId="0" fontId="140" fillId="6" borderId="0" xfId="0" applyFont="1" applyFill="1"/>
    <xf numFmtId="0" fontId="139" fillId="8" borderId="0" xfId="0" applyFont="1" applyFill="1"/>
    <xf numFmtId="2" fontId="76" fillId="0" borderId="0" xfId="0" applyNumberFormat="1" applyFont="1"/>
    <xf numFmtId="0" fontId="142" fillId="0" borderId="22" xfId="0" applyFont="1" applyBorder="1"/>
    <xf numFmtId="0" fontId="139" fillId="6" borderId="0" xfId="0" applyFont="1" applyFill="1"/>
    <xf numFmtId="0" fontId="140" fillId="4" borderId="0" xfId="0" applyFont="1" applyFill="1"/>
    <xf numFmtId="0" fontId="0" fillId="0" borderId="0" xfId="3" applyNumberFormat="1" applyFont="1" applyFill="1"/>
    <xf numFmtId="0" fontId="29" fillId="4" borderId="0" xfId="3" applyNumberFormat="1" applyFont="1" applyFill="1"/>
    <xf numFmtId="0" fontId="15" fillId="4" borderId="0" xfId="0" applyFont="1" applyFill="1"/>
    <xf numFmtId="0" fontId="14" fillId="0" borderId="0" xfId="3" applyNumberFormat="1" applyFont="1" applyFill="1"/>
    <xf numFmtId="0" fontId="14" fillId="4" borderId="0" xfId="3" applyNumberFormat="1" applyFont="1" applyFill="1"/>
    <xf numFmtId="0" fontId="29" fillId="4" borderId="0" xfId="0" applyFont="1" applyFill="1"/>
    <xf numFmtId="0" fontId="14" fillId="6" borderId="0" xfId="3" applyNumberFormat="1" applyFont="1" applyFill="1"/>
    <xf numFmtId="0" fontId="142" fillId="0" borderId="34" xfId="0" applyFont="1" applyBorder="1"/>
    <xf numFmtId="0" fontId="76" fillId="4" borderId="0" xfId="0" applyFont="1" applyFill="1"/>
    <xf numFmtId="0" fontId="76" fillId="0" borderId="0" xfId="0" applyFont="1"/>
    <xf numFmtId="0" fontId="20" fillId="0" borderId="32" xfId="0" applyFont="1" applyBorder="1"/>
    <xf numFmtId="0" fontId="71" fillId="7" borderId="32" xfId="0" applyFont="1" applyFill="1" applyBorder="1"/>
    <xf numFmtId="0" fontId="17" fillId="8" borderId="0" xfId="0" applyFont="1" applyFill="1"/>
    <xf numFmtId="0" fontId="143" fillId="0" borderId="34" xfId="0" applyFont="1" applyBorder="1"/>
    <xf numFmtId="0" fontId="144" fillId="0" borderId="22" xfId="0" applyFont="1" applyBorder="1"/>
    <xf numFmtId="0" fontId="129" fillId="0" borderId="0" xfId="0" applyFont="1"/>
    <xf numFmtId="0" fontId="20" fillId="0" borderId="0" xfId="3" applyNumberFormat="1" applyFont="1" applyFill="1"/>
    <xf numFmtId="0" fontId="144" fillId="0" borderId="0" xfId="0" applyFont="1"/>
    <xf numFmtId="2" fontId="129" fillId="0" borderId="32" xfId="0" applyNumberFormat="1" applyFont="1" applyBorder="1"/>
    <xf numFmtId="0" fontId="20" fillId="6" borderId="0" xfId="0" applyFont="1" applyFill="1"/>
    <xf numFmtId="0" fontId="20" fillId="4" borderId="0" xfId="0" applyFont="1" applyFill="1"/>
    <xf numFmtId="0" fontId="38" fillId="4" borderId="0" xfId="0" applyFont="1" applyFill="1"/>
    <xf numFmtId="0" fontId="34" fillId="8" borderId="0" xfId="0" applyFont="1" applyFill="1"/>
    <xf numFmtId="0" fontId="1" fillId="8" borderId="0" xfId="0" applyFont="1" applyFill="1"/>
    <xf numFmtId="0" fontId="20" fillId="8" borderId="32" xfId="0" applyFont="1" applyFill="1" applyBorder="1"/>
    <xf numFmtId="0" fontId="43" fillId="8" borderId="0" xfId="0" applyFont="1" applyFill="1"/>
    <xf numFmtId="0" fontId="129" fillId="4" borderId="0" xfId="0" applyFont="1" applyFill="1"/>
    <xf numFmtId="0" fontId="34" fillId="6" borderId="0" xfId="0" applyFont="1" applyFill="1"/>
    <xf numFmtId="0" fontId="12" fillId="4" borderId="0" xfId="0" applyFont="1" applyFill="1"/>
    <xf numFmtId="0" fontId="20" fillId="0" borderId="36" xfId="0" applyFont="1" applyBorder="1"/>
    <xf numFmtId="0" fontId="20" fillId="4" borderId="36" xfId="0" applyFont="1" applyFill="1" applyBorder="1" applyAlignment="1">
      <alignment horizontal="center" vertical="center"/>
    </xf>
    <xf numFmtId="0" fontId="20" fillId="4" borderId="36" xfId="3" applyNumberFormat="1" applyFont="1" applyFill="1" applyBorder="1"/>
    <xf numFmtId="0" fontId="20" fillId="8" borderId="35" xfId="0" applyFont="1" applyFill="1" applyBorder="1"/>
    <xf numFmtId="0" fontId="20" fillId="8" borderId="36" xfId="0" applyFont="1" applyFill="1" applyBorder="1"/>
    <xf numFmtId="0" fontId="17" fillId="4" borderId="0" xfId="0" applyFont="1" applyFill="1"/>
    <xf numFmtId="0" fontId="71" fillId="8" borderId="0" xfId="0" applyFont="1" applyFill="1"/>
    <xf numFmtId="0" fontId="142" fillId="0" borderId="23" xfId="0" applyFont="1" applyBorder="1" applyAlignment="1">
      <alignment horizontal="left"/>
    </xf>
    <xf numFmtId="0" fontId="0" fillId="0" borderId="24" xfId="0" applyBorder="1" applyAlignment="1">
      <alignment horizontal="left"/>
    </xf>
    <xf numFmtId="0" fontId="0" fillId="0" borderId="25" xfId="0" applyBorder="1"/>
    <xf numFmtId="0" fontId="0" fillId="4" borderId="26" xfId="0" applyFill="1" applyBorder="1" applyAlignment="1">
      <alignment horizontal="left"/>
    </xf>
    <xf numFmtId="0" fontId="0" fillId="0" borderId="27" xfId="0" applyBorder="1"/>
    <xf numFmtId="0" fontId="0" fillId="6" borderId="26" xfId="0" applyFill="1" applyBorder="1" applyAlignment="1">
      <alignment horizontal="left"/>
    </xf>
    <xf numFmtId="0" fontId="0" fillId="8" borderId="26" xfId="0" applyFill="1" applyBorder="1" applyAlignment="1">
      <alignment horizontal="left"/>
    </xf>
    <xf numFmtId="0" fontId="0" fillId="0" borderId="26" xfId="0" applyBorder="1" applyAlignment="1">
      <alignment horizontal="left"/>
    </xf>
    <xf numFmtId="0" fontId="0" fillId="0" borderId="26" xfId="0" applyBorder="1"/>
    <xf numFmtId="0" fontId="0" fillId="0" borderId="28" xfId="0" applyBorder="1"/>
    <xf numFmtId="0" fontId="0" fillId="0" borderId="17" xfId="0" applyBorder="1" applyAlignment="1">
      <alignment horizontal="left"/>
    </xf>
    <xf numFmtId="0" fontId="0" fillId="0" borderId="17" xfId="0" applyBorder="1"/>
    <xf numFmtId="0" fontId="0" fillId="0" borderId="29" xfId="0" applyBorder="1"/>
    <xf numFmtId="0" fontId="143" fillId="0" borderId="0" xfId="0" applyFont="1"/>
    <xf numFmtId="0" fontId="149" fillId="0" borderId="0" xfId="0" applyFont="1"/>
    <xf numFmtId="0" fontId="138" fillId="0" borderId="0" xfId="0" applyFont="1"/>
    <xf numFmtId="0" fontId="76" fillId="0" borderId="0" xfId="0" applyFont="1" applyAlignment="1">
      <alignment horizontal="center"/>
    </xf>
    <xf numFmtId="0" fontId="0" fillId="0" borderId="37" xfId="0" applyBorder="1"/>
    <xf numFmtId="0" fontId="0" fillId="0" borderId="31" xfId="0" applyBorder="1"/>
    <xf numFmtId="0" fontId="114" fillId="7" borderId="15" xfId="0" applyFont="1" applyFill="1" applyBorder="1" applyAlignment="1">
      <alignment horizontal="left"/>
    </xf>
    <xf numFmtId="0" fontId="114" fillId="47" borderId="15" xfId="0" applyFont="1" applyFill="1" applyBorder="1" applyAlignment="1">
      <alignment horizontal="left"/>
    </xf>
    <xf numFmtId="0" fontId="114" fillId="37" borderId="0" xfId="0" applyFont="1" applyFill="1"/>
    <xf numFmtId="0" fontId="114" fillId="0" borderId="0" xfId="0" applyFont="1"/>
    <xf numFmtId="0" fontId="34" fillId="0" borderId="0" xfId="0" applyFont="1" applyAlignment="1">
      <alignment horizontal="left"/>
    </xf>
    <xf numFmtId="0" fontId="15" fillId="38" borderId="0" xfId="0" applyFont="1" applyFill="1" applyAlignment="1">
      <alignment horizontal="left"/>
    </xf>
    <xf numFmtId="0" fontId="75" fillId="39" borderId="0" xfId="0" applyFont="1" applyFill="1" applyAlignment="1">
      <alignment horizontal="left"/>
    </xf>
    <xf numFmtId="0" fontId="2" fillId="9" borderId="44" xfId="0" applyFont="1" applyFill="1" applyBorder="1"/>
    <xf numFmtId="0" fontId="114" fillId="41" borderId="0" xfId="0" applyFont="1" applyFill="1" applyAlignment="1">
      <alignment horizontal="left"/>
    </xf>
    <xf numFmtId="0" fontId="0" fillId="19" borderId="48" xfId="0" applyFill="1" applyBorder="1"/>
    <xf numFmtId="0" fontId="2" fillId="2" borderId="49" xfId="0" applyFont="1" applyFill="1" applyBorder="1"/>
    <xf numFmtId="0" fontId="20" fillId="29" borderId="52" xfId="0" applyFont="1" applyFill="1" applyBorder="1"/>
    <xf numFmtId="0" fontId="0" fillId="0" borderId="0" xfId="0" applyAlignment="1">
      <alignment horizontal="left" vertical="top" wrapText="1"/>
    </xf>
    <xf numFmtId="0" fontId="0" fillId="0" borderId="11" xfId="0" applyBorder="1" applyAlignment="1">
      <alignment horizontal="right"/>
    </xf>
    <xf numFmtId="0" fontId="0" fillId="0" borderId="56" xfId="0" applyBorder="1"/>
    <xf numFmtId="0" fontId="38" fillId="8" borderId="0" xfId="0" applyFont="1" applyFill="1"/>
    <xf numFmtId="0" fontId="20" fillId="8" borderId="0" xfId="3" applyNumberFormat="1" applyFont="1" applyFill="1"/>
    <xf numFmtId="0" fontId="144" fillId="8" borderId="0" xfId="0" applyFont="1" applyFill="1"/>
    <xf numFmtId="0" fontId="20" fillId="8" borderId="30" xfId="0" applyFont="1" applyFill="1" applyBorder="1"/>
    <xf numFmtId="0" fontId="76" fillId="0" borderId="58" xfId="0" applyFont="1" applyBorder="1" applyAlignment="1">
      <alignment horizontal="center"/>
    </xf>
    <xf numFmtId="2" fontId="129" fillId="0" borderId="6" xfId="0" applyNumberFormat="1" applyFont="1" applyBorder="1"/>
    <xf numFmtId="0" fontId="20" fillId="0" borderId="2" xfId="0" applyFont="1" applyBorder="1" applyAlignment="1">
      <alignment horizontal="right" vertical="center"/>
    </xf>
    <xf numFmtId="0" fontId="0" fillId="65" borderId="59" xfId="0" applyFill="1" applyBorder="1" applyAlignment="1">
      <alignment horizontal="right" vertical="center"/>
    </xf>
    <xf numFmtId="0" fontId="15" fillId="70" borderId="6" xfId="0" applyFont="1" applyFill="1" applyBorder="1" applyAlignment="1">
      <alignment horizontal="left"/>
    </xf>
    <xf numFmtId="0" fontId="142" fillId="0" borderId="0" xfId="0" applyFont="1"/>
    <xf numFmtId="0" fontId="142" fillId="0" borderId="56" xfId="0" applyFont="1" applyBorder="1"/>
    <xf numFmtId="0" fontId="138" fillId="0" borderId="61" xfId="0" applyFont="1" applyBorder="1" applyAlignment="1">
      <alignment horizontal="center"/>
    </xf>
    <xf numFmtId="0" fontId="138" fillId="0" borderId="62" xfId="0" applyFont="1" applyBorder="1" applyAlignment="1">
      <alignment horizontal="center"/>
    </xf>
    <xf numFmtId="0" fontId="143" fillId="0" borderId="63" xfId="0" applyFont="1" applyBorder="1"/>
    <xf numFmtId="0" fontId="137" fillId="0" borderId="63" xfId="0" applyFont="1" applyBorder="1"/>
    <xf numFmtId="0" fontId="142" fillId="0" borderId="63" xfId="0" applyFont="1" applyBorder="1"/>
    <xf numFmtId="0" fontId="144" fillId="0" borderId="63" xfId="0" applyFont="1" applyBorder="1"/>
    <xf numFmtId="0" fontId="144" fillId="0" borderId="6" xfId="0" applyFont="1" applyBorder="1"/>
    <xf numFmtId="0" fontId="137" fillId="0" borderId="6" xfId="0" applyFont="1" applyBorder="1"/>
    <xf numFmtId="2" fontId="20" fillId="0" borderId="2" xfId="0" applyNumberFormat="1" applyFont="1" applyBorder="1"/>
    <xf numFmtId="0" fontId="144" fillId="0" borderId="9" xfId="0" applyFont="1" applyBorder="1"/>
    <xf numFmtId="2" fontId="20" fillId="0" borderId="3" xfId="0" applyNumberFormat="1" applyFont="1" applyBorder="1"/>
    <xf numFmtId="0" fontId="137" fillId="0" borderId="2" xfId="0" applyFont="1" applyBorder="1"/>
    <xf numFmtId="0" fontId="144" fillId="0" borderId="2" xfId="0" applyFont="1" applyBorder="1"/>
    <xf numFmtId="0" fontId="144" fillId="0" borderId="3" xfId="0" applyFont="1" applyBorder="1"/>
    <xf numFmtId="0" fontId="137" fillId="0" borderId="7" xfId="0" applyFont="1" applyBorder="1"/>
    <xf numFmtId="0" fontId="144" fillId="0" borderId="7" xfId="0" applyFont="1" applyBorder="1"/>
    <xf numFmtId="0" fontId="144" fillId="0" borderId="8" xfId="0" applyFont="1" applyBorder="1"/>
    <xf numFmtId="0" fontId="0" fillId="0" borderId="51" xfId="0" applyBorder="1"/>
    <xf numFmtId="0" fontId="0" fillId="0" borderId="8" xfId="0" applyBorder="1"/>
    <xf numFmtId="0" fontId="17" fillId="0" borderId="1" xfId="0" applyFont="1" applyBorder="1"/>
    <xf numFmtId="0" fontId="20" fillId="0" borderId="1" xfId="0" applyFont="1" applyBorder="1"/>
    <xf numFmtId="0" fontId="29" fillId="19" borderId="0" xfId="0" applyFont="1" applyFill="1" applyAlignment="1">
      <alignment horizontal="right"/>
    </xf>
    <xf numFmtId="2" fontId="33" fillId="0" borderId="2" xfId="0" applyNumberFormat="1" applyFont="1" applyBorder="1" applyAlignment="1">
      <alignment vertical="center"/>
    </xf>
    <xf numFmtId="0" fontId="33" fillId="0" borderId="2" xfId="0" applyFont="1" applyBorder="1"/>
    <xf numFmtId="9" fontId="0" fillId="0" borderId="1" xfId="1" applyFont="1" applyBorder="1"/>
    <xf numFmtId="9" fontId="76" fillId="0" borderId="0" xfId="0" applyNumberFormat="1" applyFont="1"/>
    <xf numFmtId="9" fontId="76" fillId="0" borderId="1" xfId="0" applyNumberFormat="1" applyFont="1" applyBorder="1"/>
    <xf numFmtId="2" fontId="83" fillId="0" borderId="0" xfId="0" applyNumberFormat="1" applyFont="1"/>
    <xf numFmtId="0" fontId="32" fillId="0" borderId="0" xfId="0" applyFont="1" applyAlignment="1">
      <alignment horizontal="right"/>
    </xf>
    <xf numFmtId="2" fontId="11" fillId="0" borderId="6" xfId="0" applyNumberFormat="1" applyFont="1" applyBorder="1"/>
    <xf numFmtId="2" fontId="29" fillId="0" borderId="6" xfId="0" applyNumberFormat="1" applyFont="1" applyBorder="1"/>
    <xf numFmtId="165" fontId="0" fillId="0" borderId="0" xfId="0" applyNumberFormat="1"/>
    <xf numFmtId="0" fontId="0" fillId="0" borderId="1" xfId="0" applyBorder="1" applyAlignment="1">
      <alignment horizontal="center" vertical="center"/>
    </xf>
    <xf numFmtId="0" fontId="35" fillId="0" borderId="3" xfId="0" applyFont="1" applyBorder="1" applyAlignment="1">
      <alignment horizontal="right"/>
    </xf>
    <xf numFmtId="0" fontId="35" fillId="0" borderId="0" xfId="0" applyFont="1" applyAlignment="1">
      <alignment horizontal="right"/>
    </xf>
    <xf numFmtId="2" fontId="86" fillId="0" borderId="0" xfId="0" applyNumberFormat="1" applyFont="1"/>
    <xf numFmtId="0" fontId="0" fillId="3" borderId="65" xfId="0" applyFill="1" applyBorder="1" applyAlignment="1">
      <alignment vertical="top"/>
    </xf>
    <xf numFmtId="0" fontId="2" fillId="2" borderId="69" xfId="0" applyFont="1" applyFill="1" applyBorder="1"/>
    <xf numFmtId="0" fontId="2" fillId="4" borderId="69" xfId="0" applyFont="1" applyFill="1" applyBorder="1"/>
    <xf numFmtId="0" fontId="2" fillId="4" borderId="71" xfId="0" applyFont="1" applyFill="1" applyBorder="1"/>
    <xf numFmtId="0" fontId="2" fillId="4" borderId="72" xfId="0" applyFont="1" applyFill="1" applyBorder="1"/>
    <xf numFmtId="0" fontId="2" fillId="2" borderId="73" xfId="0" applyFont="1" applyFill="1" applyBorder="1"/>
    <xf numFmtId="0" fontId="2" fillId="2" borderId="65" xfId="0" applyFont="1" applyFill="1" applyBorder="1"/>
    <xf numFmtId="0" fontId="2" fillId="2" borderId="5" xfId="0" applyFont="1" applyFill="1" applyBorder="1"/>
    <xf numFmtId="0" fontId="2" fillId="2" borderId="75" xfId="0" applyFont="1" applyFill="1" applyBorder="1"/>
    <xf numFmtId="0" fontId="2" fillId="4" borderId="76" xfId="0" applyFont="1" applyFill="1" applyBorder="1"/>
    <xf numFmtId="0" fontId="2" fillId="2" borderId="77" xfId="0" applyFont="1" applyFill="1" applyBorder="1"/>
    <xf numFmtId="16" fontId="0" fillId="0" borderId="0" xfId="0" applyNumberFormat="1" applyAlignment="1">
      <alignment horizontal="right"/>
    </xf>
    <xf numFmtId="0" fontId="0" fillId="3" borderId="19" xfId="0" applyFill="1" applyBorder="1"/>
    <xf numFmtId="0" fontId="2" fillId="2" borderId="74" xfId="0" applyFont="1" applyFill="1" applyBorder="1"/>
    <xf numFmtId="0" fontId="0" fillId="3" borderId="26" xfId="0" applyFill="1" applyBorder="1"/>
    <xf numFmtId="0" fontId="0" fillId="0" borderId="79" xfId="0" applyBorder="1"/>
    <xf numFmtId="0" fontId="2" fillId="2" borderId="81" xfId="0" applyFont="1" applyFill="1" applyBorder="1"/>
    <xf numFmtId="0" fontId="1" fillId="0" borderId="80" xfId="0" applyFont="1" applyBorder="1"/>
    <xf numFmtId="0" fontId="2" fillId="2" borderId="82" xfId="0" applyFont="1" applyFill="1" applyBorder="1"/>
    <xf numFmtId="0" fontId="2" fillId="2" borderId="83" xfId="0" applyFont="1" applyFill="1" applyBorder="1"/>
    <xf numFmtId="0" fontId="2" fillId="0" borderId="27" xfId="0" applyFont="1" applyBorder="1"/>
    <xf numFmtId="0" fontId="2" fillId="22" borderId="84" xfId="0" applyFont="1" applyFill="1" applyBorder="1"/>
    <xf numFmtId="0" fontId="0" fillId="3" borderId="85" xfId="0" applyFill="1" applyBorder="1"/>
    <xf numFmtId="0" fontId="0" fillId="3" borderId="17" xfId="0" applyFill="1" applyBorder="1"/>
    <xf numFmtId="0" fontId="10" fillId="23" borderId="19" xfId="0" applyFont="1" applyFill="1" applyBorder="1"/>
    <xf numFmtId="0" fontId="1" fillId="0" borderId="86" xfId="0" applyFont="1" applyBorder="1"/>
    <xf numFmtId="0" fontId="2" fillId="2" borderId="87" xfId="0" applyFont="1" applyFill="1" applyBorder="1"/>
    <xf numFmtId="0" fontId="2" fillId="2" borderId="79" xfId="0" applyFont="1" applyFill="1" applyBorder="1"/>
    <xf numFmtId="0" fontId="2" fillId="2" borderId="88" xfId="0" applyFont="1" applyFill="1" applyBorder="1"/>
    <xf numFmtId="0" fontId="2" fillId="2" borderId="26" xfId="0" applyFont="1" applyFill="1" applyBorder="1"/>
    <xf numFmtId="0" fontId="0" fillId="3" borderId="73" xfId="0" applyFill="1" applyBorder="1"/>
    <xf numFmtId="0" fontId="2" fillId="2" borderId="72" xfId="0" applyFont="1" applyFill="1" applyBorder="1"/>
    <xf numFmtId="0" fontId="2" fillId="2" borderId="89" xfId="0" applyFont="1" applyFill="1" applyBorder="1"/>
    <xf numFmtId="0" fontId="2" fillId="2" borderId="90" xfId="0" applyFont="1" applyFill="1" applyBorder="1"/>
    <xf numFmtId="0" fontId="0" fillId="3" borderId="91" xfId="0" applyFill="1" applyBorder="1"/>
    <xf numFmtId="0" fontId="2" fillId="2" borderId="91" xfId="0" applyFont="1" applyFill="1" applyBorder="1"/>
    <xf numFmtId="0" fontId="0" fillId="3" borderId="88" xfId="0" applyFill="1" applyBorder="1"/>
    <xf numFmtId="0" fontId="2" fillId="2" borderId="92" xfId="0" applyFont="1" applyFill="1" applyBorder="1"/>
    <xf numFmtId="0" fontId="0" fillId="0" borderId="93" xfId="0" applyBorder="1"/>
    <xf numFmtId="0" fontId="0" fillId="3" borderId="94" xfId="0" applyFill="1" applyBorder="1"/>
    <xf numFmtId="0" fontId="2" fillId="0" borderId="79" xfId="0" applyFont="1" applyBorder="1"/>
    <xf numFmtId="0" fontId="2" fillId="22" borderId="17" xfId="0" applyFont="1" applyFill="1" applyBorder="1"/>
    <xf numFmtId="0" fontId="2" fillId="2" borderId="95" xfId="0" applyFont="1" applyFill="1" applyBorder="1"/>
    <xf numFmtId="0" fontId="2" fillId="2" borderId="96" xfId="0" applyFont="1" applyFill="1" applyBorder="1"/>
    <xf numFmtId="0" fontId="2" fillId="4" borderId="77" xfId="0" applyFont="1" applyFill="1" applyBorder="1"/>
    <xf numFmtId="0" fontId="2" fillId="2" borderId="76" xfId="0" applyFont="1" applyFill="1" applyBorder="1"/>
    <xf numFmtId="0" fontId="2" fillId="2" borderId="98" xfId="0" applyFont="1" applyFill="1" applyBorder="1"/>
    <xf numFmtId="0" fontId="2" fillId="4" borderId="99" xfId="0" applyFont="1" applyFill="1" applyBorder="1"/>
    <xf numFmtId="0" fontId="2" fillId="2" borderId="100" xfId="0" applyFont="1" applyFill="1" applyBorder="1"/>
    <xf numFmtId="0" fontId="0" fillId="15" borderId="70" xfId="0" applyFill="1" applyBorder="1"/>
    <xf numFmtId="0" fontId="0" fillId="3" borderId="70" xfId="0" applyFill="1" applyBorder="1"/>
    <xf numFmtId="0" fontId="0" fillId="3" borderId="101" xfId="0" applyFill="1" applyBorder="1"/>
    <xf numFmtId="0" fontId="0" fillId="15" borderId="71" xfId="0" applyFill="1" applyBorder="1"/>
    <xf numFmtId="0" fontId="0" fillId="3" borderId="69" xfId="0" applyFill="1" applyBorder="1"/>
    <xf numFmtId="0" fontId="2" fillId="2" borderId="97" xfId="0" applyFont="1" applyFill="1" applyBorder="1"/>
    <xf numFmtId="0" fontId="2" fillId="4" borderId="101" xfId="0" applyFont="1" applyFill="1" applyBorder="1"/>
    <xf numFmtId="0" fontId="2" fillId="4" borderId="103" xfId="0" applyFont="1" applyFill="1" applyBorder="1"/>
    <xf numFmtId="0" fontId="2" fillId="2" borderId="104" xfId="0" applyFont="1" applyFill="1" applyBorder="1"/>
    <xf numFmtId="0" fontId="0" fillId="15" borderId="69" xfId="0" applyFill="1" applyBorder="1"/>
    <xf numFmtId="0" fontId="2" fillId="0" borderId="0" xfId="0" applyFont="1" applyAlignment="1">
      <alignment horizontal="right"/>
    </xf>
    <xf numFmtId="0" fontId="10" fillId="0" borderId="0" xfId="0" applyFont="1" applyAlignment="1">
      <alignment horizontal="right"/>
    </xf>
    <xf numFmtId="0" fontId="20" fillId="0" borderId="104" xfId="0" applyFont="1" applyBorder="1" applyAlignment="1">
      <alignment horizontal="left"/>
    </xf>
    <xf numFmtId="0" fontId="20" fillId="0" borderId="106" xfId="0" applyFont="1" applyBorder="1" applyAlignment="1">
      <alignment horizontal="left"/>
    </xf>
    <xf numFmtId="0" fontId="0" fillId="0" borderId="105" xfId="0" applyBorder="1"/>
    <xf numFmtId="0" fontId="20" fillId="0" borderId="103" xfId="0" applyFont="1" applyBorder="1" applyAlignment="1">
      <alignment horizontal="right"/>
    </xf>
    <xf numFmtId="0" fontId="20" fillId="0" borderId="104" xfId="0" applyFont="1" applyBorder="1" applyAlignment="1">
      <alignment horizontal="right"/>
    </xf>
    <xf numFmtId="0" fontId="76" fillId="0" borderId="105" xfId="0" applyFont="1" applyBorder="1"/>
    <xf numFmtId="0" fontId="0" fillId="0" borderId="102" xfId="0" applyBorder="1"/>
    <xf numFmtId="165" fontId="0" fillId="0" borderId="102" xfId="0" applyNumberFormat="1" applyBorder="1"/>
    <xf numFmtId="0" fontId="34" fillId="0" borderId="103" xfId="0" applyFont="1" applyBorder="1" applyAlignment="1">
      <alignment horizontal="right"/>
    </xf>
    <xf numFmtId="2" fontId="0" fillId="0" borderId="0" xfId="0" applyNumberFormat="1" applyAlignment="1">
      <alignment horizontal="left"/>
    </xf>
    <xf numFmtId="0" fontId="34" fillId="0" borderId="104" xfId="0" applyFont="1" applyBorder="1" applyAlignment="1">
      <alignment horizontal="right"/>
    </xf>
    <xf numFmtId="0" fontId="0" fillId="0" borderId="104" xfId="0" applyBorder="1" applyAlignment="1">
      <alignment horizontal="left"/>
    </xf>
    <xf numFmtId="2" fontId="0" fillId="0" borderId="102" xfId="0" applyNumberFormat="1" applyBorder="1" applyAlignment="1">
      <alignment horizontal="left"/>
    </xf>
    <xf numFmtId="0" fontId="154" fillId="0" borderId="0" xfId="0" applyFont="1"/>
    <xf numFmtId="0" fontId="10" fillId="52" borderId="0" xfId="0" applyFont="1" applyFill="1"/>
    <xf numFmtId="0" fontId="139" fillId="0" borderId="105" xfId="0" applyFont="1" applyBorder="1"/>
    <xf numFmtId="0" fontId="0" fillId="0" borderId="78" xfId="0" applyBorder="1"/>
    <xf numFmtId="0" fontId="34" fillId="0" borderId="107" xfId="0" applyFont="1" applyBorder="1" applyAlignment="1">
      <alignment horizontal="right"/>
    </xf>
    <xf numFmtId="0" fontId="0" fillId="0" borderId="67" xfId="0" applyBorder="1"/>
    <xf numFmtId="0" fontId="0" fillId="0" borderId="109" xfId="0" applyBorder="1"/>
    <xf numFmtId="1" fontId="0" fillId="0" borderId="108" xfId="0" applyNumberFormat="1" applyBorder="1" applyAlignment="1">
      <alignment horizontal="left"/>
    </xf>
    <xf numFmtId="0" fontId="20" fillId="0" borderId="111" xfId="0" applyFont="1" applyBorder="1" applyAlignment="1">
      <alignment horizontal="right"/>
    </xf>
    <xf numFmtId="0" fontId="34" fillId="0" borderId="110" xfId="0" applyFont="1" applyBorder="1" applyAlignment="1">
      <alignment horizontal="right"/>
    </xf>
    <xf numFmtId="0" fontId="6" fillId="0" borderId="0" xfId="0" applyFont="1" applyAlignment="1">
      <alignment horizontal="left"/>
    </xf>
    <xf numFmtId="0" fontId="29" fillId="0" borderId="0" xfId="1" applyNumberFormat="1" applyFont="1"/>
    <xf numFmtId="0" fontId="14" fillId="0" borderId="0" xfId="1" applyNumberFormat="1" applyFont="1"/>
    <xf numFmtId="0" fontId="29" fillId="0" borderId="0" xfId="1" applyNumberFormat="1" applyFont="1" applyBorder="1"/>
    <xf numFmtId="0" fontId="14" fillId="0" borderId="0" xfId="1" applyNumberFormat="1" applyFont="1" applyBorder="1"/>
    <xf numFmtId="0" fontId="14" fillId="0" borderId="0" xfId="1" applyNumberFormat="1" applyFont="1" applyAlignment="1">
      <alignment horizontal="right"/>
    </xf>
    <xf numFmtId="9" fontId="14" fillId="0" borderId="113" xfId="1" applyFont="1" applyBorder="1"/>
    <xf numFmtId="9" fontId="14" fillId="0" borderId="112" xfId="1" applyFont="1" applyBorder="1"/>
    <xf numFmtId="9" fontId="14" fillId="0" borderId="109" xfId="1" applyFont="1" applyBorder="1" applyAlignment="1">
      <alignment wrapText="1"/>
    </xf>
    <xf numFmtId="2" fontId="14" fillId="0" borderId="67" xfId="1" applyNumberFormat="1" applyFont="1" applyBorder="1" applyAlignment="1">
      <alignment horizontal="left"/>
    </xf>
    <xf numFmtId="9" fontId="15" fillId="0" borderId="78" xfId="1" applyFont="1" applyBorder="1" applyAlignment="1">
      <alignment horizontal="right"/>
    </xf>
    <xf numFmtId="9" fontId="15" fillId="0" borderId="78" xfId="0" applyNumberFormat="1" applyFont="1" applyBorder="1" applyAlignment="1">
      <alignment horizontal="right"/>
    </xf>
    <xf numFmtId="1" fontId="14" fillId="0" borderId="0" xfId="1" applyNumberFormat="1" applyFont="1" applyAlignment="1">
      <alignment horizontal="left"/>
    </xf>
    <xf numFmtId="1" fontId="0" fillId="0" borderId="0" xfId="0" applyNumberFormat="1" applyAlignment="1">
      <alignment horizontal="left"/>
    </xf>
    <xf numFmtId="9" fontId="14" fillId="0" borderId="0" xfId="1" applyFont="1" applyBorder="1"/>
    <xf numFmtId="0" fontId="14" fillId="0" borderId="0" xfId="1" applyNumberFormat="1" applyFont="1" applyAlignment="1">
      <alignment horizontal="right" vertical="center"/>
    </xf>
    <xf numFmtId="0" fontId="75" fillId="0" borderId="109" xfId="0" applyFont="1" applyBorder="1" applyAlignment="1">
      <alignment horizontal="left"/>
    </xf>
    <xf numFmtId="0" fontId="20" fillId="0" borderId="114" xfId="0" applyFont="1" applyBorder="1" applyAlignment="1">
      <alignment horizontal="right"/>
    </xf>
    <xf numFmtId="0" fontId="11" fillId="0" borderId="68" xfId="0" applyFont="1" applyBorder="1"/>
    <xf numFmtId="0" fontId="14" fillId="0" borderId="114" xfId="1" applyNumberFormat="1" applyFont="1" applyBorder="1"/>
    <xf numFmtId="0" fontId="14" fillId="0" borderId="68" xfId="1" applyNumberFormat="1" applyFont="1" applyBorder="1"/>
    <xf numFmtId="9" fontId="14" fillId="0" borderId="68" xfId="1" applyFont="1" applyBorder="1"/>
    <xf numFmtId="0" fontId="20" fillId="0" borderId="109" xfId="0" applyFont="1" applyBorder="1" applyAlignment="1">
      <alignment horizontal="right" vertical="center"/>
    </xf>
    <xf numFmtId="0" fontId="14" fillId="0" borderId="109" xfId="1" applyNumberFormat="1" applyFont="1" applyBorder="1" applyAlignment="1">
      <alignment horizontal="right" vertical="center"/>
    </xf>
    <xf numFmtId="0" fontId="20" fillId="0" borderId="109" xfId="0" applyFont="1" applyBorder="1" applyAlignment="1">
      <alignment horizontal="right"/>
    </xf>
    <xf numFmtId="0" fontId="14" fillId="0" borderId="109" xfId="1" applyNumberFormat="1" applyFont="1" applyBorder="1"/>
    <xf numFmtId="0" fontId="35" fillId="0" borderId="64" xfId="0" applyFont="1" applyBorder="1" applyAlignment="1">
      <alignment horizontal="right"/>
    </xf>
    <xf numFmtId="0" fontId="14" fillId="0" borderId="0" xfId="1" applyNumberFormat="1" applyFont="1" applyAlignment="1">
      <alignment horizontal="left"/>
    </xf>
    <xf numFmtId="0" fontId="15" fillId="0" borderId="105" xfId="0" applyFont="1" applyBorder="1"/>
    <xf numFmtId="0" fontId="15" fillId="20" borderId="122" xfId="0" applyFont="1" applyFill="1" applyBorder="1" applyAlignment="1">
      <alignment horizontal="left"/>
    </xf>
    <xf numFmtId="0" fontId="15" fillId="18" borderId="122" xfId="0" applyFont="1" applyFill="1" applyBorder="1" applyAlignment="1">
      <alignment horizontal="left"/>
    </xf>
    <xf numFmtId="0" fontId="34" fillId="29" borderId="122" xfId="0" applyFont="1" applyFill="1" applyBorder="1" applyAlignment="1">
      <alignment horizontal="left"/>
    </xf>
    <xf numFmtId="0" fontId="114" fillId="13" borderId="122" xfId="0" applyFont="1" applyFill="1" applyBorder="1" applyAlignment="1">
      <alignment horizontal="left"/>
    </xf>
    <xf numFmtId="0" fontId="34" fillId="29" borderId="56" xfId="0" applyFont="1" applyFill="1" applyBorder="1" applyAlignment="1">
      <alignment horizontal="left"/>
    </xf>
    <xf numFmtId="0" fontId="114" fillId="47" borderId="123" xfId="0" applyFont="1" applyFill="1" applyBorder="1" applyAlignment="1">
      <alignment horizontal="left"/>
    </xf>
    <xf numFmtId="0" fontId="114" fillId="48" borderId="0" xfId="0" applyFont="1" applyFill="1" applyAlignment="1">
      <alignment horizontal="left"/>
    </xf>
    <xf numFmtId="0" fontId="75" fillId="0" borderId="0" xfId="0" applyFont="1" applyAlignment="1">
      <alignment horizontal="left"/>
    </xf>
    <xf numFmtId="0" fontId="0" fillId="4" borderId="78" xfId="0" applyFill="1" applyBorder="1"/>
    <xf numFmtId="0" fontId="114" fillId="16" borderId="122" xfId="0" applyFont="1" applyFill="1" applyBorder="1" applyAlignment="1">
      <alignment horizontal="left"/>
    </xf>
    <xf numFmtId="0" fontId="15" fillId="8" borderId="122" xfId="0" applyFont="1" applyFill="1" applyBorder="1" applyAlignment="1">
      <alignment horizontal="left"/>
    </xf>
    <xf numFmtId="0" fontId="114" fillId="40" borderId="122" xfId="0" applyFont="1" applyFill="1" applyBorder="1" applyAlignment="1">
      <alignment horizontal="left"/>
    </xf>
    <xf numFmtId="0" fontId="114" fillId="37" borderId="128" xfId="0" applyFont="1" applyFill="1" applyBorder="1"/>
    <xf numFmtId="0" fontId="114" fillId="7" borderId="122" xfId="0" applyFont="1" applyFill="1" applyBorder="1" applyAlignment="1">
      <alignment horizontal="left"/>
    </xf>
    <xf numFmtId="0" fontId="15" fillId="28" borderId="122" xfId="0" applyFont="1" applyFill="1" applyBorder="1" applyAlignment="1">
      <alignment horizontal="left"/>
    </xf>
    <xf numFmtId="0" fontId="34" fillId="42" borderId="122" xfId="0" applyFont="1" applyFill="1" applyBorder="1" applyAlignment="1">
      <alignment horizontal="left"/>
    </xf>
    <xf numFmtId="0" fontId="114" fillId="12" borderId="122" xfId="0" applyFont="1" applyFill="1" applyBorder="1" applyAlignment="1">
      <alignment horizontal="left"/>
    </xf>
    <xf numFmtId="0" fontId="15" fillId="50" borderId="122" xfId="0" applyFont="1" applyFill="1" applyBorder="1" applyAlignment="1">
      <alignment horizontal="left"/>
    </xf>
    <xf numFmtId="0" fontId="114" fillId="41" borderId="122" xfId="0" applyFont="1" applyFill="1" applyBorder="1" applyAlignment="1">
      <alignment horizontal="left"/>
    </xf>
    <xf numFmtId="0" fontId="114" fillId="4" borderId="122" xfId="0" applyFont="1" applyFill="1" applyBorder="1" applyAlignment="1">
      <alignment horizontal="left"/>
    </xf>
    <xf numFmtId="0" fontId="75" fillId="39" borderId="122" xfId="0" applyFont="1" applyFill="1" applyBorder="1" applyAlignment="1">
      <alignment horizontal="left"/>
    </xf>
    <xf numFmtId="0" fontId="114" fillId="44" borderId="122" xfId="0" applyFont="1" applyFill="1" applyBorder="1" applyAlignment="1">
      <alignment horizontal="left"/>
    </xf>
    <xf numFmtId="0" fontId="15" fillId="17" borderId="122" xfId="0" applyFont="1" applyFill="1" applyBorder="1" applyAlignment="1">
      <alignment horizontal="left"/>
    </xf>
    <xf numFmtId="0" fontId="15" fillId="38" borderId="122" xfId="0" applyFont="1" applyFill="1" applyBorder="1" applyAlignment="1">
      <alignment horizontal="left"/>
    </xf>
    <xf numFmtId="0" fontId="114" fillId="46" borderId="122" xfId="0" applyFont="1" applyFill="1" applyBorder="1" applyAlignment="1">
      <alignment horizontal="left"/>
    </xf>
    <xf numFmtId="0" fontId="15" fillId="45" borderId="122" xfId="0" applyFont="1" applyFill="1" applyBorder="1" applyAlignment="1">
      <alignment horizontal="left"/>
    </xf>
    <xf numFmtId="0" fontId="114" fillId="47" borderId="122" xfId="0" applyFont="1" applyFill="1" applyBorder="1" applyAlignment="1">
      <alignment horizontal="left"/>
    </xf>
    <xf numFmtId="0" fontId="15" fillId="15" borderId="122" xfId="0" applyFont="1" applyFill="1" applyBorder="1" applyAlignment="1">
      <alignment horizontal="left"/>
    </xf>
    <xf numFmtId="0" fontId="114" fillId="9" borderId="122" xfId="0" applyFont="1" applyFill="1" applyBorder="1" applyAlignment="1">
      <alignment horizontal="left"/>
    </xf>
    <xf numFmtId="0" fontId="114" fillId="48" borderId="122" xfId="0" applyFont="1" applyFill="1" applyBorder="1" applyAlignment="1">
      <alignment horizontal="left"/>
    </xf>
    <xf numFmtId="0" fontId="15" fillId="3" borderId="122" xfId="0" applyFont="1" applyFill="1" applyBorder="1" applyAlignment="1">
      <alignment horizontal="left"/>
    </xf>
    <xf numFmtId="0" fontId="15" fillId="43" borderId="122" xfId="0" applyFont="1" applyFill="1" applyBorder="1" applyAlignment="1">
      <alignment horizontal="left"/>
    </xf>
    <xf numFmtId="0" fontId="15" fillId="11" borderId="56" xfId="0" applyFont="1" applyFill="1" applyBorder="1" applyAlignment="1">
      <alignment horizontal="left"/>
    </xf>
    <xf numFmtId="0" fontId="155" fillId="0" borderId="0" xfId="0" applyFont="1"/>
    <xf numFmtId="0" fontId="15" fillId="4" borderId="66" xfId="0" applyFont="1" applyFill="1" applyBorder="1" applyAlignment="1">
      <alignment horizontal="center"/>
    </xf>
    <xf numFmtId="0" fontId="15" fillId="0" borderId="66" xfId="0" applyFont="1" applyBorder="1"/>
    <xf numFmtId="9" fontId="156" fillId="0" borderId="0" xfId="1" applyFont="1" applyFill="1" applyBorder="1"/>
    <xf numFmtId="9" fontId="39" fillId="0" borderId="0" xfId="0" applyNumberFormat="1" applyFont="1"/>
    <xf numFmtId="9" fontId="157" fillId="0" borderId="0" xfId="0" applyNumberFormat="1" applyFont="1"/>
    <xf numFmtId="9" fontId="41" fillId="0" borderId="0" xfId="0" applyNumberFormat="1" applyFont="1"/>
    <xf numFmtId="9" fontId="158" fillId="0" borderId="0" xfId="0" applyNumberFormat="1" applyFont="1"/>
    <xf numFmtId="9" fontId="29" fillId="0" borderId="0" xfId="0" applyNumberFormat="1" applyFont="1"/>
    <xf numFmtId="9" fontId="159" fillId="0" borderId="0" xfId="0" applyNumberFormat="1" applyFont="1"/>
    <xf numFmtId="9" fontId="160" fillId="0" borderId="0" xfId="0" applyNumberFormat="1" applyFont="1"/>
    <xf numFmtId="9" fontId="161" fillId="0" borderId="0" xfId="0" applyNumberFormat="1" applyFont="1"/>
    <xf numFmtId="9" fontId="162" fillId="0" borderId="0" xfId="0" applyNumberFormat="1" applyFont="1"/>
    <xf numFmtId="9" fontId="163" fillId="0" borderId="0" xfId="0" applyNumberFormat="1" applyFont="1"/>
    <xf numFmtId="9" fontId="85" fillId="0" borderId="0" xfId="0" applyNumberFormat="1" applyFont="1"/>
    <xf numFmtId="9" fontId="164" fillId="0" borderId="0" xfId="0" applyNumberFormat="1" applyFont="1"/>
    <xf numFmtId="9" fontId="165" fillId="0" borderId="0" xfId="0" applyNumberFormat="1" applyFont="1"/>
    <xf numFmtId="9" fontId="166" fillId="0" borderId="0" xfId="0" applyNumberFormat="1" applyFont="1"/>
    <xf numFmtId="9" fontId="167" fillId="0" borderId="0" xfId="0" applyNumberFormat="1" applyFont="1"/>
    <xf numFmtId="9" fontId="168" fillId="0" borderId="0" xfId="0" applyNumberFormat="1" applyFont="1"/>
    <xf numFmtId="9" fontId="169" fillId="0" borderId="0" xfId="0" applyNumberFormat="1" applyFont="1"/>
    <xf numFmtId="9" fontId="170" fillId="0" borderId="0" xfId="0" applyNumberFormat="1" applyFont="1"/>
    <xf numFmtId="9" fontId="171" fillId="0" borderId="0" xfId="0" applyNumberFormat="1" applyFont="1"/>
    <xf numFmtId="9" fontId="172" fillId="0" borderId="0" xfId="0" applyNumberFormat="1" applyFont="1"/>
    <xf numFmtId="9" fontId="173" fillId="0" borderId="0" xfId="0" applyNumberFormat="1" applyFont="1"/>
    <xf numFmtId="9" fontId="174" fillId="0" borderId="0" xfId="0" applyNumberFormat="1" applyFont="1"/>
    <xf numFmtId="0" fontId="15" fillId="4" borderId="109" xfId="0" applyFont="1" applyFill="1" applyBorder="1" applyAlignment="1">
      <alignment horizontal="center"/>
    </xf>
    <xf numFmtId="0" fontId="114" fillId="16" borderId="3" xfId="0" applyFont="1" applyFill="1" applyBorder="1" applyAlignment="1">
      <alignment horizontal="left"/>
    </xf>
    <xf numFmtId="0" fontId="2" fillId="46" borderId="0" xfId="0" applyFont="1" applyFill="1" applyAlignment="1">
      <alignment horizontal="left"/>
    </xf>
    <xf numFmtId="0" fontId="21" fillId="39" borderId="0" xfId="0" applyFont="1" applyFill="1" applyAlignment="1">
      <alignment horizontal="left"/>
    </xf>
    <xf numFmtId="0" fontId="9" fillId="0" borderId="0" xfId="0" applyFont="1" applyAlignment="1">
      <alignment horizontal="left"/>
    </xf>
    <xf numFmtId="0" fontId="2" fillId="47" borderId="0" xfId="0" applyFont="1" applyFill="1" applyAlignment="1">
      <alignment horizontal="left"/>
    </xf>
    <xf numFmtId="0" fontId="20" fillId="42" borderId="0" xfId="0" applyFont="1" applyFill="1" applyAlignment="1">
      <alignment horizontal="left"/>
    </xf>
    <xf numFmtId="0" fontId="20" fillId="29" borderId="0" xfId="0" applyFont="1" applyFill="1" applyAlignment="1">
      <alignment horizontal="left"/>
    </xf>
    <xf numFmtId="0" fontId="2" fillId="48" borderId="0" xfId="0" applyFont="1" applyFill="1" applyAlignment="1">
      <alignment horizontal="left"/>
    </xf>
    <xf numFmtId="0" fontId="0" fillId="43" borderId="0" xfId="0" applyFill="1" applyAlignment="1">
      <alignment horizontal="left"/>
    </xf>
    <xf numFmtId="0" fontId="2" fillId="7" borderId="0" xfId="0" applyFont="1" applyFill="1" applyAlignment="1">
      <alignment horizontal="left"/>
    </xf>
    <xf numFmtId="0" fontId="0" fillId="20" borderId="0" xfId="0" applyFill="1" applyAlignment="1">
      <alignment horizontal="left"/>
    </xf>
    <xf numFmtId="0" fontId="2" fillId="7" borderId="15" xfId="0" applyFont="1" applyFill="1" applyBorder="1" applyAlignment="1">
      <alignment horizontal="left"/>
    </xf>
    <xf numFmtId="0" fontId="0" fillId="3" borderId="0" xfId="0" applyFill="1" applyAlignment="1">
      <alignment horizontal="left"/>
    </xf>
    <xf numFmtId="0" fontId="2" fillId="16" borderId="0" xfId="0" applyFont="1" applyFill="1" applyAlignment="1">
      <alignment horizontal="left"/>
    </xf>
    <xf numFmtId="0" fontId="2" fillId="4" borderId="0" xfId="0" applyFont="1" applyFill="1" applyAlignment="1">
      <alignment horizontal="left"/>
    </xf>
    <xf numFmtId="0" fontId="10" fillId="69" borderId="0" xfId="0" applyFont="1" applyFill="1"/>
    <xf numFmtId="0" fontId="0" fillId="38" borderId="0" xfId="0" applyFill="1" applyAlignment="1">
      <alignment horizontal="left"/>
    </xf>
    <xf numFmtId="0" fontId="2" fillId="7" borderId="47" xfId="0" applyFont="1" applyFill="1" applyBorder="1" applyAlignment="1">
      <alignment horizontal="left"/>
    </xf>
    <xf numFmtId="0" fontId="114" fillId="46" borderId="0" xfId="0" applyFont="1" applyFill="1" applyAlignment="1">
      <alignment horizontal="left"/>
    </xf>
    <xf numFmtId="0" fontId="15" fillId="0" borderId="133" xfId="0" applyFont="1" applyBorder="1"/>
    <xf numFmtId="0" fontId="2" fillId="41" borderId="0" xfId="0" applyFont="1" applyFill="1" applyAlignment="1">
      <alignment horizontal="left"/>
    </xf>
    <xf numFmtId="0" fontId="21" fillId="39" borderId="129" xfId="0" applyFont="1" applyFill="1" applyBorder="1" applyAlignment="1">
      <alignment horizontal="left"/>
    </xf>
    <xf numFmtId="0" fontId="2" fillId="37" borderId="44" xfId="0" applyFont="1" applyFill="1" applyBorder="1"/>
    <xf numFmtId="0" fontId="0" fillId="8" borderId="0" xfId="0" applyFill="1" applyAlignment="1">
      <alignment horizontal="left"/>
    </xf>
    <xf numFmtId="0" fontId="21" fillId="0" borderId="0" xfId="0" applyFont="1" applyAlignment="1">
      <alignment horizontal="left"/>
    </xf>
    <xf numFmtId="0" fontId="2" fillId="40" borderId="0" xfId="0" applyFont="1" applyFill="1" applyAlignment="1">
      <alignment horizontal="left"/>
    </xf>
    <xf numFmtId="0" fontId="0" fillId="17" borderId="0" xfId="0" applyFill="1" applyAlignment="1">
      <alignment horizontal="left"/>
    </xf>
    <xf numFmtId="0" fontId="0" fillId="15" borderId="0" xfId="0" applyFill="1" applyAlignment="1">
      <alignment horizontal="left"/>
    </xf>
    <xf numFmtId="0" fontId="0" fillId="18" borderId="0" xfId="0" applyFill="1" applyAlignment="1">
      <alignment horizontal="left"/>
    </xf>
    <xf numFmtId="0" fontId="0" fillId="45" borderId="0" xfId="0" applyFill="1" applyAlignment="1">
      <alignment horizontal="left"/>
    </xf>
    <xf numFmtId="0" fontId="2" fillId="13" borderId="0" xfId="0" applyFont="1" applyFill="1" applyAlignment="1">
      <alignment horizontal="left"/>
    </xf>
    <xf numFmtId="0" fontId="0" fillId="0" borderId="130" xfId="0" applyBorder="1"/>
    <xf numFmtId="0" fontId="0" fillId="0" borderId="130" xfId="0" applyBorder="1" applyAlignment="1">
      <alignment horizontal="left"/>
    </xf>
    <xf numFmtId="0" fontId="0" fillId="0" borderId="0" xfId="0" applyAlignment="1">
      <alignment horizontal="center" wrapText="1"/>
    </xf>
    <xf numFmtId="0" fontId="0" fillId="0" borderId="132" xfId="0" applyBorder="1"/>
    <xf numFmtId="0" fontId="0" fillId="0" borderId="131" xfId="0" applyBorder="1"/>
    <xf numFmtId="0" fontId="2" fillId="0" borderId="0" xfId="0" applyFont="1" applyAlignment="1">
      <alignment horizontal="left"/>
    </xf>
    <xf numFmtId="0" fontId="0" fillId="50" borderId="0" xfId="0" applyFill="1" applyAlignment="1">
      <alignment horizontal="left"/>
    </xf>
    <xf numFmtId="0" fontId="2" fillId="12" borderId="0" xfId="0" applyFont="1" applyFill="1" applyAlignment="1">
      <alignment horizontal="left"/>
    </xf>
    <xf numFmtId="0" fontId="2" fillId="9" borderId="0" xfId="0" applyFont="1" applyFill="1" applyAlignment="1">
      <alignment horizontal="left"/>
    </xf>
    <xf numFmtId="0" fontId="2" fillId="13" borderId="51" xfId="0" applyFont="1" applyFill="1" applyBorder="1" applyAlignment="1">
      <alignment horizontal="left"/>
    </xf>
    <xf numFmtId="0" fontId="0" fillId="0" borderId="39" xfId="0" applyBorder="1"/>
    <xf numFmtId="0" fontId="0" fillId="0" borderId="43" xfId="0" applyBorder="1"/>
    <xf numFmtId="0" fontId="0" fillId="20" borderId="40" xfId="0" applyFill="1" applyBorder="1"/>
    <xf numFmtId="0" fontId="0" fillId="0" borderId="40" xfId="0" applyBorder="1"/>
    <xf numFmtId="0" fontId="2" fillId="37" borderId="40" xfId="0" applyFont="1" applyFill="1" applyBorder="1"/>
    <xf numFmtId="0" fontId="0" fillId="18" borderId="42" xfId="0" applyFill="1" applyBorder="1" applyAlignment="1">
      <alignment horizontal="left"/>
    </xf>
    <xf numFmtId="0" fontId="2" fillId="40" borderId="42" xfId="0" applyFont="1" applyFill="1" applyBorder="1" applyAlignment="1">
      <alignment horizontal="left"/>
    </xf>
    <xf numFmtId="0" fontId="20" fillId="42" borderId="41" xfId="0" applyFont="1" applyFill="1" applyBorder="1" applyAlignment="1">
      <alignment horizontal="left"/>
    </xf>
    <xf numFmtId="0" fontId="2" fillId="44" borderId="129" xfId="0" applyFont="1" applyFill="1" applyBorder="1" applyAlignment="1">
      <alignment horizontal="left"/>
    </xf>
    <xf numFmtId="0" fontId="0" fillId="0" borderId="114" xfId="0" applyBorder="1"/>
    <xf numFmtId="0" fontId="0" fillId="0" borderId="126" xfId="0" applyBorder="1"/>
    <xf numFmtId="0" fontId="0" fillId="0" borderId="125" xfId="0" applyBorder="1"/>
    <xf numFmtId="0" fontId="2" fillId="4" borderId="42" xfId="0" applyFont="1" applyFill="1" applyBorder="1" applyAlignment="1">
      <alignment horizontal="left"/>
    </xf>
    <xf numFmtId="0" fontId="2" fillId="13" borderId="41" xfId="0" applyFont="1" applyFill="1" applyBorder="1" applyAlignment="1">
      <alignment horizontal="left"/>
    </xf>
    <xf numFmtId="0" fontId="2" fillId="44" borderId="0" xfId="0" applyFont="1" applyFill="1" applyAlignment="1">
      <alignment horizontal="left"/>
    </xf>
    <xf numFmtId="0" fontId="2" fillId="4" borderId="44" xfId="0" applyFont="1" applyFill="1" applyBorder="1" applyAlignment="1">
      <alignment horizontal="left"/>
    </xf>
    <xf numFmtId="0" fontId="2" fillId="41" borderId="45" xfId="0" applyFont="1" applyFill="1" applyBorder="1" applyAlignment="1">
      <alignment horizontal="left"/>
    </xf>
    <xf numFmtId="0" fontId="0" fillId="15" borderId="44" xfId="0" applyFill="1" applyBorder="1" applyAlignment="1">
      <alignment horizontal="left"/>
    </xf>
    <xf numFmtId="0" fontId="0" fillId="20" borderId="44" xfId="0" applyFill="1" applyBorder="1"/>
    <xf numFmtId="0" fontId="2" fillId="16" borderId="46" xfId="0" applyFont="1" applyFill="1" applyBorder="1" applyAlignment="1">
      <alignment horizontal="left"/>
    </xf>
    <xf numFmtId="0" fontId="0" fillId="38" borderId="46" xfId="0" applyFill="1" applyBorder="1" applyAlignment="1">
      <alignment horizontal="left"/>
    </xf>
    <xf numFmtId="0" fontId="0" fillId="0" borderId="44" xfId="0" applyBorder="1"/>
    <xf numFmtId="0" fontId="0" fillId="28" borderId="46" xfId="0" applyFill="1" applyBorder="1" applyAlignment="1">
      <alignment horizontal="left"/>
    </xf>
    <xf numFmtId="0" fontId="0" fillId="8" borderId="44" xfId="0" applyFill="1" applyBorder="1" applyAlignment="1">
      <alignment horizontal="left"/>
    </xf>
    <xf numFmtId="0" fontId="0" fillId="17" borderId="44" xfId="0" applyFill="1" applyBorder="1" applyAlignment="1">
      <alignment horizontal="left"/>
    </xf>
    <xf numFmtId="0" fontId="2" fillId="13" borderId="45" xfId="0" applyFont="1" applyFill="1" applyBorder="1" applyAlignment="1">
      <alignment horizontal="left"/>
    </xf>
    <xf numFmtId="0" fontId="20" fillId="42" borderId="46" xfId="0" applyFont="1" applyFill="1" applyBorder="1" applyAlignment="1">
      <alignment horizontal="left"/>
    </xf>
    <xf numFmtId="0" fontId="2" fillId="40" borderId="44" xfId="0" applyFont="1" applyFill="1" applyBorder="1" applyAlignment="1">
      <alignment horizontal="left"/>
    </xf>
    <xf numFmtId="0" fontId="2" fillId="7" borderId="121" xfId="0" applyFont="1" applyFill="1" applyBorder="1" applyAlignment="1">
      <alignment horizontal="left"/>
    </xf>
    <xf numFmtId="0" fontId="2" fillId="37" borderId="131" xfId="0" applyFont="1" applyFill="1" applyBorder="1"/>
    <xf numFmtId="0" fontId="0" fillId="18" borderId="44" xfId="0" applyFill="1" applyBorder="1" applyAlignment="1">
      <alignment horizontal="left"/>
    </xf>
    <xf numFmtId="0" fontId="2" fillId="47" borderId="119" xfId="0" applyFont="1" applyFill="1" applyBorder="1" applyAlignment="1">
      <alignment horizontal="left"/>
    </xf>
    <xf numFmtId="0" fontId="0" fillId="0" borderId="127" xfId="0" applyBorder="1"/>
    <xf numFmtId="0" fontId="0" fillId="0" borderId="52" xfId="0" applyBorder="1"/>
    <xf numFmtId="0" fontId="2" fillId="37" borderId="52" xfId="0" applyFont="1" applyFill="1" applyBorder="1"/>
    <xf numFmtId="0" fontId="0" fillId="20" borderId="52" xfId="0" applyFill="1" applyBorder="1"/>
    <xf numFmtId="0" fontId="2" fillId="4" borderId="52" xfId="0" applyFont="1" applyFill="1" applyBorder="1" applyAlignment="1">
      <alignment horizontal="left"/>
    </xf>
    <xf numFmtId="0" fontId="0" fillId="8" borderId="52" xfId="0" applyFill="1" applyBorder="1" applyAlignment="1">
      <alignment horizontal="left"/>
    </xf>
    <xf numFmtId="0" fontId="2" fillId="41" borderId="51" xfId="0" applyFont="1" applyFill="1" applyBorder="1" applyAlignment="1">
      <alignment horizontal="left"/>
    </xf>
    <xf numFmtId="0" fontId="0" fillId="17" borderId="5" xfId="0" applyFill="1" applyBorder="1" applyAlignment="1">
      <alignment horizontal="left"/>
    </xf>
    <xf numFmtId="0" fontId="0" fillId="28" borderId="5" xfId="0" applyFill="1" applyBorder="1" applyAlignment="1">
      <alignment horizontal="left"/>
    </xf>
    <xf numFmtId="0" fontId="0" fillId="0" borderId="116" xfId="0" applyBorder="1"/>
    <xf numFmtId="0" fontId="2" fillId="41" borderId="54" xfId="0" applyFont="1" applyFill="1" applyBorder="1" applyAlignment="1">
      <alignment horizontal="left"/>
    </xf>
    <xf numFmtId="0" fontId="2" fillId="47" borderId="53" xfId="0" applyFont="1" applyFill="1" applyBorder="1" applyAlignment="1">
      <alignment horizontal="left"/>
    </xf>
    <xf numFmtId="0" fontId="0" fillId="15" borderId="52" xfId="0" applyFill="1" applyBorder="1" applyAlignment="1">
      <alignment horizontal="left"/>
    </xf>
    <xf numFmtId="0" fontId="0" fillId="17" borderId="52" xfId="0" applyFill="1" applyBorder="1" applyAlignment="1">
      <alignment horizontal="left"/>
    </xf>
    <xf numFmtId="0" fontId="0" fillId="38" borderId="53" xfId="0" applyFill="1" applyBorder="1" applyAlignment="1">
      <alignment horizontal="left"/>
    </xf>
    <xf numFmtId="0" fontId="0" fillId="43" borderId="52" xfId="0" applyFill="1" applyBorder="1" applyAlignment="1">
      <alignment horizontal="left"/>
    </xf>
    <xf numFmtId="0" fontId="2" fillId="16" borderId="54" xfId="0" applyFont="1" applyFill="1" applyBorder="1" applyAlignment="1">
      <alignment horizontal="left"/>
    </xf>
    <xf numFmtId="0" fontId="20" fillId="42" borderId="53" xfId="0" applyFont="1" applyFill="1" applyBorder="1" applyAlignment="1">
      <alignment horizontal="left"/>
    </xf>
    <xf numFmtId="0" fontId="2" fillId="7" borderId="55" xfId="0" applyFont="1" applyFill="1" applyBorder="1" applyAlignment="1">
      <alignment horizontal="left"/>
    </xf>
    <xf numFmtId="0" fontId="20" fillId="0" borderId="0" xfId="0" applyFont="1" applyAlignment="1">
      <alignment wrapText="1"/>
    </xf>
    <xf numFmtId="0" fontId="0" fillId="0" borderId="109" xfId="0" applyBorder="1" applyAlignment="1">
      <alignment horizontal="left"/>
    </xf>
    <xf numFmtId="0" fontId="0" fillId="15" borderId="57" xfId="0" applyFill="1" applyBorder="1" applyAlignment="1">
      <alignment horizontal="left"/>
    </xf>
    <xf numFmtId="0" fontId="0" fillId="0" borderId="109" xfId="0" applyBorder="1" applyAlignment="1">
      <alignment wrapText="1"/>
    </xf>
    <xf numFmtId="0" fontId="0" fillId="20" borderId="57" xfId="0" applyFill="1" applyBorder="1" applyAlignment="1">
      <alignment horizontal="left"/>
    </xf>
    <xf numFmtId="0" fontId="2" fillId="0" borderId="109" xfId="0" applyFont="1" applyBorder="1" applyAlignment="1">
      <alignment horizontal="left"/>
    </xf>
    <xf numFmtId="0" fontId="0" fillId="0" borderId="115" xfId="0" applyBorder="1"/>
    <xf numFmtId="0" fontId="2" fillId="16" borderId="119" xfId="0" applyFont="1" applyFill="1" applyBorder="1" applyAlignment="1">
      <alignment horizontal="left"/>
    </xf>
    <xf numFmtId="0" fontId="0" fillId="20" borderId="119" xfId="0" applyFill="1" applyBorder="1" applyAlignment="1">
      <alignment horizontal="left"/>
    </xf>
    <xf numFmtId="0" fontId="0" fillId="0" borderId="117" xfId="0" applyBorder="1" applyAlignment="1">
      <alignment wrapText="1"/>
    </xf>
    <xf numFmtId="0" fontId="2" fillId="4" borderId="119" xfId="0" applyFont="1" applyFill="1" applyBorder="1" applyAlignment="1">
      <alignment horizontal="left"/>
    </xf>
    <xf numFmtId="0" fontId="0" fillId="15" borderId="119" xfId="0" applyFill="1" applyBorder="1" applyAlignment="1">
      <alignment horizontal="left"/>
    </xf>
    <xf numFmtId="0" fontId="20" fillId="29" borderId="124" xfId="0" applyFont="1" applyFill="1" applyBorder="1" applyAlignment="1">
      <alignment horizontal="left"/>
    </xf>
    <xf numFmtId="0" fontId="2" fillId="9" borderId="119" xfId="0" applyFont="1" applyFill="1" applyBorder="1" applyAlignment="1">
      <alignment horizontal="left"/>
    </xf>
    <xf numFmtId="0" fontId="0" fillId="15" borderId="38" xfId="0" applyFill="1" applyBorder="1" applyAlignment="1">
      <alignment horizontal="left"/>
    </xf>
    <xf numFmtId="0" fontId="0" fillId="0" borderId="120" xfId="0" applyBorder="1"/>
    <xf numFmtId="0" fontId="0" fillId="20" borderId="38" xfId="0" applyFill="1" applyBorder="1" applyAlignment="1">
      <alignment horizontal="left"/>
    </xf>
    <xf numFmtId="0" fontId="0" fillId="0" borderId="118" xfId="0" applyBorder="1" applyAlignment="1">
      <alignment wrapText="1"/>
    </xf>
    <xf numFmtId="0" fontId="2" fillId="46" borderId="32" xfId="0" applyFont="1" applyFill="1" applyBorder="1" applyAlignment="1">
      <alignment horizontal="left"/>
    </xf>
    <xf numFmtId="0" fontId="21" fillId="39" borderId="57" xfId="0" applyFont="1" applyFill="1" applyBorder="1" applyAlignment="1">
      <alignment horizontal="left"/>
    </xf>
    <xf numFmtId="0" fontId="0" fillId="0" borderId="134" xfId="0" applyBorder="1"/>
    <xf numFmtId="0" fontId="0" fillId="3" borderId="67" xfId="0" applyFill="1" applyBorder="1" applyAlignment="1">
      <alignment horizontal="left"/>
    </xf>
    <xf numFmtId="0" fontId="0" fillId="0" borderId="117" xfId="0" applyBorder="1"/>
    <xf numFmtId="0" fontId="0" fillId="8" borderId="117" xfId="0" applyFill="1" applyBorder="1" applyAlignment="1">
      <alignment horizontal="left"/>
    </xf>
    <xf numFmtId="0" fontId="20" fillId="29" borderId="117" xfId="0" applyFont="1" applyFill="1" applyBorder="1" applyAlignment="1">
      <alignment horizontal="left"/>
    </xf>
    <xf numFmtId="0" fontId="0" fillId="0" borderId="117" xfId="0" applyBorder="1" applyAlignment="1">
      <alignment horizontal="left"/>
    </xf>
    <xf numFmtId="0" fontId="0" fillId="38" borderId="117" xfId="0" applyFill="1" applyBorder="1" applyAlignment="1">
      <alignment horizontal="left"/>
    </xf>
    <xf numFmtId="0" fontId="0" fillId="17" borderId="117" xfId="0" applyFill="1" applyBorder="1" applyAlignment="1">
      <alignment horizontal="left"/>
    </xf>
    <xf numFmtId="0" fontId="2" fillId="16" borderId="117" xfId="0" applyFont="1" applyFill="1" applyBorder="1" applyAlignment="1">
      <alignment horizontal="left"/>
    </xf>
    <xf numFmtId="0" fontId="20" fillId="42" borderId="117" xfId="0" applyFont="1" applyFill="1" applyBorder="1" applyAlignment="1">
      <alignment horizontal="left"/>
    </xf>
    <xf numFmtId="0" fontId="0" fillId="15" borderId="117" xfId="0" applyFill="1" applyBorder="1" applyAlignment="1">
      <alignment horizontal="left"/>
    </xf>
    <xf numFmtId="0" fontId="2" fillId="7" borderId="117" xfId="0" applyFont="1" applyFill="1" applyBorder="1" applyAlignment="1">
      <alignment horizontal="left"/>
    </xf>
    <xf numFmtId="0" fontId="2" fillId="8" borderId="78" xfId="0" applyFont="1" applyFill="1" applyBorder="1"/>
    <xf numFmtId="0" fontId="114" fillId="8" borderId="0" xfId="0" applyFont="1" applyFill="1"/>
    <xf numFmtId="0" fontId="175" fillId="0" borderId="0" xfId="0" applyFont="1"/>
    <xf numFmtId="0" fontId="176" fillId="0" borderId="0" xfId="0" applyFont="1"/>
    <xf numFmtId="0" fontId="177" fillId="0" borderId="0" xfId="0" applyFont="1"/>
    <xf numFmtId="0" fontId="178" fillId="0" borderId="0" xfId="0" applyFont="1"/>
    <xf numFmtId="0" fontId="150" fillId="0" borderId="0" xfId="0" applyFont="1"/>
    <xf numFmtId="0" fontId="179" fillId="0" borderId="0" xfId="0" applyFont="1"/>
    <xf numFmtId="0" fontId="180" fillId="0" borderId="0" xfId="0" applyFont="1"/>
    <xf numFmtId="0" fontId="181" fillId="0" borderId="0" xfId="0" applyFont="1"/>
    <xf numFmtId="0" fontId="182" fillId="0" borderId="0" xfId="0" applyFont="1"/>
    <xf numFmtId="0" fontId="183" fillId="0" borderId="0" xfId="0" applyFont="1"/>
    <xf numFmtId="0" fontId="184" fillId="0" borderId="0" xfId="0" applyFont="1"/>
    <xf numFmtId="0" fontId="185" fillId="0" borderId="0" xfId="0" applyFont="1"/>
    <xf numFmtId="0" fontId="186" fillId="0" borderId="0" xfId="0" applyFont="1"/>
    <xf numFmtId="0" fontId="187" fillId="0" borderId="0" xfId="0" applyFont="1"/>
    <xf numFmtId="0" fontId="188" fillId="0" borderId="0" xfId="0" applyFont="1"/>
    <xf numFmtId="0" fontId="189" fillId="0" borderId="0" xfId="0" applyFont="1"/>
    <xf numFmtId="0" fontId="190" fillId="0" borderId="0" xfId="0" applyFont="1"/>
    <xf numFmtId="0" fontId="31" fillId="0" borderId="0" xfId="0" applyFont="1"/>
    <xf numFmtId="0" fontId="191" fillId="0" borderId="0" xfId="0" applyFont="1"/>
    <xf numFmtId="0" fontId="192" fillId="0" borderId="0" xfId="0" applyFont="1"/>
    <xf numFmtId="0" fontId="193" fillId="0" borderId="0" xfId="0" applyFont="1"/>
    <xf numFmtId="0" fontId="194" fillId="0" borderId="0" xfId="0" applyFont="1"/>
    <xf numFmtId="0" fontId="195" fillId="0" borderId="0" xfId="0" applyFont="1"/>
    <xf numFmtId="0" fontId="196" fillId="0" borderId="0" xfId="0" applyFont="1"/>
    <xf numFmtId="0" fontId="96" fillId="0" borderId="0" xfId="0" applyFont="1"/>
    <xf numFmtId="0" fontId="197" fillId="0" borderId="0" xfId="0" applyFont="1"/>
    <xf numFmtId="0" fontId="15" fillId="8" borderId="66" xfId="0" applyFont="1" applyFill="1" applyBorder="1" applyAlignment="1">
      <alignment horizontal="center"/>
    </xf>
    <xf numFmtId="0" fontId="15" fillId="8" borderId="109" xfId="0" applyFont="1" applyFill="1" applyBorder="1" applyAlignment="1">
      <alignment horizontal="center"/>
    </xf>
    <xf numFmtId="0" fontId="0" fillId="0" borderId="133" xfId="0" applyBorder="1"/>
    <xf numFmtId="0" fontId="0" fillId="0" borderId="140" xfId="0" applyBorder="1"/>
    <xf numFmtId="0" fontId="0" fillId="0" borderId="141" xfId="0" applyBorder="1"/>
    <xf numFmtId="0" fontId="15" fillId="8" borderId="139" xfId="0" applyFont="1" applyFill="1" applyBorder="1" applyAlignment="1">
      <alignment horizontal="left"/>
    </xf>
    <xf numFmtId="0" fontId="34" fillId="29" borderId="139" xfId="0" applyFont="1" applyFill="1" applyBorder="1" applyAlignment="1">
      <alignment horizontal="left"/>
    </xf>
    <xf numFmtId="0" fontId="114" fillId="40" borderId="139" xfId="0" applyFont="1" applyFill="1" applyBorder="1" applyAlignment="1">
      <alignment horizontal="left"/>
    </xf>
    <xf numFmtId="0" fontId="114" fillId="37" borderId="142" xfId="0" applyFont="1" applyFill="1" applyBorder="1"/>
    <xf numFmtId="0" fontId="114" fillId="7" borderId="139" xfId="0" applyFont="1" applyFill="1" applyBorder="1" applyAlignment="1">
      <alignment horizontal="left"/>
    </xf>
    <xf numFmtId="0" fontId="15" fillId="28" borderId="139" xfId="0" applyFont="1" applyFill="1" applyBorder="1" applyAlignment="1">
      <alignment horizontal="left"/>
    </xf>
    <xf numFmtId="0" fontId="34" fillId="42" borderId="139" xfId="0" applyFont="1" applyFill="1" applyBorder="1" applyAlignment="1">
      <alignment horizontal="left"/>
    </xf>
    <xf numFmtId="0" fontId="114" fillId="13" borderId="139" xfId="0" applyFont="1" applyFill="1" applyBorder="1" applyAlignment="1">
      <alignment horizontal="left"/>
    </xf>
    <xf numFmtId="0" fontId="114" fillId="12" borderId="139" xfId="0" applyFont="1" applyFill="1" applyBorder="1" applyAlignment="1">
      <alignment horizontal="left"/>
    </xf>
    <xf numFmtId="0" fontId="15" fillId="18" borderId="139" xfId="0" applyFont="1" applyFill="1" applyBorder="1" applyAlignment="1">
      <alignment horizontal="left"/>
    </xf>
    <xf numFmtId="0" fontId="15" fillId="50" borderId="139" xfId="0" applyFont="1" applyFill="1" applyBorder="1" applyAlignment="1">
      <alignment horizontal="left"/>
    </xf>
    <xf numFmtId="0" fontId="114" fillId="41" borderId="139" xfId="0" applyFont="1" applyFill="1" applyBorder="1" applyAlignment="1">
      <alignment horizontal="left"/>
    </xf>
    <xf numFmtId="0" fontId="114" fillId="4" borderId="139" xfId="0" applyFont="1" applyFill="1" applyBorder="1" applyAlignment="1">
      <alignment horizontal="left"/>
    </xf>
    <xf numFmtId="0" fontId="75" fillId="39" borderId="139" xfId="0" applyFont="1" applyFill="1" applyBorder="1" applyAlignment="1">
      <alignment horizontal="left"/>
    </xf>
    <xf numFmtId="0" fontId="114" fillId="44" borderId="139" xfId="0" applyFont="1" applyFill="1" applyBorder="1" applyAlignment="1">
      <alignment horizontal="left"/>
    </xf>
    <xf numFmtId="0" fontId="15" fillId="17" borderId="139" xfId="0" applyFont="1" applyFill="1" applyBorder="1" applyAlignment="1">
      <alignment horizontal="left"/>
    </xf>
    <xf numFmtId="0" fontId="15" fillId="38" borderId="139" xfId="0" applyFont="1" applyFill="1" applyBorder="1" applyAlignment="1">
      <alignment horizontal="left"/>
    </xf>
    <xf numFmtId="0" fontId="114" fillId="46" borderId="139" xfId="0" applyFont="1" applyFill="1" applyBorder="1" applyAlignment="1">
      <alignment horizontal="left"/>
    </xf>
    <xf numFmtId="0" fontId="15" fillId="45" borderId="139" xfId="0" applyFont="1" applyFill="1" applyBorder="1" applyAlignment="1">
      <alignment horizontal="left"/>
    </xf>
    <xf numFmtId="0" fontId="114" fillId="47" borderId="139" xfId="0" applyFont="1" applyFill="1" applyBorder="1" applyAlignment="1">
      <alignment horizontal="left"/>
    </xf>
    <xf numFmtId="0" fontId="15" fillId="15" borderId="139" xfId="0" applyFont="1" applyFill="1" applyBorder="1" applyAlignment="1">
      <alignment horizontal="left"/>
    </xf>
    <xf numFmtId="0" fontId="114" fillId="9" borderId="139" xfId="0" applyFont="1" applyFill="1" applyBorder="1" applyAlignment="1">
      <alignment horizontal="left"/>
    </xf>
    <xf numFmtId="0" fontId="15" fillId="20" borderId="139" xfId="0" applyFont="1" applyFill="1" applyBorder="1" applyAlignment="1">
      <alignment horizontal="left"/>
    </xf>
    <xf numFmtId="0" fontId="114" fillId="48" borderId="139" xfId="0" applyFont="1" applyFill="1" applyBorder="1" applyAlignment="1">
      <alignment horizontal="left"/>
    </xf>
    <xf numFmtId="0" fontId="15" fillId="3" borderId="139" xfId="0" applyFont="1" applyFill="1" applyBorder="1" applyAlignment="1">
      <alignment horizontal="left"/>
    </xf>
    <xf numFmtId="0" fontId="15" fillId="43" borderId="139" xfId="0" applyFont="1" applyFill="1" applyBorder="1" applyAlignment="1">
      <alignment horizontal="left"/>
    </xf>
    <xf numFmtId="0" fontId="15" fillId="11" borderId="138" xfId="0" applyFont="1" applyFill="1" applyBorder="1" applyAlignment="1">
      <alignment horizontal="left"/>
    </xf>
    <xf numFmtId="0" fontId="114" fillId="16" borderId="143" xfId="0" applyFont="1" applyFill="1" applyBorder="1" applyAlignment="1">
      <alignment horizontal="left"/>
    </xf>
    <xf numFmtId="0" fontId="35" fillId="0" borderId="144" xfId="0" applyFont="1" applyBorder="1" applyAlignment="1">
      <alignment horizontal="center"/>
    </xf>
    <xf numFmtId="0" fontId="0" fillId="8" borderId="135" xfId="0" applyFill="1" applyBorder="1"/>
    <xf numFmtId="0" fontId="114" fillId="8" borderId="145" xfId="0" applyFont="1" applyFill="1" applyBorder="1"/>
    <xf numFmtId="0" fontId="35" fillId="0" borderId="146" xfId="0" applyFont="1" applyBorder="1" applyAlignment="1">
      <alignment horizontal="center"/>
    </xf>
    <xf numFmtId="0" fontId="33" fillId="0" borderId="141" xfId="0" applyFont="1" applyBorder="1"/>
    <xf numFmtId="0" fontId="156" fillId="0" borderId="0" xfId="1" applyNumberFormat="1" applyFont="1" applyFill="1" applyBorder="1"/>
    <xf numFmtId="0" fontId="33" fillId="0" borderId="0" xfId="1" applyNumberFormat="1" applyFont="1" applyFill="1" applyBorder="1"/>
    <xf numFmtId="0" fontId="12" fillId="0" borderId="141" xfId="0" applyFont="1" applyBorder="1"/>
    <xf numFmtId="0" fontId="123" fillId="0" borderId="141" xfId="0" applyFont="1" applyBorder="1"/>
    <xf numFmtId="0" fontId="40" fillId="0" borderId="141" xfId="0" applyFont="1" applyBorder="1"/>
    <xf numFmtId="0" fontId="59" fillId="0" borderId="141" xfId="0" applyFont="1" applyBorder="1"/>
    <xf numFmtId="0" fontId="124" fillId="0" borderId="141" xfId="0" applyFont="1" applyBorder="1"/>
    <xf numFmtId="0" fontId="180" fillId="0" borderId="141" xfId="0" applyFont="1" applyBorder="1"/>
    <xf numFmtId="0" fontId="121" fillId="0" borderId="141" xfId="0" applyFont="1" applyBorder="1"/>
    <xf numFmtId="0" fontId="6" fillId="0" borderId="141" xfId="0" applyFont="1" applyBorder="1"/>
    <xf numFmtId="0" fontId="1" fillId="0" borderId="141" xfId="0" applyFont="1" applyBorder="1"/>
    <xf numFmtId="0" fontId="64" fillId="0" borderId="141" xfId="0" applyFont="1" applyBorder="1"/>
    <xf numFmtId="0" fontId="65" fillId="0" borderId="141" xfId="0" applyFont="1" applyBorder="1"/>
    <xf numFmtId="0" fontId="182" fillId="0" borderId="141" xfId="0" applyFont="1" applyBorder="1"/>
    <xf numFmtId="0" fontId="186" fillId="0" borderId="141" xfId="0" applyFont="1" applyBorder="1"/>
    <xf numFmtId="0" fontId="198" fillId="0" borderId="0" xfId="0" applyFont="1"/>
    <xf numFmtId="0" fontId="198" fillId="0" borderId="141" xfId="0" applyFont="1" applyBorder="1"/>
    <xf numFmtId="0" fontId="194" fillId="0" borderId="141" xfId="0" applyFont="1" applyBorder="1"/>
    <xf numFmtId="0" fontId="7" fillId="0" borderId="141" xfId="0" applyFont="1" applyBorder="1"/>
    <xf numFmtId="0" fontId="23" fillId="0" borderId="141" xfId="0" applyFont="1" applyBorder="1"/>
    <xf numFmtId="0" fontId="32" fillId="0" borderId="141" xfId="0" applyFont="1" applyBorder="1"/>
    <xf numFmtId="0" fontId="126" fillId="0" borderId="141" xfId="0" applyFont="1" applyBorder="1"/>
    <xf numFmtId="0" fontId="34" fillId="0" borderId="0" xfId="1" applyNumberFormat="1" applyFont="1" applyFill="1" applyBorder="1"/>
    <xf numFmtId="0" fontId="20" fillId="0" borderId="0" xfId="1" applyNumberFormat="1" applyFont="1" applyFill="1" applyBorder="1"/>
    <xf numFmtId="0" fontId="0" fillId="8" borderId="2" xfId="0" applyFill="1" applyBorder="1"/>
    <xf numFmtId="0" fontId="12" fillId="0" borderId="0" xfId="1" applyNumberFormat="1" applyFont="1" applyFill="1" applyBorder="1"/>
    <xf numFmtId="0" fontId="123" fillId="0" borderId="0" xfId="1" applyNumberFormat="1" applyFont="1" applyFill="1" applyBorder="1"/>
    <xf numFmtId="0" fontId="57" fillId="0" borderId="0" xfId="1" applyNumberFormat="1" applyFont="1" applyFill="1" applyBorder="1"/>
    <xf numFmtId="0" fontId="136" fillId="0" borderId="0" xfId="1" applyNumberFormat="1" applyFont="1" applyFill="1" applyBorder="1"/>
    <xf numFmtId="0" fontId="124" fillId="0" borderId="0" xfId="1" applyNumberFormat="1" applyFont="1" applyFill="1" applyBorder="1"/>
    <xf numFmtId="0" fontId="59" fillId="0" borderId="0" xfId="1" applyNumberFormat="1" applyFont="1" applyFill="1" applyBorder="1"/>
    <xf numFmtId="0" fontId="19" fillId="0" borderId="0" xfId="1" applyNumberFormat="1" applyFont="1" applyFill="1" applyBorder="1"/>
    <xf numFmtId="0" fontId="180" fillId="0" borderId="0" xfId="1" applyNumberFormat="1" applyFont="1" applyFill="1" applyBorder="1"/>
    <xf numFmtId="0" fontId="194" fillId="0" borderId="0" xfId="1" applyNumberFormat="1" applyFont="1" applyFill="1" applyBorder="1"/>
    <xf numFmtId="0" fontId="7" fillId="0" borderId="0" xfId="1" applyNumberFormat="1" applyFont="1" applyFill="1" applyBorder="1"/>
    <xf numFmtId="0" fontId="23" fillId="0" borderId="0" xfId="1" applyNumberFormat="1" applyFont="1" applyFill="1" applyBorder="1"/>
    <xf numFmtId="0" fontId="32" fillId="0" borderId="0" xfId="1" applyNumberFormat="1" applyFont="1" applyFill="1" applyBorder="1"/>
    <xf numFmtId="0" fontId="126" fillId="0" borderId="0" xfId="1" applyNumberFormat="1" applyFont="1" applyFill="1" applyBorder="1"/>
    <xf numFmtId="0" fontId="121" fillId="0" borderId="0" xfId="1" applyNumberFormat="1" applyFont="1" applyFill="1" applyBorder="1"/>
    <xf numFmtId="0" fontId="6" fillId="0" borderId="0" xfId="1" applyNumberFormat="1" applyFont="1" applyFill="1" applyBorder="1"/>
    <xf numFmtId="0" fontId="1" fillId="0" borderId="0" xfId="1" applyNumberFormat="1" applyFont="1" applyFill="1" applyBorder="1"/>
    <xf numFmtId="0" fontId="182" fillId="0" borderId="0" xfId="1" applyNumberFormat="1" applyFont="1" applyFill="1" applyBorder="1"/>
    <xf numFmtId="0" fontId="198" fillId="0" borderId="0" xfId="1" applyNumberFormat="1" applyFont="1" applyFill="1" applyBorder="1"/>
    <xf numFmtId="0" fontId="67" fillId="0" borderId="0" xfId="1" applyNumberFormat="1" applyFont="1" applyFill="1" applyBorder="1"/>
    <xf numFmtId="0" fontId="46" fillId="0" borderId="0" xfId="1" applyNumberFormat="1" applyFont="1" applyFill="1" applyBorder="1"/>
    <xf numFmtId="1" fontId="20" fillId="0" borderId="0" xfId="0" applyNumberFormat="1" applyFont="1"/>
    <xf numFmtId="0" fontId="33" fillId="0" borderId="43" xfId="0" applyFont="1" applyBorder="1"/>
    <xf numFmtId="0" fontId="12" fillId="0" borderId="43" xfId="0" applyFont="1" applyBorder="1"/>
    <xf numFmtId="0" fontId="123" fillId="0" borderId="43" xfId="0" applyFont="1" applyBorder="1"/>
    <xf numFmtId="0" fontId="176" fillId="0" borderId="43" xfId="0" applyFont="1" applyBorder="1"/>
    <xf numFmtId="0" fontId="136" fillId="0" borderId="43" xfId="0" applyFont="1" applyBorder="1"/>
    <xf numFmtId="0" fontId="20" fillId="0" borderId="43" xfId="0" applyFont="1" applyBorder="1"/>
    <xf numFmtId="0" fontId="124" fillId="0" borderId="43" xfId="0" applyFont="1" applyBorder="1"/>
    <xf numFmtId="0" fontId="59" fillId="0" borderId="43" xfId="0" applyFont="1" applyBorder="1"/>
    <xf numFmtId="0" fontId="192" fillId="0" borderId="43" xfId="0" applyFont="1" applyBorder="1"/>
    <xf numFmtId="0" fontId="121" fillId="0" borderId="43" xfId="0" applyFont="1" applyBorder="1"/>
    <xf numFmtId="0" fontId="6" fillId="0" borderId="43" xfId="0" applyFont="1" applyBorder="1"/>
    <xf numFmtId="0" fontId="1" fillId="0" borderId="43" xfId="0" applyFont="1" applyBorder="1"/>
    <xf numFmtId="0" fontId="64" fillId="0" borderId="43" xfId="0" applyFont="1" applyBorder="1"/>
    <xf numFmtId="0" fontId="188" fillId="0" borderId="43" xfId="0" applyFont="1" applyBorder="1"/>
    <xf numFmtId="0" fontId="182" fillId="0" borderId="43" xfId="0" applyFont="1" applyBorder="1"/>
    <xf numFmtId="0" fontId="186" fillId="0" borderId="43" xfId="0" applyFont="1" applyBorder="1"/>
    <xf numFmtId="0" fontId="184" fillId="0" borderId="43" xfId="0" applyFont="1" applyBorder="1"/>
    <xf numFmtId="0" fontId="180" fillId="0" borderId="43" xfId="0" applyFont="1" applyBorder="1"/>
    <xf numFmtId="0" fontId="194" fillId="0" borderId="43" xfId="0" applyFont="1" applyBorder="1"/>
    <xf numFmtId="0" fontId="7" fillId="0" borderId="43" xfId="0" applyFont="1" applyBorder="1"/>
    <xf numFmtId="0" fontId="32" fillId="0" borderId="43" xfId="0" applyFont="1" applyBorder="1"/>
    <xf numFmtId="0" fontId="126" fillId="0" borderId="43" xfId="0" applyFont="1" applyBorder="1"/>
    <xf numFmtId="2" fontId="33" fillId="0" borderId="0" xfId="1" applyNumberFormat="1" applyFont="1" applyFill="1" applyBorder="1"/>
    <xf numFmtId="2" fontId="12" fillId="0" borderId="0" xfId="1" applyNumberFormat="1" applyFont="1" applyFill="1" applyBorder="1"/>
    <xf numFmtId="2" fontId="123" fillId="0" borderId="0" xfId="1" applyNumberFormat="1" applyFont="1" applyFill="1" applyBorder="1"/>
    <xf numFmtId="2" fontId="57" fillId="0" borderId="0" xfId="1" applyNumberFormat="1" applyFont="1" applyFill="1" applyBorder="1"/>
    <xf numFmtId="2" fontId="136" fillId="0" borderId="0" xfId="1" applyNumberFormat="1" applyFont="1" applyFill="1" applyBorder="1"/>
    <xf numFmtId="2" fontId="20" fillId="0" borderId="0" xfId="1" applyNumberFormat="1" applyFont="1" applyFill="1" applyBorder="1"/>
    <xf numFmtId="2" fontId="124" fillId="0" borderId="0" xfId="1" applyNumberFormat="1" applyFont="1" applyFill="1" applyBorder="1"/>
    <xf numFmtId="2" fontId="59" fillId="0" borderId="0" xfId="1" applyNumberFormat="1" applyFont="1" applyFill="1" applyBorder="1"/>
    <xf numFmtId="2" fontId="19" fillId="0" borderId="0" xfId="1" applyNumberFormat="1" applyFont="1" applyFill="1" applyBorder="1"/>
    <xf numFmtId="2" fontId="121" fillId="0" borderId="0" xfId="1" applyNumberFormat="1" applyFont="1" applyFill="1" applyBorder="1"/>
    <xf numFmtId="2" fontId="6" fillId="0" borderId="0" xfId="1" applyNumberFormat="1" applyFont="1" applyFill="1" applyBorder="1"/>
    <xf numFmtId="2" fontId="1" fillId="0" borderId="0" xfId="1" applyNumberFormat="1" applyFont="1" applyFill="1" applyBorder="1"/>
    <xf numFmtId="2" fontId="67" fillId="0" borderId="0" xfId="1" applyNumberFormat="1" applyFont="1" applyFill="1" applyBorder="1"/>
    <xf numFmtId="2" fontId="180" fillId="0" borderId="0" xfId="1" applyNumberFormat="1" applyFont="1" applyFill="1" applyBorder="1"/>
    <xf numFmtId="2" fontId="182" fillId="0" borderId="0" xfId="1" applyNumberFormat="1" applyFont="1" applyFill="1" applyBorder="1"/>
    <xf numFmtId="2" fontId="46" fillId="0" borderId="0" xfId="1" applyNumberFormat="1" applyFont="1" applyFill="1" applyBorder="1"/>
    <xf numFmtId="2" fontId="198" fillId="0" borderId="0" xfId="1" applyNumberFormat="1" applyFont="1" applyFill="1" applyBorder="1"/>
    <xf numFmtId="2" fontId="194" fillId="0" borderId="0" xfId="1" applyNumberFormat="1" applyFont="1" applyFill="1" applyBorder="1"/>
    <xf numFmtId="2" fontId="7" fillId="0" borderId="0" xfId="1" applyNumberFormat="1" applyFont="1" applyFill="1" applyBorder="1"/>
    <xf numFmtId="2" fontId="23" fillId="0" borderId="0" xfId="1" applyNumberFormat="1" applyFont="1" applyFill="1" applyBorder="1"/>
    <xf numFmtId="2" fontId="32" fillId="0" borderId="0" xfId="1" applyNumberFormat="1" applyFont="1" applyFill="1" applyBorder="1"/>
    <xf numFmtId="2" fontId="126" fillId="0" borderId="0" xfId="1" applyNumberFormat="1" applyFont="1" applyFill="1" applyBorder="1"/>
    <xf numFmtId="1" fontId="33" fillId="0" borderId="0" xfId="1" applyNumberFormat="1" applyFont="1" applyFill="1" applyBorder="1"/>
    <xf numFmtId="1" fontId="33" fillId="0" borderId="2" xfId="1" applyNumberFormat="1" applyFont="1" applyFill="1" applyBorder="1"/>
    <xf numFmtId="1" fontId="12" fillId="0" borderId="0" xfId="1" applyNumberFormat="1" applyFont="1" applyFill="1" applyBorder="1"/>
    <xf numFmtId="1" fontId="12" fillId="0" borderId="2" xfId="1" applyNumberFormat="1" applyFont="1" applyFill="1" applyBorder="1"/>
    <xf numFmtId="1" fontId="123" fillId="0" borderId="0" xfId="1" applyNumberFormat="1" applyFont="1" applyFill="1" applyBorder="1"/>
    <xf numFmtId="1" fontId="123" fillId="0" borderId="2" xfId="1" applyNumberFormat="1" applyFont="1" applyFill="1" applyBorder="1"/>
    <xf numFmtId="1" fontId="57" fillId="0" borderId="0" xfId="1" applyNumberFormat="1" applyFont="1" applyFill="1" applyBorder="1"/>
    <xf numFmtId="1" fontId="57" fillId="0" borderId="2" xfId="1" applyNumberFormat="1" applyFont="1" applyFill="1" applyBorder="1"/>
    <xf numFmtId="1" fontId="136" fillId="0" borderId="0" xfId="1" applyNumberFormat="1" applyFont="1" applyFill="1" applyBorder="1"/>
    <xf numFmtId="1" fontId="136" fillId="0" borderId="2" xfId="1" applyNumberFormat="1" applyFont="1" applyFill="1" applyBorder="1"/>
    <xf numFmtId="1" fontId="20" fillId="0" borderId="0" xfId="1" applyNumberFormat="1" applyFont="1" applyFill="1" applyBorder="1"/>
    <xf numFmtId="1" fontId="20" fillId="0" borderId="2" xfId="1" applyNumberFormat="1" applyFont="1" applyFill="1" applyBorder="1"/>
    <xf numFmtId="1" fontId="124" fillId="0" borderId="0" xfId="1" applyNumberFormat="1" applyFont="1" applyFill="1" applyBorder="1"/>
    <xf numFmtId="1" fontId="124" fillId="0" borderId="2" xfId="1" applyNumberFormat="1" applyFont="1" applyFill="1" applyBorder="1"/>
    <xf numFmtId="1" fontId="59" fillId="0" borderId="0" xfId="1" applyNumberFormat="1" applyFont="1" applyFill="1" applyBorder="1"/>
    <xf numFmtId="1" fontId="59" fillId="0" borderId="2" xfId="1" applyNumberFormat="1" applyFont="1" applyFill="1" applyBorder="1"/>
    <xf numFmtId="1" fontId="19" fillId="0" borderId="0" xfId="1" applyNumberFormat="1" applyFont="1" applyFill="1" applyBorder="1"/>
    <xf numFmtId="1" fontId="19" fillId="0" borderId="2" xfId="1" applyNumberFormat="1" applyFont="1" applyFill="1" applyBorder="1"/>
    <xf numFmtId="1" fontId="121" fillId="0" borderId="0" xfId="1" applyNumberFormat="1" applyFont="1" applyFill="1" applyBorder="1"/>
    <xf numFmtId="1" fontId="121" fillId="0" borderId="2" xfId="1" applyNumberFormat="1" applyFont="1" applyFill="1" applyBorder="1"/>
    <xf numFmtId="1" fontId="6" fillId="0" borderId="0" xfId="1" applyNumberFormat="1" applyFont="1" applyFill="1" applyBorder="1"/>
    <xf numFmtId="1" fontId="6" fillId="0" borderId="2" xfId="1" applyNumberFormat="1" applyFont="1" applyFill="1" applyBorder="1"/>
    <xf numFmtId="1" fontId="1" fillId="0" borderId="0" xfId="1" applyNumberFormat="1" applyFont="1" applyFill="1" applyBorder="1"/>
    <xf numFmtId="1" fontId="1" fillId="0" borderId="2" xfId="1" applyNumberFormat="1" applyFont="1" applyFill="1" applyBorder="1"/>
    <xf numFmtId="1" fontId="67" fillId="0" borderId="0" xfId="1" applyNumberFormat="1" applyFont="1" applyFill="1" applyBorder="1"/>
    <xf numFmtId="1" fontId="67" fillId="0" borderId="2" xfId="1" applyNumberFormat="1" applyFont="1" applyFill="1" applyBorder="1"/>
    <xf numFmtId="1" fontId="180" fillId="0" borderId="0" xfId="1" applyNumberFormat="1" applyFont="1" applyFill="1" applyBorder="1"/>
    <xf numFmtId="1" fontId="180" fillId="0" borderId="2" xfId="1" applyNumberFormat="1" applyFont="1" applyFill="1" applyBorder="1"/>
    <xf numFmtId="1" fontId="182" fillId="0" borderId="0" xfId="1" applyNumberFormat="1" applyFont="1" applyFill="1" applyBorder="1"/>
    <xf numFmtId="1" fontId="182" fillId="0" borderId="2" xfId="1" applyNumberFormat="1" applyFont="1" applyFill="1" applyBorder="1"/>
    <xf numFmtId="1" fontId="46" fillId="0" borderId="0" xfId="1" applyNumberFormat="1" applyFont="1" applyFill="1" applyBorder="1"/>
    <xf numFmtId="1" fontId="46" fillId="0" borderId="2" xfId="1" applyNumberFormat="1" applyFont="1" applyFill="1" applyBorder="1"/>
    <xf numFmtId="1" fontId="198" fillId="0" borderId="0" xfId="1" applyNumberFormat="1" applyFont="1" applyFill="1" applyBorder="1"/>
    <xf numFmtId="1" fontId="198" fillId="0" borderId="2" xfId="1" applyNumberFormat="1" applyFont="1" applyFill="1" applyBorder="1"/>
    <xf numFmtId="1" fontId="194" fillId="0" borderId="0" xfId="1" applyNumberFormat="1" applyFont="1" applyFill="1" applyBorder="1"/>
    <xf numFmtId="1" fontId="194" fillId="0" borderId="2" xfId="1" applyNumberFormat="1" applyFont="1" applyFill="1" applyBorder="1"/>
    <xf numFmtId="1" fontId="7" fillId="0" borderId="0" xfId="1" applyNumberFormat="1" applyFont="1" applyFill="1" applyBorder="1"/>
    <xf numFmtId="1" fontId="7" fillId="0" borderId="2" xfId="1" applyNumberFormat="1" applyFont="1" applyFill="1" applyBorder="1"/>
    <xf numFmtId="1" fontId="23" fillId="0" borderId="0" xfId="1" applyNumberFormat="1" applyFont="1" applyFill="1" applyBorder="1"/>
    <xf numFmtId="1" fontId="23" fillId="0" borderId="2" xfId="1" applyNumberFormat="1" applyFont="1" applyFill="1" applyBorder="1"/>
    <xf numFmtId="1" fontId="32" fillId="0" borderId="0" xfId="1" applyNumberFormat="1" applyFont="1" applyFill="1" applyBorder="1"/>
    <xf numFmtId="1" fontId="32" fillId="0" borderId="2" xfId="1" applyNumberFormat="1" applyFont="1" applyFill="1" applyBorder="1"/>
    <xf numFmtId="1" fontId="126" fillId="0" borderId="0" xfId="1" applyNumberFormat="1" applyFont="1" applyFill="1" applyBorder="1"/>
    <xf numFmtId="1" fontId="126" fillId="0" borderId="2" xfId="1" applyNumberFormat="1" applyFont="1" applyFill="1" applyBorder="1"/>
    <xf numFmtId="1" fontId="20" fillId="0" borderId="133" xfId="1" applyNumberFormat="1" applyFont="1" applyFill="1" applyBorder="1"/>
    <xf numFmtId="0" fontId="34" fillId="0" borderId="6" xfId="0" applyFont="1" applyBorder="1"/>
    <xf numFmtId="0" fontId="29" fillId="0" borderId="147" xfId="0" applyFont="1" applyBorder="1" applyAlignment="1">
      <alignment horizontal="right"/>
    </xf>
    <xf numFmtId="0" fontId="15" fillId="0" borderId="148" xfId="0" applyFont="1" applyBorder="1"/>
    <xf numFmtId="0" fontId="8" fillId="0" borderId="133" xfId="0" applyFont="1" applyBorder="1"/>
    <xf numFmtId="0" fontId="12" fillId="0" borderId="133" xfId="0" applyFont="1" applyBorder="1"/>
    <xf numFmtId="0" fontId="124" fillId="0" borderId="133" xfId="0" applyFont="1" applyBorder="1"/>
    <xf numFmtId="0" fontId="40" fillId="0" borderId="133" xfId="0" applyFont="1" applyBorder="1"/>
    <xf numFmtId="0" fontId="136" fillId="0" borderId="133" xfId="0" applyFont="1" applyBorder="1"/>
    <xf numFmtId="0" fontId="20" fillId="0" borderId="133" xfId="0" applyFont="1" applyBorder="1"/>
    <xf numFmtId="0" fontId="153" fillId="0" borderId="133" xfId="0" applyFont="1" applyBorder="1"/>
    <xf numFmtId="0" fontId="19" fillId="0" borderId="133" xfId="0" applyFont="1" applyBorder="1"/>
    <xf numFmtId="0" fontId="152" fillId="0" borderId="133" xfId="0" applyFont="1" applyBorder="1"/>
    <xf numFmtId="0" fontId="6" fillId="0" borderId="133" xfId="0" applyFont="1" applyBorder="1"/>
    <xf numFmtId="0" fontId="1" fillId="0" borderId="133" xfId="0" applyFont="1" applyBorder="1"/>
    <xf numFmtId="0" fontId="120" fillId="0" borderId="133" xfId="0" applyFont="1" applyBorder="1"/>
    <xf numFmtId="0" fontId="65" fillId="0" borderId="133" xfId="0" applyFont="1" applyBorder="1"/>
    <xf numFmtId="0" fontId="118" fillId="0" borderId="133" xfId="0" applyFont="1" applyBorder="1"/>
    <xf numFmtId="0" fontId="46" fillId="0" borderId="133" xfId="0" applyFont="1" applyBorder="1"/>
    <xf numFmtId="0" fontId="119" fillId="0" borderId="133" xfId="0" applyFont="1" applyBorder="1"/>
    <xf numFmtId="0" fontId="69" fillId="0" borderId="133" xfId="0" applyFont="1" applyBorder="1"/>
    <xf numFmtId="0" fontId="17" fillId="0" borderId="133" xfId="0" applyFont="1" applyBorder="1"/>
    <xf numFmtId="0" fontId="7" fillId="0" borderId="133" xfId="0" applyFont="1" applyBorder="1"/>
    <xf numFmtId="0" fontId="23" fillId="0" borderId="133" xfId="0" applyFont="1" applyBorder="1"/>
    <xf numFmtId="0" fontId="32" fillId="0" borderId="133" xfId="0" applyFont="1" applyBorder="1"/>
    <xf numFmtId="0" fontId="71" fillId="0" borderId="133" xfId="0" applyFont="1" applyBorder="1"/>
    <xf numFmtId="0" fontId="151" fillId="0" borderId="133" xfId="0" applyFont="1" applyBorder="1"/>
    <xf numFmtId="0" fontId="84" fillId="0" borderId="133" xfId="0" applyFont="1" applyBorder="1"/>
    <xf numFmtId="0" fontId="104" fillId="0" borderId="0" xfId="0" applyFont="1"/>
    <xf numFmtId="0" fontId="57" fillId="0" borderId="0" xfId="0" applyFont="1"/>
    <xf numFmtId="0" fontId="103" fillId="0" borderId="0" xfId="0" applyFont="1"/>
    <xf numFmtId="0" fontId="66" fillId="0" borderId="0" xfId="0" applyFont="1"/>
    <xf numFmtId="0" fontId="71" fillId="0" borderId="0" xfId="0" applyFont="1"/>
    <xf numFmtId="0" fontId="122" fillId="0" borderId="0" xfId="0" applyFont="1"/>
    <xf numFmtId="0" fontId="117" fillId="0" borderId="0" xfId="0" applyFont="1"/>
    <xf numFmtId="0" fontId="116" fillId="0" borderId="0" xfId="0" applyFont="1"/>
    <xf numFmtId="1" fontId="15" fillId="0" borderId="0" xfId="0" applyNumberFormat="1" applyFont="1"/>
    <xf numFmtId="2" fontId="29" fillId="0" borderId="0" xfId="0" applyNumberFormat="1" applyFont="1"/>
    <xf numFmtId="0" fontId="0" fillId="71" borderId="78" xfId="0" applyFill="1" applyBorder="1"/>
    <xf numFmtId="0" fontId="15" fillId="71" borderId="0" xfId="0" applyFont="1" applyFill="1"/>
    <xf numFmtId="0" fontId="0" fillId="71" borderId="0" xfId="0" applyFill="1"/>
    <xf numFmtId="0" fontId="15" fillId="71" borderId="66" xfId="0" applyFont="1" applyFill="1" applyBorder="1" applyAlignment="1">
      <alignment horizontal="center"/>
    </xf>
    <xf numFmtId="0" fontId="15" fillId="71" borderId="109" xfId="0" applyFont="1" applyFill="1" applyBorder="1" applyAlignment="1">
      <alignment horizontal="center"/>
    </xf>
    <xf numFmtId="0" fontId="201" fillId="0" borderId="0" xfId="0" applyFont="1"/>
    <xf numFmtId="0" fontId="202" fillId="0" borderId="0" xfId="0" applyFont="1"/>
    <xf numFmtId="0" fontId="203" fillId="0" borderId="0" xfId="0" applyFont="1"/>
    <xf numFmtId="0" fontId="201" fillId="0" borderId="43" xfId="0" applyFont="1" applyBorder="1"/>
    <xf numFmtId="0" fontId="19" fillId="0" borderId="43" xfId="0" applyFont="1" applyBorder="1"/>
    <xf numFmtId="0" fontId="67" fillId="0" borderId="43" xfId="0" applyFont="1" applyBorder="1"/>
    <xf numFmtId="0" fontId="202" fillId="0" borderId="43" xfId="0" applyFont="1" applyBorder="1"/>
    <xf numFmtId="0" fontId="203" fillId="0" borderId="43" xfId="0" applyFont="1" applyBorder="1"/>
    <xf numFmtId="0" fontId="0" fillId="0" borderId="149" xfId="0" applyBorder="1"/>
    <xf numFmtId="0" fontId="15" fillId="0" borderId="150" xfId="0" applyFont="1" applyBorder="1" applyAlignment="1">
      <alignment horizontal="right"/>
    </xf>
    <xf numFmtId="0" fontId="15" fillId="0" borderId="140" xfId="0" applyFont="1" applyBorder="1"/>
    <xf numFmtId="0" fontId="205" fillId="0" borderId="0" xfId="0" applyFont="1"/>
    <xf numFmtId="0" fontId="15" fillId="0" borderId="135" xfId="0" applyFont="1" applyBorder="1" applyAlignment="1">
      <alignment horizontal="right"/>
    </xf>
    <xf numFmtId="0" fontId="86" fillId="0" borderId="136" xfId="0" applyFont="1" applyBorder="1"/>
    <xf numFmtId="0" fontId="35" fillId="0" borderId="136" xfId="0" applyFont="1" applyBorder="1"/>
    <xf numFmtId="0" fontId="175" fillId="0" borderId="136" xfId="0" applyFont="1" applyBorder="1"/>
    <xf numFmtId="0" fontId="177" fillId="0" borderId="136" xfId="0" applyFont="1" applyBorder="1"/>
    <xf numFmtId="0" fontId="178" fillId="0" borderId="136" xfId="0" applyFont="1" applyBorder="1"/>
    <xf numFmtId="0" fontId="34" fillId="0" borderId="136" xfId="0" applyFont="1" applyBorder="1"/>
    <xf numFmtId="0" fontId="150" fillId="0" borderId="136" xfId="0" applyFont="1" applyBorder="1"/>
    <xf numFmtId="0" fontId="179" fillId="0" borderId="136" xfId="0" applyFont="1" applyBorder="1"/>
    <xf numFmtId="0" fontId="193" fillId="0" borderId="136" xfId="0" applyFont="1" applyBorder="1"/>
    <xf numFmtId="0" fontId="191" fillId="0" borderId="136" xfId="0" applyFont="1" applyBorder="1"/>
    <xf numFmtId="0" fontId="15" fillId="0" borderId="136" xfId="0" applyFont="1" applyBorder="1"/>
    <xf numFmtId="0" fontId="31" fillId="0" borderId="136" xfId="0" applyFont="1" applyBorder="1"/>
    <xf numFmtId="0" fontId="43" fillId="0" borderId="136" xfId="0" applyFont="1" applyBorder="1"/>
    <xf numFmtId="0" fontId="190" fillId="0" borderId="136" xfId="0" applyFont="1" applyBorder="1"/>
    <xf numFmtId="0" fontId="189" fillId="0" borderId="136" xfId="0" applyFont="1" applyBorder="1"/>
    <xf numFmtId="0" fontId="183" fillId="0" borderId="136" xfId="0" applyFont="1" applyBorder="1"/>
    <xf numFmtId="0" fontId="187" fillId="0" borderId="136" xfId="0" applyFont="1" applyBorder="1"/>
    <xf numFmtId="0" fontId="185" fillId="0" borderId="136" xfId="0" applyFont="1" applyBorder="1"/>
    <xf numFmtId="0" fontId="181" fillId="0" borderId="136" xfId="0" applyFont="1" applyBorder="1"/>
    <xf numFmtId="0" fontId="195" fillId="0" borderId="136" xfId="0" applyFont="1" applyBorder="1"/>
    <xf numFmtId="0" fontId="196" fillId="0" borderId="136" xfId="0" applyFont="1" applyBorder="1"/>
    <xf numFmtId="0" fontId="96" fillId="0" borderId="136" xfId="0" applyFont="1" applyBorder="1"/>
    <xf numFmtId="0" fontId="197" fillId="0" borderId="136" xfId="0" applyFont="1" applyBorder="1"/>
    <xf numFmtId="0" fontId="15" fillId="0" borderId="137" xfId="0" applyFont="1" applyBorder="1"/>
    <xf numFmtId="0" fontId="15" fillId="0" borderId="149" xfId="0" applyFont="1" applyBorder="1" applyAlignment="1">
      <alignment horizontal="right"/>
    </xf>
    <xf numFmtId="2" fontId="20" fillId="0" borderId="141" xfId="0" applyNumberFormat="1" applyFont="1" applyBorder="1"/>
    <xf numFmtId="1" fontId="20" fillId="0" borderId="133" xfId="0" applyNumberFormat="1" applyFont="1" applyBorder="1"/>
    <xf numFmtId="1" fontId="20" fillId="0" borderId="140" xfId="0" applyNumberFormat="1" applyFont="1" applyBorder="1"/>
    <xf numFmtId="0" fontId="31" fillId="0" borderId="151" xfId="0" applyFont="1" applyBorder="1" applyAlignment="1">
      <alignment horizontal="center"/>
    </xf>
    <xf numFmtId="0" fontId="12" fillId="0" borderId="0" xfId="0" applyFont="1" applyAlignment="1">
      <alignment vertical="center"/>
    </xf>
    <xf numFmtId="0" fontId="124" fillId="0" borderId="0" xfId="0" applyFont="1" applyAlignment="1">
      <alignment vertical="center"/>
    </xf>
    <xf numFmtId="0" fontId="40" fillId="0" borderId="0" xfId="0" applyFont="1" applyAlignment="1">
      <alignment vertical="center"/>
    </xf>
    <xf numFmtId="2" fontId="35" fillId="0" borderId="0" xfId="0" applyNumberFormat="1" applyFont="1" applyAlignment="1">
      <alignment vertical="center"/>
    </xf>
    <xf numFmtId="2" fontId="150" fillId="0" borderId="0" xfId="0" applyNumberFormat="1" applyFont="1" applyAlignment="1">
      <alignment vertical="center"/>
    </xf>
    <xf numFmtId="2" fontId="42" fillId="0" borderId="0" xfId="0" applyNumberFormat="1" applyFont="1" applyAlignment="1">
      <alignment vertical="center"/>
    </xf>
    <xf numFmtId="2" fontId="34" fillId="0" borderId="0" xfId="0" applyNumberFormat="1" applyFont="1" applyAlignment="1">
      <alignment vertical="center"/>
    </xf>
    <xf numFmtId="2" fontId="15" fillId="0" borderId="0" xfId="0" applyNumberFormat="1" applyFont="1" applyAlignment="1">
      <alignment vertical="center"/>
    </xf>
    <xf numFmtId="0" fontId="0" fillId="0" borderId="0" xfId="0" applyAlignment="1">
      <alignment horizontal="right" vertical="center"/>
    </xf>
    <xf numFmtId="0" fontId="76" fillId="0" borderId="0" xfId="0" applyFont="1" applyAlignment="1">
      <alignment horizontal="right" vertical="center"/>
    </xf>
    <xf numFmtId="0" fontId="12" fillId="0" borderId="0" xfId="0" applyFont="1" applyAlignment="1">
      <alignment horizontal="right" vertical="center"/>
    </xf>
    <xf numFmtId="0" fontId="12" fillId="19" borderId="0" xfId="0" applyFont="1" applyFill="1" applyAlignment="1">
      <alignment horizontal="right" vertical="center"/>
    </xf>
    <xf numFmtId="0" fontId="15" fillId="0" borderId="0" xfId="0" applyFont="1" applyAlignment="1">
      <alignment vertical="top"/>
    </xf>
    <xf numFmtId="0" fontId="6" fillId="0" borderId="143" xfId="0" applyFont="1" applyBorder="1" applyAlignment="1">
      <alignment horizontal="right"/>
    </xf>
    <xf numFmtId="0" fontId="0" fillId="0" borderId="154" xfId="0" applyBorder="1" applyAlignment="1">
      <alignment horizontal="center"/>
    </xf>
    <xf numFmtId="0" fontId="0" fillId="0" borderId="155" xfId="0" applyBorder="1" applyAlignment="1">
      <alignment horizontal="right"/>
    </xf>
    <xf numFmtId="0" fontId="0" fillId="0" borderId="156" xfId="0" applyBorder="1" applyAlignment="1">
      <alignment horizontal="right"/>
    </xf>
    <xf numFmtId="0" fontId="24" fillId="0" borderId="65" xfId="0" applyFont="1" applyBorder="1"/>
    <xf numFmtId="0" fontId="0" fillId="0" borderId="5" xfId="0" applyBorder="1" applyAlignment="1">
      <alignment horizontal="left"/>
    </xf>
    <xf numFmtId="0" fontId="2" fillId="0" borderId="5" xfId="0" applyFont="1" applyBorder="1" applyAlignment="1">
      <alignment horizontal="left"/>
    </xf>
    <xf numFmtId="0" fontId="0" fillId="20" borderId="5" xfId="0" applyFill="1" applyBorder="1" applyAlignment="1">
      <alignment horizontal="left"/>
    </xf>
    <xf numFmtId="0" fontId="0" fillId="0" borderId="157" xfId="0" applyBorder="1" applyAlignment="1">
      <alignment horizontal="center"/>
    </xf>
    <xf numFmtId="0" fontId="0" fillId="0" borderId="157" xfId="0" applyBorder="1"/>
    <xf numFmtId="0" fontId="0" fillId="0" borderId="157" xfId="0" applyBorder="1" applyAlignment="1">
      <alignment horizontal="left"/>
    </xf>
    <xf numFmtId="0" fontId="0" fillId="0" borderId="157" xfId="0" applyBorder="1" applyAlignment="1">
      <alignment horizontal="center" vertical="center"/>
    </xf>
    <xf numFmtId="0" fontId="21" fillId="0" borderId="157" xfId="0" applyFont="1" applyBorder="1" applyAlignment="1">
      <alignment horizontal="left"/>
    </xf>
    <xf numFmtId="0" fontId="2" fillId="9" borderId="44" xfId="0" applyFont="1" applyFill="1" applyBorder="1" applyAlignment="1">
      <alignment horizontal="left"/>
    </xf>
    <xf numFmtId="0" fontId="0" fillId="0" borderId="44" xfId="0" applyBorder="1" applyAlignment="1">
      <alignment horizontal="left"/>
    </xf>
    <xf numFmtId="0" fontId="2" fillId="46" borderId="44" xfId="0" applyFont="1" applyFill="1" applyBorder="1" applyAlignment="1">
      <alignment horizontal="left"/>
    </xf>
    <xf numFmtId="0" fontId="0" fillId="20" borderId="44" xfId="0" applyFill="1" applyBorder="1" applyAlignment="1">
      <alignment horizontal="left"/>
    </xf>
    <xf numFmtId="0" fontId="2" fillId="41" borderId="44" xfId="0" applyFont="1" applyFill="1" applyBorder="1" applyAlignment="1">
      <alignment horizontal="left"/>
    </xf>
    <xf numFmtId="0" fontId="2" fillId="16" borderId="44" xfId="0" applyFont="1" applyFill="1" applyBorder="1" applyAlignment="1">
      <alignment horizontal="left"/>
    </xf>
    <xf numFmtId="0" fontId="0" fillId="28" borderId="44" xfId="0" applyFill="1" applyBorder="1" applyAlignment="1">
      <alignment horizontal="left"/>
    </xf>
    <xf numFmtId="0" fontId="2" fillId="48" borderId="44" xfId="0" applyFont="1" applyFill="1" applyBorder="1" applyAlignment="1">
      <alignment horizontal="left"/>
    </xf>
    <xf numFmtId="0" fontId="0" fillId="45" borderId="44" xfId="0" applyFill="1" applyBorder="1" applyAlignment="1">
      <alignment horizontal="left"/>
    </xf>
    <xf numFmtId="0" fontId="2" fillId="47" borderId="44" xfId="0" applyFont="1" applyFill="1" applyBorder="1" applyAlignment="1">
      <alignment horizontal="left"/>
    </xf>
    <xf numFmtId="0" fontId="2" fillId="13" borderId="44" xfId="0" applyFont="1" applyFill="1" applyBorder="1" applyAlignment="1">
      <alignment horizontal="left"/>
    </xf>
    <xf numFmtId="0" fontId="0" fillId="43" borderId="44" xfId="0" applyFill="1" applyBorder="1" applyAlignment="1">
      <alignment horizontal="left"/>
    </xf>
    <xf numFmtId="0" fontId="2" fillId="44" borderId="44" xfId="0" applyFont="1" applyFill="1" applyBorder="1" applyAlignment="1">
      <alignment horizontal="left"/>
    </xf>
    <xf numFmtId="0" fontId="2" fillId="7" borderId="44" xfId="0" applyFont="1" applyFill="1" applyBorder="1" applyAlignment="1">
      <alignment horizontal="left"/>
    </xf>
    <xf numFmtId="0" fontId="21" fillId="39" borderId="44" xfId="0" applyFont="1" applyFill="1" applyBorder="1" applyAlignment="1">
      <alignment horizontal="left"/>
    </xf>
    <xf numFmtId="0" fontId="21" fillId="39" borderId="44" xfId="0" applyFont="1" applyFill="1" applyBorder="1"/>
    <xf numFmtId="0" fontId="20" fillId="42" borderId="44" xfId="0" applyFont="1" applyFill="1" applyBorder="1" applyAlignment="1">
      <alignment horizontal="left"/>
    </xf>
    <xf numFmtId="0" fontId="0" fillId="2" borderId="78" xfId="0" applyFill="1" applyBorder="1"/>
    <xf numFmtId="0" fontId="15" fillId="2" borderId="0" xfId="0" applyFont="1" applyFill="1"/>
    <xf numFmtId="0" fontId="0" fillId="22" borderId="78" xfId="0" applyFill="1" applyBorder="1"/>
    <xf numFmtId="0" fontId="15" fillId="22" borderId="0" xfId="0" applyFont="1" applyFill="1"/>
    <xf numFmtId="0" fontId="0" fillId="22" borderId="135" xfId="0" applyFill="1" applyBorder="1"/>
    <xf numFmtId="0" fontId="0" fillId="22" borderId="136" xfId="0" applyFill="1" applyBorder="1"/>
    <xf numFmtId="0" fontId="0" fillId="22" borderId="137" xfId="0" applyFill="1" applyBorder="1"/>
    <xf numFmtId="0" fontId="0" fillId="22" borderId="0" xfId="0" applyFill="1"/>
    <xf numFmtId="0" fontId="15" fillId="22" borderId="66" xfId="0" applyFont="1" applyFill="1" applyBorder="1" applyAlignment="1">
      <alignment horizontal="center"/>
    </xf>
    <xf numFmtId="0" fontId="15" fillId="22" borderId="109" xfId="0" applyFont="1" applyFill="1" applyBorder="1" applyAlignment="1">
      <alignment horizontal="center"/>
    </xf>
    <xf numFmtId="0" fontId="0" fillId="2" borderId="0" xfId="0" applyFill="1"/>
    <xf numFmtId="0" fontId="2" fillId="19" borderId="0" xfId="0" applyFont="1" applyFill="1" applyAlignment="1">
      <alignment horizontal="left"/>
    </xf>
    <xf numFmtId="0" fontId="2" fillId="13" borderId="5" xfId="0" applyFont="1" applyFill="1" applyBorder="1" applyAlignment="1">
      <alignment horizontal="left"/>
    </xf>
    <xf numFmtId="0" fontId="33" fillId="0" borderId="0" xfId="1" applyNumberFormat="1" applyFont="1" applyBorder="1"/>
    <xf numFmtId="0" fontId="15" fillId="2" borderId="109" xfId="0" applyFont="1" applyFill="1" applyBorder="1" applyAlignment="1">
      <alignment horizontal="center"/>
    </xf>
    <xf numFmtId="0" fontId="15" fillId="2" borderId="66" xfId="0" applyFont="1" applyFill="1" applyBorder="1" applyAlignment="1">
      <alignment horizontal="center"/>
    </xf>
    <xf numFmtId="0" fontId="209" fillId="0" borderId="0" xfId="0" applyFont="1"/>
    <xf numFmtId="0" fontId="210" fillId="0" borderId="0" xfId="0" applyFont="1"/>
    <xf numFmtId="0" fontId="211" fillId="0" borderId="0" xfId="0" applyFont="1"/>
    <xf numFmtId="0" fontId="212" fillId="0" borderId="0" xfId="0" applyFont="1"/>
    <xf numFmtId="0" fontId="40" fillId="0" borderId="43" xfId="0" applyFont="1" applyBorder="1"/>
    <xf numFmtId="0" fontId="209" fillId="0" borderId="43" xfId="0" applyFont="1" applyBorder="1"/>
    <xf numFmtId="0" fontId="205" fillId="0" borderId="43" xfId="0" applyFont="1" applyBorder="1"/>
    <xf numFmtId="9" fontId="213" fillId="0" borderId="0" xfId="1" applyFont="1" applyBorder="1"/>
    <xf numFmtId="0" fontId="203" fillId="0" borderId="133" xfId="0" applyFont="1" applyBorder="1"/>
    <xf numFmtId="9" fontId="213" fillId="0" borderId="133" xfId="1" applyFont="1" applyBorder="1"/>
    <xf numFmtId="9" fontId="214" fillId="0" borderId="141" xfId="1" applyFont="1" applyBorder="1"/>
    <xf numFmtId="0" fontId="194" fillId="0" borderId="133" xfId="0" applyFont="1" applyBorder="1"/>
    <xf numFmtId="9" fontId="214" fillId="0" borderId="140" xfId="1" applyFont="1" applyBorder="1"/>
    <xf numFmtId="0" fontId="1" fillId="0" borderId="148" xfId="0" applyFont="1" applyBorder="1"/>
    <xf numFmtId="0" fontId="0" fillId="0" borderId="3" xfId="0" applyBorder="1" applyAlignment="1">
      <alignment horizontal="center"/>
    </xf>
    <xf numFmtId="9" fontId="85" fillId="0" borderId="2" xfId="1" applyFont="1" applyBorder="1"/>
    <xf numFmtId="9" fontId="85" fillId="0" borderId="147" xfId="1" applyFont="1" applyBorder="1"/>
    <xf numFmtId="0" fontId="12" fillId="0" borderId="6" xfId="0" applyFont="1" applyBorder="1"/>
    <xf numFmtId="9" fontId="39" fillId="0" borderId="2" xfId="1" applyFont="1" applyBorder="1"/>
    <xf numFmtId="0" fontId="12" fillId="0" borderId="148" xfId="0" applyFont="1" applyBorder="1"/>
    <xf numFmtId="9" fontId="39" fillId="0" borderId="147" xfId="1" applyFont="1" applyBorder="1"/>
    <xf numFmtId="0" fontId="84" fillId="0" borderId="6" xfId="0" applyFont="1" applyBorder="1"/>
    <xf numFmtId="9" fontId="167" fillId="0" borderId="2" xfId="1" applyFont="1" applyBorder="1"/>
    <xf numFmtId="0" fontId="84" fillId="0" borderId="148" xfId="0" applyFont="1" applyBorder="1"/>
    <xf numFmtId="9" fontId="167" fillId="0" borderId="147" xfId="1" applyFont="1" applyBorder="1"/>
    <xf numFmtId="0" fontId="33" fillId="0" borderId="133" xfId="0" applyFont="1" applyBorder="1"/>
    <xf numFmtId="9" fontId="156" fillId="0" borderId="2" xfId="1" applyFont="1" applyBorder="1"/>
    <xf numFmtId="9" fontId="156" fillId="0" borderId="147" xfId="1" applyFont="1" applyBorder="1"/>
    <xf numFmtId="0" fontId="24" fillId="8" borderId="159" xfId="0" applyFont="1" applyFill="1" applyBorder="1"/>
    <xf numFmtId="0" fontId="6" fillId="0" borderId="152" xfId="0" applyFont="1" applyBorder="1" applyAlignment="1">
      <alignment horizontal="right"/>
    </xf>
    <xf numFmtId="0" fontId="0" fillId="0" borderId="160" xfId="0" applyBorder="1" applyAlignment="1">
      <alignment horizontal="center"/>
    </xf>
    <xf numFmtId="0" fontId="0" fillId="0" borderId="161" xfId="0" applyBorder="1" applyAlignment="1">
      <alignment horizontal="center"/>
    </xf>
    <xf numFmtId="0" fontId="0" fillId="0" borderId="162" xfId="0" applyBorder="1" applyAlignment="1">
      <alignment horizontal="center"/>
    </xf>
    <xf numFmtId="0" fontId="194" fillId="0" borderId="140" xfId="0" applyFont="1" applyBorder="1"/>
    <xf numFmtId="0" fontId="215" fillId="0" borderId="0" xfId="0" applyFont="1" applyAlignment="1">
      <alignment vertical="center"/>
    </xf>
    <xf numFmtId="0" fontId="33" fillId="0" borderId="0" xfId="0" applyFont="1" applyAlignment="1">
      <alignment horizontal="right" vertical="top"/>
    </xf>
    <xf numFmtId="0" fontId="31" fillId="0" borderId="3" xfId="0" applyFont="1" applyBorder="1" applyAlignment="1">
      <alignment horizontal="center" vertical="top"/>
    </xf>
    <xf numFmtId="0" fontId="34" fillId="0" borderId="1" xfId="0" applyFont="1" applyBorder="1" applyAlignment="1">
      <alignment horizontal="center" vertical="top"/>
    </xf>
    <xf numFmtId="0" fontId="33" fillId="0" borderId="163" xfId="0" applyFont="1" applyBorder="1" applyAlignment="1">
      <alignment horizontal="right" vertical="top"/>
    </xf>
    <xf numFmtId="0" fontId="42" fillId="0" borderId="136" xfId="0" applyFont="1" applyBorder="1" applyAlignment="1">
      <alignment horizontal="center"/>
    </xf>
    <xf numFmtId="0" fontId="35" fillId="0" borderId="136" xfId="0" applyFont="1" applyBorder="1" applyAlignment="1">
      <alignment horizontal="center"/>
    </xf>
    <xf numFmtId="0" fontId="31" fillId="0" borderId="143" xfId="0" applyFont="1" applyBorder="1" applyAlignment="1">
      <alignment horizontal="left" vertical="top"/>
    </xf>
    <xf numFmtId="0" fontId="20" fillId="0" borderId="155" xfId="0" applyFont="1" applyBorder="1" applyAlignment="1">
      <alignment horizontal="right"/>
    </xf>
    <xf numFmtId="0" fontId="38" fillId="28" borderId="0" xfId="0" applyFont="1" applyFill="1" applyAlignment="1">
      <alignment horizontal="left"/>
    </xf>
    <xf numFmtId="0" fontId="41" fillId="28" borderId="0" xfId="0" applyFont="1" applyFill="1" applyAlignment="1">
      <alignment horizontal="left"/>
    </xf>
    <xf numFmtId="0" fontId="38" fillId="28" borderId="0" xfId="0" applyFont="1" applyFill="1" applyAlignment="1">
      <alignment horizontal="left" wrapText="1"/>
    </xf>
    <xf numFmtId="0" fontId="40" fillId="0" borderId="0" xfId="0" applyFont="1" applyAlignment="1">
      <alignment horizontal="left" wrapText="1"/>
    </xf>
    <xf numFmtId="0" fontId="41" fillId="28" borderId="0" xfId="0" applyFont="1" applyFill="1" applyAlignment="1">
      <alignment horizontal="left" wrapText="1"/>
    </xf>
    <xf numFmtId="0" fontId="40" fillId="28" borderId="0" xfId="0" applyFont="1" applyFill="1"/>
    <xf numFmtId="0" fontId="40" fillId="0" borderId="0" xfId="0" applyFont="1" applyAlignment="1">
      <alignment wrapText="1"/>
    </xf>
    <xf numFmtId="0" fontId="20" fillId="0" borderId="156" xfId="0" applyFont="1" applyBorder="1" applyAlignment="1">
      <alignment horizontal="right"/>
    </xf>
    <xf numFmtId="0" fontId="20" fillId="0" borderId="133" xfId="0" applyFont="1" applyBorder="1" applyAlignment="1">
      <alignment horizontal="left"/>
    </xf>
    <xf numFmtId="0" fontId="38" fillId="28" borderId="133" xfId="0" applyFont="1" applyFill="1" applyBorder="1" applyAlignment="1">
      <alignment horizontal="left"/>
    </xf>
    <xf numFmtId="0" fontId="40" fillId="0" borderId="133" xfId="0" applyFont="1" applyBorder="1" applyAlignment="1">
      <alignment horizontal="left"/>
    </xf>
    <xf numFmtId="0" fontId="41" fillId="28" borderId="133" xfId="0" applyFont="1" applyFill="1" applyBorder="1" applyAlignment="1">
      <alignment horizontal="left"/>
    </xf>
    <xf numFmtId="0" fontId="38" fillId="28" borderId="154" xfId="0" applyFont="1" applyFill="1" applyBorder="1" applyAlignment="1">
      <alignment horizontal="center"/>
    </xf>
    <xf numFmtId="0" fontId="41" fillId="28" borderId="141" xfId="0" applyFont="1" applyFill="1" applyBorder="1" applyAlignment="1">
      <alignment horizontal="left"/>
    </xf>
    <xf numFmtId="0" fontId="41" fillId="28" borderId="141" xfId="0" applyFont="1" applyFill="1" applyBorder="1" applyAlignment="1">
      <alignment horizontal="left" wrapText="1"/>
    </xf>
    <xf numFmtId="0" fontId="41" fillId="28" borderId="140" xfId="0" applyFont="1" applyFill="1" applyBorder="1" applyAlignment="1">
      <alignment horizontal="left"/>
    </xf>
    <xf numFmtId="0" fontId="44" fillId="0" borderId="0" xfId="0" applyFont="1" applyAlignment="1">
      <alignment vertical="center"/>
    </xf>
    <xf numFmtId="0" fontId="2" fillId="9" borderId="0" xfId="0" applyFont="1" applyFill="1" applyAlignment="1">
      <alignment horizontal="center"/>
    </xf>
    <xf numFmtId="0" fontId="2" fillId="7" borderId="0" xfId="0" applyFont="1" applyFill="1" applyAlignment="1">
      <alignment horizontal="center"/>
    </xf>
    <xf numFmtId="0" fontId="0" fillId="0" borderId="0" xfId="0" applyAlignment="1">
      <alignment horizontal="center" vertical="center"/>
    </xf>
    <xf numFmtId="9" fontId="15" fillId="38" borderId="7" xfId="1" applyFont="1" applyFill="1" applyBorder="1"/>
    <xf numFmtId="9" fontId="0" fillId="38" borderId="7" xfId="1" applyFont="1" applyFill="1" applyBorder="1" applyAlignment="1">
      <alignment horizontal="right"/>
    </xf>
    <xf numFmtId="9" fontId="0" fillId="38" borderId="8" xfId="1" applyFont="1" applyFill="1" applyBorder="1" applyAlignment="1">
      <alignment horizontal="right"/>
    </xf>
    <xf numFmtId="9" fontId="0" fillId="38" borderId="7" xfId="1" applyFont="1" applyFill="1" applyBorder="1"/>
    <xf numFmtId="0" fontId="216" fillId="0" borderId="63" xfId="0" applyFont="1" applyBorder="1"/>
    <xf numFmtId="16" fontId="2" fillId="0" borderId="0" xfId="0" applyNumberFormat="1" applyFont="1"/>
    <xf numFmtId="0" fontId="2" fillId="8" borderId="0" xfId="0" applyFont="1" applyFill="1"/>
    <xf numFmtId="17" fontId="2" fillId="0" borderId="0" xfId="0" applyNumberFormat="1" applyFont="1"/>
    <xf numFmtId="2" fontId="217" fillId="0" borderId="0" xfId="0" applyNumberFormat="1" applyFont="1"/>
    <xf numFmtId="16" fontId="2" fillId="4" borderId="0" xfId="0" applyNumberFormat="1" applyFont="1" applyFill="1"/>
    <xf numFmtId="0" fontId="218" fillId="0" borderId="0" xfId="0" applyFont="1"/>
    <xf numFmtId="0" fontId="219" fillId="0" borderId="0" xfId="0" applyFont="1"/>
    <xf numFmtId="0" fontId="217" fillId="0" borderId="0" xfId="0" applyFont="1"/>
    <xf numFmtId="0" fontId="146" fillId="0" borderId="0" xfId="0" applyFont="1"/>
    <xf numFmtId="0" fontId="146" fillId="8" borderId="0" xfId="0" applyFont="1" applyFill="1"/>
    <xf numFmtId="0" fontId="148" fillId="4" borderId="0" xfId="0" applyFont="1" applyFill="1"/>
    <xf numFmtId="0" fontId="147" fillId="4" borderId="0" xfId="0" applyFont="1" applyFill="1"/>
    <xf numFmtId="0" fontId="220" fillId="0" borderId="60" xfId="0" applyFont="1" applyBorder="1" applyAlignment="1">
      <alignment horizontal="center"/>
    </xf>
    <xf numFmtId="0" fontId="2" fillId="0" borderId="32" xfId="0" applyFont="1" applyBorder="1"/>
    <xf numFmtId="0" fontId="2" fillId="0" borderId="0" xfId="3" applyNumberFormat="1" applyFont="1" applyFill="1" applyBorder="1"/>
    <xf numFmtId="0" fontId="2" fillId="0" borderId="0" xfId="3" applyNumberFormat="1" applyFont="1" applyFill="1"/>
    <xf numFmtId="0" fontId="0" fillId="7" borderId="0" xfId="0" applyFill="1"/>
    <xf numFmtId="0" fontId="2" fillId="0" borderId="1" xfId="0" applyFont="1" applyBorder="1"/>
    <xf numFmtId="0" fontId="75" fillId="0" borderId="0" xfId="0" applyFont="1" applyAlignment="1">
      <alignment horizontal="left" vertical="top"/>
    </xf>
    <xf numFmtId="0" fontId="6" fillId="0" borderId="3" xfId="0" applyFont="1" applyBorder="1"/>
    <xf numFmtId="0" fontId="0" fillId="26" borderId="0" xfId="0" applyFill="1" applyAlignment="1">
      <alignment horizontal="center"/>
    </xf>
    <xf numFmtId="0" fontId="2" fillId="4" borderId="0" xfId="0" applyFont="1" applyFill="1" applyAlignment="1">
      <alignment horizontal="center" vertical="center"/>
    </xf>
    <xf numFmtId="0" fontId="0" fillId="21" borderId="0" xfId="0" applyFill="1" applyAlignment="1">
      <alignment horizontal="center"/>
    </xf>
    <xf numFmtId="0" fontId="29" fillId="0" borderId="0" xfId="0" applyFont="1" applyAlignment="1">
      <alignment horizontal="center"/>
    </xf>
    <xf numFmtId="0" fontId="10" fillId="66" borderId="0" xfId="0" applyFont="1" applyFill="1" applyAlignment="1">
      <alignment horizontal="center" vertical="center"/>
    </xf>
    <xf numFmtId="0" fontId="0" fillId="3" borderId="0" xfId="0" applyFill="1" applyAlignment="1">
      <alignment horizontal="right"/>
    </xf>
    <xf numFmtId="0" fontId="0" fillId="0" borderId="0" xfId="0" quotePrefix="1" applyAlignment="1">
      <alignment horizontal="left" wrapText="1"/>
    </xf>
    <xf numFmtId="0" fontId="29" fillId="0" borderId="2" xfId="0" applyFont="1" applyBorder="1" applyAlignment="1">
      <alignment vertical="center"/>
    </xf>
    <xf numFmtId="0" fontId="33" fillId="0" borderId="152" xfId="0" applyFont="1" applyBorder="1" applyAlignment="1">
      <alignment horizontal="right" vertical="top"/>
    </xf>
    <xf numFmtId="0" fontId="15" fillId="0" borderId="160" xfId="0" applyFont="1" applyBorder="1" applyAlignment="1">
      <alignment horizontal="center"/>
    </xf>
    <xf numFmtId="0" fontId="6" fillId="0" borderId="3" xfId="0" applyFont="1" applyBorder="1" applyAlignment="1">
      <alignment horizontal="left" vertical="center"/>
    </xf>
    <xf numFmtId="0" fontId="15" fillId="0" borderId="9" xfId="0" applyFont="1" applyBorder="1" applyAlignment="1">
      <alignment horizontal="center" vertical="center"/>
    </xf>
    <xf numFmtId="0" fontId="2" fillId="16" borderId="3" xfId="0" applyFont="1" applyFill="1" applyBorder="1" applyAlignment="1">
      <alignment horizontal="left" vertical="center"/>
    </xf>
    <xf numFmtId="0" fontId="0" fillId="8" borderId="3" xfId="0" applyFill="1" applyBorder="1" applyAlignment="1">
      <alignment horizontal="left" vertical="center"/>
    </xf>
    <xf numFmtId="0" fontId="20" fillId="29" borderId="3" xfId="0" applyFont="1" applyFill="1" applyBorder="1" applyAlignment="1">
      <alignment horizontal="left" vertical="center"/>
    </xf>
    <xf numFmtId="0" fontId="2" fillId="40" borderId="3" xfId="0" applyFont="1" applyFill="1" applyBorder="1" applyAlignment="1">
      <alignment horizontal="left" vertical="center"/>
    </xf>
    <xf numFmtId="0" fontId="2" fillId="37" borderId="0" xfId="0" applyFont="1" applyFill="1" applyAlignment="1">
      <alignment vertical="center"/>
    </xf>
    <xf numFmtId="0" fontId="2" fillId="7" borderId="3" xfId="0" applyFont="1" applyFill="1" applyBorder="1" applyAlignment="1">
      <alignment horizontal="left" vertical="center"/>
    </xf>
    <xf numFmtId="0" fontId="0" fillId="28" borderId="3" xfId="0" applyFill="1" applyBorder="1" applyAlignment="1">
      <alignment horizontal="left" vertical="center"/>
    </xf>
    <xf numFmtId="0" fontId="20" fillId="42" borderId="3" xfId="0" applyFont="1" applyFill="1" applyBorder="1" applyAlignment="1">
      <alignment horizontal="left" vertical="center"/>
    </xf>
    <xf numFmtId="0" fontId="2" fillId="13" borderId="3" xfId="0" applyFont="1" applyFill="1" applyBorder="1" applyAlignment="1">
      <alignment horizontal="left" vertical="center"/>
    </xf>
    <xf numFmtId="0" fontId="2" fillId="12" borderId="3" xfId="0" applyFont="1" applyFill="1" applyBorder="1" applyAlignment="1">
      <alignment horizontal="left" vertical="center"/>
    </xf>
    <xf numFmtId="0" fontId="0" fillId="18" borderId="3" xfId="0" applyFill="1" applyBorder="1" applyAlignment="1">
      <alignment horizontal="left" vertical="center"/>
    </xf>
    <xf numFmtId="0" fontId="0" fillId="50" borderId="3" xfId="0" applyFill="1" applyBorder="1" applyAlignment="1">
      <alignment horizontal="left" vertical="center"/>
    </xf>
    <xf numFmtId="0" fontId="2" fillId="41" borderId="3" xfId="0" applyFont="1" applyFill="1" applyBorder="1" applyAlignment="1">
      <alignment horizontal="left" vertical="center"/>
    </xf>
    <xf numFmtId="0" fontId="2" fillId="4" borderId="3" xfId="0" applyFont="1" applyFill="1" applyBorder="1" applyAlignment="1">
      <alignment horizontal="left" vertical="center"/>
    </xf>
    <xf numFmtId="0" fontId="21" fillId="39" borderId="3" xfId="0" applyFont="1" applyFill="1" applyBorder="1" applyAlignment="1">
      <alignment horizontal="left" vertical="center"/>
    </xf>
    <xf numFmtId="0" fontId="2" fillId="44" borderId="3" xfId="0" applyFont="1" applyFill="1" applyBorder="1" applyAlignment="1">
      <alignment horizontal="left" vertical="center"/>
    </xf>
    <xf numFmtId="0" fontId="0" fillId="17" borderId="3" xfId="0" applyFill="1" applyBorder="1" applyAlignment="1">
      <alignment horizontal="left" vertical="center"/>
    </xf>
    <xf numFmtId="0" fontId="0" fillId="38" borderId="3" xfId="0" applyFill="1" applyBorder="1" applyAlignment="1">
      <alignment horizontal="left" vertical="center"/>
    </xf>
    <xf numFmtId="0" fontId="2" fillId="46" borderId="3" xfId="0" applyFont="1" applyFill="1" applyBorder="1" applyAlignment="1">
      <alignment horizontal="left" vertical="center"/>
    </xf>
    <xf numFmtId="0" fontId="0" fillId="45" borderId="3" xfId="0" applyFill="1" applyBorder="1" applyAlignment="1">
      <alignment horizontal="left" vertical="center"/>
    </xf>
    <xf numFmtId="0" fontId="2" fillId="47" borderId="3" xfId="0" applyFont="1" applyFill="1" applyBorder="1" applyAlignment="1">
      <alignment horizontal="left" vertical="center"/>
    </xf>
    <xf numFmtId="0" fontId="0" fillId="15" borderId="3" xfId="0" applyFill="1" applyBorder="1" applyAlignment="1">
      <alignment horizontal="left" vertical="center"/>
    </xf>
    <xf numFmtId="0" fontId="2" fillId="9" borderId="3" xfId="0" applyFont="1" applyFill="1" applyBorder="1" applyAlignment="1">
      <alignment horizontal="left" vertical="center"/>
    </xf>
    <xf numFmtId="0" fontId="0" fillId="20" borderId="3" xfId="0" applyFill="1" applyBorder="1" applyAlignment="1">
      <alignment horizontal="left" vertical="center"/>
    </xf>
    <xf numFmtId="0" fontId="2" fillId="48" borderId="3" xfId="0" applyFont="1" applyFill="1" applyBorder="1" applyAlignment="1">
      <alignment horizontal="left" vertical="center"/>
    </xf>
    <xf numFmtId="0" fontId="0" fillId="3" borderId="3" xfId="0" applyFill="1" applyBorder="1" applyAlignment="1">
      <alignment horizontal="left" vertical="center"/>
    </xf>
    <xf numFmtId="0" fontId="0" fillId="43" borderId="3" xfId="0" applyFill="1" applyBorder="1" applyAlignment="1">
      <alignment horizontal="left" vertical="center"/>
    </xf>
    <xf numFmtId="0" fontId="0" fillId="11" borderId="1" xfId="0" applyFill="1" applyBorder="1" applyAlignment="1">
      <alignment horizontal="left" vertical="center" wrapText="1"/>
    </xf>
    <xf numFmtId="0" fontId="1" fillId="0" borderId="6" xfId="0" applyFont="1" applyBorder="1" applyAlignment="1">
      <alignment horizontal="left"/>
    </xf>
    <xf numFmtId="0" fontId="1" fillId="0" borderId="0" xfId="0" applyFont="1" applyAlignment="1">
      <alignment horizontal="left"/>
    </xf>
    <xf numFmtId="0" fontId="66" fillId="0" borderId="0" xfId="0" applyFont="1" applyAlignment="1">
      <alignment horizontal="left"/>
    </xf>
    <xf numFmtId="0" fontId="56" fillId="0" borderId="0" xfId="0" applyFont="1" applyAlignment="1">
      <alignment horizontal="left"/>
    </xf>
    <xf numFmtId="0" fontId="20" fillId="37" borderId="6" xfId="0" applyFont="1" applyFill="1" applyBorder="1" applyAlignment="1">
      <alignment horizontal="left"/>
    </xf>
    <xf numFmtId="0" fontId="2" fillId="16" borderId="1" xfId="0" applyFont="1" applyFill="1" applyBorder="1" applyAlignment="1">
      <alignment horizontal="center"/>
    </xf>
    <xf numFmtId="0" fontId="0" fillId="8" borderId="1" xfId="0" applyFill="1" applyBorder="1" applyAlignment="1">
      <alignment horizontal="center"/>
    </xf>
    <xf numFmtId="0" fontId="20" fillId="29" borderId="1" xfId="0" applyFont="1" applyFill="1" applyBorder="1" applyAlignment="1">
      <alignment horizontal="center"/>
    </xf>
    <xf numFmtId="0" fontId="2" fillId="40" borderId="1" xfId="0" applyFont="1" applyFill="1" applyBorder="1" applyAlignment="1">
      <alignment horizontal="center"/>
    </xf>
    <xf numFmtId="0" fontId="2" fillId="7" borderId="1" xfId="0" applyFont="1" applyFill="1" applyBorder="1" applyAlignment="1">
      <alignment horizontal="center"/>
    </xf>
    <xf numFmtId="0" fontId="0" fillId="28" borderId="1" xfId="0" applyFill="1" applyBorder="1" applyAlignment="1">
      <alignment horizontal="center"/>
    </xf>
    <xf numFmtId="0" fontId="20" fillId="42" borderId="1" xfId="0" applyFont="1" applyFill="1" applyBorder="1" applyAlignment="1">
      <alignment horizontal="center"/>
    </xf>
    <xf numFmtId="0" fontId="2" fillId="13" borderId="1" xfId="0" applyFont="1" applyFill="1" applyBorder="1" applyAlignment="1">
      <alignment horizontal="center"/>
    </xf>
    <xf numFmtId="0" fontId="2" fillId="12" borderId="1" xfId="0" applyFont="1" applyFill="1" applyBorder="1" applyAlignment="1">
      <alignment horizontal="center"/>
    </xf>
    <xf numFmtId="0" fontId="0" fillId="18" borderId="1" xfId="0" applyFill="1" applyBorder="1" applyAlignment="1">
      <alignment horizontal="center"/>
    </xf>
    <xf numFmtId="0" fontId="0" fillId="50" borderId="1" xfId="0" applyFill="1" applyBorder="1" applyAlignment="1">
      <alignment horizontal="center"/>
    </xf>
    <xf numFmtId="0" fontId="2" fillId="41" borderId="1" xfId="0" applyFont="1" applyFill="1" applyBorder="1" applyAlignment="1">
      <alignment horizontal="center"/>
    </xf>
    <xf numFmtId="0" fontId="21" fillId="39" borderId="1" xfId="0" applyFont="1" applyFill="1" applyBorder="1" applyAlignment="1">
      <alignment horizontal="center"/>
    </xf>
    <xf numFmtId="0" fontId="2" fillId="44" borderId="1" xfId="0" applyFont="1" applyFill="1" applyBorder="1" applyAlignment="1">
      <alignment horizontal="center"/>
    </xf>
    <xf numFmtId="0" fontId="0" fillId="17" borderId="1" xfId="0" applyFill="1" applyBorder="1" applyAlignment="1">
      <alignment horizontal="center"/>
    </xf>
    <xf numFmtId="0" fontId="0" fillId="38" borderId="1" xfId="0" applyFill="1" applyBorder="1" applyAlignment="1">
      <alignment horizontal="center"/>
    </xf>
    <xf numFmtId="0" fontId="2" fillId="46" borderId="1" xfId="0" applyFont="1" applyFill="1" applyBorder="1" applyAlignment="1">
      <alignment horizontal="center"/>
    </xf>
    <xf numFmtId="0" fontId="0" fillId="45" borderId="1" xfId="0" applyFill="1" applyBorder="1" applyAlignment="1">
      <alignment horizontal="center"/>
    </xf>
    <xf numFmtId="0" fontId="2" fillId="47" borderId="1" xfId="0" applyFont="1" applyFill="1" applyBorder="1" applyAlignment="1">
      <alignment horizontal="center"/>
    </xf>
    <xf numFmtId="0" fontId="2" fillId="9" borderId="1" xfId="0" applyFont="1" applyFill="1" applyBorder="1" applyAlignment="1">
      <alignment horizontal="center"/>
    </xf>
    <xf numFmtId="0" fontId="0" fillId="20" borderId="1" xfId="0" applyFill="1" applyBorder="1" applyAlignment="1">
      <alignment horizontal="center"/>
    </xf>
    <xf numFmtId="0" fontId="2" fillId="48" borderId="1" xfId="0" applyFont="1" applyFill="1" applyBorder="1" applyAlignment="1">
      <alignment horizontal="center"/>
    </xf>
    <xf numFmtId="0" fontId="0" fillId="43" borderId="1" xfId="0" applyFill="1" applyBorder="1" applyAlignment="1">
      <alignment horizontal="center"/>
    </xf>
    <xf numFmtId="0" fontId="2" fillId="37" borderId="1" xfId="0" applyFont="1" applyFill="1" applyBorder="1" applyAlignment="1">
      <alignment horizontal="center" vertical="center"/>
    </xf>
    <xf numFmtId="0" fontId="223" fillId="0" borderId="63" xfId="0" applyFont="1" applyBorder="1"/>
    <xf numFmtId="0" fontId="224" fillId="0" borderId="63" xfId="0" applyFont="1" applyBorder="1"/>
    <xf numFmtId="0" fontId="2" fillId="37" borderId="2" xfId="0" applyFont="1" applyFill="1" applyBorder="1" applyAlignment="1">
      <alignment horizontal="center" vertical="center"/>
    </xf>
    <xf numFmtId="0" fontId="71" fillId="4" borderId="167" xfId="0" applyFont="1" applyFill="1" applyBorder="1"/>
    <xf numFmtId="0" fontId="0" fillId="19" borderId="167" xfId="0" applyFill="1" applyBorder="1" applyAlignment="1">
      <alignment horizontal="left"/>
    </xf>
    <xf numFmtId="0" fontId="2" fillId="2" borderId="168" xfId="0" applyFont="1" applyFill="1" applyBorder="1"/>
    <xf numFmtId="0" fontId="0" fillId="0" borderId="150" xfId="0" applyBorder="1"/>
    <xf numFmtId="0" fontId="38" fillId="28" borderId="169" xfId="0" applyFont="1" applyFill="1" applyBorder="1" applyAlignment="1">
      <alignment horizontal="left"/>
    </xf>
    <xf numFmtId="0" fontId="38" fillId="28" borderId="170" xfId="0" applyFont="1" applyFill="1" applyBorder="1" applyAlignment="1">
      <alignment horizontal="left"/>
    </xf>
    <xf numFmtId="0" fontId="38" fillId="28" borderId="169" xfId="0" applyFont="1" applyFill="1" applyBorder="1" applyAlignment="1">
      <alignment horizontal="left" wrapText="1"/>
    </xf>
    <xf numFmtId="0" fontId="38" fillId="62" borderId="171" xfId="0" applyFont="1" applyFill="1" applyBorder="1" applyAlignment="1">
      <alignment horizontal="left"/>
    </xf>
    <xf numFmtId="0" fontId="20" fillId="76" borderId="170" xfId="0" applyFont="1" applyFill="1" applyBorder="1" applyAlignment="1">
      <alignment horizontal="left"/>
    </xf>
    <xf numFmtId="0" fontId="34" fillId="0" borderId="0" xfId="0" applyFont="1" applyAlignment="1">
      <alignment horizontal="right"/>
    </xf>
    <xf numFmtId="16" fontId="0" fillId="0" borderId="0" xfId="0" applyNumberFormat="1"/>
    <xf numFmtId="0" fontId="2" fillId="0" borderId="0" xfId="0" applyFont="1" applyAlignment="1">
      <alignment horizontal="center" vertical="center"/>
    </xf>
    <xf numFmtId="0" fontId="10" fillId="0" borderId="0" xfId="0" applyFont="1" applyAlignment="1">
      <alignment horizontal="center" vertical="center"/>
    </xf>
    <xf numFmtId="0" fontId="38" fillId="0" borderId="0" xfId="0" applyFont="1" applyAlignment="1">
      <alignment horizontal="left" wrapText="1"/>
    </xf>
    <xf numFmtId="0" fontId="29" fillId="0" borderId="172" xfId="0" applyFont="1" applyBorder="1"/>
    <xf numFmtId="0" fontId="29" fillId="0" borderId="173" xfId="0" applyFont="1" applyBorder="1"/>
    <xf numFmtId="0" fontId="20" fillId="0" borderId="133" xfId="0" applyFont="1" applyBorder="1" applyAlignment="1">
      <alignment horizontal="right"/>
    </xf>
    <xf numFmtId="0" fontId="20" fillId="0" borderId="0" xfId="0" applyFont="1" applyAlignment="1">
      <alignment horizontal="left" vertical="center"/>
    </xf>
    <xf numFmtId="0" fontId="15" fillId="0" borderId="0" xfId="0" applyFont="1" applyAlignment="1">
      <alignment horizontal="center"/>
    </xf>
    <xf numFmtId="0" fontId="225" fillId="0" borderId="135" xfId="0" applyFont="1" applyBorder="1" applyAlignment="1">
      <alignment horizontal="center"/>
    </xf>
    <xf numFmtId="0" fontId="225" fillId="0" borderId="136" xfId="0" applyFont="1" applyBorder="1" applyAlignment="1">
      <alignment horizontal="center"/>
    </xf>
    <xf numFmtId="0" fontId="225" fillId="0" borderId="137" xfId="0" applyFont="1" applyBorder="1" applyAlignment="1">
      <alignment horizontal="center"/>
    </xf>
    <xf numFmtId="0" fontId="29" fillId="0" borderId="149" xfId="0" applyFont="1" applyBorder="1" applyAlignment="1">
      <alignment horizontal="left" wrapText="1"/>
    </xf>
    <xf numFmtId="0" fontId="29" fillId="0" borderId="0" xfId="0" applyFont="1" applyAlignment="1">
      <alignment horizontal="left" wrapText="1"/>
    </xf>
    <xf numFmtId="0" fontId="29" fillId="0" borderId="141" xfId="0" applyFont="1" applyBorder="1" applyAlignment="1">
      <alignment horizontal="left" wrapText="1"/>
    </xf>
    <xf numFmtId="0" fontId="2" fillId="64" borderId="0" xfId="0" applyFont="1" applyFill="1" applyAlignment="1">
      <alignment horizontal="center"/>
    </xf>
    <xf numFmtId="0" fontId="2" fillId="74" borderId="0" xfId="0" applyFont="1" applyFill="1" applyAlignment="1">
      <alignment horizontal="center"/>
    </xf>
    <xf numFmtId="0" fontId="15" fillId="19" borderId="0" xfId="0" applyFont="1" applyFill="1" applyAlignment="1">
      <alignment horizontal="left" wrapText="1"/>
    </xf>
    <xf numFmtId="0" fontId="0" fillId="59" borderId="0" xfId="0" applyFill="1" applyAlignment="1">
      <alignment horizontal="center"/>
    </xf>
    <xf numFmtId="0" fontId="0" fillId="22" borderId="0" xfId="0" applyFill="1" applyAlignment="1">
      <alignment horizontal="center"/>
    </xf>
    <xf numFmtId="0" fontId="0" fillId="51" borderId="0" xfId="0" applyFill="1" applyAlignment="1">
      <alignment horizontal="center"/>
    </xf>
    <xf numFmtId="0" fontId="0" fillId="13" borderId="0" xfId="0" applyFill="1" applyAlignment="1">
      <alignment horizontal="center"/>
    </xf>
    <xf numFmtId="0" fontId="2" fillId="9" borderId="0" xfId="0" applyFont="1" applyFill="1" applyAlignment="1">
      <alignment horizontal="center"/>
    </xf>
    <xf numFmtId="0" fontId="2" fillId="7" borderId="0" xfId="0" applyFont="1" applyFill="1" applyAlignment="1">
      <alignment horizontal="center"/>
    </xf>
    <xf numFmtId="0" fontId="2" fillId="27" borderId="0" xfId="0" applyFont="1" applyFill="1" applyAlignment="1">
      <alignment horizontal="center"/>
    </xf>
    <xf numFmtId="0" fontId="2" fillId="2" borderId="0" xfId="0" applyFont="1" applyFill="1" applyAlignment="1">
      <alignment horizontal="center"/>
    </xf>
    <xf numFmtId="0" fontId="2" fillId="4" borderId="0" xfId="0" applyFont="1" applyFill="1" applyAlignment="1">
      <alignment horizontal="center"/>
    </xf>
    <xf numFmtId="0" fontId="0" fillId="3" borderId="0" xfId="0" applyFill="1" applyAlignment="1">
      <alignment horizontal="center"/>
    </xf>
    <xf numFmtId="0" fontId="2" fillId="57" borderId="0" xfId="0" applyFont="1" applyFill="1" applyAlignment="1">
      <alignment horizontal="center"/>
    </xf>
    <xf numFmtId="0" fontId="0" fillId="0" borderId="0" xfId="0" applyAlignment="1">
      <alignment horizontal="center"/>
    </xf>
    <xf numFmtId="0" fontId="0" fillId="60" borderId="0" xfId="0" applyFill="1" applyAlignment="1">
      <alignment horizontal="center"/>
    </xf>
    <xf numFmtId="0" fontId="2" fillId="61" borderId="0" xfId="0" applyFont="1" applyFill="1" applyAlignment="1">
      <alignment horizontal="center"/>
    </xf>
    <xf numFmtId="0" fontId="2" fillId="58" borderId="0" xfId="0" applyFont="1" applyFill="1" applyAlignment="1">
      <alignment horizontal="center"/>
    </xf>
    <xf numFmtId="0" fontId="2" fillId="5" borderId="0" xfId="0" applyFont="1" applyFill="1" applyAlignment="1">
      <alignment horizontal="center"/>
    </xf>
    <xf numFmtId="0" fontId="0" fillId="8" borderId="0" xfId="0" applyFill="1" applyAlignment="1">
      <alignment horizontal="center"/>
    </xf>
    <xf numFmtId="0" fontId="0" fillId="75" borderId="0" xfId="0" applyFill="1" applyAlignment="1">
      <alignment horizontal="center"/>
    </xf>
    <xf numFmtId="0" fontId="52" fillId="12" borderId="0" xfId="0" applyFont="1" applyFill="1" applyAlignment="1">
      <alignment horizontal="center"/>
    </xf>
    <xf numFmtId="0" fontId="30" fillId="9" borderId="0" xfId="0" applyFont="1" applyFill="1" applyAlignment="1">
      <alignment horizontal="center"/>
    </xf>
    <xf numFmtId="0" fontId="57" fillId="0" borderId="0" xfId="0" applyFont="1" applyAlignment="1">
      <alignment horizontal="left"/>
    </xf>
    <xf numFmtId="0" fontId="58" fillId="0" borderId="0" xfId="0" applyFont="1" applyAlignment="1">
      <alignment horizontal="left"/>
    </xf>
    <xf numFmtId="0" fontId="0" fillId="15" borderId="0" xfId="0" applyFill="1" applyAlignment="1">
      <alignment horizontal="center" wrapText="1"/>
    </xf>
    <xf numFmtId="0" fontId="0" fillId="15" borderId="2" xfId="0" applyFill="1" applyBorder="1" applyAlignment="1">
      <alignment horizontal="center" wrapText="1"/>
    </xf>
    <xf numFmtId="0" fontId="0" fillId="11" borderId="0" xfId="0" applyFill="1" applyAlignment="1">
      <alignment horizontal="center" wrapText="1"/>
    </xf>
    <xf numFmtId="0" fontId="0" fillId="11" borderId="2" xfId="0" applyFill="1" applyBorder="1" applyAlignment="1">
      <alignment horizontal="center" wrapText="1"/>
    </xf>
    <xf numFmtId="0" fontId="2" fillId="13" borderId="0" xfId="0" applyFont="1" applyFill="1" applyAlignment="1">
      <alignment horizontal="center" wrapText="1"/>
    </xf>
    <xf numFmtId="0" fontId="2" fillId="13" borderId="2" xfId="0" applyFont="1" applyFill="1" applyBorder="1" applyAlignment="1">
      <alignment horizontal="center" wrapText="1"/>
    </xf>
    <xf numFmtId="0" fontId="0" fillId="20" borderId="0" xfId="0" applyFill="1" applyAlignment="1">
      <alignment horizontal="center" wrapText="1"/>
    </xf>
    <xf numFmtId="0" fontId="0" fillId="20" borderId="2" xfId="0" applyFill="1" applyBorder="1" applyAlignment="1">
      <alignment horizontal="center" wrapText="1"/>
    </xf>
    <xf numFmtId="0" fontId="0" fillId="8" borderId="0" xfId="0" applyFill="1" applyAlignment="1">
      <alignment horizontal="center" wrapText="1"/>
    </xf>
    <xf numFmtId="0" fontId="0" fillId="8" borderId="2" xfId="0" applyFill="1" applyBorder="1" applyAlignment="1">
      <alignment horizontal="center" wrapText="1"/>
    </xf>
    <xf numFmtId="0" fontId="2" fillId="4" borderId="0" xfId="0" applyFont="1" applyFill="1" applyAlignment="1">
      <alignment horizontal="center" wrapText="1"/>
    </xf>
    <xf numFmtId="0" fontId="2" fillId="4" borderId="2" xfId="0" applyFont="1" applyFill="1" applyBorder="1" applyAlignment="1">
      <alignment horizontal="center" wrapText="1"/>
    </xf>
    <xf numFmtId="0" fontId="2" fillId="16" borderId="0" xfId="0" applyFont="1" applyFill="1" applyAlignment="1">
      <alignment horizontal="center" wrapText="1"/>
    </xf>
    <xf numFmtId="0" fontId="2" fillId="16" borderId="2" xfId="0" applyFont="1" applyFill="1" applyBorder="1" applyAlignment="1">
      <alignment horizontal="center" wrapText="1"/>
    </xf>
    <xf numFmtId="0" fontId="2" fillId="9" borderId="0" xfId="0" applyFont="1" applyFill="1" applyAlignment="1">
      <alignment horizontal="center" wrapText="1"/>
    </xf>
    <xf numFmtId="0" fontId="2" fillId="9" borderId="2" xfId="0" applyFont="1" applyFill="1" applyBorder="1" applyAlignment="1">
      <alignment horizontal="center" wrapText="1"/>
    </xf>
    <xf numFmtId="0" fontId="0" fillId="17" borderId="0" xfId="0" applyFill="1" applyAlignment="1">
      <alignment horizontal="center" wrapText="1"/>
    </xf>
    <xf numFmtId="0" fontId="0" fillId="17" borderId="2" xfId="0" applyFill="1" applyBorder="1" applyAlignment="1">
      <alignment horizontal="center" wrapText="1"/>
    </xf>
    <xf numFmtId="0" fontId="0" fillId="18" borderId="0" xfId="0" applyFill="1" applyAlignment="1">
      <alignment horizontal="center" wrapText="1"/>
    </xf>
    <xf numFmtId="0" fontId="0" fillId="18" borderId="2" xfId="0" applyFill="1" applyBorder="1" applyAlignment="1">
      <alignment horizontal="center" wrapText="1"/>
    </xf>
    <xf numFmtId="0" fontId="114" fillId="37" borderId="0" xfId="0" applyFont="1" applyFill="1" applyAlignment="1">
      <alignment horizontal="center" wrapText="1"/>
    </xf>
    <xf numFmtId="0" fontId="114" fillId="37" borderId="2" xfId="0" applyFont="1" applyFill="1" applyBorder="1" applyAlignment="1">
      <alignment horizontal="center" wrapText="1"/>
    </xf>
    <xf numFmtId="0" fontId="2" fillId="41" borderId="0" xfId="0" applyFont="1" applyFill="1" applyAlignment="1">
      <alignment horizontal="center" wrapText="1"/>
    </xf>
    <xf numFmtId="0" fontId="2" fillId="41" borderId="2" xfId="0" applyFont="1" applyFill="1" applyBorder="1" applyAlignment="1">
      <alignment horizontal="center" wrapText="1"/>
    </xf>
    <xf numFmtId="0" fontId="2" fillId="40" borderId="0" xfId="0" applyFont="1" applyFill="1" applyAlignment="1">
      <alignment horizontal="center" wrapText="1"/>
    </xf>
    <xf numFmtId="0" fontId="2" fillId="40" borderId="2" xfId="0" applyFont="1" applyFill="1" applyBorder="1" applyAlignment="1">
      <alignment horizontal="center" wrapText="1"/>
    </xf>
    <xf numFmtId="0" fontId="20" fillId="42" borderId="0" xfId="0" applyFont="1" applyFill="1" applyAlignment="1">
      <alignment horizontal="center" wrapText="1"/>
    </xf>
    <xf numFmtId="0" fontId="20" fillId="42" borderId="2" xfId="0" applyFont="1" applyFill="1" applyBorder="1" applyAlignment="1">
      <alignment horizontal="center" wrapText="1"/>
    </xf>
    <xf numFmtId="0" fontId="20" fillId="29" borderId="0" xfId="0" applyFont="1" applyFill="1" applyAlignment="1">
      <alignment horizontal="center" wrapText="1"/>
    </xf>
    <xf numFmtId="0" fontId="20" fillId="29" borderId="2" xfId="0" applyFont="1" applyFill="1" applyBorder="1" applyAlignment="1">
      <alignment horizontal="center" wrapText="1"/>
    </xf>
    <xf numFmtId="0" fontId="0" fillId="43" borderId="0" xfId="0" applyFill="1" applyAlignment="1">
      <alignment horizontal="center" wrapText="1"/>
    </xf>
    <xf numFmtId="0" fontId="0" fillId="43" borderId="2" xfId="0" applyFill="1" applyBorder="1" applyAlignment="1">
      <alignment horizontal="center" wrapText="1"/>
    </xf>
    <xf numFmtId="0" fontId="21" fillId="39" borderId="0" xfId="0" applyFont="1" applyFill="1" applyAlignment="1">
      <alignment horizontal="center" wrapText="1"/>
    </xf>
    <xf numFmtId="0" fontId="21" fillId="39" borderId="2" xfId="0" applyFont="1" applyFill="1" applyBorder="1" applyAlignment="1">
      <alignment horizontal="center" wrapText="1"/>
    </xf>
    <xf numFmtId="0" fontId="0" fillId="45" borderId="0" xfId="0" applyFill="1" applyAlignment="1">
      <alignment horizontal="center" wrapText="1"/>
    </xf>
    <xf numFmtId="0" fontId="0" fillId="45" borderId="2" xfId="0" applyFill="1" applyBorder="1" applyAlignment="1">
      <alignment horizontal="center" wrapText="1"/>
    </xf>
    <xf numFmtId="0" fontId="2" fillId="7" borderId="0" xfId="0" applyFont="1" applyFill="1" applyAlignment="1">
      <alignment horizontal="center" wrapText="1"/>
    </xf>
    <xf numFmtId="0" fontId="2" fillId="7" borderId="2" xfId="0" applyFont="1" applyFill="1" applyBorder="1" applyAlignment="1">
      <alignment horizontal="center" wrapText="1"/>
    </xf>
    <xf numFmtId="0" fontId="0" fillId="38" borderId="0" xfId="0" applyFill="1" applyAlignment="1">
      <alignment horizontal="center" wrapText="1"/>
    </xf>
    <xf numFmtId="0" fontId="0" fillId="38" borderId="2" xfId="0" applyFill="1" applyBorder="1" applyAlignment="1">
      <alignment horizontal="center" wrapText="1"/>
    </xf>
    <xf numFmtId="0" fontId="2" fillId="12" borderId="0" xfId="0" applyFont="1" applyFill="1" applyAlignment="1">
      <alignment horizontal="center" wrapText="1"/>
    </xf>
    <xf numFmtId="0" fontId="2" fillId="12" borderId="2" xfId="0" applyFont="1" applyFill="1" applyBorder="1" applyAlignment="1">
      <alignment horizontal="center" wrapText="1"/>
    </xf>
    <xf numFmtId="0" fontId="0" fillId="50" borderId="0" xfId="0" applyFill="1" applyAlignment="1">
      <alignment horizontal="center" wrapText="1"/>
    </xf>
    <xf numFmtId="0" fontId="0" fillId="50" borderId="2" xfId="0" applyFill="1" applyBorder="1" applyAlignment="1">
      <alignment horizontal="center" wrapText="1"/>
    </xf>
    <xf numFmtId="0" fontId="0" fillId="28" borderId="0" xfId="0" applyFill="1" applyAlignment="1">
      <alignment horizontal="center" wrapText="1"/>
    </xf>
    <xf numFmtId="0" fontId="0" fillId="28" borderId="22" xfId="0" applyFill="1" applyBorder="1" applyAlignment="1">
      <alignment horizontal="center" wrapText="1"/>
    </xf>
    <xf numFmtId="0" fontId="2" fillId="44" borderId="0" xfId="0" applyFont="1" applyFill="1" applyAlignment="1">
      <alignment horizontal="center" wrapText="1"/>
    </xf>
    <xf numFmtId="0" fontId="2" fillId="44" borderId="2" xfId="0" applyFont="1" applyFill="1" applyBorder="1" applyAlignment="1">
      <alignment horizontal="center" wrapText="1"/>
    </xf>
    <xf numFmtId="0" fontId="2" fillId="46" borderId="0" xfId="0" applyFont="1" applyFill="1" applyAlignment="1">
      <alignment horizontal="center" wrapText="1"/>
    </xf>
    <xf numFmtId="0" fontId="2" fillId="46" borderId="2" xfId="0" applyFont="1" applyFill="1" applyBorder="1" applyAlignment="1">
      <alignment horizontal="center" wrapText="1"/>
    </xf>
    <xf numFmtId="0" fontId="2" fillId="47" borderId="0" xfId="0" applyFont="1" applyFill="1" applyAlignment="1">
      <alignment horizontal="center" wrapText="1"/>
    </xf>
    <xf numFmtId="0" fontId="2" fillId="47" borderId="2" xfId="0" applyFont="1" applyFill="1" applyBorder="1" applyAlignment="1">
      <alignment horizontal="center" wrapText="1"/>
    </xf>
    <xf numFmtId="0" fontId="2" fillId="48" borderId="0" xfId="0" applyFont="1" applyFill="1" applyAlignment="1">
      <alignment horizontal="center" wrapText="1"/>
    </xf>
    <xf numFmtId="0" fontId="2" fillId="48" borderId="2" xfId="0" applyFont="1" applyFill="1" applyBorder="1" applyAlignment="1">
      <alignment horizontal="center" wrapText="1"/>
    </xf>
    <xf numFmtId="0" fontId="0" fillId="3" borderId="0" xfId="0" applyFill="1" applyAlignment="1">
      <alignment horizontal="center" wrapText="1"/>
    </xf>
    <xf numFmtId="0" fontId="0" fillId="3" borderId="2" xfId="0" applyFill="1" applyBorder="1" applyAlignment="1">
      <alignment horizontal="center" wrapText="1"/>
    </xf>
    <xf numFmtId="0" fontId="15" fillId="0" borderId="136" xfId="0" applyFont="1" applyBorder="1" applyAlignment="1">
      <alignment horizontal="center"/>
    </xf>
    <xf numFmtId="0" fontId="15" fillId="28" borderId="6" xfId="0" applyFont="1" applyFill="1" applyBorder="1" applyAlignment="1">
      <alignment horizontal="center"/>
    </xf>
    <xf numFmtId="0" fontId="0" fillId="28" borderId="0" xfId="0" applyFill="1" applyAlignment="1">
      <alignment horizontal="center"/>
    </xf>
    <xf numFmtId="0" fontId="0" fillId="28" borderId="2" xfId="0" applyFill="1" applyBorder="1" applyAlignment="1">
      <alignment horizontal="center"/>
    </xf>
    <xf numFmtId="0" fontId="0" fillId="0" borderId="2" xfId="0" applyBorder="1" applyAlignment="1">
      <alignment horizontal="center"/>
    </xf>
    <xf numFmtId="0" fontId="15" fillId="0" borderId="6" xfId="0" applyFont="1" applyBorder="1" applyAlignment="1">
      <alignment horizontal="center"/>
    </xf>
    <xf numFmtId="0" fontId="42" fillId="0" borderId="136" xfId="0" applyFont="1" applyBorder="1" applyAlignment="1">
      <alignment horizontal="center"/>
    </xf>
    <xf numFmtId="0" fontId="42" fillId="0" borderId="6" xfId="0" applyFont="1" applyBorder="1" applyAlignment="1">
      <alignment horizontal="center"/>
    </xf>
    <xf numFmtId="0" fontId="40" fillId="0" borderId="0" xfId="0" applyFont="1" applyAlignment="1">
      <alignment horizontal="center"/>
    </xf>
    <xf numFmtId="0" fontId="30" fillId="7" borderId="0" xfId="0" applyFont="1" applyFill="1" applyAlignment="1">
      <alignment horizontal="center"/>
    </xf>
    <xf numFmtId="0" fontId="42" fillId="0" borderId="137" xfId="0" applyFont="1" applyBorder="1" applyAlignment="1">
      <alignment horizontal="center"/>
    </xf>
    <xf numFmtId="0" fontId="15" fillId="0" borderId="158" xfId="0" applyFont="1" applyBorder="1" applyAlignment="1">
      <alignment horizontal="center"/>
    </xf>
    <xf numFmtId="0" fontId="77" fillId="28" borderId="0" xfId="0" applyFont="1" applyFill="1" applyAlignment="1">
      <alignment horizont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top" wrapText="1"/>
    </xf>
    <xf numFmtId="0" fontId="15" fillId="0" borderId="0" xfId="0" applyFont="1" applyAlignment="1">
      <alignment horizontal="left" wrapText="1"/>
    </xf>
    <xf numFmtId="0" fontId="0" fillId="0" borderId="0" xfId="0" applyAlignment="1">
      <alignment horizontal="left" vertical="top"/>
    </xf>
    <xf numFmtId="0" fontId="0" fillId="0" borderId="44" xfId="0" applyBorder="1" applyAlignment="1">
      <alignment horizontal="center" vertical="center" wrapText="1"/>
    </xf>
    <xf numFmtId="0" fontId="0" fillId="0" borderId="0" xfId="0"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xf>
    <xf numFmtId="0" fontId="0" fillId="0" borderId="0" xfId="0" applyAlignment="1">
      <alignment horizontal="center" vertical="center"/>
    </xf>
    <xf numFmtId="0" fontId="0" fillId="0" borderId="43" xfId="0" applyBorder="1" applyAlignment="1">
      <alignment horizontal="center" vertical="center"/>
    </xf>
    <xf numFmtId="0" fontId="0" fillId="0" borderId="5" xfId="0" applyBorder="1" applyAlignment="1">
      <alignment horizontal="center" vertical="center"/>
    </xf>
    <xf numFmtId="0" fontId="20" fillId="0" borderId="0" xfId="0" applyFont="1" applyAlignment="1">
      <alignment horizontal="center" vertical="center" wrapText="1"/>
    </xf>
    <xf numFmtId="0" fontId="30" fillId="2" borderId="0" xfId="0" applyFont="1" applyFill="1" applyAlignment="1">
      <alignment horizontal="center"/>
    </xf>
    <xf numFmtId="0" fontId="0" fillId="0" borderId="52" xfId="0" applyBorder="1" applyAlignment="1">
      <alignment horizontal="center" vertical="center" wrapText="1"/>
    </xf>
    <xf numFmtId="0" fontId="0" fillId="0" borderId="52" xfId="0" applyBorder="1" applyAlignment="1">
      <alignment horizontal="center" vertical="center"/>
    </xf>
    <xf numFmtId="0" fontId="0" fillId="0" borderId="50" xfId="0" applyBorder="1" applyAlignment="1">
      <alignment horizontal="center" vertical="center"/>
    </xf>
    <xf numFmtId="0" fontId="0" fillId="0" borderId="50" xfId="0" applyBorder="1" applyAlignment="1">
      <alignment horizontal="center" vertical="center" wrapText="1"/>
    </xf>
    <xf numFmtId="0" fontId="0" fillId="0" borderId="44" xfId="0" applyBorder="1" applyAlignment="1">
      <alignment horizontal="center" wrapText="1"/>
    </xf>
    <xf numFmtId="0" fontId="0" fillId="0" borderId="0" xfId="0" applyAlignment="1">
      <alignment horizontal="center" wrapText="1"/>
    </xf>
    <xf numFmtId="0" fontId="0" fillId="0" borderId="40" xfId="0" applyBorder="1" applyAlignment="1">
      <alignment horizontal="center" vertical="center"/>
    </xf>
    <xf numFmtId="0" fontId="77" fillId="4" borderId="0" xfId="0" applyFont="1" applyFill="1" applyAlignment="1">
      <alignment horizontal="center"/>
    </xf>
    <xf numFmtId="0" fontId="0" fillId="0" borderId="39" xfId="0" applyBorder="1" applyAlignment="1">
      <alignment horizontal="center" vertical="center"/>
    </xf>
    <xf numFmtId="0" fontId="0" fillId="0" borderId="102" xfId="0" applyBorder="1" applyAlignment="1">
      <alignment horizontal="left" vertical="center"/>
    </xf>
    <xf numFmtId="0" fontId="0" fillId="0" borderId="0" xfId="0" applyAlignment="1">
      <alignment horizontal="left" vertical="center"/>
    </xf>
    <xf numFmtId="0" fontId="0" fillId="0" borderId="115" xfId="0" applyBorder="1" applyAlignment="1">
      <alignment horizontal="left" vertical="center"/>
    </xf>
    <xf numFmtId="0" fontId="77" fillId="3" borderId="0" xfId="0" applyFont="1" applyFill="1" applyAlignment="1">
      <alignment horizontal="center"/>
    </xf>
    <xf numFmtId="0" fontId="0" fillId="0" borderId="117" xfId="0" applyBorder="1" applyAlignment="1">
      <alignment horizontal="left" vertical="center"/>
    </xf>
    <xf numFmtId="0" fontId="0" fillId="0" borderId="117" xfId="0" applyBorder="1" applyAlignment="1">
      <alignment horizontal="center" vertical="center"/>
    </xf>
    <xf numFmtId="0" fontId="0" fillId="0" borderId="115" xfId="0" applyBorder="1" applyAlignment="1">
      <alignment horizontal="center" vertical="center"/>
    </xf>
    <xf numFmtId="0" fontId="2" fillId="8" borderId="136" xfId="0" applyFont="1" applyFill="1" applyBorder="1" applyAlignment="1">
      <alignment horizontal="center"/>
    </xf>
    <xf numFmtId="0" fontId="2" fillId="8" borderId="137" xfId="0" applyFont="1" applyFill="1" applyBorder="1" applyAlignment="1">
      <alignment horizontal="center"/>
    </xf>
    <xf numFmtId="0" fontId="77" fillId="53" borderId="0" xfId="0" applyFont="1" applyFill="1" applyAlignment="1">
      <alignment horizontal="center"/>
    </xf>
    <xf numFmtId="0" fontId="30" fillId="22" borderId="0" xfId="0" applyFont="1" applyFill="1" applyAlignment="1">
      <alignment horizontal="center"/>
    </xf>
    <xf numFmtId="0" fontId="77" fillId="51" borderId="0" xfId="0" applyFont="1" applyFill="1" applyAlignment="1">
      <alignment horizontal="center"/>
    </xf>
    <xf numFmtId="0" fontId="0" fillId="15" borderId="0" xfId="0" applyFill="1" applyAlignment="1">
      <alignment horizontal="center"/>
    </xf>
    <xf numFmtId="0" fontId="2" fillId="22" borderId="0" xfId="0" applyFont="1" applyFill="1" applyAlignment="1">
      <alignment horizontal="center"/>
    </xf>
    <xf numFmtId="0" fontId="30" fillId="13" borderId="0" xfId="0" applyFont="1" applyFill="1" applyAlignment="1">
      <alignment horizontal="center"/>
    </xf>
    <xf numFmtId="0" fontId="2" fillId="4" borderId="136" xfId="0" applyFont="1" applyFill="1" applyBorder="1" applyAlignment="1">
      <alignment horizontal="center"/>
    </xf>
    <xf numFmtId="0" fontId="0" fillId="3" borderId="136" xfId="0" applyFill="1" applyBorder="1" applyAlignment="1">
      <alignment horizontal="center"/>
    </xf>
    <xf numFmtId="0" fontId="2" fillId="22" borderId="136" xfId="0" applyFont="1" applyFill="1" applyBorder="1" applyAlignment="1">
      <alignment horizontal="center"/>
    </xf>
    <xf numFmtId="0" fontId="0" fillId="15" borderId="136" xfId="0" applyFill="1" applyBorder="1" applyAlignment="1">
      <alignment horizontal="center"/>
    </xf>
    <xf numFmtId="0" fontId="0" fillId="15" borderId="137" xfId="0" applyFill="1" applyBorder="1" applyAlignment="1">
      <alignment horizontal="center"/>
    </xf>
    <xf numFmtId="0" fontId="2" fillId="2" borderId="136" xfId="0" applyFont="1" applyFill="1" applyBorder="1" applyAlignment="1">
      <alignment horizontal="center"/>
    </xf>
    <xf numFmtId="0" fontId="2" fillId="4" borderId="158" xfId="0" applyFont="1" applyFill="1" applyBorder="1" applyAlignment="1">
      <alignment horizontal="center"/>
    </xf>
    <xf numFmtId="0" fontId="2" fillId="4" borderId="153" xfId="0" applyFont="1" applyFill="1" applyBorder="1" applyAlignment="1">
      <alignment horizontal="center"/>
    </xf>
    <xf numFmtId="0" fontId="0" fillId="3" borderId="158" xfId="0" applyFill="1" applyBorder="1" applyAlignment="1">
      <alignment horizontal="center"/>
    </xf>
    <xf numFmtId="0" fontId="0" fillId="3" borderId="153" xfId="0" applyFill="1" applyBorder="1" applyAlignment="1">
      <alignment horizontal="center"/>
    </xf>
    <xf numFmtId="0" fontId="2" fillId="22" borderId="158" xfId="0" applyFont="1" applyFill="1" applyBorder="1" applyAlignment="1">
      <alignment horizontal="center"/>
    </xf>
    <xf numFmtId="0" fontId="2" fillId="22" borderId="153" xfId="0" applyFont="1" applyFill="1" applyBorder="1" applyAlignment="1">
      <alignment horizontal="center"/>
    </xf>
    <xf numFmtId="0" fontId="2" fillId="2" borderId="153" xfId="0" applyFont="1" applyFill="1" applyBorder="1" applyAlignment="1">
      <alignment horizontal="center"/>
    </xf>
    <xf numFmtId="0" fontId="30" fillId="72" borderId="0" xfId="0" applyFont="1" applyFill="1" applyAlignment="1">
      <alignment horizontal="center"/>
    </xf>
    <xf numFmtId="0" fontId="24" fillId="0" borderId="0" xfId="0" applyFont="1" applyAlignment="1">
      <alignment horizontal="left" wrapText="1"/>
    </xf>
    <xf numFmtId="0" fontId="30" fillId="5" borderId="0" xfId="0" applyFont="1" applyFill="1" applyAlignment="1">
      <alignment horizontal="center"/>
    </xf>
    <xf numFmtId="0" fontId="10" fillId="54" borderId="0" xfId="0" applyFont="1" applyFill="1" applyAlignment="1">
      <alignment horizontal="center"/>
    </xf>
    <xf numFmtId="0" fontId="10" fillId="55" borderId="0" xfId="0" applyFont="1" applyFill="1" applyAlignment="1">
      <alignment horizontal="center"/>
    </xf>
    <xf numFmtId="0" fontId="149" fillId="0" borderId="0" xfId="0" applyFont="1" applyAlignment="1">
      <alignment horizontal="center"/>
    </xf>
    <xf numFmtId="0" fontId="77" fillId="38" borderId="0" xfId="0" applyFont="1" applyFill="1" applyAlignment="1">
      <alignment horizontal="center"/>
    </xf>
    <xf numFmtId="0" fontId="15" fillId="19" borderId="0" xfId="0" applyFont="1" applyFill="1" applyAlignment="1">
      <alignment horizontal="center"/>
    </xf>
    <xf numFmtId="0" fontId="29" fillId="19" borderId="0" xfId="0" applyFont="1" applyFill="1" applyAlignment="1">
      <alignment horizontal="center"/>
    </xf>
    <xf numFmtId="0" fontId="77" fillId="8" borderId="0" xfId="0" applyFont="1" applyFill="1" applyAlignment="1">
      <alignment horizontal="center"/>
    </xf>
    <xf numFmtId="0" fontId="0" fillId="19" borderId="0" xfId="0" applyFill="1" applyAlignment="1">
      <alignment horizontal="center"/>
    </xf>
    <xf numFmtId="0" fontId="15" fillId="0" borderId="1" xfId="0" applyFont="1" applyBorder="1" applyAlignment="1">
      <alignment horizontal="center"/>
    </xf>
    <xf numFmtId="0" fontId="74" fillId="0" borderId="0" xfId="0" applyFont="1" applyAlignment="1">
      <alignment horizontal="center" vertical="top"/>
    </xf>
    <xf numFmtId="0" fontId="0" fillId="50" borderId="0" xfId="0" applyFill="1" applyAlignment="1">
      <alignment horizontal="center"/>
    </xf>
    <xf numFmtId="0" fontId="0" fillId="50" borderId="2" xfId="0" applyFill="1" applyBorder="1" applyAlignment="1">
      <alignment horizontal="center"/>
    </xf>
    <xf numFmtId="0" fontId="2" fillId="16" borderId="0" xfId="0" applyFont="1" applyFill="1" applyAlignment="1">
      <alignment horizontal="center"/>
    </xf>
    <xf numFmtId="0" fontId="2" fillId="16" borderId="2" xfId="0" applyFont="1" applyFill="1" applyBorder="1" applyAlignment="1">
      <alignment horizontal="center"/>
    </xf>
    <xf numFmtId="0" fontId="0" fillId="15" borderId="5" xfId="0" applyFill="1" applyBorder="1" applyAlignment="1">
      <alignment horizontal="center"/>
    </xf>
    <xf numFmtId="0" fontId="0" fillId="15" borderId="4" xfId="0" applyFill="1" applyBorder="1" applyAlignment="1">
      <alignment horizontal="center"/>
    </xf>
    <xf numFmtId="0" fontId="0" fillId="17" borderId="0" xfId="0" applyFill="1" applyAlignment="1">
      <alignment horizontal="center"/>
    </xf>
    <xf numFmtId="0" fontId="0" fillId="17" borderId="2" xfId="0" applyFill="1" applyBorder="1" applyAlignment="1">
      <alignment horizontal="center"/>
    </xf>
    <xf numFmtId="0" fontId="2" fillId="4" borderId="2" xfId="0" applyFont="1" applyFill="1" applyBorder="1" applyAlignment="1">
      <alignment horizontal="center"/>
    </xf>
    <xf numFmtId="0" fontId="0" fillId="11" borderId="0" xfId="0" applyFill="1" applyAlignment="1">
      <alignment horizontal="center"/>
    </xf>
    <xf numFmtId="0" fontId="0" fillId="11" borderId="2" xfId="0" applyFill="1" applyBorder="1" applyAlignment="1">
      <alignment horizontal="center"/>
    </xf>
    <xf numFmtId="0" fontId="2" fillId="44" borderId="0" xfId="0" applyFont="1" applyFill="1" applyAlignment="1">
      <alignment horizontal="center"/>
    </xf>
    <xf numFmtId="0" fontId="2" fillId="44" borderId="2" xfId="0" applyFont="1" applyFill="1" applyBorder="1" applyAlignment="1">
      <alignment horizontal="center"/>
    </xf>
    <xf numFmtId="0" fontId="21" fillId="39" borderId="0" xfId="0" applyFont="1" applyFill="1" applyAlignment="1">
      <alignment horizontal="center"/>
    </xf>
    <xf numFmtId="0" fontId="21" fillId="39" borderId="2" xfId="0" applyFont="1" applyFill="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0" fontId="2" fillId="9" borderId="2" xfId="0" applyFont="1" applyFill="1" applyBorder="1" applyAlignment="1">
      <alignment horizontal="center"/>
    </xf>
    <xf numFmtId="0" fontId="2" fillId="13" borderId="0" xfId="0" applyFont="1" applyFill="1" applyAlignment="1">
      <alignment horizontal="center"/>
    </xf>
    <xf numFmtId="0" fontId="2" fillId="13" borderId="2" xfId="0" applyFont="1" applyFill="1" applyBorder="1" applyAlignment="1">
      <alignment horizontal="center"/>
    </xf>
    <xf numFmtId="0" fontId="0" fillId="20" borderId="0" xfId="0" applyFill="1" applyAlignment="1">
      <alignment horizontal="center"/>
    </xf>
    <xf numFmtId="0" fontId="0" fillId="20" borderId="2" xfId="0" applyFill="1" applyBorder="1" applyAlignment="1">
      <alignment horizontal="center"/>
    </xf>
    <xf numFmtId="0" fontId="2" fillId="40" borderId="0" xfId="0" applyFont="1" applyFill="1" applyAlignment="1">
      <alignment horizontal="center"/>
    </xf>
    <xf numFmtId="0" fontId="2" fillId="40" borderId="2" xfId="0" applyFont="1" applyFill="1" applyBorder="1" applyAlignment="1">
      <alignment horizontal="center"/>
    </xf>
    <xf numFmtId="0" fontId="0" fillId="18" borderId="0" xfId="0" applyFill="1" applyAlignment="1">
      <alignment horizontal="center"/>
    </xf>
    <xf numFmtId="0" fontId="0" fillId="18" borderId="2" xfId="0" applyFill="1" applyBorder="1" applyAlignment="1">
      <alignment horizontal="center"/>
    </xf>
    <xf numFmtId="0" fontId="20" fillId="29" borderId="0" xfId="0" applyFont="1" applyFill="1" applyAlignment="1">
      <alignment horizontal="center"/>
    </xf>
    <xf numFmtId="0" fontId="20" fillId="29" borderId="2" xfId="0" applyFont="1" applyFill="1" applyBorder="1" applyAlignment="1">
      <alignment horizontal="center"/>
    </xf>
    <xf numFmtId="0" fontId="2" fillId="37" borderId="0" xfId="0" applyFont="1" applyFill="1" applyAlignment="1">
      <alignment horizontal="center"/>
    </xf>
    <xf numFmtId="0" fontId="2" fillId="37" borderId="2" xfId="0" applyFont="1" applyFill="1" applyBorder="1" applyAlignment="1">
      <alignment horizontal="center"/>
    </xf>
    <xf numFmtId="0" fontId="2" fillId="46" borderId="0" xfId="0" applyFont="1" applyFill="1" applyAlignment="1">
      <alignment horizontal="center"/>
    </xf>
    <xf numFmtId="0" fontId="2" fillId="46" borderId="2" xfId="0" applyFont="1" applyFill="1" applyBorder="1" applyAlignment="1">
      <alignment horizontal="center"/>
    </xf>
    <xf numFmtId="0" fontId="2" fillId="12" borderId="0" xfId="0" applyFont="1" applyFill="1" applyAlignment="1">
      <alignment horizontal="center"/>
    </xf>
    <xf numFmtId="0" fontId="2" fillId="12" borderId="2" xfId="0" applyFont="1" applyFill="1" applyBorder="1" applyAlignment="1">
      <alignment horizontal="center"/>
    </xf>
    <xf numFmtId="0" fontId="0" fillId="8" borderId="2" xfId="0" applyFill="1" applyBorder="1" applyAlignment="1">
      <alignment horizontal="center"/>
    </xf>
    <xf numFmtId="0" fontId="0" fillId="45" borderId="0" xfId="0" applyFill="1" applyAlignment="1">
      <alignment horizontal="center"/>
    </xf>
    <xf numFmtId="0" fontId="0" fillId="45" borderId="2" xfId="0" applyFill="1" applyBorder="1" applyAlignment="1">
      <alignment horizontal="center"/>
    </xf>
    <xf numFmtId="0" fontId="0" fillId="43" borderId="0" xfId="0" applyFill="1" applyAlignment="1">
      <alignment horizontal="center"/>
    </xf>
    <xf numFmtId="0" fontId="0" fillId="43" borderId="2" xfId="0" applyFill="1" applyBorder="1" applyAlignment="1">
      <alignment horizontal="center"/>
    </xf>
    <xf numFmtId="0" fontId="2" fillId="41" borderId="0" xfId="0" applyFont="1" applyFill="1" applyAlignment="1">
      <alignment horizontal="center"/>
    </xf>
    <xf numFmtId="0" fontId="2" fillId="41" borderId="2" xfId="0" applyFont="1" applyFill="1" applyBorder="1" applyAlignment="1">
      <alignment horizontal="center"/>
    </xf>
    <xf numFmtId="0" fontId="77" fillId="56" borderId="164" xfId="0" applyFont="1" applyFill="1" applyBorder="1" applyAlignment="1">
      <alignment horizontal="center"/>
    </xf>
    <xf numFmtId="0" fontId="77" fillId="56" borderId="131" xfId="0" applyFont="1" applyFill="1" applyBorder="1" applyAlignment="1">
      <alignment horizontal="center"/>
    </xf>
    <xf numFmtId="0" fontId="77" fillId="56" borderId="165" xfId="0" applyFont="1" applyFill="1" applyBorder="1" applyAlignment="1">
      <alignment horizontal="center"/>
    </xf>
    <xf numFmtId="0" fontId="20" fillId="0" borderId="104" xfId="0" applyFont="1" applyBorder="1" applyAlignment="1">
      <alignment horizontal="left" vertical="center"/>
    </xf>
    <xf numFmtId="0" fontId="30" fillId="73" borderId="0" xfId="0" applyFont="1" applyFill="1" applyAlignment="1">
      <alignment horizontal="center"/>
    </xf>
    <xf numFmtId="0" fontId="42" fillId="0" borderId="160" xfId="0" applyFont="1" applyBorder="1" applyAlignment="1">
      <alignment horizontal="center"/>
    </xf>
    <xf numFmtId="0" fontId="42" fillId="0" borderId="162" xfId="0" applyFont="1" applyBorder="1" applyAlignment="1">
      <alignment horizontal="center"/>
    </xf>
    <xf numFmtId="0" fontId="42" fillId="0" borderId="0" xfId="0" applyFont="1" applyAlignment="1">
      <alignment horizontal="center"/>
    </xf>
    <xf numFmtId="0" fontId="15" fillId="0" borderId="160" xfId="0" applyFont="1" applyBorder="1" applyAlignment="1">
      <alignment horizontal="center"/>
    </xf>
    <xf numFmtId="0" fontId="0" fillId="0" borderId="0" xfId="0" quotePrefix="1" applyAlignment="1">
      <alignment horizontal="left" wrapText="1"/>
    </xf>
    <xf numFmtId="0" fontId="30" fillId="74" borderId="0" xfId="0" applyFont="1" applyFill="1" applyAlignment="1">
      <alignment horizontal="center"/>
    </xf>
    <xf numFmtId="0" fontId="15" fillId="0" borderId="166" xfId="0" applyFont="1" applyBorder="1" applyAlignment="1">
      <alignment horizontal="center"/>
    </xf>
    <xf numFmtId="0" fontId="130" fillId="19" borderId="24" xfId="0" applyFont="1" applyFill="1" applyBorder="1" applyAlignment="1">
      <alignment horizontal="center" vertical="center"/>
    </xf>
    <xf numFmtId="0" fontId="131" fillId="7" borderId="0" xfId="0" applyFont="1" applyFill="1" applyAlignment="1">
      <alignment horizontal="center" vertical="center"/>
    </xf>
    <xf numFmtId="0" fontId="132" fillId="7" borderId="0" xfId="0" applyFont="1" applyFill="1" applyAlignment="1">
      <alignment horizontal="center"/>
    </xf>
    <xf numFmtId="0" fontId="132" fillId="42" borderId="0" xfId="0" applyFont="1" applyFill="1" applyAlignment="1">
      <alignment horizontal="center"/>
    </xf>
    <xf numFmtId="0" fontId="132" fillId="2" borderId="0" xfId="0" applyFont="1" applyFill="1" applyAlignment="1">
      <alignment horizontal="center"/>
    </xf>
    <xf numFmtId="0" fontId="132" fillId="4" borderId="0" xfId="0" applyFont="1" applyFill="1" applyAlignment="1">
      <alignment horizontal="center"/>
    </xf>
    <xf numFmtId="0" fontId="133" fillId="3" borderId="0" xfId="0" applyFont="1" applyFill="1" applyAlignment="1">
      <alignment horizontal="center"/>
    </xf>
    <xf numFmtId="0" fontId="134" fillId="7" borderId="14" xfId="0" applyFont="1" applyFill="1" applyBorder="1" applyAlignment="1">
      <alignment horizontal="center"/>
    </xf>
    <xf numFmtId="0" fontId="131" fillId="7" borderId="22" xfId="0" applyFont="1" applyFill="1" applyBorder="1" applyAlignment="1">
      <alignment horizontal="center" vertical="center"/>
    </xf>
    <xf numFmtId="0" fontId="135" fillId="19" borderId="22" xfId="0" applyFont="1" applyFill="1" applyBorder="1" applyAlignment="1">
      <alignment horizontal="center"/>
    </xf>
    <xf numFmtId="0" fontId="132" fillId="27" borderId="0" xfId="0" applyFont="1" applyFill="1" applyAlignment="1">
      <alignment horizontal="center"/>
    </xf>
    <xf numFmtId="0" fontId="135" fillId="19" borderId="0" xfId="0" applyFont="1" applyFill="1" applyAlignment="1">
      <alignment horizontal="center"/>
    </xf>
    <xf numFmtId="0" fontId="133" fillId="15" borderId="0" xfId="0" applyFont="1" applyFill="1" applyAlignment="1">
      <alignment horizontal="center"/>
    </xf>
    <xf numFmtId="0" fontId="0" fillId="0" borderId="0" xfId="0" quotePrefix="1" applyAlignment="1">
      <alignment horizontal="left" vertical="top" wrapText="1"/>
    </xf>
    <xf numFmtId="0" fontId="30" fillId="57" borderId="0" xfId="0" applyFont="1" applyFill="1" applyAlignment="1">
      <alignment horizontal="center"/>
    </xf>
    <xf numFmtId="0" fontId="0" fillId="0" borderId="0" xfId="0" quotePrefix="1" applyAlignment="1">
      <alignment horizontal="left"/>
    </xf>
    <xf numFmtId="0" fontId="30" fillId="58" borderId="0" xfId="0" applyFont="1" applyFill="1" applyAlignment="1">
      <alignment horizontal="center"/>
    </xf>
    <xf numFmtId="0" fontId="30" fillId="67" borderId="0" xfId="0" applyFont="1" applyFill="1" applyAlignment="1">
      <alignment horizontal="center"/>
    </xf>
    <xf numFmtId="0" fontId="29" fillId="0" borderId="174" xfId="0" applyFont="1" applyBorder="1"/>
    <xf numFmtId="0" fontId="0" fillId="0" borderId="0" xfId="0" applyBorder="1"/>
    <xf numFmtId="0" fontId="0" fillId="0" borderId="10" xfId="0" applyBorder="1"/>
    <xf numFmtId="0" fontId="29" fillId="0" borderId="4" xfId="0" applyFont="1" applyBorder="1" applyAlignment="1">
      <alignment horizontal="right"/>
    </xf>
  </cellXfs>
  <cellStyles count="4">
    <cellStyle name="Comma" xfId="3" builtinId="3"/>
    <cellStyle name="Hyperlink" xfId="2" builtinId="8"/>
    <cellStyle name="Normal" xfId="0" builtinId="0"/>
    <cellStyle name="Percent" xfId="1" builtinId="5"/>
  </cellStyles>
  <dxfs count="954">
    <dxf>
      <font>
        <color theme="0"/>
      </font>
      <numFmt numFmtId="0" formatCode="General"/>
    </dxf>
    <dxf>
      <font>
        <color theme="0"/>
      </font>
      <numFmt numFmtId="0" formatCode="General"/>
    </dxf>
    <dxf>
      <font>
        <strike val="0"/>
        <color theme="0"/>
      </font>
    </dxf>
    <dxf>
      <font>
        <b val="0"/>
        <i val="0"/>
        <strike val="0"/>
        <color theme="0"/>
      </font>
    </dxf>
    <dxf>
      <font>
        <b val="0"/>
        <i val="0"/>
        <strike val="0"/>
        <color theme="0"/>
      </font>
    </dxf>
    <dxf>
      <font>
        <b val="0"/>
        <i val="0"/>
        <strike val="0"/>
        <color theme="0"/>
      </font>
    </dxf>
    <dxf>
      <font>
        <color theme="0"/>
      </font>
    </dxf>
    <dxf>
      <font>
        <b val="0"/>
        <i val="0"/>
        <strike val="0"/>
        <color theme="0"/>
      </font>
    </dxf>
    <dxf>
      <font>
        <b val="0"/>
        <i val="0"/>
        <strike val="0"/>
        <color theme="0"/>
      </font>
    </dxf>
    <dxf>
      <font>
        <b val="0"/>
        <i val="0"/>
        <strike val="0"/>
        <color theme="0"/>
      </font>
    </dxf>
    <dxf>
      <font>
        <b val="0"/>
        <i val="0"/>
        <strike val="0"/>
        <color theme="0"/>
      </font>
    </dxf>
    <dxf>
      <font>
        <b val="0"/>
        <i val="0"/>
        <strike val="0"/>
        <color theme="0"/>
      </font>
    </dxf>
    <dxf>
      <font>
        <color theme="0"/>
      </font>
      <numFmt numFmtId="0" formatCode="General"/>
    </dxf>
    <dxf>
      <font>
        <color theme="0"/>
      </font>
      <numFmt numFmtId="0" formatCode="General"/>
    </dxf>
    <dxf>
      <font>
        <b/>
        <i val="0"/>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left/>
        <right style="thin">
          <color indexed="64"/>
        </right>
        <top style="thin">
          <color indexed="64"/>
        </top>
        <bottom/>
        <vertical/>
        <horizontal/>
      </border>
    </dxf>
    <dxf>
      <border outline="0">
        <bottom style="thin">
          <color indexed="64"/>
        </bottom>
      </border>
    </dxf>
    <dxf>
      <font>
        <b val="0"/>
        <i val="0"/>
        <strike val="0"/>
        <condense val="0"/>
        <extend val="0"/>
        <outline val="0"/>
        <shadow val="0"/>
        <u val="none"/>
        <vertAlign val="baseline"/>
        <sz val="12"/>
        <color rgb="FF000000"/>
        <name val="Calibri"/>
        <family val="2"/>
        <scheme val="minor"/>
      </font>
      <alignment horizontal="left" vertical="bottom" textRotation="0" wrapText="0" indent="0" justifyLastLine="0" shrinkToFit="0" readingOrder="0"/>
    </dxf>
    <dxf>
      <border outline="0">
        <bottom style="thin">
          <color indexed="64"/>
        </bottom>
      </border>
    </dxf>
    <dxf>
      <border diagonalUp="0" diagonalDown="0">
        <left style="thin">
          <color indexed="64"/>
        </left>
        <right/>
        <top/>
        <bottom/>
        <vertical/>
        <horizontal/>
      </border>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0070C0"/>
        <name val="Calibri"/>
        <family val="2"/>
        <scheme val="minor"/>
      </font>
    </dxf>
    <dxf>
      <alignment horizontal="right" vertical="bottom" textRotation="0" wrapText="0" indent="0" justifyLastLine="0" shrinkToFit="0" readingOrder="0"/>
      <border diagonalUp="0" diagonalDown="0">
        <left/>
        <right style="thin">
          <color indexed="64"/>
        </right>
        <top/>
        <bottom style="thin">
          <color indexed="64"/>
        </bottom>
        <vertical/>
        <horizontal/>
      </border>
    </dxf>
    <dxf>
      <border outline="0">
        <bottom style="thin">
          <color indexed="64"/>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theme="7" tint="0.79998168889431442"/>
          <bgColor theme="7" tint="0.79998168889431442"/>
        </patternFill>
      </fill>
      <alignment horizontal="right" vertical="center" textRotation="0" wrapText="0" indent="0" justifyLastLine="0" shrinkToFit="0" readingOrder="0"/>
      <border diagonalUp="0" diagonalDown="0">
        <left/>
        <right style="thin">
          <color indexed="64"/>
        </right>
        <top style="thin">
          <color theme="7"/>
        </top>
        <bottom style="thin">
          <color theme="7"/>
        </bottom>
        <vertical/>
        <horizontal/>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numFmt numFmtId="0" formatCode="General"/>
    </dxf>
    <dxf>
      <fill>
        <patternFill patternType="none">
          <fgColor indexed="64"/>
          <bgColor auto="1"/>
        </patternFill>
      </fill>
    </dxf>
    <dxf>
      <fill>
        <patternFill patternType="none">
          <fgColor indexed="64"/>
          <bgColor auto="1"/>
        </patternFill>
      </fill>
      <alignment horizontal="general" vertical="center" textRotation="0" wrapText="0" indent="0" justifyLastLine="0" shrinkToFit="0" readingOrder="0"/>
    </dxf>
    <dxf>
      <numFmt numFmtId="0" formatCode="General"/>
      <border diagonalUp="0" diagonalDown="0">
        <left/>
        <right style="thin">
          <color indexed="64"/>
        </right>
        <vertical/>
      </border>
    </dxf>
    <dxf>
      <fill>
        <patternFill patternType="none">
          <fgColor indexed="64"/>
          <bgColor auto="1"/>
        </patternFill>
      </fill>
    </dxf>
    <dxf>
      <fill>
        <patternFill patternType="none">
          <fgColor indexed="64"/>
          <bgColor auto="1"/>
        </patternFill>
      </fill>
      <alignment horizontal="general" vertical="center" textRotation="0" wrapText="0" indent="0" justifyLastLine="0" shrinkToFit="0" readingOrder="0"/>
    </dxf>
    <dxf>
      <border diagonalUp="0" diagonalDown="0">
        <left/>
        <right style="thin">
          <color indexed="64"/>
        </right>
        <top/>
        <bottom/>
        <vertical/>
        <horizontal/>
      </border>
    </dxf>
    <dxf>
      <fill>
        <patternFill patternType="none">
          <fgColor indexed="64"/>
          <bgColor auto="1"/>
        </patternFill>
      </fill>
      <alignment horizontal="right" vertical="bottom" textRotation="0" wrapText="0" indent="0" justifyLastLine="0" shrinkToFit="0" readingOrder="0"/>
    </dxf>
    <dxf>
      <alignment horizontal="right" vertical="bottom" textRotation="0" wrapText="0" indent="0" justifyLastLine="0" shrinkToFit="0" readingOrder="0"/>
    </dxf>
    <dxf>
      <fill>
        <patternFill patternType="none">
          <fgColor indexed="64"/>
          <bgColor auto="1"/>
        </patternFill>
      </fill>
    </dxf>
    <dxf>
      <border diagonalUp="0" diagonalDown="0">
        <left/>
        <right style="thin">
          <color indexed="64"/>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alignment horizontal="left" vertical="bottom"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2" formatCode="0.00"/>
      <alignment vertical="center" textRotation="0" wrapText="0" indent="0" justifyLastLine="0" shrinkToFit="0" readingOrder="0"/>
    </dxf>
    <dxf>
      <alignment horizontal="right" vertical="center" textRotation="0" wrapText="0" indent="0" justifyLastLine="0" shrinkToFit="0" readingOrder="0"/>
      <border diagonalUp="0" diagonalDown="0">
        <left/>
        <right style="thin">
          <color indexed="64"/>
        </right>
        <top/>
        <bottom/>
      </border>
    </dxf>
    <dxf>
      <border diagonalUp="0" diagonalDown="0">
        <left style="medium">
          <color indexed="64"/>
        </left>
        <right style="medium">
          <color indexed="64"/>
        </right>
        <top style="medium">
          <color indexed="64"/>
        </top>
        <bottom style="medium">
          <color indexed="64"/>
        </bottom>
      </border>
    </dxf>
    <dxf>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numFmt numFmtId="2" formatCode="0.00"/>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FFC000"/>
        <name val="Calibri"/>
        <family val="2"/>
        <scheme val="minor"/>
      </font>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dxf>
    <dxf>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ill>
        <patternFill patternType="none">
          <fgColor indexed="64"/>
          <bgColor indexed="65"/>
        </patternFill>
      </fill>
      <alignment horizontal="right"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border diagonalUp="0" diagonalDown="0">
        <left/>
        <right style="thin">
          <color indexed="64"/>
        </right>
        <top/>
        <bottom/>
        <vertical/>
        <horizontal/>
      </border>
    </dxf>
    <dxf>
      <font>
        <b/>
        <i val="0"/>
        <strike val="0"/>
        <condense val="0"/>
        <extend val="0"/>
        <outline val="0"/>
        <shadow val="0"/>
        <u val="none"/>
        <vertAlign val="baseline"/>
        <sz val="12"/>
        <color theme="1"/>
        <name val="Calibri"/>
        <family val="2"/>
        <scheme val="minor"/>
      </font>
    </dxf>
    <dxf>
      <alignment horizontal="general" vertical="top" textRotation="0" wrapText="0" indent="0" justifyLastLine="0" shrinkToFit="0" readingOrder="0"/>
      <border diagonalUp="0" diagonalDown="0">
        <left/>
        <right style="thin">
          <color indexed="64"/>
        </right>
        <top/>
        <bottom/>
        <vertical/>
        <horizontal/>
      </border>
    </dxf>
    <dxf>
      <alignment horizontal="general" vertical="top"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strike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general" vertical="center" textRotation="0" wrapText="0" indent="0" justifyLastLine="0" shrinkToFit="0" readingOrder="0"/>
    </dxf>
    <dxf>
      <font>
        <strike val="0"/>
        <outline val="0"/>
        <shadow val="0"/>
        <u val="none"/>
        <vertAlign val="baseline"/>
        <sz val="12"/>
        <color auto="1"/>
        <name val="Calibri"/>
        <family val="2"/>
        <scheme val="minor"/>
      </font>
      <alignment horizontal="general" vertical="center" textRotation="0" wrapText="0" indent="0" justifyLastLine="0" shrinkToFit="0" readingOrder="0"/>
    </dxf>
    <dxf>
      <alignment horizontal="right" vertical="center" textRotation="0" wrapText="0" indent="0" justifyLastLine="0" shrinkToFit="0" readingOrder="0"/>
    </dxf>
    <dxf>
      <border outline="0">
        <bottom style="thin">
          <color indexed="64"/>
        </bottom>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alignment horizontal="center" vertical="bottom" textRotation="0" wrapText="0" indent="0" justifyLastLine="0" shrinkToFit="0" readingOrder="0"/>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val="0"/>
        <strike val="0"/>
        <condense val="0"/>
        <extend val="0"/>
        <outline val="0"/>
        <shadow val="0"/>
        <u val="none"/>
        <vertAlign val="baseline"/>
        <sz val="12"/>
        <color rgb="FF00B050"/>
        <name val="Calibri"/>
        <family val="2"/>
        <scheme val="minor"/>
      </font>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i val="0"/>
        <strike val="0"/>
        <condense val="0"/>
        <extend val="0"/>
        <outline val="0"/>
        <shadow val="0"/>
        <u val="none"/>
        <vertAlign val="baseline"/>
        <sz val="12"/>
        <color rgb="FF00B05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rgb="FF00B050"/>
        <name val="Calibri"/>
        <family val="2"/>
        <scheme val="minor"/>
      </font>
    </dxf>
    <dxf>
      <font>
        <b val="0"/>
        <i val="0"/>
        <strike val="0"/>
        <condense val="0"/>
        <extend val="0"/>
        <outline val="0"/>
        <shadow val="0"/>
        <u val="none"/>
        <vertAlign val="baseline"/>
        <sz val="12"/>
        <color rgb="FF00B050"/>
        <name val="Calibri"/>
        <family val="2"/>
        <scheme val="minor"/>
      </font>
    </dxf>
    <dxf>
      <font>
        <b val="0"/>
        <i val="0"/>
        <strike val="0"/>
        <condense val="0"/>
        <extend val="0"/>
        <outline val="0"/>
        <shadow val="0"/>
        <u val="none"/>
        <vertAlign val="baseline"/>
        <sz val="12"/>
        <color rgb="FF00B050"/>
        <name val="Calibri"/>
        <family val="2"/>
        <scheme val="minor"/>
      </font>
    </dxf>
    <dxf>
      <font>
        <b val="0"/>
        <i val="0"/>
        <strike val="0"/>
        <condense val="0"/>
        <extend val="0"/>
        <outline val="0"/>
        <shadow val="0"/>
        <u val="none"/>
        <vertAlign val="baseline"/>
        <sz val="12"/>
        <color rgb="FF7030A0"/>
        <name val="Calibri"/>
        <family val="2"/>
        <scheme val="minor"/>
      </font>
    </dxf>
    <dxf>
      <font>
        <b val="0"/>
        <i val="0"/>
        <strike val="0"/>
        <condense val="0"/>
        <extend val="0"/>
        <outline val="0"/>
        <shadow val="0"/>
        <u val="none"/>
        <vertAlign val="baseline"/>
        <sz val="12"/>
        <color rgb="FF7030A0"/>
        <name val="Calibri"/>
        <family val="2"/>
        <scheme val="minor"/>
      </font>
    </dxf>
    <dxf>
      <font>
        <b val="0"/>
        <i val="0"/>
        <strike val="0"/>
        <condense val="0"/>
        <extend val="0"/>
        <outline val="0"/>
        <shadow val="0"/>
        <u val="none"/>
        <vertAlign val="baseline"/>
        <sz val="12"/>
        <color rgb="FF7030A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val="0"/>
        <strike val="0"/>
        <condense val="0"/>
        <extend val="0"/>
        <outline val="0"/>
        <shadow val="0"/>
        <u val="none"/>
        <vertAlign val="baseline"/>
        <sz val="12"/>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rgb="FF00B050"/>
        <name val="Calibri"/>
        <family val="2"/>
        <scheme val="minor"/>
      </font>
    </dxf>
    <dxf>
      <font>
        <b val="0"/>
        <i val="0"/>
        <strike val="0"/>
        <condense val="0"/>
        <extend val="0"/>
        <outline val="0"/>
        <shadow val="0"/>
        <u val="none"/>
        <vertAlign val="baseline"/>
        <sz val="12"/>
        <color rgb="FF7030A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diagonalUp="0" diagonalDown="0">
        <left style="thin">
          <color indexed="64"/>
        </left>
        <right/>
        <top/>
        <bottom/>
        <vertical/>
        <horizontal/>
      </border>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2DFF00"/>
        <name val="Calibri"/>
        <family val="2"/>
        <scheme val="minor"/>
      </font>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2DFF00"/>
        <name val="Calibri"/>
        <family val="2"/>
        <scheme val="minor"/>
      </font>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92D050"/>
        <name val="Calibri"/>
        <family val="2"/>
        <scheme val="minor"/>
      </font>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FFC000"/>
        <name val="Calibri"/>
        <family val="2"/>
        <scheme val="minor"/>
      </font>
      <fill>
        <patternFill patternType="solid">
          <fgColor indexed="64"/>
          <bgColor theme="0"/>
        </patternFill>
      </fill>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theme="1"/>
        <name val="Calibri"/>
        <family val="2"/>
        <scheme val="minor"/>
      </font>
      <numFmt numFmtId="164" formatCode="0.0%"/>
    </dxf>
    <dxf>
      <font>
        <b val="0"/>
        <i/>
        <strike val="0"/>
        <condense val="0"/>
        <extend val="0"/>
        <outline val="0"/>
        <shadow val="0"/>
        <u val="none"/>
        <vertAlign val="baseline"/>
        <sz val="12"/>
        <color theme="1"/>
        <name val="Calibri"/>
        <family val="2"/>
        <scheme val="minor"/>
      </font>
      <numFmt numFmtId="164" formatCode="0.0%"/>
    </dxf>
    <dxf>
      <font>
        <b val="0"/>
        <i val="0"/>
        <strike val="0"/>
        <condense val="0"/>
        <extend val="0"/>
        <outline val="0"/>
        <shadow val="0"/>
        <u val="none"/>
        <vertAlign val="baseline"/>
        <sz val="12"/>
        <color rgb="FF0070C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1" formatCode="0"/>
      <alignment horizontal="left" vertical="bottom" textRotation="0" wrapText="0" indent="0" justifyLastLine="0" shrinkToFit="0" readingOrder="0"/>
    </dxf>
    <dxf>
      <border outline="0">
        <bottom style="thin">
          <color theme="2" tint="-0.499984740745262"/>
        </bottom>
      </border>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alignment horizontal="right" vertical="bottom" textRotation="0" wrapText="0" indent="0" justifyLastLine="0" shrinkToFit="0" readingOrder="0"/>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dxf>
    <dxf>
      <alignment horizontal="right" vertical="bottom" textRotation="0" wrapText="0" indent="0" justifyLastLine="0" shrinkToFit="0" readingOrder="0"/>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dxf>
    <dxf>
      <alignment horizontal="right" vertical="bottom" textRotation="0" wrapText="0" indent="0" justifyLastLine="0" shrinkToFit="0" readingOrder="0"/>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auto="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rgb="FF000000"/>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font>
        <b val="0"/>
        <i/>
        <strike val="0"/>
        <condense val="0"/>
        <extend val="0"/>
        <outline val="0"/>
        <shadow val="0"/>
        <u val="none"/>
        <vertAlign val="baseline"/>
        <sz val="12"/>
        <color theme="1"/>
        <name val="Calibri"/>
        <family val="2"/>
        <scheme val="minor"/>
      </font>
    </dxf>
    <dxf>
      <border outline="0">
        <bottom style="thin">
          <color indexed="64"/>
        </bottom>
      </border>
    </dxf>
    <dxf>
      <alignment horizontal="general" vertical="bottom" textRotation="0" wrapText="0" indent="0" justifyLastLine="0" shrinkToFit="0" readingOrder="0"/>
    </dxf>
    <dxf>
      <numFmt numFmtId="0" formatCode="General"/>
      <border diagonalUp="0" diagonalDown="0">
        <left/>
        <right style="thin">
          <color indexed="64"/>
        </right>
        <top/>
        <bottom/>
        <vertical/>
        <horizontal/>
      </border>
    </dxf>
    <dxf>
      <border diagonalUp="0" diagonalDown="0">
        <left/>
        <right style="thin">
          <color indexed="64"/>
        </right>
        <top/>
        <bottom/>
        <vertical/>
        <horizontal/>
      </border>
    </dxf>
    <dxf>
      <numFmt numFmtId="0" formatCode="General"/>
    </dxf>
    <dxf>
      <numFmt numFmtId="0" formatCode="General"/>
    </dxf>
    <dxf>
      <font>
        <b val="0"/>
        <i/>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rgb="FF000000"/>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minor"/>
      </font>
      <alignment horizontal="right" vertical="bottom" textRotation="0" wrapText="0" indent="0" justifyLastLine="0" shrinkToFit="0" readingOrder="0"/>
    </dxf>
    <dxf>
      <border outline="0">
        <bottom style="thin">
          <color indexed="64"/>
        </bottom>
      </border>
    </dxf>
    <dxf>
      <numFmt numFmtId="2" formatCode="0.00"/>
    </dxf>
    <dxf>
      <font>
        <b val="0"/>
        <i val="0"/>
        <strike val="0"/>
        <condense val="0"/>
        <extend val="0"/>
        <outline val="0"/>
        <shadow val="0"/>
        <u val="none"/>
        <vertAlign val="baseline"/>
        <sz val="12"/>
        <color rgb="FF000000"/>
        <name val="Calibri"/>
        <family val="2"/>
        <scheme val="minor"/>
      </font>
      <border diagonalUp="0" diagonalDown="0">
        <left/>
        <right/>
        <top/>
        <bottom style="thin">
          <color indexed="64"/>
        </bottom>
        <vertical/>
        <horizontal/>
      </border>
    </dxf>
    <dxf>
      <font>
        <b/>
      </font>
      <numFmt numFmtId="2" formatCode="0.00"/>
      <border diagonalUp="0" diagonalDown="0">
        <left style="thin">
          <color indexed="64"/>
        </left>
        <right/>
        <top/>
        <bottom/>
        <vertical/>
        <horizontal/>
      </border>
    </dxf>
    <dxf>
      <numFmt numFmtId="0" formatCode="General"/>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bottom style="thin">
          <color indexed="64"/>
        </bottom>
        <vertical/>
        <horizontal/>
      </border>
    </dxf>
    <dxf>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style="thin">
          <color indexed="64"/>
        </bottom>
        <vertical/>
        <horizontal/>
      </border>
    </dxf>
    <dxf>
      <border outline="0">
        <bottom style="thin">
          <color indexed="64"/>
        </bottom>
      </border>
    </dxf>
    <dxf>
      <numFmt numFmtId="2" formatCode="0.00"/>
      <fill>
        <patternFill patternType="none">
          <fgColor indexed="64"/>
          <bgColor indexed="65"/>
        </patternFill>
      </fill>
    </dxf>
    <dxf>
      <numFmt numFmtId="2" formatCode="0.00"/>
    </dxf>
    <dxf>
      <font>
        <b val="0"/>
        <i val="0"/>
        <strike val="0"/>
        <condense val="0"/>
        <extend val="0"/>
        <outline val="0"/>
        <shadow val="0"/>
        <u val="none"/>
        <vertAlign val="baseline"/>
        <sz val="12"/>
        <color rgb="FF3CFF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3CFF00"/>
        <name val="Calibri"/>
        <family val="2"/>
        <scheme val="minor"/>
      </font>
      <fill>
        <patternFill patternType="solid">
          <fgColor indexed="64"/>
          <bgColor theme="0"/>
        </patternFill>
      </fill>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numFmt numFmtId="2" formatCode="0.00"/>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font>
        <b val="0"/>
        <i val="0"/>
        <strike val="0"/>
        <condense val="0"/>
        <extend val="0"/>
        <outline val="0"/>
        <shadow val="0"/>
        <u val="none"/>
        <vertAlign val="baseline"/>
        <sz val="12"/>
        <color rgb="FF3CFF00"/>
        <name val="Calibri"/>
        <family val="2"/>
        <scheme val="minor"/>
      </font>
      <fill>
        <patternFill patternType="solid">
          <fgColor indexed="64"/>
          <bgColor theme="0"/>
        </patternFill>
      </fill>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numFmt numFmtId="2" formatCode="0.00"/>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font>
        <b val="0"/>
        <i val="0"/>
        <strike val="0"/>
        <condense val="0"/>
        <extend val="0"/>
        <outline val="0"/>
        <shadow val="0"/>
        <u val="none"/>
        <vertAlign val="baseline"/>
        <sz val="12"/>
        <color rgb="FF92D050"/>
        <name val="Calibri"/>
        <family val="2"/>
        <scheme val="minor"/>
      </font>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numFmt numFmtId="2" formatCode="0.00"/>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font>
        <b val="0"/>
        <i val="0"/>
        <strike val="0"/>
        <condense val="0"/>
        <extend val="0"/>
        <outline val="0"/>
        <shadow val="0"/>
        <u val="none"/>
        <vertAlign val="baseline"/>
        <sz val="12"/>
        <color theme="7"/>
        <name val="Calibri"/>
        <family val="2"/>
        <scheme val="minor"/>
      </font>
      <fill>
        <patternFill patternType="solid">
          <fgColor indexed="64"/>
          <bgColor theme="0"/>
        </patternFill>
      </fill>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numFmt numFmtId="2" formatCode="0.00"/>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numFmt numFmtId="2" formatCode="0.00"/>
    </dxf>
    <dxf>
      <font>
        <b val="0"/>
        <i val="0"/>
        <strike val="0"/>
        <condense val="0"/>
        <extend val="0"/>
        <outline val="0"/>
        <shadow val="0"/>
        <u val="none"/>
        <vertAlign val="baseline"/>
        <sz val="12"/>
        <color rgb="FF0070C0"/>
        <name val="Calibri"/>
        <family val="2"/>
        <scheme val="minor"/>
      </font>
      <fill>
        <patternFill patternType="none">
          <fgColor indexed="64"/>
          <bgColor indexed="65"/>
        </patternFill>
      </fill>
    </dxf>
    <dxf>
      <font>
        <b val="0"/>
        <i val="0"/>
        <strike val="0"/>
        <condense val="0"/>
        <extend val="0"/>
        <outline val="0"/>
        <shadow val="0"/>
        <u val="none"/>
        <vertAlign val="baseline"/>
        <sz val="12"/>
        <color rgb="FF0070C0"/>
        <name val="Calibri"/>
        <family val="2"/>
        <scheme val="minor"/>
      </font>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alignment horizontal="right" vertical="bottom" textRotation="0" wrapText="0" indent="0" justifyLastLine="0" shrinkToFit="0" readingOrder="0"/>
      <border diagonalUp="0" diagonalDown="0">
        <left/>
        <right style="thin">
          <color indexed="64"/>
        </right>
        <top/>
        <bottom/>
        <vertical/>
        <horizontal/>
      </border>
    </dxf>
    <dxf>
      <fill>
        <patternFill patternType="none">
          <fgColor indexed="64"/>
          <bgColor auto="1"/>
        </patternFill>
      </fill>
    </dxf>
    <dxf>
      <border outline="0">
        <bottom style="thin">
          <color indexed="64"/>
        </bottom>
      </border>
    </dxf>
    <dxf>
      <alignment horizontal="center" vertical="bottom" textRotation="0" wrapText="0" indent="0" justifyLastLine="0" shrinkToFit="0" readingOrder="0"/>
    </dxf>
    <dxf>
      <font>
        <strike val="0"/>
        <outline val="0"/>
        <shadow val="0"/>
        <u val="none"/>
        <vertAlign val="baseline"/>
        <sz val="12"/>
        <color theme="4"/>
        <name val="Calibri"/>
        <family val="2"/>
        <scheme val="minor"/>
      </font>
    </dxf>
    <dxf>
      <font>
        <strike val="0"/>
        <outline val="0"/>
        <shadow val="0"/>
        <u val="none"/>
        <vertAlign val="baseline"/>
        <sz val="12"/>
        <color rgb="FF00B05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C00000"/>
        <name val="Calibri"/>
        <family val="2"/>
        <scheme val="minor"/>
      </font>
    </dxf>
    <dxf>
      <font>
        <strike val="0"/>
        <outline val="0"/>
        <shadow val="0"/>
        <u val="none"/>
        <vertAlign val="baseline"/>
        <sz val="12"/>
        <color rgb="FF63FF2E"/>
        <name val="Calibri"/>
        <family val="2"/>
        <scheme val="minor"/>
      </font>
    </dxf>
    <dxf>
      <font>
        <strike val="0"/>
        <outline val="0"/>
        <shadow val="0"/>
        <u val="none"/>
        <vertAlign val="baseline"/>
        <sz val="12"/>
        <color rgb="FFFF1C97"/>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982D"/>
        <name val="Calibri"/>
        <family val="2"/>
        <scheme val="minor"/>
      </font>
    </dxf>
    <dxf>
      <font>
        <strike val="0"/>
        <outline val="0"/>
        <shadow val="0"/>
        <u val="none"/>
        <vertAlign val="baseline"/>
        <sz val="12"/>
        <color rgb="FF27FF76"/>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F4B184"/>
        <name val="Calibri"/>
        <family val="2"/>
        <scheme val="minor"/>
      </font>
    </dxf>
    <dxf>
      <font>
        <strike val="0"/>
        <outline val="0"/>
        <shadow val="0"/>
        <u val="none"/>
        <vertAlign val="baseline"/>
        <sz val="12"/>
        <color rgb="FFFF0000"/>
        <name val="Calibri"/>
        <family val="2"/>
        <scheme val="minor"/>
      </font>
    </dxf>
    <dxf>
      <font>
        <strike val="0"/>
        <outline val="0"/>
        <shadow val="0"/>
        <u val="none"/>
        <vertAlign val="baseline"/>
        <sz val="12"/>
        <color rgb="FF7030A0"/>
        <name val="Calibri"/>
        <family val="2"/>
        <scheme val="minor"/>
      </font>
    </dxf>
    <dxf>
      <font>
        <strike val="0"/>
        <outline val="0"/>
        <shadow val="0"/>
        <u val="none"/>
        <vertAlign val="baseline"/>
        <sz val="12"/>
        <color rgb="FF002060"/>
        <name val="Calibri"/>
        <family val="2"/>
        <scheme val="minor"/>
      </font>
    </dxf>
    <dxf>
      <font>
        <strike val="0"/>
        <outline val="0"/>
        <shadow val="0"/>
        <u val="none"/>
        <vertAlign val="baseline"/>
        <sz val="12"/>
        <color rgb="FFE103CB"/>
        <name val="Calibri"/>
        <family val="2"/>
        <scheme val="minor"/>
      </font>
    </dxf>
    <dxf>
      <font>
        <strike val="0"/>
        <outline val="0"/>
        <shadow val="0"/>
        <u val="none"/>
        <vertAlign val="baseline"/>
        <sz val="12"/>
        <color rgb="FFD4A2FF"/>
        <name val="Calibri"/>
        <family val="2"/>
        <scheme val="minor"/>
      </font>
    </dxf>
    <dxf>
      <font>
        <strike val="0"/>
        <outline val="0"/>
        <shadow val="0"/>
        <u val="none"/>
        <vertAlign val="baseline"/>
        <sz val="12"/>
        <color theme="2" tint="-0.249977111117893"/>
        <name val="Calibri"/>
        <family val="2"/>
        <scheme val="minor"/>
      </font>
    </dxf>
    <dxf>
      <font>
        <strike val="0"/>
        <outline val="0"/>
        <shadow val="0"/>
        <u val="none"/>
        <vertAlign val="baseline"/>
        <sz val="12"/>
        <color auto="1"/>
        <name val="Calibri"/>
        <family val="2"/>
        <scheme val="minor"/>
      </font>
    </dxf>
    <dxf>
      <font>
        <strike val="0"/>
        <outline val="0"/>
        <shadow val="0"/>
        <u val="none"/>
        <vertAlign val="baseline"/>
        <sz val="12"/>
        <color rgb="FF9590FF"/>
        <name val="Calibri"/>
        <family val="2"/>
        <scheme val="minor"/>
      </font>
    </dxf>
    <dxf>
      <font>
        <strike val="0"/>
        <outline val="0"/>
        <shadow val="0"/>
        <u val="none"/>
        <vertAlign val="baseline"/>
        <sz val="12"/>
        <color theme="5" tint="-0.249977111117893"/>
        <name val="Calibri"/>
        <family val="2"/>
        <scheme val="minor"/>
      </font>
    </dxf>
    <dxf>
      <font>
        <strike val="0"/>
        <outline val="0"/>
        <shadow val="0"/>
        <u val="none"/>
        <vertAlign val="baseline"/>
        <sz val="12"/>
        <color theme="2" tint="-0.499984740745262"/>
        <name val="Calibri"/>
        <family val="2"/>
        <scheme val="minor"/>
      </font>
    </dxf>
    <dxf>
      <font>
        <strike val="0"/>
        <outline val="0"/>
        <shadow val="0"/>
        <u val="none"/>
        <vertAlign val="baseline"/>
        <sz val="12"/>
        <color rgb="FFFFC000"/>
        <name val="Calibri"/>
        <family val="2"/>
        <scheme val="minor"/>
      </font>
    </dxf>
    <dxf>
      <font>
        <strike val="0"/>
        <outline val="0"/>
        <shadow val="0"/>
        <u val="none"/>
        <vertAlign val="baseline"/>
        <sz val="12"/>
        <color rgb="FF0070C0"/>
        <name val="Calibri"/>
        <family val="2"/>
        <scheme val="minor"/>
      </font>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92D050"/>
        </patternFill>
      </fill>
      <alignment horizontal="center" vertical="bottom" textRotation="0" wrapText="0" indent="0" justifyLastLine="0" shrinkToFit="0" readingOrder="0"/>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numFmt numFmtId="13" formatCode="0%"/>
      <fill>
        <patternFill patternType="none">
          <fgColor indexed="64"/>
          <bgColor auto="1"/>
        </patternFill>
      </fill>
    </dxf>
    <dxf>
      <font>
        <i/>
      </font>
      <numFmt numFmtId="13" formatCode="0%"/>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92D050"/>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left style="thin">
          <color theme="2" tint="-0.499984740745262"/>
        </left>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92D050"/>
        </patternFill>
      </fill>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92D050"/>
        </patternFill>
      </fill>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rgb="FF92D050"/>
        </patternFill>
      </fill>
    </dxf>
    <dxf>
      <font>
        <b val="0"/>
        <i val="0"/>
        <strike val="0"/>
        <condense val="0"/>
        <extend val="0"/>
        <outline val="0"/>
        <shadow val="0"/>
        <u val="none"/>
        <vertAlign val="baseline"/>
        <sz val="12"/>
        <color rgb="FF92D05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strike val="0"/>
        <condense val="0"/>
        <extend val="0"/>
        <outline val="0"/>
        <shadow val="0"/>
        <u val="none"/>
        <vertAlign val="baseline"/>
        <sz val="12"/>
        <color theme="1"/>
        <name val="Calibri"/>
        <family val="2"/>
        <scheme val="minor"/>
      </font>
      <numFmt numFmtId="13" formatCode="0%"/>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63FF2E"/>
        </patternFill>
      </fill>
      <alignment horizontal="center" vertical="bottom" textRotation="0" wrapText="0" indent="0" justifyLastLine="0" shrinkToFit="0" readingOrder="0"/>
    </dxf>
    <dxf>
      <font>
        <strike val="0"/>
        <outline val="0"/>
        <shadow val="0"/>
        <u val="none"/>
        <vertAlign val="baseline"/>
        <sz val="12"/>
        <color theme="4"/>
        <name val="Calibri"/>
        <family val="2"/>
        <scheme val="minor"/>
      </font>
    </dxf>
    <dxf>
      <font>
        <strike val="0"/>
        <outline val="0"/>
        <shadow val="0"/>
        <u val="none"/>
        <vertAlign val="baseline"/>
        <sz val="12"/>
        <color rgb="FF00B05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C00000"/>
        <name val="Calibri"/>
        <family val="2"/>
        <scheme val="minor"/>
      </font>
    </dxf>
    <dxf>
      <font>
        <strike val="0"/>
        <outline val="0"/>
        <shadow val="0"/>
        <u val="none"/>
        <vertAlign val="baseline"/>
        <sz val="12"/>
        <color rgb="FF63FF2E"/>
        <name val="Calibri"/>
        <family val="2"/>
        <scheme val="minor"/>
      </font>
    </dxf>
    <dxf>
      <font>
        <strike val="0"/>
        <outline val="0"/>
        <shadow val="0"/>
        <u val="none"/>
        <vertAlign val="baseline"/>
        <sz val="12"/>
        <color rgb="FFFF1C97"/>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982D"/>
        <name val="Calibri"/>
        <family val="2"/>
        <scheme val="minor"/>
      </font>
    </dxf>
    <dxf>
      <font>
        <strike val="0"/>
        <outline val="0"/>
        <shadow val="0"/>
        <u val="none"/>
        <vertAlign val="baseline"/>
        <sz val="12"/>
        <color rgb="FF27FF76"/>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F4B184"/>
        <name val="Calibri"/>
        <family val="2"/>
        <scheme val="minor"/>
      </font>
    </dxf>
    <dxf>
      <font>
        <strike val="0"/>
        <outline val="0"/>
        <shadow val="0"/>
        <u val="none"/>
        <vertAlign val="baseline"/>
        <sz val="12"/>
        <color rgb="FFFF0000"/>
        <name val="Calibri"/>
        <family val="2"/>
        <scheme val="minor"/>
      </font>
    </dxf>
    <dxf>
      <font>
        <strike val="0"/>
        <outline val="0"/>
        <shadow val="0"/>
        <u val="none"/>
        <vertAlign val="baseline"/>
        <sz val="12"/>
        <color rgb="FF7030A0"/>
        <name val="Calibri"/>
        <family val="2"/>
        <scheme val="minor"/>
      </font>
    </dxf>
    <dxf>
      <font>
        <strike val="0"/>
        <outline val="0"/>
        <shadow val="0"/>
        <u val="none"/>
        <vertAlign val="baseline"/>
        <sz val="12"/>
        <color rgb="FF002060"/>
        <name val="Calibri"/>
        <family val="2"/>
        <scheme val="minor"/>
      </font>
    </dxf>
    <dxf>
      <font>
        <strike val="0"/>
        <outline val="0"/>
        <shadow val="0"/>
        <u val="none"/>
        <vertAlign val="baseline"/>
        <sz val="12"/>
        <color rgb="FFE103CB"/>
        <name val="Calibri"/>
        <family val="2"/>
        <scheme val="minor"/>
      </font>
    </dxf>
    <dxf>
      <font>
        <strike val="0"/>
        <outline val="0"/>
        <shadow val="0"/>
        <u val="none"/>
        <vertAlign val="baseline"/>
        <sz val="12"/>
        <color rgb="FFD4A2FF"/>
        <name val="Calibri"/>
        <family val="2"/>
        <scheme val="minor"/>
      </font>
    </dxf>
    <dxf>
      <font>
        <strike val="0"/>
        <outline val="0"/>
        <shadow val="0"/>
        <u val="none"/>
        <vertAlign val="baseline"/>
        <sz val="12"/>
        <color theme="2" tint="-0.249977111117893"/>
        <name val="Calibri"/>
        <family val="2"/>
        <scheme val="minor"/>
      </font>
    </dxf>
    <dxf>
      <font>
        <strike val="0"/>
        <outline val="0"/>
        <shadow val="0"/>
        <u val="none"/>
        <vertAlign val="baseline"/>
        <sz val="12"/>
        <color auto="1"/>
        <name val="Calibri"/>
        <family val="2"/>
        <scheme val="minor"/>
      </font>
    </dxf>
    <dxf>
      <font>
        <strike val="0"/>
        <outline val="0"/>
        <shadow val="0"/>
        <u val="none"/>
        <vertAlign val="baseline"/>
        <sz val="12"/>
        <color rgb="FF9590FF"/>
        <name val="Calibri"/>
        <family val="2"/>
        <scheme val="minor"/>
      </font>
    </dxf>
    <dxf>
      <font>
        <strike val="0"/>
        <outline val="0"/>
        <shadow val="0"/>
        <u val="none"/>
        <vertAlign val="baseline"/>
        <sz val="12"/>
        <color theme="5" tint="-0.249977111117893"/>
        <name val="Calibri"/>
        <family val="2"/>
        <scheme val="minor"/>
      </font>
    </dxf>
    <dxf>
      <font>
        <strike val="0"/>
        <outline val="0"/>
        <shadow val="0"/>
        <u val="none"/>
        <vertAlign val="baseline"/>
        <sz val="12"/>
        <color theme="2" tint="-0.499984740745262"/>
        <name val="Calibri"/>
        <family val="2"/>
        <scheme val="minor"/>
      </font>
    </dxf>
    <dxf>
      <font>
        <strike val="0"/>
        <outline val="0"/>
        <shadow val="0"/>
        <u val="none"/>
        <vertAlign val="baseline"/>
        <sz val="12"/>
        <color rgb="FFFFC000"/>
        <name val="Calibri"/>
        <family val="2"/>
        <scheme val="minor"/>
      </font>
    </dxf>
    <dxf>
      <font>
        <strike val="0"/>
        <outline val="0"/>
        <shadow val="0"/>
        <u val="none"/>
        <vertAlign val="baseline"/>
        <sz val="12"/>
        <color rgb="FF0070C0"/>
        <name val="Calibri"/>
        <family val="2"/>
        <scheme val="minor"/>
      </font>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63FF2E"/>
        </patternFill>
      </fill>
      <alignment horizontal="center" vertical="bottom" textRotation="0" wrapText="0" indent="0" justifyLastLine="0" shrinkToFit="0" readingOrder="0"/>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numFmt numFmtId="13" formatCode="0%"/>
      <fill>
        <patternFill patternType="none">
          <fgColor indexed="64"/>
          <bgColor auto="1"/>
        </patternFill>
      </fill>
    </dxf>
    <dxf>
      <font>
        <i/>
      </font>
      <numFmt numFmtId="13" formatCode="0%"/>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63FF2E"/>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left style="thin">
          <color theme="2" tint="-0.499984740745262"/>
        </left>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63FF2E"/>
        </patternFill>
      </fill>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63FF2E"/>
        </patternFill>
      </fill>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rgb="FF63FF2E"/>
        </patternFill>
      </fill>
    </dxf>
    <dxf>
      <font>
        <b val="0"/>
        <i val="0"/>
        <strike val="0"/>
        <condense val="0"/>
        <extend val="0"/>
        <outline val="0"/>
        <shadow val="0"/>
        <u val="none"/>
        <vertAlign val="baseline"/>
        <sz val="12"/>
        <color rgb="FF3CFF0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i val="0"/>
        <strike val="0"/>
        <outline val="0"/>
        <shadow val="0"/>
        <u val="none"/>
        <vertAlign val="baseline"/>
        <sz val="12"/>
        <color auto="1"/>
        <name val="Calibri"/>
        <family val="2"/>
        <scheme val="minor"/>
      </font>
      <numFmt numFmtId="0" formatCode="General"/>
    </dxf>
    <dxf>
      <font>
        <b val="0"/>
      </font>
      <numFmt numFmtId="1" formatCode="0"/>
      <border diagonalUp="0" diagonalDown="0" outline="0">
        <left/>
        <right style="thin">
          <color indexed="64"/>
        </right>
        <top/>
        <bottom/>
      </border>
    </dxf>
    <dxf>
      <font>
        <b val="0"/>
        <i val="0"/>
        <strike val="0"/>
        <condense val="0"/>
        <extend val="0"/>
        <outline val="0"/>
        <shadow val="0"/>
        <u val="none"/>
        <vertAlign val="baseline"/>
        <sz val="12"/>
        <color auto="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2"/>
        <color auto="1"/>
        <name val="Calibri"/>
        <family val="2"/>
        <scheme val="minor"/>
      </font>
      <numFmt numFmtId="1" formatCode="0"/>
      <fill>
        <patternFill patternType="none">
          <fgColor indexed="64"/>
          <bgColor indexed="65"/>
        </patternFill>
      </fill>
    </dxf>
    <dxf>
      <font>
        <b val="0"/>
        <i val="0"/>
        <strike val="0"/>
        <condense val="0"/>
        <extend val="0"/>
        <outline val="0"/>
        <shadow val="0"/>
        <u val="none"/>
        <vertAlign val="baseline"/>
        <sz val="12"/>
        <color auto="1"/>
        <name val="Calibri"/>
        <family val="2"/>
        <scheme val="minor"/>
      </font>
      <numFmt numFmtId="2" formatCode="0.00"/>
      <fill>
        <patternFill patternType="none">
          <fgColor indexed="64"/>
          <bgColor indexed="65"/>
        </patternFill>
      </fill>
    </dxf>
    <dxf>
      <font>
        <b/>
        <strike val="0"/>
        <outline val="0"/>
        <shadow val="0"/>
        <u val="none"/>
        <vertAlign val="baseline"/>
        <sz val="12"/>
        <color auto="1"/>
        <name val="Calibri"/>
        <family val="2"/>
        <scheme val="minor"/>
      </font>
      <fill>
        <patternFill patternType="none">
          <fgColor indexed="64"/>
          <bgColor auto="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FC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bottom style="medium">
          <color indexed="64"/>
        </bottom>
      </border>
    </dxf>
    <dxf>
      <font>
        <b/>
        <i val="0"/>
        <strike val="0"/>
        <condense val="0"/>
        <extend val="0"/>
        <outline val="0"/>
        <shadow val="0"/>
        <u val="none"/>
        <vertAlign val="baseline"/>
        <sz val="12"/>
        <color rgb="FFFFC000"/>
        <name val="Calibri"/>
        <family val="2"/>
        <scheme val="minor"/>
      </font>
      <alignment horizontal="center" vertical="bottom" textRotation="0" wrapText="0" indent="0" justifyLastLine="0" shrinkToFit="0" readingOrder="0"/>
    </dxf>
    <dxf>
      <font>
        <i val="0"/>
      </font>
      <numFmt numFmtId="0" formatCode="General"/>
    </dxf>
    <dxf>
      <font>
        <i val="0"/>
      </font>
      <numFmt numFmtId="0" formatCode="Genera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FC000"/>
        </patternFill>
      </fill>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FFC000"/>
        </patternFill>
      </fill>
      <alignment horizontal="center" vertical="bottom" textRotation="0" wrapText="0" indent="0" justifyLastLine="0" shrinkToFit="0" readingOrder="0"/>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numFmt numFmtId="13" formatCode="0%"/>
      <fill>
        <patternFill patternType="none">
          <fgColor indexed="64"/>
          <bgColor auto="1"/>
        </patternFill>
      </fill>
    </dxf>
    <dxf>
      <font>
        <i/>
      </font>
      <numFmt numFmtId="13" formatCode="0%"/>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C000"/>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left style="thin">
          <color theme="2" tint="-0.499984740745262"/>
        </left>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C000"/>
        </patternFill>
      </fill>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C000"/>
        </patternFill>
      </fill>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0"/>
        <name val="Calibri"/>
        <family val="2"/>
        <scheme val="minor"/>
      </font>
      <fill>
        <patternFill patternType="solid">
          <fgColor indexed="64"/>
          <bgColor rgb="FFFFC000"/>
        </patternFill>
      </fill>
    </dxf>
    <dxf>
      <font>
        <b val="0"/>
        <i val="0"/>
        <strike val="0"/>
        <condense val="0"/>
        <extend val="0"/>
        <outline val="0"/>
        <shadow val="0"/>
        <u val="none"/>
        <vertAlign val="baseline"/>
        <sz val="12"/>
        <color auto="1"/>
        <name val="Calibri"/>
        <family val="2"/>
        <scheme val="minor"/>
      </font>
    </dxf>
    <dxf>
      <alignment horizontal="right" vertical="bottom" textRotation="0" wrapText="0" indent="0" justifyLastLine="0" shrinkToFit="0" readingOrder="0"/>
    </dxf>
    <dxf>
      <border outline="0">
        <bottom style="thin">
          <color indexed="64"/>
        </bottom>
      </border>
    </dxf>
    <dxf>
      <font>
        <strike val="0"/>
        <outline val="0"/>
        <shadow val="0"/>
        <u val="none"/>
        <vertAlign val="baseline"/>
        <sz val="12"/>
        <color theme="4"/>
        <name val="Calibri"/>
        <family val="2"/>
        <scheme val="minor"/>
      </font>
    </dxf>
    <dxf>
      <font>
        <strike val="0"/>
        <outline val="0"/>
        <shadow val="0"/>
        <u val="none"/>
        <vertAlign val="baseline"/>
        <sz val="12"/>
        <color rgb="FF00B05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C00000"/>
        <name val="Calibri"/>
        <family val="2"/>
        <scheme val="minor"/>
      </font>
    </dxf>
    <dxf>
      <font>
        <strike val="0"/>
        <outline val="0"/>
        <shadow val="0"/>
        <u val="none"/>
        <vertAlign val="baseline"/>
        <sz val="12"/>
        <color rgb="FF63FF2E"/>
        <name val="Calibri"/>
        <family val="2"/>
        <scheme val="minor"/>
      </font>
    </dxf>
    <dxf>
      <font>
        <strike val="0"/>
        <outline val="0"/>
        <shadow val="0"/>
        <u val="none"/>
        <vertAlign val="baseline"/>
        <sz val="12"/>
        <color rgb="FFFF1C97"/>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982D"/>
        <name val="Calibri"/>
        <family val="2"/>
        <scheme val="minor"/>
      </font>
    </dxf>
    <dxf>
      <font>
        <strike val="0"/>
        <outline val="0"/>
        <shadow val="0"/>
        <u val="none"/>
        <vertAlign val="baseline"/>
        <sz val="12"/>
        <color rgb="FF27FF76"/>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F4B184"/>
        <name val="Calibri"/>
        <family val="2"/>
        <scheme val="minor"/>
      </font>
    </dxf>
    <dxf>
      <font>
        <strike val="0"/>
        <outline val="0"/>
        <shadow val="0"/>
        <u val="none"/>
        <vertAlign val="baseline"/>
        <sz val="12"/>
        <color rgb="FFFF0000"/>
        <name val="Calibri"/>
        <family val="2"/>
        <scheme val="minor"/>
      </font>
    </dxf>
    <dxf>
      <font>
        <strike val="0"/>
        <outline val="0"/>
        <shadow val="0"/>
        <u val="none"/>
        <vertAlign val="baseline"/>
        <sz val="12"/>
        <color rgb="FF7030A0"/>
        <name val="Calibri"/>
        <family val="2"/>
        <scheme val="minor"/>
      </font>
    </dxf>
    <dxf>
      <font>
        <strike val="0"/>
        <outline val="0"/>
        <shadow val="0"/>
        <u val="none"/>
        <vertAlign val="baseline"/>
        <sz val="12"/>
        <color rgb="FF002060"/>
        <name val="Calibri"/>
        <family val="2"/>
        <scheme val="minor"/>
      </font>
    </dxf>
    <dxf>
      <font>
        <strike val="0"/>
        <outline val="0"/>
        <shadow val="0"/>
        <u val="none"/>
        <vertAlign val="baseline"/>
        <sz val="12"/>
        <color rgb="FFE103CB"/>
        <name val="Calibri"/>
        <family val="2"/>
        <scheme val="minor"/>
      </font>
    </dxf>
    <dxf>
      <font>
        <strike val="0"/>
        <outline val="0"/>
        <shadow val="0"/>
        <u val="none"/>
        <vertAlign val="baseline"/>
        <sz val="12"/>
        <color rgb="FFD4A2FF"/>
        <name val="Calibri"/>
        <family val="2"/>
        <scheme val="minor"/>
      </font>
    </dxf>
    <dxf>
      <font>
        <strike val="0"/>
        <outline val="0"/>
        <shadow val="0"/>
        <u val="none"/>
        <vertAlign val="baseline"/>
        <sz val="12"/>
        <color theme="2" tint="-0.249977111117893"/>
        <name val="Calibri"/>
        <family val="2"/>
        <scheme val="minor"/>
      </font>
    </dxf>
    <dxf>
      <font>
        <strike val="0"/>
        <outline val="0"/>
        <shadow val="0"/>
        <u val="none"/>
        <vertAlign val="baseline"/>
        <sz val="12"/>
        <color auto="1"/>
        <name val="Calibri"/>
        <family val="2"/>
        <scheme val="minor"/>
      </font>
    </dxf>
    <dxf>
      <font>
        <strike val="0"/>
        <outline val="0"/>
        <shadow val="0"/>
        <u val="none"/>
        <vertAlign val="baseline"/>
        <sz val="12"/>
        <color rgb="FF9590FF"/>
        <name val="Calibri"/>
        <family val="2"/>
        <scheme val="minor"/>
      </font>
    </dxf>
    <dxf>
      <font>
        <strike val="0"/>
        <outline val="0"/>
        <shadow val="0"/>
        <u val="none"/>
        <vertAlign val="baseline"/>
        <sz val="12"/>
        <color theme="5" tint="-0.249977111117893"/>
        <name val="Calibri"/>
        <family val="2"/>
        <scheme val="minor"/>
      </font>
    </dxf>
    <dxf>
      <font>
        <strike val="0"/>
        <outline val="0"/>
        <shadow val="0"/>
        <u val="none"/>
        <vertAlign val="baseline"/>
        <sz val="12"/>
        <color theme="2" tint="-0.499984740745262"/>
        <name val="Calibri"/>
        <family val="2"/>
        <scheme val="minor"/>
      </font>
    </dxf>
    <dxf>
      <font>
        <strike val="0"/>
        <outline val="0"/>
        <shadow val="0"/>
        <u val="none"/>
        <vertAlign val="baseline"/>
        <sz val="12"/>
        <color rgb="FFFFC000"/>
        <name val="Calibri"/>
        <family val="2"/>
        <scheme val="minor"/>
      </font>
    </dxf>
    <dxf>
      <font>
        <strike val="0"/>
        <outline val="0"/>
        <shadow val="0"/>
        <u val="none"/>
        <vertAlign val="baseline"/>
        <sz val="12"/>
        <color rgb="FF0070C0"/>
        <name val="Calibri"/>
        <family val="2"/>
        <scheme val="minor"/>
      </font>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FF0000"/>
        </patternFill>
      </fill>
      <alignment horizontal="center" vertical="bottom" textRotation="0" wrapText="0" indent="0" justifyLastLine="0" shrinkToFit="0" readingOrder="0"/>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fill>
        <patternFill patternType="none">
          <fgColor indexed="64"/>
          <bgColor auto="1"/>
        </patternFill>
      </fill>
    </dxf>
    <dxf>
      <font>
        <i/>
      </font>
      <numFmt numFmtId="13" formatCode="0%"/>
      <fill>
        <patternFill patternType="none">
          <fgColor indexed="64"/>
          <bgColor auto="1"/>
        </patternFill>
      </fill>
    </dxf>
    <dxf>
      <font>
        <i/>
      </font>
      <numFmt numFmtId="13" formatCode="0%"/>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left style="thin">
          <color theme="2" tint="-0.499984740745262"/>
        </left>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rgb="FFFF0000"/>
        </patternFill>
      </fill>
    </dxf>
    <dxf>
      <font>
        <b val="0"/>
        <i val="0"/>
        <strike val="0"/>
        <condense val="0"/>
        <extend val="0"/>
        <outline val="0"/>
        <shadow val="0"/>
        <u val="none"/>
        <vertAlign val="baseline"/>
        <sz val="12"/>
        <color rgb="FFFF0000"/>
        <name val="Calibri"/>
        <family val="2"/>
        <scheme val="minor"/>
      </font>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strike val="0"/>
        <outline val="0"/>
        <shadow val="0"/>
        <u val="none"/>
        <vertAlign val="baseline"/>
        <sz val="12"/>
        <color theme="4"/>
        <name val="Calibri"/>
        <family val="2"/>
        <scheme val="minor"/>
      </font>
    </dxf>
    <dxf>
      <font>
        <strike val="0"/>
        <outline val="0"/>
        <shadow val="0"/>
        <u val="none"/>
        <vertAlign val="baseline"/>
        <sz val="12"/>
        <color rgb="FF00B05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C00000"/>
        <name val="Calibri"/>
        <family val="2"/>
        <scheme val="minor"/>
      </font>
    </dxf>
    <dxf>
      <font>
        <strike val="0"/>
        <outline val="0"/>
        <shadow val="0"/>
        <u val="none"/>
        <vertAlign val="baseline"/>
        <sz val="12"/>
        <color rgb="FF63FF2E"/>
        <name val="Calibri"/>
        <family val="2"/>
        <scheme val="minor"/>
      </font>
    </dxf>
    <dxf>
      <font>
        <strike val="0"/>
        <outline val="0"/>
        <shadow val="0"/>
        <u val="none"/>
        <vertAlign val="baseline"/>
        <sz val="12"/>
        <color rgb="FFFF1C97"/>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982D"/>
        <name val="Calibri"/>
        <family val="2"/>
        <scheme val="minor"/>
      </font>
    </dxf>
    <dxf>
      <font>
        <strike val="0"/>
        <outline val="0"/>
        <shadow val="0"/>
        <u val="none"/>
        <vertAlign val="baseline"/>
        <sz val="12"/>
        <color rgb="FF27FF76"/>
        <name val="Calibri"/>
        <family val="2"/>
        <scheme val="minor"/>
      </font>
    </dxf>
    <dxf>
      <font>
        <strike val="0"/>
        <outline val="0"/>
        <shadow val="0"/>
        <u val="none"/>
        <vertAlign val="baseline"/>
        <sz val="12"/>
        <color rgb="FF1FFFF0"/>
        <name val="Calibri"/>
        <family val="2"/>
        <scheme val="minor"/>
      </font>
    </dxf>
    <dxf>
      <font>
        <strike val="0"/>
        <outline val="0"/>
        <shadow val="0"/>
        <u val="none"/>
        <vertAlign val="baseline"/>
        <sz val="12"/>
        <color rgb="FFFF87A1"/>
        <name val="Calibri"/>
        <family val="2"/>
        <scheme val="minor"/>
      </font>
    </dxf>
    <dxf>
      <font>
        <strike val="0"/>
        <outline val="0"/>
        <shadow val="0"/>
        <u val="none"/>
        <vertAlign val="baseline"/>
        <sz val="12"/>
        <color rgb="FFF4B184"/>
        <name val="Calibri"/>
        <family val="2"/>
        <scheme val="minor"/>
      </font>
    </dxf>
    <dxf>
      <font>
        <strike val="0"/>
        <outline val="0"/>
        <shadow val="0"/>
        <u val="none"/>
        <vertAlign val="baseline"/>
        <sz val="12"/>
        <color rgb="FFFF0000"/>
        <name val="Calibri"/>
        <family val="2"/>
        <scheme val="minor"/>
      </font>
    </dxf>
    <dxf>
      <font>
        <strike val="0"/>
        <outline val="0"/>
        <shadow val="0"/>
        <u val="none"/>
        <vertAlign val="baseline"/>
        <sz val="12"/>
        <color rgb="FF7030A0"/>
        <name val="Calibri"/>
        <family val="2"/>
        <scheme val="minor"/>
      </font>
    </dxf>
    <dxf>
      <font>
        <strike val="0"/>
        <outline val="0"/>
        <shadow val="0"/>
        <u val="none"/>
        <vertAlign val="baseline"/>
        <sz val="12"/>
        <color rgb="FF002060"/>
        <name val="Calibri"/>
        <family val="2"/>
        <scheme val="minor"/>
      </font>
    </dxf>
    <dxf>
      <font>
        <strike val="0"/>
        <outline val="0"/>
        <shadow val="0"/>
        <u val="none"/>
        <vertAlign val="baseline"/>
        <sz val="12"/>
        <color rgb="FFE103CB"/>
        <name val="Calibri"/>
        <family val="2"/>
        <scheme val="minor"/>
      </font>
    </dxf>
    <dxf>
      <font>
        <strike val="0"/>
        <outline val="0"/>
        <shadow val="0"/>
        <u val="none"/>
        <vertAlign val="baseline"/>
        <sz val="12"/>
        <color rgb="FFD4A2FF"/>
        <name val="Calibri"/>
        <family val="2"/>
        <scheme val="minor"/>
      </font>
    </dxf>
    <dxf>
      <font>
        <strike val="0"/>
        <outline val="0"/>
        <shadow val="0"/>
        <u val="none"/>
        <vertAlign val="baseline"/>
        <sz val="12"/>
        <color theme="2" tint="-0.249977111117893"/>
        <name val="Calibri"/>
        <family val="2"/>
        <scheme val="minor"/>
      </font>
    </dxf>
    <dxf>
      <font>
        <strike val="0"/>
        <outline val="0"/>
        <shadow val="0"/>
        <u val="none"/>
        <vertAlign val="baseline"/>
        <sz val="12"/>
        <color auto="1"/>
        <name val="Calibri"/>
        <family val="2"/>
        <scheme val="minor"/>
      </font>
    </dxf>
    <dxf>
      <font>
        <strike val="0"/>
        <outline val="0"/>
        <shadow val="0"/>
        <u val="none"/>
        <vertAlign val="baseline"/>
        <sz val="12"/>
        <color rgb="FF9590FF"/>
        <name val="Calibri"/>
        <family val="2"/>
        <scheme val="minor"/>
      </font>
    </dxf>
    <dxf>
      <font>
        <strike val="0"/>
        <outline val="0"/>
        <shadow val="0"/>
        <u val="none"/>
        <vertAlign val="baseline"/>
        <sz val="12"/>
        <color theme="5" tint="-0.249977111117893"/>
        <name val="Calibri"/>
        <family val="2"/>
        <scheme val="minor"/>
      </font>
    </dxf>
    <dxf>
      <font>
        <strike val="0"/>
        <outline val="0"/>
        <shadow val="0"/>
        <u val="none"/>
        <vertAlign val="baseline"/>
        <sz val="12"/>
        <color theme="2" tint="-0.499984740745262"/>
        <name val="Calibri"/>
        <family val="2"/>
        <scheme val="minor"/>
      </font>
    </dxf>
    <dxf>
      <font>
        <strike val="0"/>
        <outline val="0"/>
        <shadow val="0"/>
        <u val="none"/>
        <vertAlign val="baseline"/>
        <sz val="12"/>
        <color rgb="FFFFC000"/>
        <name val="Calibri"/>
        <family val="2"/>
        <scheme val="minor"/>
      </font>
    </dxf>
    <dxf>
      <font>
        <strike val="0"/>
        <outline val="0"/>
        <shadow val="0"/>
        <u val="none"/>
        <vertAlign val="baseline"/>
        <sz val="12"/>
        <color rgb="FF0070C0"/>
        <name val="Calibri"/>
        <family val="2"/>
        <scheme val="minor"/>
      </font>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FF0000"/>
        </patternFill>
      </fill>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border outline="0">
        <bottom style="thin">
          <color theme="2" tint="-0.499984740745262"/>
        </bottom>
      </border>
    </dxf>
    <dxf>
      <font>
        <b/>
        <i val="0"/>
        <strike val="0"/>
        <condense val="0"/>
        <extend val="0"/>
        <outline val="0"/>
        <shadow val="0"/>
        <u val="none"/>
        <vertAlign val="baseline"/>
        <sz val="12"/>
        <color theme="1"/>
        <name val="Calibri"/>
        <family val="2"/>
        <scheme val="minor"/>
      </font>
      <fill>
        <patternFill patternType="solid">
          <fgColor indexed="64"/>
          <bgColor rgb="FF0070C0"/>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3" formatCode="0%"/>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0070C0"/>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left style="thin">
          <color theme="2" tint="-0.499984740745262"/>
        </left>
        <right/>
        <top/>
        <bottom/>
        <vertical/>
        <horizontal/>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border outline="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0070C0"/>
        </patternFill>
      </fill>
    </dxf>
    <dxf>
      <numFmt numFmtId="0" formatCode="General"/>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ill>
        <patternFill patternType="solid">
          <fgColor indexed="64"/>
          <bgColor rgb="FF0070C0"/>
        </patternFill>
      </fill>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dxf>
    <dxf>
      <font>
        <b val="0"/>
        <i/>
        <strike val="0"/>
        <condense val="0"/>
        <extend val="0"/>
        <outline val="0"/>
        <shadow val="0"/>
        <u val="none"/>
        <vertAlign val="baseline"/>
        <sz val="12"/>
        <color theme="1"/>
        <name val="Calibri"/>
        <family val="2"/>
        <scheme val="minor"/>
      </font>
      <numFmt numFmtId="13" formatCode="0%"/>
    </dxf>
    <dxf>
      <border diagonalUp="0" diagonalDown="0">
        <left style="medium">
          <color theme="2" tint="-0.499984740745262"/>
        </left>
        <right style="medium">
          <color theme="2" tint="-0.499984740745262"/>
        </right>
        <top style="medium">
          <color theme="2" tint="-0.499984740745262"/>
        </top>
        <bottom style="medium">
          <color theme="2" tint="-0.499984740745262"/>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fill>
        <patternFill patternType="solid">
          <fgColor indexed="64"/>
          <bgColor rgb="FF0070C0"/>
        </patternFill>
      </fill>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val="0"/>
        <strike val="0"/>
        <condense val="0"/>
        <extend val="0"/>
        <outline val="0"/>
        <shadow val="0"/>
        <u val="none"/>
        <vertAlign val="baseline"/>
        <sz val="12"/>
        <color rgb="FF0070C0"/>
        <name val="Calibri"/>
        <family val="2"/>
        <scheme val="minor"/>
      </font>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outline="0">
        <left/>
        <right style="thin">
          <color indexed="64"/>
        </right>
        <top/>
        <bottom/>
      </border>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rgb="FF0070C0"/>
        <name val="Calibri"/>
        <family val="2"/>
        <scheme val="minor"/>
      </font>
    </dxf>
    <dxf>
      <border outline="0">
        <bottom style="thin">
          <color indexed="64"/>
        </bottom>
      </border>
    </dxf>
    <dxf>
      <fill>
        <patternFill patternType="none">
          <fgColor indexed="64"/>
          <bgColor indexed="65"/>
        </patternFill>
      </fill>
      <alignment horizontal="center" vertical="bottom" textRotation="0" wrapText="0" indent="0" justifyLastLine="0" shrinkToFit="0" readingOrder="0"/>
    </dxf>
    <dxf>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val="0"/>
        <strike val="0"/>
        <condense val="0"/>
        <extend val="0"/>
        <outline val="0"/>
        <shadow val="0"/>
        <u val="none"/>
        <vertAlign val="baseline"/>
        <sz val="12"/>
        <color auto="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right" vertical="bottom" textRotation="0" wrapText="0" indent="0" justifyLastLine="0" shrinkToFit="0" readingOrder="0"/>
      <border diagonalUp="0" diagonalDown="0">
        <left/>
        <right style="thin">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val="0"/>
        <i/>
        <strike val="0"/>
        <condense val="0"/>
        <extend val="0"/>
        <outline val="0"/>
        <shadow val="0"/>
        <u val="none"/>
        <vertAlign val="baseline"/>
        <sz val="12"/>
        <color theme="5"/>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theme="5"/>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theme="5"/>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theme="5"/>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theme="5"/>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theme="5"/>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font>
        <b val="0"/>
        <i/>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numFmt numFmtId="0" formatCode="General"/>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val="0"/>
        <strike val="0"/>
        <condense val="0"/>
        <extend val="0"/>
        <outline val="0"/>
        <shadow val="0"/>
        <u val="none"/>
        <vertAlign val="baseline"/>
        <sz val="12"/>
        <color theme="1"/>
        <name val="Calibri"/>
        <family val="2"/>
        <scheme val="minor"/>
      </font>
      <numFmt numFmtId="13" formatCode="0%"/>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outline="0">
        <left/>
        <right style="thin">
          <color indexed="64"/>
        </right>
        <top/>
        <bottom/>
      </border>
    </dxf>
    <dxf>
      <font>
        <b val="0"/>
        <i/>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left/>
        <right style="thin">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alignment vertical="center" textRotation="0" indent="0" justifyLastLine="0" shrinkToFit="0" readingOrder="0"/>
    </dxf>
    <dxf>
      <font>
        <b/>
        <i val="0"/>
        <strike val="0"/>
        <condense val="0"/>
        <extend val="0"/>
        <outline val="0"/>
        <shadow val="0"/>
        <u val="none"/>
        <vertAlign val="baseline"/>
        <sz val="12"/>
        <color auto="1"/>
        <name val="Calibri"/>
        <family val="2"/>
        <scheme val="minor"/>
      </font>
    </dxf>
    <dxf>
      <font>
        <b/>
      </font>
      <numFmt numFmtId="0" formatCode="General"/>
    </dxf>
    <dxf>
      <font>
        <b val="0"/>
        <i val="0"/>
        <strike val="0"/>
        <condense val="0"/>
        <extend val="0"/>
        <outline val="0"/>
        <shadow val="0"/>
        <u val="none"/>
        <vertAlign val="baseline"/>
        <sz val="12"/>
        <color rgb="FF92D050"/>
        <name val="Calibri"/>
        <family val="2"/>
        <scheme val="minor"/>
      </font>
    </dxf>
    <dxf>
      <font>
        <b val="0"/>
        <i val="0"/>
        <strike val="0"/>
        <condense val="0"/>
        <extend val="0"/>
        <outline val="0"/>
        <shadow val="0"/>
        <u val="none"/>
        <vertAlign val="baseline"/>
        <sz val="12"/>
        <color rgb="FF92D050"/>
        <name val="Calibri"/>
        <family val="2"/>
        <scheme val="minor"/>
      </font>
      <fill>
        <patternFill patternType="none">
          <fgColor indexed="64"/>
          <bgColor indexed="65"/>
        </patternFill>
      </fill>
    </dxf>
    <dxf>
      <font>
        <b val="0"/>
        <i val="0"/>
        <strike val="0"/>
        <condense val="0"/>
        <extend val="0"/>
        <outline val="0"/>
        <shadow val="0"/>
        <u val="none"/>
        <vertAlign val="baseline"/>
        <sz val="12"/>
        <color theme="4"/>
        <name val="Calibri"/>
        <family val="2"/>
        <scheme val="minor"/>
      </font>
    </dxf>
    <dxf>
      <font>
        <b val="0"/>
        <i val="0"/>
        <strike val="0"/>
        <condense val="0"/>
        <extend val="0"/>
        <outline val="0"/>
        <shadow val="0"/>
        <u val="none"/>
        <vertAlign val="baseline"/>
        <sz val="12"/>
        <color theme="4"/>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rgb="FF00B050"/>
        <name val="Calibri"/>
        <family val="2"/>
        <scheme val="minor"/>
      </font>
    </dxf>
    <dxf>
      <font>
        <b val="0"/>
        <i val="0"/>
        <strike val="0"/>
        <condense val="0"/>
        <extend val="0"/>
        <outline val="0"/>
        <shadow val="0"/>
        <u val="none"/>
        <vertAlign val="baseline"/>
        <sz val="12"/>
        <color rgb="FF00B050"/>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8592"/>
        <name val="Calibri"/>
        <family val="2"/>
        <scheme val="minor"/>
      </font>
    </dxf>
    <dxf>
      <font>
        <b val="0"/>
        <i val="0"/>
        <strike val="0"/>
        <condense val="0"/>
        <extend val="0"/>
        <outline val="0"/>
        <shadow val="0"/>
        <u val="none"/>
        <vertAlign val="baseline"/>
        <sz val="12"/>
        <color rgb="FFFF8592"/>
        <name val="Calibri"/>
        <family val="2"/>
        <scheme val="minor"/>
      </font>
      <fill>
        <patternFill patternType="none">
          <fgColor indexed="64"/>
          <bgColor indexed="65"/>
        </patternFill>
      </fill>
    </dxf>
    <dxf>
      <font>
        <b val="0"/>
        <i val="0"/>
        <strike val="0"/>
        <condense val="0"/>
        <extend val="0"/>
        <outline val="0"/>
        <shadow val="0"/>
        <u val="none"/>
        <vertAlign val="baseline"/>
        <sz val="12"/>
        <color rgb="FFC00000"/>
        <name val="Calibri"/>
        <family val="2"/>
        <scheme val="minor"/>
      </font>
    </dxf>
    <dxf>
      <font>
        <b val="0"/>
        <i val="0"/>
        <strike val="0"/>
        <condense val="0"/>
        <extend val="0"/>
        <outline val="0"/>
        <shadow val="0"/>
        <u val="none"/>
        <vertAlign val="baseline"/>
        <sz val="12"/>
        <color rgb="FFC000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58FF00"/>
        <name val="Calibri"/>
        <family val="2"/>
        <scheme val="minor"/>
      </font>
    </dxf>
    <dxf>
      <font>
        <b val="0"/>
        <i val="0"/>
        <strike val="0"/>
        <condense val="0"/>
        <extend val="0"/>
        <outline val="0"/>
        <shadow val="0"/>
        <u val="none"/>
        <vertAlign val="baseline"/>
        <sz val="12"/>
        <color rgb="FF58FF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F90D80"/>
        <name val="Calibri"/>
        <family val="2"/>
        <scheme val="minor"/>
      </font>
    </dxf>
    <dxf>
      <font>
        <b val="0"/>
        <i val="0"/>
        <strike val="0"/>
        <condense val="0"/>
        <extend val="0"/>
        <outline val="0"/>
        <shadow val="0"/>
        <u val="none"/>
        <vertAlign val="baseline"/>
        <sz val="12"/>
        <color rgb="FFF90D80"/>
        <name val="Calibri"/>
        <family val="2"/>
        <scheme val="minor"/>
      </font>
      <fill>
        <patternFill patternType="none">
          <fgColor indexed="64"/>
          <bgColor indexed="65"/>
        </patternFill>
      </fill>
    </dxf>
    <dxf>
      <font>
        <b val="0"/>
        <i val="0"/>
        <strike val="0"/>
        <condense val="0"/>
        <extend val="0"/>
        <outline val="0"/>
        <shadow val="0"/>
        <u val="none"/>
        <vertAlign val="baseline"/>
        <sz val="12"/>
        <color rgb="FF92FFD5"/>
        <name val="Calibri"/>
        <family val="2"/>
        <scheme val="minor"/>
      </font>
    </dxf>
    <dxf>
      <font>
        <b val="0"/>
        <i val="0"/>
        <strike val="0"/>
        <condense val="0"/>
        <extend val="0"/>
        <outline val="0"/>
        <shadow val="0"/>
        <u val="none"/>
        <vertAlign val="baseline"/>
        <sz val="12"/>
        <color rgb="FF92FFD5"/>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9300"/>
        <name val="Calibri"/>
        <family val="2"/>
        <scheme val="minor"/>
      </font>
    </dxf>
    <dxf>
      <font>
        <b val="0"/>
        <i val="0"/>
        <strike val="0"/>
        <condense val="0"/>
        <extend val="0"/>
        <outline val="0"/>
        <shadow val="0"/>
        <u val="none"/>
        <vertAlign val="baseline"/>
        <sz val="12"/>
        <color rgb="FFFF93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ACFFA5"/>
        <name val="Calibri"/>
        <family val="2"/>
        <scheme val="minor"/>
      </font>
    </dxf>
    <dxf>
      <font>
        <b val="0"/>
        <i val="0"/>
        <strike val="0"/>
        <condense val="0"/>
        <extend val="0"/>
        <outline val="0"/>
        <shadow val="0"/>
        <u val="none"/>
        <vertAlign val="baseline"/>
        <sz val="12"/>
        <color rgb="FFACFFA5"/>
        <name val="Calibri"/>
        <family val="2"/>
        <scheme val="minor"/>
      </font>
      <fill>
        <patternFill patternType="none">
          <fgColor indexed="64"/>
          <bgColor indexed="65"/>
        </patternFill>
      </fill>
    </dxf>
    <dxf>
      <font>
        <b val="0"/>
        <i val="0"/>
        <strike val="0"/>
        <condense val="0"/>
        <extend val="0"/>
        <outline val="0"/>
        <shadow val="0"/>
        <u val="none"/>
        <vertAlign val="baseline"/>
        <sz val="12"/>
        <color rgb="FF90F7FE"/>
        <name val="Calibri"/>
        <family val="2"/>
        <scheme val="minor"/>
      </font>
    </dxf>
    <dxf>
      <font>
        <b val="0"/>
        <i val="0"/>
        <strike val="0"/>
        <condense val="0"/>
        <extend val="0"/>
        <outline val="0"/>
        <shadow val="0"/>
        <u val="none"/>
        <vertAlign val="baseline"/>
        <sz val="12"/>
        <color rgb="FF90F7FE"/>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4157"/>
        <name val="Calibri"/>
        <family val="2"/>
        <scheme val="minor"/>
      </font>
    </dxf>
    <dxf>
      <font>
        <b val="0"/>
        <i val="0"/>
        <strike val="0"/>
        <condense val="0"/>
        <extend val="0"/>
        <outline val="0"/>
        <shadow val="0"/>
        <u val="none"/>
        <vertAlign val="baseline"/>
        <sz val="12"/>
        <color rgb="FFFF4157"/>
        <name val="Calibri"/>
        <family val="2"/>
        <scheme val="minor"/>
      </font>
      <fill>
        <patternFill patternType="none">
          <fgColor indexed="64"/>
          <bgColor indexed="65"/>
        </patternFill>
      </fill>
    </dxf>
    <dxf>
      <font>
        <b val="0"/>
        <i val="0"/>
        <strike val="0"/>
        <condense val="0"/>
        <extend val="0"/>
        <outline val="0"/>
        <shadow val="0"/>
        <u val="none"/>
        <vertAlign val="baseline"/>
        <sz val="12"/>
        <color rgb="FFF4B284"/>
        <name val="Calibri"/>
        <family val="2"/>
        <scheme val="minor"/>
      </font>
    </dxf>
    <dxf>
      <font>
        <b val="0"/>
        <i val="0"/>
        <strike val="0"/>
        <condense val="0"/>
        <extend val="0"/>
        <outline val="0"/>
        <shadow val="0"/>
        <u val="none"/>
        <vertAlign val="baseline"/>
        <sz val="12"/>
        <color rgb="FFF4B284"/>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0000"/>
        <name val="Calibri"/>
        <family val="2"/>
        <scheme val="minor"/>
      </font>
    </dxf>
    <dxf>
      <font>
        <b val="0"/>
        <i val="0"/>
        <strike val="0"/>
        <condense val="0"/>
        <extend val="0"/>
        <outline val="0"/>
        <shadow val="0"/>
        <u val="none"/>
        <vertAlign val="baseline"/>
        <sz val="12"/>
        <color rgb="FFFF00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7030A0"/>
        <name val="Calibri"/>
        <family val="2"/>
        <scheme val="minor"/>
      </font>
    </dxf>
    <dxf>
      <font>
        <b val="0"/>
        <i val="0"/>
        <strike val="0"/>
        <condense val="0"/>
        <extend val="0"/>
        <outline val="0"/>
        <shadow val="0"/>
        <u val="none"/>
        <vertAlign val="baseline"/>
        <sz val="12"/>
        <color rgb="FF7030A0"/>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rgb="FF002060"/>
        <name val="Calibri"/>
        <family val="2"/>
        <scheme val="minor"/>
      </font>
    </dxf>
    <dxf>
      <font>
        <b val="0"/>
        <i val="0"/>
        <strike val="0"/>
        <condense val="0"/>
        <extend val="0"/>
        <outline val="0"/>
        <shadow val="0"/>
        <u val="none"/>
        <vertAlign val="baseline"/>
        <sz val="12"/>
        <color rgb="FF002060"/>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00E6"/>
        <name val="Calibri"/>
        <family val="2"/>
        <scheme val="minor"/>
      </font>
    </dxf>
    <dxf>
      <font>
        <b val="0"/>
        <i val="0"/>
        <strike val="0"/>
        <condense val="0"/>
        <extend val="0"/>
        <outline val="0"/>
        <shadow val="0"/>
        <u val="none"/>
        <vertAlign val="baseline"/>
        <sz val="12"/>
        <color rgb="FFFF00E6"/>
        <name val="Calibri"/>
        <family val="2"/>
        <scheme val="minor"/>
      </font>
      <fill>
        <patternFill patternType="none">
          <fgColor indexed="64"/>
          <bgColor indexed="65"/>
        </patternFill>
      </fill>
    </dxf>
    <dxf>
      <font>
        <b val="0"/>
        <i val="0"/>
        <strike val="0"/>
        <condense val="0"/>
        <extend val="0"/>
        <outline val="0"/>
        <shadow val="0"/>
        <u val="none"/>
        <vertAlign val="baseline"/>
        <sz val="12"/>
        <color rgb="FFD4A2FF"/>
        <name val="Calibri"/>
        <family val="2"/>
        <scheme val="minor"/>
      </font>
    </dxf>
    <dxf>
      <font>
        <b val="0"/>
        <i val="0"/>
        <strike val="0"/>
        <condense val="0"/>
        <extend val="0"/>
        <outline val="0"/>
        <shadow val="0"/>
        <u val="none"/>
        <vertAlign val="baseline"/>
        <sz val="12"/>
        <color rgb="FFD4A2FF"/>
        <name val="Calibri"/>
        <family val="2"/>
        <scheme val="minor"/>
      </font>
      <fill>
        <patternFill patternType="none">
          <fgColor indexed="64"/>
          <bgColor indexed="65"/>
        </patternFill>
      </fill>
    </dxf>
    <dxf>
      <font>
        <b val="0"/>
        <i val="0"/>
        <strike val="0"/>
        <condense val="0"/>
        <extend val="0"/>
        <outline val="0"/>
        <shadow val="0"/>
        <u val="none"/>
        <vertAlign val="baseline"/>
        <sz val="12"/>
        <color theme="2" tint="-0.249977111117893"/>
        <name val="Calibri"/>
        <family val="2"/>
        <scheme val="minor"/>
      </font>
    </dxf>
    <dxf>
      <font>
        <b val="0"/>
        <i val="0"/>
        <strike val="0"/>
        <condense val="0"/>
        <extend val="0"/>
        <outline val="0"/>
        <shadow val="0"/>
        <u val="none"/>
        <vertAlign val="baseline"/>
        <sz val="12"/>
        <color theme="2" tint="-0.249977111117893"/>
        <name val="Calibri"/>
        <family val="2"/>
        <scheme val="minor"/>
      </font>
      <fill>
        <patternFill patternType="none">
          <fgColor indexed="64"/>
          <bgColor indexed="65"/>
        </patternFill>
      </fill>
    </dxf>
    <dxf>
      <font>
        <strike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2"/>
        <color theme="5"/>
        <name val="Calibri"/>
        <family val="2"/>
        <scheme val="minor"/>
      </font>
    </dxf>
    <dxf>
      <font>
        <b val="0"/>
        <i val="0"/>
        <strike val="0"/>
        <condense val="0"/>
        <extend val="0"/>
        <outline val="0"/>
        <shadow val="0"/>
        <u val="none"/>
        <vertAlign val="baseline"/>
        <sz val="12"/>
        <color rgb="FF9590FF"/>
        <name val="Calibri"/>
        <family val="2"/>
        <scheme val="minor"/>
      </font>
      <numFmt numFmtId="0" formatCode="General"/>
    </dxf>
    <dxf>
      <font>
        <b val="0"/>
        <i val="0"/>
        <strike val="0"/>
        <condense val="0"/>
        <extend val="0"/>
        <outline val="0"/>
        <shadow val="0"/>
        <u val="none"/>
        <vertAlign val="baseline"/>
        <sz val="12"/>
        <color theme="5"/>
        <name val="Calibri"/>
        <family val="2"/>
        <scheme val="minor"/>
      </font>
    </dxf>
    <dxf>
      <font>
        <b val="0"/>
        <i val="0"/>
        <strike val="0"/>
        <condense val="0"/>
        <extend val="0"/>
        <outline val="0"/>
        <shadow val="0"/>
        <u val="none"/>
        <vertAlign val="baseline"/>
        <sz val="12"/>
        <color theme="5"/>
        <name val="Calibri"/>
        <family val="2"/>
        <scheme val="minor"/>
      </font>
      <fill>
        <patternFill patternType="none">
          <fgColor indexed="64"/>
          <bgColor indexed="65"/>
        </patternFill>
      </fill>
    </dxf>
    <dxf>
      <font>
        <b val="0"/>
        <i val="0"/>
        <strike val="0"/>
        <condense val="0"/>
        <extend val="0"/>
        <outline val="0"/>
        <shadow val="0"/>
        <u val="none"/>
        <vertAlign val="baseline"/>
        <sz val="12"/>
        <color theme="2" tint="-0.499984740745262"/>
        <name val="Calibri"/>
        <family val="2"/>
        <scheme val="minor"/>
      </font>
    </dxf>
    <dxf>
      <font>
        <b val="0"/>
        <i val="0"/>
        <strike val="0"/>
        <condense val="0"/>
        <extend val="0"/>
        <outline val="0"/>
        <shadow val="0"/>
        <u val="none"/>
        <vertAlign val="baseline"/>
        <sz val="12"/>
        <color theme="2" tint="-0.499984740745262"/>
        <name val="Calibri"/>
        <family val="2"/>
        <scheme val="minor"/>
      </font>
      <fill>
        <patternFill patternType="none">
          <fgColor indexed="64"/>
          <bgColor indexed="65"/>
        </patternFill>
      </fill>
    </dxf>
    <dxf>
      <font>
        <b val="0"/>
        <i val="0"/>
        <strike val="0"/>
        <condense val="0"/>
        <extend val="0"/>
        <outline val="0"/>
        <shadow val="0"/>
        <u val="none"/>
        <vertAlign val="baseline"/>
        <sz val="12"/>
        <color rgb="FFFFC000"/>
        <name val="Calibri"/>
        <family val="2"/>
        <scheme val="minor"/>
      </font>
    </dxf>
    <dxf>
      <font>
        <b val="0"/>
        <i val="0"/>
        <strike val="0"/>
        <condense val="0"/>
        <extend val="0"/>
        <outline val="0"/>
        <shadow val="0"/>
        <u val="none"/>
        <vertAlign val="baseline"/>
        <sz val="12"/>
        <color rgb="FFFFC000"/>
        <name val="Calibri"/>
        <family val="2"/>
        <scheme val="minor"/>
      </font>
      <fill>
        <patternFill patternType="none">
          <fgColor indexed="64"/>
          <bgColor indexed="65"/>
        </patternFill>
      </fill>
    </dxf>
    <dxf>
      <font>
        <b val="0"/>
        <i val="0"/>
        <strike val="0"/>
        <condense val="0"/>
        <extend val="0"/>
        <outline val="0"/>
        <shadow val="0"/>
        <u val="none"/>
        <vertAlign val="baseline"/>
        <sz val="12"/>
        <color rgb="FF003EFF"/>
        <name val="Calibri"/>
        <family val="2"/>
        <scheme val="minor"/>
      </font>
    </dxf>
    <dxf>
      <font>
        <b val="0"/>
        <i val="0"/>
        <strike val="0"/>
        <condense val="0"/>
        <extend val="0"/>
        <outline val="0"/>
        <shadow val="0"/>
        <u val="none"/>
        <vertAlign val="baseline"/>
        <sz val="12"/>
        <color rgb="FF003EFF"/>
        <name val="Calibri"/>
        <family val="2"/>
        <scheme val="minor"/>
      </font>
      <fill>
        <patternFill patternType="none">
          <fgColor indexed="64"/>
          <bgColor indexed="65"/>
        </patternFill>
      </fill>
    </dxf>
    <dxf>
      <font>
        <b/>
        <i val="0"/>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border diagonalUp="0" diagonalDown="0" outline="0">
        <left/>
        <right style="thin">
          <color indexed="64"/>
        </right>
        <top/>
        <bottom/>
      </border>
    </dxf>
    <dxf>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s>
  <tableStyles count="0" defaultTableStyle="TableStyleMedium2" defaultPivotStyle="PivotStyleLight16"/>
  <colors>
    <mruColors>
      <color rgb="FF66FF99"/>
      <color rgb="FF9999FF"/>
      <color rgb="FF65FFDA"/>
      <color rgb="FFF6A8AF"/>
      <color rgb="FF66FF33"/>
      <color rgb="FFFF00FF"/>
      <color rgb="FF66FFFF"/>
      <color rgb="FFFF5353"/>
      <color rgb="FFFFB48F"/>
      <color rgb="FFDAF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C00000"/>
                </a:solidFill>
              </a:rPr>
              <a:t>Keyword</a:t>
            </a:r>
            <a:r>
              <a:rPr lang="en-US" sz="2400" b="1" baseline="0"/>
              <a:t> </a:t>
            </a:r>
            <a:r>
              <a:rPr lang="en-US" sz="2400" b="1" baseline="0">
                <a:solidFill>
                  <a:schemeClr val="tx1"/>
                </a:solidFill>
              </a:rPr>
              <a:t>Totals</a:t>
            </a:r>
            <a:endParaRPr lang="en-US" sz="2400" b="1">
              <a:solidFill>
                <a:schemeClr val="tx1"/>
              </a:solidFill>
            </a:endParaRPr>
          </a:p>
        </c:rich>
      </c:tx>
      <c:layout>
        <c:manualLayout>
          <c:xMode val="edge"/>
          <c:yMode val="edge"/>
          <c:x val="0.42173370312373387"/>
          <c:y val="1.6241503088142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5CEF29"/>
              </a:solidFill>
              <a:ln>
                <a:noFill/>
              </a:ln>
              <a:effectLst/>
            </c:spPr>
            <c:extLst>
              <c:ext xmlns:c16="http://schemas.microsoft.com/office/drawing/2014/chart" uri="{C3380CC4-5D6E-409C-BE32-E72D297353CC}">
                <c16:uniqueId val="{00000001-83A9-E940-866B-E3C86680D564}"/>
              </c:ext>
            </c:extLst>
          </c:dPt>
          <c:dPt>
            <c:idx val="1"/>
            <c:invertIfNegative val="0"/>
            <c:bubble3D val="0"/>
            <c:spPr>
              <a:solidFill>
                <a:srgbClr val="72A454"/>
              </a:solidFill>
              <a:ln>
                <a:noFill/>
              </a:ln>
              <a:effectLst/>
            </c:spPr>
            <c:extLst>
              <c:ext xmlns:c16="http://schemas.microsoft.com/office/drawing/2014/chart" uri="{C3380CC4-5D6E-409C-BE32-E72D297353CC}">
                <c16:uniqueId val="{00000002-83A9-E940-866B-E3C86680D564}"/>
              </c:ext>
            </c:extLst>
          </c:dPt>
          <c:dPt>
            <c:idx val="2"/>
            <c:invertIfNegative val="0"/>
            <c:bubble3D val="0"/>
            <c:spPr>
              <a:solidFill>
                <a:srgbClr val="F210E2"/>
              </a:solidFill>
              <a:ln>
                <a:noFill/>
              </a:ln>
              <a:effectLst/>
            </c:spPr>
            <c:extLst>
              <c:ext xmlns:c16="http://schemas.microsoft.com/office/drawing/2014/chart" uri="{C3380CC4-5D6E-409C-BE32-E72D297353CC}">
                <c16:uniqueId val="{00000003-83A9-E940-866B-E3C86680D564}"/>
              </c:ext>
            </c:extLst>
          </c:dPt>
          <c:dPt>
            <c:idx val="3"/>
            <c:invertIfNegative val="0"/>
            <c:bubble3D val="0"/>
            <c:spPr>
              <a:solidFill>
                <a:srgbClr val="F38096"/>
              </a:solidFill>
              <a:ln>
                <a:noFill/>
              </a:ln>
              <a:effectLst/>
            </c:spPr>
            <c:extLst>
              <c:ext xmlns:c16="http://schemas.microsoft.com/office/drawing/2014/chart" uri="{C3380CC4-5D6E-409C-BE32-E72D297353CC}">
                <c16:uniqueId val="{00000004-83A9-E940-866B-E3C86680D564}"/>
              </c:ext>
            </c:extLst>
          </c:dPt>
          <c:dPt>
            <c:idx val="4"/>
            <c:invertIfNegative val="0"/>
            <c:bubble3D val="0"/>
            <c:spPr>
              <a:solidFill>
                <a:srgbClr val="F2B628"/>
              </a:solidFill>
              <a:ln>
                <a:noFill/>
              </a:ln>
              <a:effectLst/>
            </c:spPr>
            <c:extLst>
              <c:ext xmlns:c16="http://schemas.microsoft.com/office/drawing/2014/chart" uri="{C3380CC4-5D6E-409C-BE32-E72D297353CC}">
                <c16:uniqueId val="{00000005-83A9-E940-866B-E3C86680D564}"/>
              </c:ext>
            </c:extLst>
          </c:dPt>
          <c:dPt>
            <c:idx val="5"/>
            <c:invertIfNegative val="0"/>
            <c:bubble3D val="0"/>
            <c:spPr>
              <a:solidFill>
                <a:srgbClr val="F20C20"/>
              </a:solidFill>
              <a:ln>
                <a:noFill/>
              </a:ln>
              <a:effectLst/>
            </c:spPr>
            <c:extLst>
              <c:ext xmlns:c16="http://schemas.microsoft.com/office/drawing/2014/chart" uri="{C3380CC4-5D6E-409C-BE32-E72D297353CC}">
                <c16:uniqueId val="{00000006-83A9-E940-866B-E3C86680D564}"/>
              </c:ext>
            </c:extLst>
          </c:dPt>
          <c:dPt>
            <c:idx val="6"/>
            <c:invertIfNegative val="0"/>
            <c:bubble3D val="0"/>
            <c:spPr>
              <a:solidFill>
                <a:srgbClr val="1241F9"/>
              </a:solidFill>
              <a:ln>
                <a:noFill/>
              </a:ln>
              <a:effectLst/>
            </c:spPr>
            <c:extLst>
              <c:ext xmlns:c16="http://schemas.microsoft.com/office/drawing/2014/chart" uri="{C3380CC4-5D6E-409C-BE32-E72D297353CC}">
                <c16:uniqueId val="{00000007-83A9-E940-866B-E3C86680D564}"/>
              </c:ext>
            </c:extLst>
          </c:dPt>
          <c:dPt>
            <c:idx val="7"/>
            <c:invertIfNegative val="0"/>
            <c:bubble3D val="0"/>
            <c:spPr>
              <a:solidFill>
                <a:srgbClr val="BA081C"/>
              </a:solidFill>
              <a:ln>
                <a:noFill/>
              </a:ln>
              <a:effectLst/>
            </c:spPr>
            <c:extLst>
              <c:ext xmlns:c16="http://schemas.microsoft.com/office/drawing/2014/chart" uri="{C3380CC4-5D6E-409C-BE32-E72D297353CC}">
                <c16:uniqueId val="{00000008-83A9-E940-866B-E3C86680D564}"/>
              </c:ext>
            </c:extLst>
          </c:dPt>
          <c:dPt>
            <c:idx val="8"/>
            <c:invertIfNegative val="0"/>
            <c:bubble3D val="0"/>
            <c:spPr>
              <a:solidFill>
                <a:srgbClr val="20EEDD"/>
              </a:solidFill>
              <a:ln>
                <a:noFill/>
              </a:ln>
              <a:effectLst/>
            </c:spPr>
            <c:extLst>
              <c:ext xmlns:c16="http://schemas.microsoft.com/office/drawing/2014/chart" uri="{C3380CC4-5D6E-409C-BE32-E72D297353CC}">
                <c16:uniqueId val="{00000009-83A9-E940-866B-E3C86680D564}"/>
              </c:ext>
            </c:extLst>
          </c:dPt>
          <c:dPt>
            <c:idx val="9"/>
            <c:invertIfNegative val="0"/>
            <c:bubble3D val="0"/>
            <c:spPr>
              <a:solidFill>
                <a:srgbClr val="F3EF94"/>
              </a:solidFill>
              <a:ln>
                <a:noFill/>
              </a:ln>
              <a:effectLst/>
            </c:spPr>
            <c:extLst>
              <c:ext xmlns:c16="http://schemas.microsoft.com/office/drawing/2014/chart" uri="{C3380CC4-5D6E-409C-BE32-E72D297353CC}">
                <c16:uniqueId val="{0000000A-83A9-E940-866B-E3C86680D564}"/>
              </c:ext>
            </c:extLst>
          </c:dPt>
          <c:dPt>
            <c:idx val="10"/>
            <c:invertIfNegative val="0"/>
            <c:bubble3D val="0"/>
            <c:spPr>
              <a:solidFill>
                <a:srgbClr val="9590FF"/>
              </a:solidFill>
              <a:ln>
                <a:noFill/>
              </a:ln>
              <a:effectLst/>
            </c:spPr>
            <c:extLst>
              <c:ext xmlns:c16="http://schemas.microsoft.com/office/drawing/2014/chart" uri="{C3380CC4-5D6E-409C-BE32-E72D297353CC}">
                <c16:uniqueId val="{0000000B-83A9-E940-866B-E3C86680D564}"/>
              </c:ext>
            </c:extLst>
          </c:dPt>
          <c:dPt>
            <c:idx val="11"/>
            <c:invertIfNegative val="0"/>
            <c:bubble3D val="0"/>
            <c:spPr>
              <a:solidFill>
                <a:srgbClr val="7B1AF8"/>
              </a:solidFill>
              <a:ln>
                <a:noFill/>
              </a:ln>
              <a:effectLst/>
            </c:spPr>
            <c:extLst>
              <c:ext xmlns:c16="http://schemas.microsoft.com/office/drawing/2014/chart" uri="{C3380CC4-5D6E-409C-BE32-E72D297353CC}">
                <c16:uniqueId val="{0000000C-83A9-E940-866B-E3C86680D564}"/>
              </c:ext>
            </c:extLst>
          </c:dPt>
          <c:dPt>
            <c:idx val="12"/>
            <c:invertIfNegative val="0"/>
            <c:bubble3D val="0"/>
            <c:spPr>
              <a:solidFill>
                <a:srgbClr val="DF511F"/>
              </a:solidFill>
              <a:ln>
                <a:noFill/>
              </a:ln>
              <a:effectLst/>
            </c:spPr>
            <c:extLst>
              <c:ext xmlns:c16="http://schemas.microsoft.com/office/drawing/2014/chart" uri="{C3380CC4-5D6E-409C-BE32-E72D297353CC}">
                <c16:uniqueId val="{0000000D-83A9-E940-866B-E3C86680D564}"/>
              </c:ext>
            </c:extLst>
          </c:dPt>
          <c:dPt>
            <c:idx val="13"/>
            <c:invertIfNegative val="0"/>
            <c:bubble3D val="0"/>
            <c:spPr>
              <a:solidFill>
                <a:srgbClr val="CB9AF9"/>
              </a:solidFill>
              <a:ln>
                <a:noFill/>
              </a:ln>
              <a:effectLst/>
            </c:spPr>
            <c:extLst>
              <c:ext xmlns:c16="http://schemas.microsoft.com/office/drawing/2014/chart" uri="{C3380CC4-5D6E-409C-BE32-E72D297353CC}">
                <c16:uniqueId val="{0000000E-83A9-E940-866B-E3C86680D564}"/>
              </c:ext>
            </c:extLst>
          </c:dPt>
          <c:dPt>
            <c:idx val="14"/>
            <c:invertIfNegative val="0"/>
            <c:bubble3D val="0"/>
            <c:spPr>
              <a:solidFill>
                <a:srgbClr val="B0ACB7"/>
              </a:solidFill>
              <a:ln>
                <a:noFill/>
              </a:ln>
              <a:effectLst/>
            </c:spPr>
            <c:extLst>
              <c:ext xmlns:c16="http://schemas.microsoft.com/office/drawing/2014/chart" uri="{C3380CC4-5D6E-409C-BE32-E72D297353CC}">
                <c16:uniqueId val="{0000000F-83A9-E940-866B-E3C86680D564}"/>
              </c:ext>
            </c:extLst>
          </c:dPt>
          <c:dPt>
            <c:idx val="15"/>
            <c:invertIfNegative val="0"/>
            <c:bubble3D val="0"/>
            <c:spPr>
              <a:solidFill>
                <a:srgbClr val="98B7E2"/>
              </a:solidFill>
              <a:ln>
                <a:noFill/>
              </a:ln>
              <a:effectLst/>
            </c:spPr>
            <c:extLst>
              <c:ext xmlns:c16="http://schemas.microsoft.com/office/drawing/2014/chart" uri="{C3380CC4-5D6E-409C-BE32-E72D297353CC}">
                <c16:uniqueId val="{00000010-83A9-E940-866B-E3C86680D564}"/>
              </c:ext>
            </c:extLst>
          </c:dPt>
          <c:dPt>
            <c:idx val="16"/>
            <c:invertIfNegative val="0"/>
            <c:bubble3D val="0"/>
            <c:spPr>
              <a:solidFill>
                <a:srgbClr val="E8A78A"/>
              </a:solidFill>
              <a:ln>
                <a:noFill/>
              </a:ln>
              <a:effectLst/>
            </c:spPr>
            <c:extLst>
              <c:ext xmlns:c16="http://schemas.microsoft.com/office/drawing/2014/chart" uri="{C3380CC4-5D6E-409C-BE32-E72D297353CC}">
                <c16:uniqueId val="{00000011-83A9-E940-866B-E3C86680D564}"/>
              </c:ext>
            </c:extLst>
          </c:dPt>
          <c:dPt>
            <c:idx val="17"/>
            <c:invertIfNegative val="0"/>
            <c:bubble3D val="0"/>
            <c:spPr>
              <a:solidFill>
                <a:srgbClr val="91EED1"/>
              </a:solidFill>
              <a:ln>
                <a:noFill/>
              </a:ln>
              <a:effectLst/>
            </c:spPr>
            <c:extLst>
              <c:ext xmlns:c16="http://schemas.microsoft.com/office/drawing/2014/chart" uri="{C3380CC4-5D6E-409C-BE32-E72D297353CC}">
                <c16:uniqueId val="{00000012-83A9-E940-866B-E3C86680D564}"/>
              </c:ext>
            </c:extLst>
          </c:dPt>
          <c:dPt>
            <c:idx val="18"/>
            <c:invertIfNegative val="0"/>
            <c:bubble3D val="0"/>
            <c:spPr>
              <a:solidFill>
                <a:srgbClr val="0D0813"/>
              </a:solidFill>
              <a:ln>
                <a:noFill/>
              </a:ln>
              <a:effectLst/>
            </c:spPr>
            <c:extLst>
              <c:ext xmlns:c16="http://schemas.microsoft.com/office/drawing/2014/chart" uri="{C3380CC4-5D6E-409C-BE32-E72D297353CC}">
                <c16:uniqueId val="{00000013-83A9-E940-866B-E3C86680D564}"/>
              </c:ext>
            </c:extLst>
          </c:dPt>
          <c:dPt>
            <c:idx val="19"/>
            <c:invertIfNegative val="0"/>
            <c:bubble3D val="0"/>
            <c:spPr>
              <a:solidFill>
                <a:srgbClr val="A7EEA8"/>
              </a:solidFill>
              <a:ln>
                <a:noFill/>
              </a:ln>
              <a:effectLst/>
            </c:spPr>
            <c:extLst>
              <c:ext xmlns:c16="http://schemas.microsoft.com/office/drawing/2014/chart" uri="{C3380CC4-5D6E-409C-BE32-E72D297353CC}">
                <c16:uniqueId val="{00000014-83A9-E940-866B-E3C86680D564}"/>
              </c:ext>
            </c:extLst>
          </c:dPt>
          <c:dPt>
            <c:idx val="20"/>
            <c:invertIfNegative val="0"/>
            <c:bubble3D val="0"/>
            <c:spPr>
              <a:solidFill>
                <a:srgbClr val="F24362"/>
              </a:solidFill>
              <a:ln>
                <a:noFill/>
              </a:ln>
              <a:effectLst/>
            </c:spPr>
            <c:extLst>
              <c:ext xmlns:c16="http://schemas.microsoft.com/office/drawing/2014/chart" uri="{C3380CC4-5D6E-409C-BE32-E72D297353CC}">
                <c16:uniqueId val="{00000015-83A9-E940-866B-E3C86680D564}"/>
              </c:ext>
            </c:extLst>
          </c:dPt>
          <c:dPt>
            <c:idx val="21"/>
            <c:invertIfNegative val="0"/>
            <c:bubble3D val="0"/>
            <c:spPr>
              <a:solidFill>
                <a:srgbClr val="F28C25"/>
              </a:solidFill>
              <a:ln>
                <a:noFill/>
              </a:ln>
              <a:effectLst/>
            </c:spPr>
            <c:extLst>
              <c:ext xmlns:c16="http://schemas.microsoft.com/office/drawing/2014/chart" uri="{C3380CC4-5D6E-409C-BE32-E72D297353CC}">
                <c16:uniqueId val="{00000016-83A9-E940-866B-E3C86680D564}"/>
              </c:ext>
            </c:extLst>
          </c:dPt>
          <c:dPt>
            <c:idx val="22"/>
            <c:invertIfNegative val="0"/>
            <c:bubble3D val="0"/>
            <c:spPr>
              <a:solidFill>
                <a:srgbClr val="F2178A"/>
              </a:solidFill>
              <a:ln>
                <a:noFill/>
              </a:ln>
              <a:effectLst/>
            </c:spPr>
            <c:extLst>
              <c:ext xmlns:c16="http://schemas.microsoft.com/office/drawing/2014/chart" uri="{C3380CC4-5D6E-409C-BE32-E72D297353CC}">
                <c16:uniqueId val="{00000017-83A9-E940-866B-E3C86680D564}"/>
              </c:ext>
            </c:extLst>
          </c:dPt>
          <c:dPt>
            <c:idx val="23"/>
            <c:invertIfNegative val="0"/>
            <c:bubble3D val="0"/>
            <c:spPr>
              <a:solidFill>
                <a:srgbClr val="17AA4A"/>
              </a:solidFill>
              <a:ln>
                <a:noFill/>
              </a:ln>
              <a:effectLst/>
            </c:spPr>
            <c:extLst>
              <c:ext xmlns:c16="http://schemas.microsoft.com/office/drawing/2014/chart" uri="{C3380CC4-5D6E-409C-BE32-E72D297353CC}">
                <c16:uniqueId val="{00000018-83A9-E940-866B-E3C86680D564}"/>
              </c:ext>
            </c:extLst>
          </c:dPt>
          <c:dPt>
            <c:idx val="24"/>
            <c:invertIfNegative val="0"/>
            <c:bubble3D val="0"/>
            <c:spPr>
              <a:solidFill>
                <a:srgbClr val="F3EE2D"/>
              </a:solidFill>
              <a:ln>
                <a:noFill/>
              </a:ln>
              <a:effectLst/>
            </c:spPr>
            <c:extLst>
              <c:ext xmlns:c16="http://schemas.microsoft.com/office/drawing/2014/chart" uri="{C3380CC4-5D6E-409C-BE32-E72D297353CC}">
                <c16:uniqueId val="{00000019-83A9-E940-866B-E3C86680D564}"/>
              </c:ext>
            </c:extLst>
          </c:dPt>
          <c:dPt>
            <c:idx val="25"/>
            <c:invertIfNegative val="0"/>
            <c:bubble3D val="0"/>
            <c:spPr>
              <a:solidFill>
                <a:srgbClr val="0C2569"/>
              </a:solidFill>
              <a:ln>
                <a:noFill/>
              </a:ln>
              <a:effectLst/>
            </c:spPr>
            <c:extLst>
              <c:ext xmlns:c16="http://schemas.microsoft.com/office/drawing/2014/chart" uri="{C3380CC4-5D6E-409C-BE32-E72D297353CC}">
                <c16:uniqueId val="{0000001A-83A9-E940-866B-E3C86680D564}"/>
              </c:ext>
            </c:extLst>
          </c:dPt>
          <c:dPt>
            <c:idx val="26"/>
            <c:invertIfNegative val="0"/>
            <c:bubble3D val="0"/>
            <c:spPr>
              <a:solidFill>
                <a:srgbClr val="E2EE60"/>
              </a:solidFill>
              <a:ln>
                <a:noFill/>
              </a:ln>
              <a:effectLst/>
            </c:spPr>
            <c:extLst>
              <c:ext xmlns:c16="http://schemas.microsoft.com/office/drawing/2014/chart" uri="{C3380CC4-5D6E-409C-BE32-E72D297353CC}">
                <c16:uniqueId val="{0000001B-83A9-E940-866B-E3C86680D564}"/>
              </c:ext>
            </c:extLst>
          </c:dPt>
          <c:dPt>
            <c:idx val="27"/>
            <c:invertIfNegative val="0"/>
            <c:bubble3D val="0"/>
            <c:spPr>
              <a:solidFill>
                <a:srgbClr val="D0CCD7"/>
              </a:solidFill>
              <a:ln>
                <a:noFill/>
              </a:ln>
              <a:effectLst/>
            </c:spPr>
            <c:extLst>
              <c:ext xmlns:c16="http://schemas.microsoft.com/office/drawing/2014/chart" uri="{C3380CC4-5D6E-409C-BE32-E72D297353CC}">
                <c16:uniqueId val="{0000001C-83A9-E940-866B-E3C86680D564}"/>
              </c:ext>
            </c:extLst>
          </c:dPt>
          <c:cat>
            <c:strRef>
              <c:f>Keywords!$AO$85:$AO$112</c:f>
              <c:strCache>
                <c:ptCount val="28"/>
                <c:pt idx="0">
                  <c:v>Physical Strength</c:v>
                </c:pt>
                <c:pt idx="1">
                  <c:v>Travel Issues</c:v>
                </c:pt>
                <c:pt idx="2">
                  <c:v>Driving</c:v>
                </c:pt>
                <c:pt idx="3">
                  <c:v>Searching</c:v>
                </c:pt>
                <c:pt idx="4">
                  <c:v>Attention to Detail</c:v>
                </c:pt>
                <c:pt idx="5">
                  <c:v>Heights</c:v>
                </c:pt>
                <c:pt idx="6">
                  <c:v>Animals</c:v>
                </c:pt>
                <c:pt idx="7">
                  <c:v>Puzzle</c:v>
                </c:pt>
                <c:pt idx="8">
                  <c:v>Memory</c:v>
                </c:pt>
                <c:pt idx="9">
                  <c:v>Food</c:v>
                </c:pt>
                <c:pt idx="10">
                  <c:v>Building</c:v>
                </c:pt>
                <c:pt idx="11">
                  <c:v>Hand Eye Coordination</c:v>
                </c:pt>
                <c:pt idx="12">
                  <c:v>Biking</c:v>
                </c:pt>
                <c:pt idx="13">
                  <c:v>Dancing</c:v>
                </c:pt>
                <c:pt idx="14">
                  <c:v>Balance</c:v>
                </c:pt>
                <c:pt idx="15">
                  <c:v>Swimming</c:v>
                </c:pt>
                <c:pt idx="16">
                  <c:v>Language</c:v>
                </c:pt>
                <c:pt idx="17">
                  <c:v>Pain</c:v>
                </c:pt>
                <c:pt idx="18">
                  <c:v>Cooking</c:v>
                </c:pt>
                <c:pt idx="19">
                  <c:v>Music</c:v>
                </c:pt>
                <c:pt idx="20">
                  <c:v>Math</c:v>
                </c:pt>
                <c:pt idx="21">
                  <c:v>Navigation</c:v>
                </c:pt>
                <c:pt idx="22">
                  <c:v>Painting</c:v>
                </c:pt>
                <c:pt idx="23">
                  <c:v>Selling</c:v>
                </c:pt>
                <c:pt idx="24">
                  <c:v>Singing</c:v>
                </c:pt>
                <c:pt idx="25">
                  <c:v>Flags</c:v>
                </c:pt>
                <c:pt idx="26">
                  <c:v>Geography</c:v>
                </c:pt>
                <c:pt idx="27">
                  <c:v>Counting</c:v>
                </c:pt>
              </c:strCache>
            </c:strRef>
          </c:cat>
          <c:val>
            <c:numRef>
              <c:f>Keywords!$AQ$85:$AQ$112</c:f>
              <c:numCache>
                <c:formatCode>General</c:formatCode>
                <c:ptCount val="28"/>
                <c:pt idx="0">
                  <c:v>311</c:v>
                </c:pt>
                <c:pt idx="1">
                  <c:v>290</c:v>
                </c:pt>
                <c:pt idx="2">
                  <c:v>202</c:v>
                </c:pt>
                <c:pt idx="3">
                  <c:v>227</c:v>
                </c:pt>
                <c:pt idx="4">
                  <c:v>186</c:v>
                </c:pt>
                <c:pt idx="5">
                  <c:v>122</c:v>
                </c:pt>
                <c:pt idx="6">
                  <c:v>93</c:v>
                </c:pt>
                <c:pt idx="7">
                  <c:v>81</c:v>
                </c:pt>
                <c:pt idx="8">
                  <c:v>69</c:v>
                </c:pt>
                <c:pt idx="9">
                  <c:v>66</c:v>
                </c:pt>
                <c:pt idx="10">
                  <c:v>86</c:v>
                </c:pt>
                <c:pt idx="11">
                  <c:v>78</c:v>
                </c:pt>
                <c:pt idx="12">
                  <c:v>43</c:v>
                </c:pt>
                <c:pt idx="13">
                  <c:v>44</c:v>
                </c:pt>
                <c:pt idx="14">
                  <c:v>49</c:v>
                </c:pt>
                <c:pt idx="15">
                  <c:v>37</c:v>
                </c:pt>
                <c:pt idx="16">
                  <c:v>43</c:v>
                </c:pt>
                <c:pt idx="17">
                  <c:v>29</c:v>
                </c:pt>
                <c:pt idx="18">
                  <c:v>44</c:v>
                </c:pt>
                <c:pt idx="19">
                  <c:v>20</c:v>
                </c:pt>
                <c:pt idx="20">
                  <c:v>15</c:v>
                </c:pt>
                <c:pt idx="21">
                  <c:v>23</c:v>
                </c:pt>
                <c:pt idx="22">
                  <c:v>16</c:v>
                </c:pt>
                <c:pt idx="23">
                  <c:v>19</c:v>
                </c:pt>
                <c:pt idx="24">
                  <c:v>12</c:v>
                </c:pt>
                <c:pt idx="25">
                  <c:v>8</c:v>
                </c:pt>
                <c:pt idx="26">
                  <c:v>7</c:v>
                </c:pt>
                <c:pt idx="27">
                  <c:v>11</c:v>
                </c:pt>
              </c:numCache>
            </c:numRef>
          </c:val>
          <c:extLst>
            <c:ext xmlns:c16="http://schemas.microsoft.com/office/drawing/2014/chart" uri="{C3380CC4-5D6E-409C-BE32-E72D297353CC}">
              <c16:uniqueId val="{00000000-83A9-E940-866B-E3C86680D564}"/>
            </c:ext>
          </c:extLst>
        </c:ser>
        <c:dLbls>
          <c:showLegendKey val="0"/>
          <c:showVal val="0"/>
          <c:showCatName val="0"/>
          <c:showSerName val="0"/>
          <c:showPercent val="0"/>
          <c:showBubbleSize val="0"/>
        </c:dLbls>
        <c:gapWidth val="219"/>
        <c:overlap val="-27"/>
        <c:axId val="1567477232"/>
        <c:axId val="2044271744"/>
      </c:barChart>
      <c:catAx>
        <c:axId val="15674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71744"/>
        <c:crosses val="autoZero"/>
        <c:auto val="1"/>
        <c:lblAlgn val="ctr"/>
        <c:lblOffset val="100"/>
        <c:noMultiLvlLbl val="0"/>
      </c:catAx>
      <c:valAx>
        <c:axId val="2044271744"/>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477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1C3DEB"/>
              </a:solidFill>
              <a:latin typeface="+mn-lt"/>
              <a:ea typeface="+mn-ea"/>
              <a:cs typeface="+mn-cs"/>
            </a:defRPr>
          </a:pPr>
          <a:endParaRPr lang="en-US"/>
        </a:p>
      </c:txPr>
    </c:title>
    <c:autoTitleDeleted val="0"/>
    <c:plotArea>
      <c:layout/>
      <c:barChart>
        <c:barDir val="col"/>
        <c:grouping val="clustered"/>
        <c:varyColors val="0"/>
        <c:ser>
          <c:idx val="0"/>
          <c:order val="0"/>
          <c:tx>
            <c:strRef>
              <c:f>Keywords!$D$41</c:f>
              <c:strCache>
                <c:ptCount val="1"/>
                <c:pt idx="0">
                  <c:v>Animals</c:v>
                </c:pt>
              </c:strCache>
            </c:strRef>
          </c:tx>
          <c:spPr>
            <a:solidFill>
              <a:srgbClr val="1C3DEB"/>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Keywords!$D$42:$D$79</c:f>
              <c:numCache>
                <c:formatCode>General</c:formatCode>
                <c:ptCount val="38"/>
                <c:pt idx="0">
                  <c:v>5</c:v>
                </c:pt>
                <c:pt idx="1">
                  <c:v>2</c:v>
                </c:pt>
                <c:pt idx="2">
                  <c:v>3</c:v>
                </c:pt>
                <c:pt idx="3">
                  <c:v>6</c:v>
                </c:pt>
                <c:pt idx="4">
                  <c:v>6</c:v>
                </c:pt>
                <c:pt idx="5">
                  <c:v>3</c:v>
                </c:pt>
                <c:pt idx="6">
                  <c:v>5</c:v>
                </c:pt>
                <c:pt idx="7">
                  <c:v>2</c:v>
                </c:pt>
                <c:pt idx="8">
                  <c:v>3</c:v>
                </c:pt>
                <c:pt idx="9">
                  <c:v>2</c:v>
                </c:pt>
                <c:pt idx="10">
                  <c:v>4</c:v>
                </c:pt>
                <c:pt idx="11">
                  <c:v>2</c:v>
                </c:pt>
                <c:pt idx="12">
                  <c:v>0</c:v>
                </c:pt>
                <c:pt idx="13">
                  <c:v>3</c:v>
                </c:pt>
                <c:pt idx="14">
                  <c:v>1</c:v>
                </c:pt>
                <c:pt idx="15">
                  <c:v>2</c:v>
                </c:pt>
                <c:pt idx="16">
                  <c:v>1</c:v>
                </c:pt>
                <c:pt idx="17">
                  <c:v>1</c:v>
                </c:pt>
                <c:pt idx="18">
                  <c:v>3</c:v>
                </c:pt>
                <c:pt idx="19">
                  <c:v>3</c:v>
                </c:pt>
                <c:pt idx="20">
                  <c:v>2</c:v>
                </c:pt>
                <c:pt idx="21">
                  <c:v>4</c:v>
                </c:pt>
                <c:pt idx="22">
                  <c:v>2</c:v>
                </c:pt>
                <c:pt idx="23">
                  <c:v>4</c:v>
                </c:pt>
                <c:pt idx="24">
                  <c:v>3</c:v>
                </c:pt>
                <c:pt idx="25">
                  <c:v>4</c:v>
                </c:pt>
                <c:pt idx="26">
                  <c:v>2</c:v>
                </c:pt>
                <c:pt idx="27">
                  <c:v>3</c:v>
                </c:pt>
                <c:pt idx="28">
                  <c:v>0</c:v>
                </c:pt>
                <c:pt idx="29">
                  <c:v>3</c:v>
                </c:pt>
                <c:pt idx="30">
                  <c:v>2</c:v>
                </c:pt>
                <c:pt idx="31">
                  <c:v>2</c:v>
                </c:pt>
                <c:pt idx="32">
                  <c:v>1</c:v>
                </c:pt>
                <c:pt idx="33">
                  <c:v>1</c:v>
                </c:pt>
                <c:pt idx="34">
                  <c:v>0</c:v>
                </c:pt>
                <c:pt idx="35">
                  <c:v>0</c:v>
                </c:pt>
                <c:pt idx="36">
                  <c:v>1</c:v>
                </c:pt>
                <c:pt idx="37">
                  <c:v>2</c:v>
                </c:pt>
              </c:numCache>
            </c:numRef>
          </c:val>
          <c:extLst>
            <c:ext xmlns:c16="http://schemas.microsoft.com/office/drawing/2014/chart" uri="{C3380CC4-5D6E-409C-BE32-E72D297353CC}">
              <c16:uniqueId val="{00000000-DE60-304B-93C9-21F15F1C8142}"/>
            </c:ext>
          </c:extLst>
        </c:ser>
        <c:dLbls>
          <c:showLegendKey val="0"/>
          <c:showVal val="0"/>
          <c:showCatName val="0"/>
          <c:showSerName val="0"/>
          <c:showPercent val="0"/>
          <c:showBubbleSize val="0"/>
        </c:dLbls>
        <c:gapWidth val="219"/>
        <c:overlap val="-27"/>
        <c:axId val="849125215"/>
        <c:axId val="2050886912"/>
      </c:barChart>
      <c:catAx>
        <c:axId val="84912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86912"/>
        <c:crosses val="autoZero"/>
        <c:auto val="1"/>
        <c:lblAlgn val="ctr"/>
        <c:lblOffset val="100"/>
        <c:noMultiLvlLbl val="0"/>
      </c:catAx>
      <c:valAx>
        <c:axId val="205088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2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9B20E"/>
                </a:solidFill>
                <a:latin typeface="+mn-lt"/>
                <a:ea typeface="+mn-ea"/>
                <a:cs typeface="+mn-cs"/>
              </a:defRPr>
            </a:pPr>
            <a:r>
              <a:rPr lang="en-US">
                <a:solidFill>
                  <a:srgbClr val="F9B20E"/>
                </a:solidFill>
              </a:rPr>
              <a:t>Attention</a:t>
            </a:r>
            <a:r>
              <a:rPr lang="en-US" baseline="0">
                <a:solidFill>
                  <a:srgbClr val="F9B20E"/>
                </a:solidFill>
              </a:rPr>
              <a:t> to Detail</a:t>
            </a:r>
            <a:endParaRPr lang="en-US">
              <a:solidFill>
                <a:srgbClr val="F9B20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9B20E"/>
              </a:solidFill>
              <a:latin typeface="+mn-lt"/>
              <a:ea typeface="+mn-ea"/>
              <a:cs typeface="+mn-cs"/>
            </a:defRPr>
          </a:pPr>
          <a:endParaRPr lang="en-US"/>
        </a:p>
      </c:txPr>
    </c:title>
    <c:autoTitleDeleted val="0"/>
    <c:plotArea>
      <c:layout/>
      <c:barChart>
        <c:barDir val="col"/>
        <c:grouping val="clustered"/>
        <c:varyColors val="0"/>
        <c:ser>
          <c:idx val="0"/>
          <c:order val="0"/>
          <c:tx>
            <c:strRef>
              <c:f>Keywords!$E$41</c:f>
              <c:strCache>
                <c:ptCount val="1"/>
                <c:pt idx="0">
                  <c:v>ATD</c:v>
                </c:pt>
              </c:strCache>
            </c:strRef>
          </c:tx>
          <c:spPr>
            <a:solidFill>
              <a:srgbClr val="F9B20E"/>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Keywords!$E$42:$E$79</c:f>
              <c:numCache>
                <c:formatCode>General</c:formatCode>
                <c:ptCount val="38"/>
                <c:pt idx="0">
                  <c:v>0</c:v>
                </c:pt>
                <c:pt idx="1">
                  <c:v>0</c:v>
                </c:pt>
                <c:pt idx="2">
                  <c:v>1</c:v>
                </c:pt>
                <c:pt idx="3">
                  <c:v>0</c:v>
                </c:pt>
                <c:pt idx="4">
                  <c:v>1</c:v>
                </c:pt>
                <c:pt idx="5">
                  <c:v>2</c:v>
                </c:pt>
                <c:pt idx="6">
                  <c:v>1</c:v>
                </c:pt>
                <c:pt idx="7">
                  <c:v>3</c:v>
                </c:pt>
                <c:pt idx="8">
                  <c:v>2</c:v>
                </c:pt>
                <c:pt idx="9">
                  <c:v>6</c:v>
                </c:pt>
                <c:pt idx="10">
                  <c:v>4</c:v>
                </c:pt>
                <c:pt idx="11">
                  <c:v>1</c:v>
                </c:pt>
                <c:pt idx="12">
                  <c:v>6</c:v>
                </c:pt>
                <c:pt idx="13">
                  <c:v>3</c:v>
                </c:pt>
                <c:pt idx="14">
                  <c:v>2</c:v>
                </c:pt>
                <c:pt idx="15">
                  <c:v>2</c:v>
                </c:pt>
                <c:pt idx="16">
                  <c:v>4</c:v>
                </c:pt>
                <c:pt idx="17">
                  <c:v>7</c:v>
                </c:pt>
                <c:pt idx="18">
                  <c:v>3</c:v>
                </c:pt>
                <c:pt idx="19">
                  <c:v>9</c:v>
                </c:pt>
                <c:pt idx="20">
                  <c:v>6</c:v>
                </c:pt>
                <c:pt idx="21">
                  <c:v>6</c:v>
                </c:pt>
                <c:pt idx="22">
                  <c:v>7</c:v>
                </c:pt>
                <c:pt idx="23">
                  <c:v>8</c:v>
                </c:pt>
                <c:pt idx="24">
                  <c:v>9</c:v>
                </c:pt>
                <c:pt idx="25">
                  <c:v>4</c:v>
                </c:pt>
                <c:pt idx="26">
                  <c:v>7</c:v>
                </c:pt>
                <c:pt idx="27">
                  <c:v>5</c:v>
                </c:pt>
                <c:pt idx="28">
                  <c:v>5</c:v>
                </c:pt>
                <c:pt idx="29">
                  <c:v>10</c:v>
                </c:pt>
                <c:pt idx="30">
                  <c:v>8</c:v>
                </c:pt>
                <c:pt idx="31">
                  <c:v>9</c:v>
                </c:pt>
                <c:pt idx="32">
                  <c:v>9</c:v>
                </c:pt>
                <c:pt idx="33">
                  <c:v>4</c:v>
                </c:pt>
                <c:pt idx="34">
                  <c:v>9</c:v>
                </c:pt>
                <c:pt idx="35">
                  <c:v>8</c:v>
                </c:pt>
                <c:pt idx="36">
                  <c:v>8</c:v>
                </c:pt>
                <c:pt idx="37">
                  <c:v>7</c:v>
                </c:pt>
              </c:numCache>
            </c:numRef>
          </c:val>
          <c:extLst>
            <c:ext xmlns:c16="http://schemas.microsoft.com/office/drawing/2014/chart" uri="{C3380CC4-5D6E-409C-BE32-E72D297353CC}">
              <c16:uniqueId val="{00000000-8561-EA40-9519-D40BE4F4315F}"/>
            </c:ext>
          </c:extLst>
        </c:ser>
        <c:dLbls>
          <c:showLegendKey val="0"/>
          <c:showVal val="0"/>
          <c:showCatName val="0"/>
          <c:showSerName val="0"/>
          <c:showPercent val="0"/>
          <c:showBubbleSize val="0"/>
        </c:dLbls>
        <c:gapWidth val="219"/>
        <c:overlap val="-27"/>
        <c:axId val="1626444352"/>
        <c:axId val="1686543504"/>
      </c:barChart>
      <c:catAx>
        <c:axId val="16264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43504"/>
        <c:crosses val="autoZero"/>
        <c:auto val="1"/>
        <c:lblAlgn val="ctr"/>
        <c:lblOffset val="100"/>
        <c:noMultiLvlLbl val="0"/>
      </c:catAx>
      <c:valAx>
        <c:axId val="168654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44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C1B1B2"/>
              </a:solidFill>
              <a:latin typeface="+mn-lt"/>
              <a:ea typeface="+mn-ea"/>
              <a:cs typeface="+mn-cs"/>
            </a:defRPr>
          </a:pPr>
          <a:endParaRPr lang="en-US"/>
        </a:p>
      </c:txPr>
    </c:title>
    <c:autoTitleDeleted val="0"/>
    <c:plotArea>
      <c:layout/>
      <c:barChart>
        <c:barDir val="col"/>
        <c:grouping val="clustered"/>
        <c:varyColors val="0"/>
        <c:ser>
          <c:idx val="0"/>
          <c:order val="0"/>
          <c:tx>
            <c:strRef>
              <c:f>Keywords!$F$41</c:f>
              <c:strCache>
                <c:ptCount val="1"/>
                <c:pt idx="0">
                  <c:v>Balance</c:v>
                </c:pt>
              </c:strCache>
            </c:strRef>
          </c:tx>
          <c:spPr>
            <a:solidFill>
              <a:srgbClr val="C1B1B2"/>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Keywords!$F$42:$F$79</c:f>
              <c:numCache>
                <c:formatCode>General</c:formatCode>
                <c:ptCount val="38"/>
                <c:pt idx="0">
                  <c:v>0</c:v>
                </c:pt>
                <c:pt idx="1">
                  <c:v>1</c:v>
                </c:pt>
                <c:pt idx="2">
                  <c:v>2</c:v>
                </c:pt>
                <c:pt idx="3">
                  <c:v>1</c:v>
                </c:pt>
                <c:pt idx="4">
                  <c:v>0</c:v>
                </c:pt>
                <c:pt idx="5">
                  <c:v>2</c:v>
                </c:pt>
                <c:pt idx="6">
                  <c:v>2</c:v>
                </c:pt>
                <c:pt idx="7">
                  <c:v>0</c:v>
                </c:pt>
                <c:pt idx="8">
                  <c:v>1</c:v>
                </c:pt>
                <c:pt idx="9">
                  <c:v>0</c:v>
                </c:pt>
                <c:pt idx="10">
                  <c:v>2</c:v>
                </c:pt>
                <c:pt idx="11">
                  <c:v>1</c:v>
                </c:pt>
                <c:pt idx="12">
                  <c:v>0</c:v>
                </c:pt>
                <c:pt idx="13">
                  <c:v>2</c:v>
                </c:pt>
                <c:pt idx="14">
                  <c:v>0</c:v>
                </c:pt>
                <c:pt idx="15">
                  <c:v>2</c:v>
                </c:pt>
                <c:pt idx="16">
                  <c:v>5</c:v>
                </c:pt>
                <c:pt idx="17">
                  <c:v>0</c:v>
                </c:pt>
                <c:pt idx="18">
                  <c:v>1</c:v>
                </c:pt>
                <c:pt idx="19">
                  <c:v>2</c:v>
                </c:pt>
                <c:pt idx="20">
                  <c:v>2</c:v>
                </c:pt>
                <c:pt idx="21">
                  <c:v>2</c:v>
                </c:pt>
                <c:pt idx="22">
                  <c:v>0</c:v>
                </c:pt>
                <c:pt idx="23">
                  <c:v>0</c:v>
                </c:pt>
                <c:pt idx="24">
                  <c:v>3</c:v>
                </c:pt>
                <c:pt idx="25">
                  <c:v>3</c:v>
                </c:pt>
                <c:pt idx="26">
                  <c:v>1</c:v>
                </c:pt>
                <c:pt idx="27">
                  <c:v>1</c:v>
                </c:pt>
                <c:pt idx="28">
                  <c:v>0</c:v>
                </c:pt>
                <c:pt idx="29">
                  <c:v>0</c:v>
                </c:pt>
                <c:pt idx="30">
                  <c:v>1</c:v>
                </c:pt>
                <c:pt idx="31">
                  <c:v>2</c:v>
                </c:pt>
                <c:pt idx="32">
                  <c:v>0</c:v>
                </c:pt>
                <c:pt idx="33">
                  <c:v>1</c:v>
                </c:pt>
                <c:pt idx="34">
                  <c:v>1</c:v>
                </c:pt>
                <c:pt idx="35">
                  <c:v>2</c:v>
                </c:pt>
                <c:pt idx="36">
                  <c:v>3</c:v>
                </c:pt>
                <c:pt idx="37">
                  <c:v>3</c:v>
                </c:pt>
              </c:numCache>
            </c:numRef>
          </c:val>
          <c:extLst>
            <c:ext xmlns:c16="http://schemas.microsoft.com/office/drawing/2014/chart" uri="{C3380CC4-5D6E-409C-BE32-E72D297353CC}">
              <c16:uniqueId val="{00000000-BC08-8942-ABF5-9D2246FF900B}"/>
            </c:ext>
          </c:extLst>
        </c:ser>
        <c:dLbls>
          <c:showLegendKey val="0"/>
          <c:showVal val="0"/>
          <c:showCatName val="0"/>
          <c:showSerName val="0"/>
          <c:showPercent val="0"/>
          <c:showBubbleSize val="0"/>
        </c:dLbls>
        <c:gapWidth val="219"/>
        <c:overlap val="-27"/>
        <c:axId val="1973149568"/>
        <c:axId val="1594187904"/>
      </c:barChart>
      <c:catAx>
        <c:axId val="19731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187904"/>
        <c:crosses val="autoZero"/>
        <c:auto val="1"/>
        <c:lblAlgn val="ctr"/>
        <c:lblOffset val="100"/>
        <c:noMultiLvlLbl val="0"/>
      </c:catAx>
      <c:valAx>
        <c:axId val="1594187904"/>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1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E64D07"/>
              </a:solidFill>
              <a:latin typeface="+mn-lt"/>
              <a:ea typeface="+mn-ea"/>
              <a:cs typeface="+mn-cs"/>
            </a:defRPr>
          </a:pPr>
          <a:endParaRPr lang="en-US"/>
        </a:p>
      </c:txPr>
    </c:title>
    <c:autoTitleDeleted val="0"/>
    <c:plotArea>
      <c:layout/>
      <c:barChart>
        <c:barDir val="col"/>
        <c:grouping val="clustered"/>
        <c:varyColors val="0"/>
        <c:ser>
          <c:idx val="0"/>
          <c:order val="0"/>
          <c:tx>
            <c:strRef>
              <c:f>Keywords!$G$41</c:f>
              <c:strCache>
                <c:ptCount val="1"/>
                <c:pt idx="0">
                  <c:v>Biking</c:v>
                </c:pt>
              </c:strCache>
            </c:strRef>
          </c:tx>
          <c:spPr>
            <a:solidFill>
              <a:srgbClr val="E64D07"/>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Keywords!$G$42:$G$79</c:f>
              <c:numCache>
                <c:formatCode>General</c:formatCode>
                <c:ptCount val="38"/>
                <c:pt idx="0">
                  <c:v>1</c:v>
                </c:pt>
                <c:pt idx="1">
                  <c:v>1</c:v>
                </c:pt>
                <c:pt idx="2">
                  <c:v>4</c:v>
                </c:pt>
                <c:pt idx="3">
                  <c:v>2</c:v>
                </c:pt>
                <c:pt idx="4">
                  <c:v>3</c:v>
                </c:pt>
                <c:pt idx="5">
                  <c:v>2</c:v>
                </c:pt>
                <c:pt idx="6">
                  <c:v>1</c:v>
                </c:pt>
                <c:pt idx="7">
                  <c:v>2</c:v>
                </c:pt>
                <c:pt idx="8">
                  <c:v>2</c:v>
                </c:pt>
                <c:pt idx="9">
                  <c:v>2</c:v>
                </c:pt>
                <c:pt idx="10">
                  <c:v>0</c:v>
                </c:pt>
                <c:pt idx="11">
                  <c:v>4</c:v>
                </c:pt>
                <c:pt idx="12">
                  <c:v>1</c:v>
                </c:pt>
                <c:pt idx="13">
                  <c:v>1</c:v>
                </c:pt>
                <c:pt idx="14">
                  <c:v>1</c:v>
                </c:pt>
                <c:pt idx="15">
                  <c:v>0</c:v>
                </c:pt>
                <c:pt idx="16">
                  <c:v>1</c:v>
                </c:pt>
                <c:pt idx="17">
                  <c:v>2</c:v>
                </c:pt>
                <c:pt idx="18">
                  <c:v>3</c:v>
                </c:pt>
                <c:pt idx="19">
                  <c:v>1</c:v>
                </c:pt>
                <c:pt idx="20">
                  <c:v>0</c:v>
                </c:pt>
                <c:pt idx="21">
                  <c:v>0</c:v>
                </c:pt>
                <c:pt idx="22">
                  <c:v>0</c:v>
                </c:pt>
                <c:pt idx="23">
                  <c:v>0</c:v>
                </c:pt>
                <c:pt idx="24">
                  <c:v>1</c:v>
                </c:pt>
                <c:pt idx="25">
                  <c:v>0</c:v>
                </c:pt>
                <c:pt idx="26">
                  <c:v>1</c:v>
                </c:pt>
                <c:pt idx="27">
                  <c:v>1</c:v>
                </c:pt>
                <c:pt idx="28">
                  <c:v>1</c:v>
                </c:pt>
                <c:pt idx="29">
                  <c:v>0</c:v>
                </c:pt>
                <c:pt idx="30">
                  <c:v>1</c:v>
                </c:pt>
                <c:pt idx="31">
                  <c:v>0</c:v>
                </c:pt>
                <c:pt idx="32">
                  <c:v>0</c:v>
                </c:pt>
                <c:pt idx="33">
                  <c:v>1</c:v>
                </c:pt>
                <c:pt idx="34">
                  <c:v>2</c:v>
                </c:pt>
                <c:pt idx="35">
                  <c:v>0</c:v>
                </c:pt>
                <c:pt idx="36">
                  <c:v>0</c:v>
                </c:pt>
                <c:pt idx="37">
                  <c:v>1</c:v>
                </c:pt>
              </c:numCache>
            </c:numRef>
          </c:val>
          <c:extLst>
            <c:ext xmlns:c16="http://schemas.microsoft.com/office/drawing/2014/chart" uri="{C3380CC4-5D6E-409C-BE32-E72D297353CC}">
              <c16:uniqueId val="{00000000-033E-9E41-8358-7CFB5BD39038}"/>
            </c:ext>
          </c:extLst>
        </c:ser>
        <c:dLbls>
          <c:showLegendKey val="0"/>
          <c:showVal val="0"/>
          <c:showCatName val="0"/>
          <c:showSerName val="0"/>
          <c:showPercent val="0"/>
          <c:showBubbleSize val="0"/>
        </c:dLbls>
        <c:gapWidth val="219"/>
        <c:overlap val="-27"/>
        <c:axId val="1554442848"/>
        <c:axId val="2002099536"/>
      </c:barChart>
      <c:catAx>
        <c:axId val="15544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099536"/>
        <c:crosses val="autoZero"/>
        <c:auto val="1"/>
        <c:lblAlgn val="ctr"/>
        <c:lblOffset val="100"/>
        <c:noMultiLvlLbl val="0"/>
      </c:catAx>
      <c:valAx>
        <c:axId val="2002099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4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140405"/>
              </a:solidFill>
              <a:latin typeface="+mn-lt"/>
              <a:ea typeface="+mn-ea"/>
              <a:cs typeface="+mn-cs"/>
            </a:defRPr>
          </a:pPr>
          <a:endParaRPr lang="en-US"/>
        </a:p>
      </c:txPr>
    </c:title>
    <c:autoTitleDeleted val="0"/>
    <c:plotArea>
      <c:layout/>
      <c:barChart>
        <c:barDir val="col"/>
        <c:grouping val="clustered"/>
        <c:varyColors val="0"/>
        <c:ser>
          <c:idx val="0"/>
          <c:order val="0"/>
          <c:tx>
            <c:strRef>
              <c:f>Keywords!$I$41</c:f>
              <c:strCache>
                <c:ptCount val="1"/>
                <c:pt idx="0">
                  <c:v>Cooking</c:v>
                </c:pt>
              </c:strCache>
            </c:strRef>
          </c:tx>
          <c:spPr>
            <a:solidFill>
              <a:srgbClr val="140405"/>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Keywords!$I$42:$I$79</c:f>
              <c:numCache>
                <c:formatCode>General</c:formatCode>
                <c:ptCount val="38"/>
                <c:pt idx="0">
                  <c:v>0</c:v>
                </c:pt>
                <c:pt idx="1">
                  <c:v>0</c:v>
                </c:pt>
                <c:pt idx="2">
                  <c:v>0</c:v>
                </c:pt>
                <c:pt idx="3">
                  <c:v>0</c:v>
                </c:pt>
                <c:pt idx="4">
                  <c:v>1</c:v>
                </c:pt>
                <c:pt idx="5">
                  <c:v>1</c:v>
                </c:pt>
                <c:pt idx="6">
                  <c:v>0</c:v>
                </c:pt>
                <c:pt idx="7">
                  <c:v>1</c:v>
                </c:pt>
                <c:pt idx="8">
                  <c:v>0</c:v>
                </c:pt>
                <c:pt idx="9">
                  <c:v>1</c:v>
                </c:pt>
                <c:pt idx="10">
                  <c:v>2</c:v>
                </c:pt>
                <c:pt idx="11">
                  <c:v>0</c:v>
                </c:pt>
                <c:pt idx="12">
                  <c:v>0</c:v>
                </c:pt>
                <c:pt idx="13">
                  <c:v>0</c:v>
                </c:pt>
                <c:pt idx="14">
                  <c:v>2</c:v>
                </c:pt>
                <c:pt idx="15">
                  <c:v>1</c:v>
                </c:pt>
                <c:pt idx="16">
                  <c:v>0</c:v>
                </c:pt>
                <c:pt idx="17">
                  <c:v>3</c:v>
                </c:pt>
                <c:pt idx="18">
                  <c:v>1</c:v>
                </c:pt>
                <c:pt idx="19">
                  <c:v>1</c:v>
                </c:pt>
                <c:pt idx="20">
                  <c:v>2</c:v>
                </c:pt>
                <c:pt idx="21">
                  <c:v>1</c:v>
                </c:pt>
                <c:pt idx="22">
                  <c:v>2</c:v>
                </c:pt>
                <c:pt idx="23">
                  <c:v>0</c:v>
                </c:pt>
                <c:pt idx="24">
                  <c:v>0</c:v>
                </c:pt>
                <c:pt idx="25">
                  <c:v>2</c:v>
                </c:pt>
                <c:pt idx="26">
                  <c:v>3</c:v>
                </c:pt>
                <c:pt idx="27">
                  <c:v>2</c:v>
                </c:pt>
                <c:pt idx="28">
                  <c:v>3</c:v>
                </c:pt>
                <c:pt idx="29">
                  <c:v>2</c:v>
                </c:pt>
                <c:pt idx="30">
                  <c:v>2</c:v>
                </c:pt>
                <c:pt idx="31">
                  <c:v>2</c:v>
                </c:pt>
                <c:pt idx="32">
                  <c:v>3</c:v>
                </c:pt>
                <c:pt idx="33">
                  <c:v>1</c:v>
                </c:pt>
                <c:pt idx="34">
                  <c:v>0</c:v>
                </c:pt>
                <c:pt idx="35">
                  <c:v>2</c:v>
                </c:pt>
                <c:pt idx="36">
                  <c:v>1</c:v>
                </c:pt>
                <c:pt idx="37">
                  <c:v>2</c:v>
                </c:pt>
              </c:numCache>
            </c:numRef>
          </c:val>
          <c:extLst>
            <c:ext xmlns:c16="http://schemas.microsoft.com/office/drawing/2014/chart" uri="{C3380CC4-5D6E-409C-BE32-E72D297353CC}">
              <c16:uniqueId val="{00000000-ED08-8740-8A52-64A9EF1E61A2}"/>
            </c:ext>
          </c:extLst>
        </c:ser>
        <c:dLbls>
          <c:showLegendKey val="0"/>
          <c:showVal val="0"/>
          <c:showCatName val="0"/>
          <c:showSerName val="0"/>
          <c:showPercent val="0"/>
          <c:showBubbleSize val="0"/>
        </c:dLbls>
        <c:gapWidth val="219"/>
        <c:overlap val="-27"/>
        <c:axId val="1742472944"/>
        <c:axId val="1854125728"/>
      </c:barChart>
      <c:catAx>
        <c:axId val="17424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125728"/>
        <c:crosses val="autoZero"/>
        <c:auto val="1"/>
        <c:lblAlgn val="ctr"/>
        <c:lblOffset val="100"/>
        <c:noMultiLvlLbl val="0"/>
      </c:catAx>
      <c:valAx>
        <c:axId val="1854125728"/>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7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D8C8C9"/>
              </a:solidFill>
              <a:latin typeface="+mn-lt"/>
              <a:ea typeface="+mn-ea"/>
              <a:cs typeface="+mn-cs"/>
            </a:defRPr>
          </a:pPr>
          <a:endParaRPr lang="en-US"/>
        </a:p>
      </c:txPr>
    </c:title>
    <c:autoTitleDeleted val="0"/>
    <c:plotArea>
      <c:layout/>
      <c:barChart>
        <c:barDir val="col"/>
        <c:grouping val="clustered"/>
        <c:varyColors val="0"/>
        <c:ser>
          <c:idx val="0"/>
          <c:order val="0"/>
          <c:tx>
            <c:strRef>
              <c:f>Keywords!$J$41</c:f>
              <c:strCache>
                <c:ptCount val="1"/>
                <c:pt idx="0">
                  <c:v>Counting</c:v>
                </c:pt>
              </c:strCache>
            </c:strRef>
          </c:tx>
          <c:spPr>
            <a:solidFill>
              <a:srgbClr val="D8C8C9"/>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Keywords!$J$42:$J$79</c:f>
              <c:numCache>
                <c:formatCode>General</c:formatCode>
                <c:ptCount val="38"/>
                <c:pt idx="0">
                  <c:v>1</c:v>
                </c:pt>
                <c:pt idx="1">
                  <c:v>0</c:v>
                </c:pt>
                <c:pt idx="2">
                  <c:v>1</c:v>
                </c:pt>
                <c:pt idx="3">
                  <c:v>0</c:v>
                </c:pt>
                <c:pt idx="4">
                  <c:v>0</c:v>
                </c:pt>
                <c:pt idx="5">
                  <c:v>1</c:v>
                </c:pt>
                <c:pt idx="6">
                  <c:v>0</c:v>
                </c:pt>
                <c:pt idx="7">
                  <c:v>0</c:v>
                </c:pt>
                <c:pt idx="8">
                  <c:v>1</c:v>
                </c:pt>
                <c:pt idx="9">
                  <c:v>0</c:v>
                </c:pt>
                <c:pt idx="10">
                  <c:v>0</c:v>
                </c:pt>
                <c:pt idx="11">
                  <c:v>1</c:v>
                </c:pt>
                <c:pt idx="12">
                  <c:v>1</c:v>
                </c:pt>
                <c:pt idx="13">
                  <c:v>0</c:v>
                </c:pt>
                <c:pt idx="14">
                  <c:v>1</c:v>
                </c:pt>
                <c:pt idx="15">
                  <c:v>1</c:v>
                </c:pt>
                <c:pt idx="16">
                  <c:v>0</c:v>
                </c:pt>
                <c:pt idx="17">
                  <c:v>0</c:v>
                </c:pt>
                <c:pt idx="18">
                  <c:v>0</c:v>
                </c:pt>
                <c:pt idx="19">
                  <c:v>0</c:v>
                </c:pt>
                <c:pt idx="20">
                  <c:v>0</c:v>
                </c:pt>
                <c:pt idx="21">
                  <c:v>0</c:v>
                </c:pt>
                <c:pt idx="22">
                  <c:v>0</c:v>
                </c:pt>
                <c:pt idx="23">
                  <c:v>1</c:v>
                </c:pt>
                <c:pt idx="24">
                  <c:v>0</c:v>
                </c:pt>
                <c:pt idx="25">
                  <c:v>0</c:v>
                </c:pt>
                <c:pt idx="26">
                  <c:v>0</c:v>
                </c:pt>
                <c:pt idx="27">
                  <c:v>1</c:v>
                </c:pt>
                <c:pt idx="28">
                  <c:v>0</c:v>
                </c:pt>
                <c:pt idx="29">
                  <c:v>0</c:v>
                </c:pt>
                <c:pt idx="30">
                  <c:v>0</c:v>
                </c:pt>
                <c:pt idx="31">
                  <c:v>0</c:v>
                </c:pt>
                <c:pt idx="32">
                  <c:v>1</c:v>
                </c:pt>
                <c:pt idx="33">
                  <c:v>0</c:v>
                </c:pt>
                <c:pt idx="34">
                  <c:v>0</c:v>
                </c:pt>
                <c:pt idx="35">
                  <c:v>0</c:v>
                </c:pt>
                <c:pt idx="36">
                  <c:v>0</c:v>
                </c:pt>
                <c:pt idx="37">
                  <c:v>0</c:v>
                </c:pt>
              </c:numCache>
            </c:numRef>
          </c:val>
          <c:extLst>
            <c:ext xmlns:c16="http://schemas.microsoft.com/office/drawing/2014/chart" uri="{C3380CC4-5D6E-409C-BE32-E72D297353CC}">
              <c16:uniqueId val="{00000000-28EA-B241-B360-D43E1D20FC8D}"/>
            </c:ext>
          </c:extLst>
        </c:ser>
        <c:dLbls>
          <c:showLegendKey val="0"/>
          <c:showVal val="0"/>
          <c:showCatName val="0"/>
          <c:showSerName val="0"/>
          <c:showPercent val="0"/>
          <c:showBubbleSize val="0"/>
        </c:dLbls>
        <c:gapWidth val="219"/>
        <c:overlap val="-27"/>
        <c:axId val="1555023472"/>
        <c:axId val="2002256560"/>
      </c:barChart>
      <c:catAx>
        <c:axId val="15550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256560"/>
        <c:crosses val="autoZero"/>
        <c:auto val="1"/>
        <c:lblAlgn val="ctr"/>
        <c:lblOffset val="100"/>
        <c:noMultiLvlLbl val="0"/>
      </c:catAx>
      <c:valAx>
        <c:axId val="200225656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02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D296EC"/>
              </a:solidFill>
              <a:latin typeface="+mn-lt"/>
              <a:ea typeface="+mn-ea"/>
              <a:cs typeface="+mn-cs"/>
            </a:defRPr>
          </a:pPr>
          <a:endParaRPr lang="en-US"/>
        </a:p>
      </c:txPr>
    </c:title>
    <c:autoTitleDeleted val="0"/>
    <c:plotArea>
      <c:layout/>
      <c:barChart>
        <c:barDir val="col"/>
        <c:grouping val="clustered"/>
        <c:varyColors val="0"/>
        <c:ser>
          <c:idx val="0"/>
          <c:order val="0"/>
          <c:tx>
            <c:strRef>
              <c:f>Keywords!$K$41</c:f>
              <c:strCache>
                <c:ptCount val="1"/>
                <c:pt idx="0">
                  <c:v>Dancing</c:v>
                </c:pt>
              </c:strCache>
            </c:strRef>
          </c:tx>
          <c:spPr>
            <a:solidFill>
              <a:srgbClr val="D296EC"/>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Keywords!$K$42:$K$79</c:f>
              <c:numCache>
                <c:formatCode>General</c:formatCode>
                <c:ptCount val="38"/>
                <c:pt idx="0">
                  <c:v>0</c:v>
                </c:pt>
                <c:pt idx="1">
                  <c:v>1</c:v>
                </c:pt>
                <c:pt idx="2">
                  <c:v>0</c:v>
                </c:pt>
                <c:pt idx="3">
                  <c:v>0</c:v>
                </c:pt>
                <c:pt idx="4">
                  <c:v>0</c:v>
                </c:pt>
                <c:pt idx="5">
                  <c:v>0</c:v>
                </c:pt>
                <c:pt idx="6">
                  <c:v>0</c:v>
                </c:pt>
                <c:pt idx="7">
                  <c:v>0</c:v>
                </c:pt>
                <c:pt idx="8">
                  <c:v>1</c:v>
                </c:pt>
                <c:pt idx="9">
                  <c:v>1</c:v>
                </c:pt>
                <c:pt idx="10">
                  <c:v>0</c:v>
                </c:pt>
                <c:pt idx="11">
                  <c:v>2</c:v>
                </c:pt>
                <c:pt idx="12">
                  <c:v>1</c:v>
                </c:pt>
                <c:pt idx="13">
                  <c:v>2</c:v>
                </c:pt>
                <c:pt idx="14">
                  <c:v>1</c:v>
                </c:pt>
                <c:pt idx="15">
                  <c:v>0</c:v>
                </c:pt>
                <c:pt idx="16">
                  <c:v>0</c:v>
                </c:pt>
                <c:pt idx="17">
                  <c:v>3</c:v>
                </c:pt>
                <c:pt idx="18">
                  <c:v>2</c:v>
                </c:pt>
                <c:pt idx="19">
                  <c:v>2</c:v>
                </c:pt>
                <c:pt idx="20">
                  <c:v>3</c:v>
                </c:pt>
                <c:pt idx="21">
                  <c:v>1</c:v>
                </c:pt>
                <c:pt idx="22">
                  <c:v>1</c:v>
                </c:pt>
                <c:pt idx="23">
                  <c:v>3</c:v>
                </c:pt>
                <c:pt idx="24">
                  <c:v>0</c:v>
                </c:pt>
                <c:pt idx="25">
                  <c:v>3</c:v>
                </c:pt>
                <c:pt idx="26">
                  <c:v>1</c:v>
                </c:pt>
                <c:pt idx="27">
                  <c:v>1</c:v>
                </c:pt>
                <c:pt idx="28">
                  <c:v>1</c:v>
                </c:pt>
                <c:pt idx="29">
                  <c:v>1</c:v>
                </c:pt>
                <c:pt idx="30">
                  <c:v>1</c:v>
                </c:pt>
                <c:pt idx="31">
                  <c:v>1</c:v>
                </c:pt>
                <c:pt idx="32">
                  <c:v>0</c:v>
                </c:pt>
                <c:pt idx="33">
                  <c:v>2</c:v>
                </c:pt>
                <c:pt idx="34">
                  <c:v>3</c:v>
                </c:pt>
                <c:pt idx="35">
                  <c:v>1</c:v>
                </c:pt>
                <c:pt idx="36">
                  <c:v>2</c:v>
                </c:pt>
                <c:pt idx="37">
                  <c:v>3</c:v>
                </c:pt>
              </c:numCache>
            </c:numRef>
          </c:val>
          <c:extLst>
            <c:ext xmlns:c16="http://schemas.microsoft.com/office/drawing/2014/chart" uri="{C3380CC4-5D6E-409C-BE32-E72D297353CC}">
              <c16:uniqueId val="{00000000-6764-FA45-A2AE-FE2411882228}"/>
            </c:ext>
          </c:extLst>
        </c:ser>
        <c:dLbls>
          <c:showLegendKey val="0"/>
          <c:showVal val="0"/>
          <c:showCatName val="0"/>
          <c:showSerName val="0"/>
          <c:showPercent val="0"/>
          <c:showBubbleSize val="0"/>
        </c:dLbls>
        <c:gapWidth val="219"/>
        <c:overlap val="-27"/>
        <c:axId val="1625954288"/>
        <c:axId val="2002487440"/>
      </c:barChart>
      <c:catAx>
        <c:axId val="162595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487440"/>
        <c:crosses val="autoZero"/>
        <c:auto val="1"/>
        <c:lblAlgn val="ctr"/>
        <c:lblOffset val="100"/>
        <c:noMultiLvlLbl val="0"/>
      </c:catAx>
      <c:valAx>
        <c:axId val="2002487440"/>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5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90AD5"/>
              </a:solidFill>
              <a:latin typeface="+mn-lt"/>
              <a:ea typeface="+mn-ea"/>
              <a:cs typeface="+mn-cs"/>
            </a:defRPr>
          </a:pPr>
          <a:endParaRPr lang="en-US"/>
        </a:p>
      </c:txPr>
    </c:title>
    <c:autoTitleDeleted val="0"/>
    <c:plotArea>
      <c:layout/>
      <c:barChart>
        <c:barDir val="col"/>
        <c:grouping val="clustered"/>
        <c:varyColors val="0"/>
        <c:ser>
          <c:idx val="0"/>
          <c:order val="0"/>
          <c:tx>
            <c:strRef>
              <c:f>Keywords!$L$41</c:f>
              <c:strCache>
                <c:ptCount val="1"/>
                <c:pt idx="0">
                  <c:v>Driving</c:v>
                </c:pt>
              </c:strCache>
            </c:strRef>
          </c:tx>
          <c:spPr>
            <a:solidFill>
              <a:srgbClr val="F90AD5"/>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Keywords!$L$42:$L$79</c:f>
              <c:numCache>
                <c:formatCode>General</c:formatCode>
                <c:ptCount val="38"/>
                <c:pt idx="0">
                  <c:v>5</c:v>
                </c:pt>
                <c:pt idx="1">
                  <c:v>10</c:v>
                </c:pt>
                <c:pt idx="2">
                  <c:v>11</c:v>
                </c:pt>
                <c:pt idx="3">
                  <c:v>6</c:v>
                </c:pt>
                <c:pt idx="4">
                  <c:v>8</c:v>
                </c:pt>
                <c:pt idx="5">
                  <c:v>7</c:v>
                </c:pt>
                <c:pt idx="6">
                  <c:v>8</c:v>
                </c:pt>
                <c:pt idx="7">
                  <c:v>11</c:v>
                </c:pt>
                <c:pt idx="8">
                  <c:v>11</c:v>
                </c:pt>
                <c:pt idx="9">
                  <c:v>9</c:v>
                </c:pt>
                <c:pt idx="10">
                  <c:v>8</c:v>
                </c:pt>
                <c:pt idx="11">
                  <c:v>6</c:v>
                </c:pt>
                <c:pt idx="12">
                  <c:v>3</c:v>
                </c:pt>
                <c:pt idx="13">
                  <c:v>3</c:v>
                </c:pt>
                <c:pt idx="14">
                  <c:v>2</c:v>
                </c:pt>
                <c:pt idx="15">
                  <c:v>4</c:v>
                </c:pt>
                <c:pt idx="16">
                  <c:v>6</c:v>
                </c:pt>
                <c:pt idx="17">
                  <c:v>5</c:v>
                </c:pt>
                <c:pt idx="18">
                  <c:v>4</c:v>
                </c:pt>
                <c:pt idx="19">
                  <c:v>7</c:v>
                </c:pt>
                <c:pt idx="20">
                  <c:v>2</c:v>
                </c:pt>
                <c:pt idx="21">
                  <c:v>4</c:v>
                </c:pt>
                <c:pt idx="22">
                  <c:v>2</c:v>
                </c:pt>
                <c:pt idx="23">
                  <c:v>2</c:v>
                </c:pt>
                <c:pt idx="24">
                  <c:v>4</c:v>
                </c:pt>
                <c:pt idx="25">
                  <c:v>3</c:v>
                </c:pt>
                <c:pt idx="26">
                  <c:v>1</c:v>
                </c:pt>
                <c:pt idx="27">
                  <c:v>0</c:v>
                </c:pt>
                <c:pt idx="28">
                  <c:v>1</c:v>
                </c:pt>
                <c:pt idx="29">
                  <c:v>5</c:v>
                </c:pt>
                <c:pt idx="30">
                  <c:v>3</c:v>
                </c:pt>
                <c:pt idx="31">
                  <c:v>1</c:v>
                </c:pt>
                <c:pt idx="32">
                  <c:v>8</c:v>
                </c:pt>
                <c:pt idx="33">
                  <c:v>7</c:v>
                </c:pt>
                <c:pt idx="34">
                  <c:v>6</c:v>
                </c:pt>
                <c:pt idx="35">
                  <c:v>7</c:v>
                </c:pt>
                <c:pt idx="36">
                  <c:v>7</c:v>
                </c:pt>
                <c:pt idx="37">
                  <c:v>5</c:v>
                </c:pt>
              </c:numCache>
            </c:numRef>
          </c:val>
          <c:extLst>
            <c:ext xmlns:c16="http://schemas.microsoft.com/office/drawing/2014/chart" uri="{C3380CC4-5D6E-409C-BE32-E72D297353CC}">
              <c16:uniqueId val="{00000000-11A5-484C-8966-B655469A41D9}"/>
            </c:ext>
          </c:extLst>
        </c:ser>
        <c:dLbls>
          <c:showLegendKey val="0"/>
          <c:showVal val="0"/>
          <c:showCatName val="0"/>
          <c:showSerName val="0"/>
          <c:showPercent val="0"/>
          <c:showBubbleSize val="0"/>
        </c:dLbls>
        <c:gapWidth val="219"/>
        <c:overlap val="-27"/>
        <c:axId val="1686670048"/>
        <c:axId val="1742502464"/>
      </c:barChart>
      <c:catAx>
        <c:axId val="168667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02464"/>
        <c:crosses val="autoZero"/>
        <c:auto val="1"/>
        <c:lblAlgn val="ctr"/>
        <c:lblOffset val="100"/>
        <c:noMultiLvlLbl val="0"/>
      </c:catAx>
      <c:valAx>
        <c:axId val="174250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67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142055"/>
              </a:solidFill>
              <a:latin typeface="+mn-lt"/>
              <a:ea typeface="+mn-ea"/>
              <a:cs typeface="+mn-cs"/>
            </a:defRPr>
          </a:pPr>
          <a:endParaRPr lang="en-US"/>
        </a:p>
      </c:txPr>
    </c:title>
    <c:autoTitleDeleted val="0"/>
    <c:plotArea>
      <c:layout/>
      <c:barChart>
        <c:barDir val="col"/>
        <c:grouping val="clustered"/>
        <c:varyColors val="0"/>
        <c:ser>
          <c:idx val="0"/>
          <c:order val="0"/>
          <c:tx>
            <c:strRef>
              <c:f>Keywords!$M$41</c:f>
              <c:strCache>
                <c:ptCount val="1"/>
                <c:pt idx="0">
                  <c:v>Flags</c:v>
                </c:pt>
              </c:strCache>
            </c:strRef>
          </c:tx>
          <c:spPr>
            <a:solidFill>
              <a:srgbClr val="142055"/>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Keywords!$M$42:$M$79</c:f>
              <c:numCache>
                <c:formatCode>General</c:formatCode>
                <c:ptCount val="38"/>
                <c:pt idx="0">
                  <c:v>1</c:v>
                </c:pt>
                <c:pt idx="1">
                  <c:v>0</c:v>
                </c:pt>
                <c:pt idx="2">
                  <c:v>1</c:v>
                </c:pt>
                <c:pt idx="3">
                  <c:v>0</c:v>
                </c:pt>
                <c:pt idx="4">
                  <c:v>1</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0</c:v>
                </c:pt>
                <c:pt idx="30">
                  <c:v>0</c:v>
                </c:pt>
                <c:pt idx="31">
                  <c:v>0</c:v>
                </c:pt>
                <c:pt idx="32">
                  <c:v>1</c:v>
                </c:pt>
                <c:pt idx="33">
                  <c:v>0</c:v>
                </c:pt>
                <c:pt idx="34">
                  <c:v>0</c:v>
                </c:pt>
                <c:pt idx="35">
                  <c:v>0</c:v>
                </c:pt>
                <c:pt idx="36">
                  <c:v>0</c:v>
                </c:pt>
                <c:pt idx="37">
                  <c:v>0</c:v>
                </c:pt>
              </c:numCache>
            </c:numRef>
          </c:val>
          <c:extLst>
            <c:ext xmlns:c16="http://schemas.microsoft.com/office/drawing/2014/chart" uri="{C3380CC4-5D6E-409C-BE32-E72D297353CC}">
              <c16:uniqueId val="{00000000-BAD4-D54A-94DF-32B927C652E6}"/>
            </c:ext>
          </c:extLst>
        </c:ser>
        <c:dLbls>
          <c:showLegendKey val="0"/>
          <c:showVal val="0"/>
          <c:showCatName val="0"/>
          <c:showSerName val="0"/>
          <c:showPercent val="0"/>
          <c:showBubbleSize val="0"/>
        </c:dLbls>
        <c:gapWidth val="219"/>
        <c:overlap val="-27"/>
        <c:axId val="1679328224"/>
        <c:axId val="1741703344"/>
      </c:barChart>
      <c:catAx>
        <c:axId val="167932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03344"/>
        <c:crosses val="autoZero"/>
        <c:auto val="1"/>
        <c:lblAlgn val="ctr"/>
        <c:lblOffset val="100"/>
        <c:noMultiLvlLbl val="0"/>
      </c:catAx>
      <c:valAx>
        <c:axId val="17417033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2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AEB86"/>
              </a:solidFill>
              <a:latin typeface="+mn-lt"/>
              <a:ea typeface="+mn-ea"/>
              <a:cs typeface="+mn-cs"/>
            </a:defRPr>
          </a:pPr>
          <a:endParaRPr lang="en-US"/>
        </a:p>
      </c:txPr>
    </c:title>
    <c:autoTitleDeleted val="0"/>
    <c:plotArea>
      <c:layout/>
      <c:barChart>
        <c:barDir val="col"/>
        <c:grouping val="clustered"/>
        <c:varyColors val="0"/>
        <c:ser>
          <c:idx val="0"/>
          <c:order val="0"/>
          <c:tx>
            <c:strRef>
              <c:f>Keywords!$N$41</c:f>
              <c:strCache>
                <c:ptCount val="1"/>
                <c:pt idx="0">
                  <c:v>Food</c:v>
                </c:pt>
              </c:strCache>
            </c:strRef>
          </c:tx>
          <c:spPr>
            <a:solidFill>
              <a:srgbClr val="FAEB86"/>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Keywords!$N$42:$N$79</c:f>
              <c:numCache>
                <c:formatCode>General</c:formatCode>
                <c:ptCount val="38"/>
                <c:pt idx="0">
                  <c:v>1</c:v>
                </c:pt>
                <c:pt idx="1">
                  <c:v>3</c:v>
                </c:pt>
                <c:pt idx="2">
                  <c:v>1</c:v>
                </c:pt>
                <c:pt idx="3">
                  <c:v>1</c:v>
                </c:pt>
                <c:pt idx="4">
                  <c:v>3</c:v>
                </c:pt>
                <c:pt idx="5">
                  <c:v>3</c:v>
                </c:pt>
                <c:pt idx="6">
                  <c:v>1</c:v>
                </c:pt>
                <c:pt idx="7">
                  <c:v>0</c:v>
                </c:pt>
                <c:pt idx="8">
                  <c:v>1</c:v>
                </c:pt>
                <c:pt idx="9">
                  <c:v>3</c:v>
                </c:pt>
                <c:pt idx="10">
                  <c:v>2</c:v>
                </c:pt>
                <c:pt idx="11">
                  <c:v>2</c:v>
                </c:pt>
                <c:pt idx="12">
                  <c:v>2</c:v>
                </c:pt>
                <c:pt idx="13">
                  <c:v>2</c:v>
                </c:pt>
                <c:pt idx="14">
                  <c:v>3</c:v>
                </c:pt>
                <c:pt idx="15">
                  <c:v>1</c:v>
                </c:pt>
                <c:pt idx="16">
                  <c:v>3</c:v>
                </c:pt>
                <c:pt idx="17">
                  <c:v>2</c:v>
                </c:pt>
                <c:pt idx="18">
                  <c:v>0</c:v>
                </c:pt>
                <c:pt idx="19">
                  <c:v>2</c:v>
                </c:pt>
                <c:pt idx="20">
                  <c:v>4</c:v>
                </c:pt>
                <c:pt idx="21">
                  <c:v>1</c:v>
                </c:pt>
                <c:pt idx="22">
                  <c:v>1</c:v>
                </c:pt>
                <c:pt idx="23">
                  <c:v>0</c:v>
                </c:pt>
                <c:pt idx="24">
                  <c:v>0</c:v>
                </c:pt>
                <c:pt idx="25">
                  <c:v>3</c:v>
                </c:pt>
                <c:pt idx="26">
                  <c:v>1</c:v>
                </c:pt>
                <c:pt idx="27">
                  <c:v>1</c:v>
                </c:pt>
                <c:pt idx="28">
                  <c:v>2</c:v>
                </c:pt>
                <c:pt idx="29">
                  <c:v>3</c:v>
                </c:pt>
                <c:pt idx="30">
                  <c:v>2</c:v>
                </c:pt>
                <c:pt idx="31">
                  <c:v>2</c:v>
                </c:pt>
                <c:pt idx="32">
                  <c:v>2</c:v>
                </c:pt>
                <c:pt idx="33">
                  <c:v>1</c:v>
                </c:pt>
                <c:pt idx="34">
                  <c:v>2</c:v>
                </c:pt>
                <c:pt idx="35">
                  <c:v>0</c:v>
                </c:pt>
                <c:pt idx="36">
                  <c:v>2</c:v>
                </c:pt>
                <c:pt idx="37">
                  <c:v>3</c:v>
                </c:pt>
              </c:numCache>
            </c:numRef>
          </c:val>
          <c:extLst>
            <c:ext xmlns:c16="http://schemas.microsoft.com/office/drawing/2014/chart" uri="{C3380CC4-5D6E-409C-BE32-E72D297353CC}">
              <c16:uniqueId val="{00000000-82EE-6841-876F-D21A6D8458C3}"/>
            </c:ext>
          </c:extLst>
        </c:ser>
        <c:dLbls>
          <c:showLegendKey val="0"/>
          <c:showVal val="0"/>
          <c:showCatName val="0"/>
          <c:showSerName val="0"/>
          <c:showPercent val="0"/>
          <c:showBubbleSize val="0"/>
        </c:dLbls>
        <c:gapWidth val="219"/>
        <c:overlap val="-27"/>
        <c:axId val="1625399072"/>
        <c:axId val="1626237216"/>
      </c:barChart>
      <c:catAx>
        <c:axId val="162539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237216"/>
        <c:crosses val="autoZero"/>
        <c:auto val="1"/>
        <c:lblAlgn val="ctr"/>
        <c:lblOffset val="100"/>
        <c:noMultiLvlLbl val="0"/>
      </c:catAx>
      <c:valAx>
        <c:axId val="1626237216"/>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9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EAEA50"/>
              </a:solidFill>
              <a:latin typeface="+mn-lt"/>
              <a:ea typeface="+mn-ea"/>
              <a:cs typeface="+mn-cs"/>
            </a:defRPr>
          </a:pPr>
          <a:endParaRPr lang="en-US"/>
        </a:p>
      </c:txPr>
    </c:title>
    <c:autoTitleDeleted val="0"/>
    <c:plotArea>
      <c:layout/>
      <c:barChart>
        <c:barDir val="col"/>
        <c:grouping val="clustered"/>
        <c:varyColors val="0"/>
        <c:ser>
          <c:idx val="0"/>
          <c:order val="0"/>
          <c:tx>
            <c:strRef>
              <c:f>Keywords!$O$41</c:f>
              <c:strCache>
                <c:ptCount val="1"/>
                <c:pt idx="0">
                  <c:v>Geography</c:v>
                </c:pt>
              </c:strCache>
            </c:strRef>
          </c:tx>
          <c:spPr>
            <a:solidFill>
              <a:srgbClr val="EAEA50"/>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Keywords!$O$42:$O$79</c:f>
              <c:numCache>
                <c:formatCode>General</c:formatCode>
                <c:ptCount val="38"/>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1</c:v>
                </c:pt>
                <c:pt idx="17">
                  <c:v>0</c:v>
                </c:pt>
                <c:pt idx="18">
                  <c:v>1</c:v>
                </c:pt>
                <c:pt idx="19">
                  <c:v>0</c:v>
                </c:pt>
                <c:pt idx="20">
                  <c:v>0</c:v>
                </c:pt>
                <c:pt idx="21">
                  <c:v>1</c:v>
                </c:pt>
                <c:pt idx="22">
                  <c:v>0</c:v>
                </c:pt>
                <c:pt idx="23">
                  <c:v>0</c:v>
                </c:pt>
                <c:pt idx="24">
                  <c:v>1</c:v>
                </c:pt>
                <c:pt idx="25">
                  <c:v>0</c:v>
                </c:pt>
                <c:pt idx="26">
                  <c:v>0</c:v>
                </c:pt>
                <c:pt idx="27">
                  <c:v>1</c:v>
                </c:pt>
                <c:pt idx="28">
                  <c:v>0</c:v>
                </c:pt>
                <c:pt idx="29">
                  <c:v>0</c:v>
                </c:pt>
                <c:pt idx="30">
                  <c:v>0</c:v>
                </c:pt>
                <c:pt idx="31">
                  <c:v>1</c:v>
                </c:pt>
                <c:pt idx="32">
                  <c:v>0</c:v>
                </c:pt>
                <c:pt idx="33">
                  <c:v>0</c:v>
                </c:pt>
                <c:pt idx="34">
                  <c:v>0</c:v>
                </c:pt>
                <c:pt idx="35">
                  <c:v>0</c:v>
                </c:pt>
                <c:pt idx="36">
                  <c:v>0</c:v>
                </c:pt>
                <c:pt idx="37">
                  <c:v>0</c:v>
                </c:pt>
              </c:numCache>
            </c:numRef>
          </c:val>
          <c:extLst>
            <c:ext xmlns:c16="http://schemas.microsoft.com/office/drawing/2014/chart" uri="{C3380CC4-5D6E-409C-BE32-E72D297353CC}">
              <c16:uniqueId val="{00000000-6A24-7046-835B-F2B9054322C1}"/>
            </c:ext>
          </c:extLst>
        </c:ser>
        <c:dLbls>
          <c:showLegendKey val="0"/>
          <c:showVal val="0"/>
          <c:showCatName val="0"/>
          <c:showSerName val="0"/>
          <c:showPercent val="0"/>
          <c:showBubbleSize val="0"/>
        </c:dLbls>
        <c:gapWidth val="219"/>
        <c:overlap val="-27"/>
        <c:axId val="1730623056"/>
        <c:axId val="1659774144"/>
      </c:barChart>
      <c:catAx>
        <c:axId val="17306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774144"/>
        <c:crosses val="autoZero"/>
        <c:auto val="1"/>
        <c:lblAlgn val="ctr"/>
        <c:lblOffset val="100"/>
        <c:noMultiLvlLbl val="0"/>
      </c:catAx>
      <c:valAx>
        <c:axId val="165977414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8015E6"/>
                </a:solidFill>
                <a:latin typeface="+mn-lt"/>
                <a:ea typeface="+mn-ea"/>
                <a:cs typeface="+mn-cs"/>
              </a:defRPr>
            </a:pPr>
            <a:r>
              <a:rPr lang="en-US">
                <a:solidFill>
                  <a:srgbClr val="8015E6"/>
                </a:solidFill>
              </a:rPr>
              <a:t>Hand</a:t>
            </a:r>
            <a:r>
              <a:rPr lang="en-US" baseline="0">
                <a:solidFill>
                  <a:srgbClr val="8015E6"/>
                </a:solidFill>
              </a:rPr>
              <a:t> Eye Coordination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015E6"/>
              </a:solidFill>
              <a:latin typeface="+mn-lt"/>
              <a:ea typeface="+mn-ea"/>
              <a:cs typeface="+mn-cs"/>
            </a:defRPr>
          </a:pPr>
          <a:endParaRPr lang="en-US"/>
        </a:p>
      </c:txPr>
    </c:title>
    <c:autoTitleDeleted val="0"/>
    <c:plotArea>
      <c:layout/>
      <c:barChart>
        <c:barDir val="col"/>
        <c:grouping val="clustered"/>
        <c:varyColors val="0"/>
        <c:ser>
          <c:idx val="0"/>
          <c:order val="0"/>
          <c:tx>
            <c:strRef>
              <c:f>Keywords!$P$41</c:f>
              <c:strCache>
                <c:ptCount val="1"/>
                <c:pt idx="0">
                  <c:v>HEC</c:v>
                </c:pt>
              </c:strCache>
            </c:strRef>
          </c:tx>
          <c:spPr>
            <a:solidFill>
              <a:srgbClr val="8015E6"/>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Keywords!$P$42:$P$79</c:f>
              <c:numCache>
                <c:formatCode>General</c:formatCode>
                <c:ptCount val="38"/>
                <c:pt idx="0">
                  <c:v>1</c:v>
                </c:pt>
                <c:pt idx="1">
                  <c:v>3</c:v>
                </c:pt>
                <c:pt idx="2">
                  <c:v>3</c:v>
                </c:pt>
                <c:pt idx="3">
                  <c:v>1</c:v>
                </c:pt>
                <c:pt idx="4">
                  <c:v>1</c:v>
                </c:pt>
                <c:pt idx="5">
                  <c:v>3</c:v>
                </c:pt>
                <c:pt idx="6">
                  <c:v>2</c:v>
                </c:pt>
                <c:pt idx="7">
                  <c:v>2</c:v>
                </c:pt>
                <c:pt idx="8">
                  <c:v>1</c:v>
                </c:pt>
                <c:pt idx="9">
                  <c:v>2</c:v>
                </c:pt>
                <c:pt idx="10">
                  <c:v>1</c:v>
                </c:pt>
                <c:pt idx="11">
                  <c:v>1</c:v>
                </c:pt>
                <c:pt idx="12">
                  <c:v>1</c:v>
                </c:pt>
                <c:pt idx="13">
                  <c:v>0</c:v>
                </c:pt>
                <c:pt idx="14">
                  <c:v>3</c:v>
                </c:pt>
                <c:pt idx="15">
                  <c:v>3</c:v>
                </c:pt>
                <c:pt idx="16">
                  <c:v>3</c:v>
                </c:pt>
                <c:pt idx="17">
                  <c:v>1</c:v>
                </c:pt>
                <c:pt idx="18">
                  <c:v>1</c:v>
                </c:pt>
                <c:pt idx="19">
                  <c:v>4</c:v>
                </c:pt>
                <c:pt idx="20">
                  <c:v>2</c:v>
                </c:pt>
                <c:pt idx="21">
                  <c:v>3</c:v>
                </c:pt>
                <c:pt idx="22">
                  <c:v>2</c:v>
                </c:pt>
                <c:pt idx="23">
                  <c:v>6</c:v>
                </c:pt>
                <c:pt idx="24">
                  <c:v>1</c:v>
                </c:pt>
                <c:pt idx="25">
                  <c:v>4</c:v>
                </c:pt>
                <c:pt idx="26">
                  <c:v>0</c:v>
                </c:pt>
                <c:pt idx="27">
                  <c:v>0</c:v>
                </c:pt>
                <c:pt idx="28">
                  <c:v>1</c:v>
                </c:pt>
                <c:pt idx="29">
                  <c:v>0</c:v>
                </c:pt>
                <c:pt idx="30">
                  <c:v>1</c:v>
                </c:pt>
                <c:pt idx="31">
                  <c:v>3</c:v>
                </c:pt>
                <c:pt idx="32">
                  <c:v>1</c:v>
                </c:pt>
                <c:pt idx="33">
                  <c:v>2</c:v>
                </c:pt>
                <c:pt idx="34">
                  <c:v>2</c:v>
                </c:pt>
                <c:pt idx="35">
                  <c:v>5</c:v>
                </c:pt>
                <c:pt idx="36">
                  <c:v>3</c:v>
                </c:pt>
                <c:pt idx="37">
                  <c:v>5</c:v>
                </c:pt>
              </c:numCache>
            </c:numRef>
          </c:val>
          <c:extLst>
            <c:ext xmlns:c16="http://schemas.microsoft.com/office/drawing/2014/chart" uri="{C3380CC4-5D6E-409C-BE32-E72D297353CC}">
              <c16:uniqueId val="{00000000-5743-B348-A9F9-361D38DE8D28}"/>
            </c:ext>
          </c:extLst>
        </c:ser>
        <c:dLbls>
          <c:showLegendKey val="0"/>
          <c:showVal val="0"/>
          <c:showCatName val="0"/>
          <c:showSerName val="0"/>
          <c:showPercent val="0"/>
          <c:showBubbleSize val="0"/>
        </c:dLbls>
        <c:gapWidth val="219"/>
        <c:overlap val="-27"/>
        <c:axId val="1659081008"/>
        <c:axId val="1742693728"/>
      </c:barChart>
      <c:catAx>
        <c:axId val="165908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93728"/>
        <c:crosses val="autoZero"/>
        <c:auto val="1"/>
        <c:lblAlgn val="ctr"/>
        <c:lblOffset val="100"/>
        <c:noMultiLvlLbl val="0"/>
      </c:catAx>
      <c:valAx>
        <c:axId val="174269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8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80508"/>
              </a:solidFill>
              <a:latin typeface="+mn-lt"/>
              <a:ea typeface="+mn-ea"/>
              <a:cs typeface="+mn-cs"/>
            </a:defRPr>
          </a:pPr>
          <a:endParaRPr lang="en-US"/>
        </a:p>
      </c:txPr>
    </c:title>
    <c:autoTitleDeleted val="0"/>
    <c:plotArea>
      <c:layout/>
      <c:barChart>
        <c:barDir val="col"/>
        <c:grouping val="clustered"/>
        <c:varyColors val="0"/>
        <c:ser>
          <c:idx val="0"/>
          <c:order val="0"/>
          <c:tx>
            <c:strRef>
              <c:f>Keywords!$Q$41</c:f>
              <c:strCache>
                <c:ptCount val="1"/>
                <c:pt idx="0">
                  <c:v>Heights</c:v>
                </c:pt>
              </c:strCache>
            </c:strRef>
          </c:tx>
          <c:spPr>
            <a:solidFill>
              <a:srgbClr val="F80508"/>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Keywords!$Q$42:$Q$79</c:f>
              <c:numCache>
                <c:formatCode>General</c:formatCode>
                <c:ptCount val="38"/>
                <c:pt idx="0">
                  <c:v>3</c:v>
                </c:pt>
                <c:pt idx="1">
                  <c:v>5</c:v>
                </c:pt>
                <c:pt idx="2">
                  <c:v>6</c:v>
                </c:pt>
                <c:pt idx="3">
                  <c:v>6</c:v>
                </c:pt>
                <c:pt idx="4">
                  <c:v>6</c:v>
                </c:pt>
                <c:pt idx="5">
                  <c:v>5</c:v>
                </c:pt>
                <c:pt idx="6">
                  <c:v>4</c:v>
                </c:pt>
                <c:pt idx="7">
                  <c:v>4</c:v>
                </c:pt>
                <c:pt idx="8">
                  <c:v>4</c:v>
                </c:pt>
                <c:pt idx="9">
                  <c:v>3</c:v>
                </c:pt>
                <c:pt idx="10">
                  <c:v>2</c:v>
                </c:pt>
                <c:pt idx="11">
                  <c:v>4</c:v>
                </c:pt>
                <c:pt idx="12">
                  <c:v>2</c:v>
                </c:pt>
                <c:pt idx="13">
                  <c:v>2</c:v>
                </c:pt>
                <c:pt idx="14">
                  <c:v>3</c:v>
                </c:pt>
                <c:pt idx="15">
                  <c:v>3</c:v>
                </c:pt>
                <c:pt idx="16">
                  <c:v>3</c:v>
                </c:pt>
                <c:pt idx="17">
                  <c:v>1</c:v>
                </c:pt>
                <c:pt idx="18">
                  <c:v>4</c:v>
                </c:pt>
                <c:pt idx="19">
                  <c:v>3</c:v>
                </c:pt>
                <c:pt idx="20">
                  <c:v>1</c:v>
                </c:pt>
                <c:pt idx="21">
                  <c:v>4</c:v>
                </c:pt>
                <c:pt idx="22">
                  <c:v>5</c:v>
                </c:pt>
                <c:pt idx="23">
                  <c:v>2</c:v>
                </c:pt>
                <c:pt idx="24">
                  <c:v>4</c:v>
                </c:pt>
                <c:pt idx="25">
                  <c:v>4</c:v>
                </c:pt>
                <c:pt idx="26">
                  <c:v>3</c:v>
                </c:pt>
                <c:pt idx="27">
                  <c:v>3</c:v>
                </c:pt>
                <c:pt idx="28">
                  <c:v>2</c:v>
                </c:pt>
                <c:pt idx="29">
                  <c:v>3</c:v>
                </c:pt>
                <c:pt idx="30">
                  <c:v>3</c:v>
                </c:pt>
                <c:pt idx="31">
                  <c:v>2</c:v>
                </c:pt>
                <c:pt idx="32">
                  <c:v>1</c:v>
                </c:pt>
                <c:pt idx="33">
                  <c:v>2</c:v>
                </c:pt>
                <c:pt idx="34">
                  <c:v>5</c:v>
                </c:pt>
                <c:pt idx="35">
                  <c:v>0</c:v>
                </c:pt>
                <c:pt idx="36">
                  <c:v>2</c:v>
                </c:pt>
                <c:pt idx="37">
                  <c:v>3</c:v>
                </c:pt>
              </c:numCache>
            </c:numRef>
          </c:val>
          <c:extLst>
            <c:ext xmlns:c16="http://schemas.microsoft.com/office/drawing/2014/chart" uri="{C3380CC4-5D6E-409C-BE32-E72D297353CC}">
              <c16:uniqueId val="{00000000-71DA-DC45-B056-A451CB3FA7F3}"/>
            </c:ext>
          </c:extLst>
        </c:ser>
        <c:dLbls>
          <c:showLegendKey val="0"/>
          <c:showVal val="0"/>
          <c:showCatName val="0"/>
          <c:showSerName val="0"/>
          <c:showPercent val="0"/>
          <c:showBubbleSize val="0"/>
        </c:dLbls>
        <c:gapWidth val="219"/>
        <c:overlap val="-27"/>
        <c:axId val="1659645616"/>
        <c:axId val="1742557216"/>
      </c:barChart>
      <c:catAx>
        <c:axId val="16596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57216"/>
        <c:crosses val="autoZero"/>
        <c:auto val="1"/>
        <c:lblAlgn val="ctr"/>
        <c:lblOffset val="100"/>
        <c:noMultiLvlLbl val="0"/>
      </c:catAx>
      <c:valAx>
        <c:axId val="1742557216"/>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4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EFA37C"/>
              </a:solidFill>
              <a:latin typeface="+mn-lt"/>
              <a:ea typeface="+mn-ea"/>
              <a:cs typeface="+mn-cs"/>
            </a:defRPr>
          </a:pPr>
          <a:endParaRPr lang="en-US"/>
        </a:p>
      </c:txPr>
    </c:title>
    <c:autoTitleDeleted val="0"/>
    <c:plotArea>
      <c:layout/>
      <c:barChart>
        <c:barDir val="col"/>
        <c:grouping val="clustered"/>
        <c:varyColors val="0"/>
        <c:ser>
          <c:idx val="0"/>
          <c:order val="0"/>
          <c:tx>
            <c:strRef>
              <c:f>Keywords!$R$41</c:f>
              <c:strCache>
                <c:ptCount val="1"/>
                <c:pt idx="0">
                  <c:v>Language</c:v>
                </c:pt>
              </c:strCache>
            </c:strRef>
          </c:tx>
          <c:spPr>
            <a:solidFill>
              <a:srgbClr val="EFA37C"/>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Keywords!$R$42:$R$79</c:f>
              <c:numCache>
                <c:formatCode>General</c:formatCode>
                <c:ptCount val="38"/>
                <c:pt idx="0">
                  <c:v>2</c:v>
                </c:pt>
                <c:pt idx="1">
                  <c:v>1</c:v>
                </c:pt>
                <c:pt idx="2">
                  <c:v>1</c:v>
                </c:pt>
                <c:pt idx="3">
                  <c:v>0</c:v>
                </c:pt>
                <c:pt idx="4">
                  <c:v>0</c:v>
                </c:pt>
                <c:pt idx="5">
                  <c:v>0</c:v>
                </c:pt>
                <c:pt idx="6">
                  <c:v>0</c:v>
                </c:pt>
                <c:pt idx="7">
                  <c:v>0</c:v>
                </c:pt>
                <c:pt idx="8">
                  <c:v>1</c:v>
                </c:pt>
                <c:pt idx="9">
                  <c:v>1</c:v>
                </c:pt>
                <c:pt idx="10">
                  <c:v>0</c:v>
                </c:pt>
                <c:pt idx="11">
                  <c:v>2</c:v>
                </c:pt>
                <c:pt idx="12">
                  <c:v>0</c:v>
                </c:pt>
                <c:pt idx="13">
                  <c:v>4</c:v>
                </c:pt>
                <c:pt idx="14">
                  <c:v>3</c:v>
                </c:pt>
                <c:pt idx="15">
                  <c:v>1</c:v>
                </c:pt>
                <c:pt idx="16">
                  <c:v>0</c:v>
                </c:pt>
                <c:pt idx="17">
                  <c:v>0</c:v>
                </c:pt>
                <c:pt idx="18">
                  <c:v>1</c:v>
                </c:pt>
                <c:pt idx="19">
                  <c:v>0</c:v>
                </c:pt>
                <c:pt idx="20">
                  <c:v>2</c:v>
                </c:pt>
                <c:pt idx="21">
                  <c:v>0</c:v>
                </c:pt>
                <c:pt idx="22">
                  <c:v>1</c:v>
                </c:pt>
                <c:pt idx="23">
                  <c:v>1</c:v>
                </c:pt>
                <c:pt idx="24">
                  <c:v>1</c:v>
                </c:pt>
                <c:pt idx="25">
                  <c:v>3</c:v>
                </c:pt>
                <c:pt idx="26">
                  <c:v>1</c:v>
                </c:pt>
                <c:pt idx="27">
                  <c:v>0</c:v>
                </c:pt>
                <c:pt idx="28">
                  <c:v>2</c:v>
                </c:pt>
                <c:pt idx="29">
                  <c:v>2</c:v>
                </c:pt>
                <c:pt idx="30">
                  <c:v>2</c:v>
                </c:pt>
                <c:pt idx="31">
                  <c:v>2</c:v>
                </c:pt>
                <c:pt idx="32">
                  <c:v>0</c:v>
                </c:pt>
                <c:pt idx="33">
                  <c:v>2</c:v>
                </c:pt>
                <c:pt idx="34">
                  <c:v>1</c:v>
                </c:pt>
                <c:pt idx="35">
                  <c:v>0</c:v>
                </c:pt>
                <c:pt idx="36">
                  <c:v>3</c:v>
                </c:pt>
                <c:pt idx="37">
                  <c:v>3</c:v>
                </c:pt>
              </c:numCache>
            </c:numRef>
          </c:val>
          <c:extLst>
            <c:ext xmlns:c16="http://schemas.microsoft.com/office/drawing/2014/chart" uri="{C3380CC4-5D6E-409C-BE32-E72D297353CC}">
              <c16:uniqueId val="{00000000-92A5-8441-9A1B-56A0F0B9FBA9}"/>
            </c:ext>
          </c:extLst>
        </c:ser>
        <c:dLbls>
          <c:showLegendKey val="0"/>
          <c:showVal val="0"/>
          <c:showCatName val="0"/>
          <c:showSerName val="0"/>
          <c:showPercent val="0"/>
          <c:showBubbleSize val="0"/>
        </c:dLbls>
        <c:gapWidth val="219"/>
        <c:overlap val="-27"/>
        <c:axId val="1659837440"/>
        <c:axId val="1679433184"/>
      </c:barChart>
      <c:catAx>
        <c:axId val="16598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433184"/>
        <c:crosses val="autoZero"/>
        <c:auto val="1"/>
        <c:lblAlgn val="ctr"/>
        <c:lblOffset val="100"/>
        <c:noMultiLvlLbl val="0"/>
      </c:catAx>
      <c:valAx>
        <c:axId val="1679433184"/>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3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93F54"/>
              </a:solidFill>
              <a:latin typeface="+mn-lt"/>
              <a:ea typeface="+mn-ea"/>
              <a:cs typeface="+mn-cs"/>
            </a:defRPr>
          </a:pPr>
          <a:endParaRPr lang="en-US"/>
        </a:p>
      </c:txPr>
    </c:title>
    <c:autoTitleDeleted val="0"/>
    <c:plotArea>
      <c:layout/>
      <c:barChart>
        <c:barDir val="col"/>
        <c:grouping val="clustered"/>
        <c:varyColors val="0"/>
        <c:ser>
          <c:idx val="0"/>
          <c:order val="0"/>
          <c:tx>
            <c:strRef>
              <c:f>Keywords!$S$41</c:f>
              <c:strCache>
                <c:ptCount val="1"/>
                <c:pt idx="0">
                  <c:v>Math</c:v>
                </c:pt>
              </c:strCache>
            </c:strRef>
          </c:tx>
          <c:spPr>
            <a:solidFill>
              <a:srgbClr val="F93F54"/>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Keywords!$S$42:$S$79</c:f>
              <c:numCache>
                <c:formatCode>General</c:formatCode>
                <c:ptCount val="38"/>
                <c:pt idx="0">
                  <c:v>0</c:v>
                </c:pt>
                <c:pt idx="1">
                  <c:v>0</c:v>
                </c:pt>
                <c:pt idx="2">
                  <c:v>0</c:v>
                </c:pt>
                <c:pt idx="3">
                  <c:v>0</c:v>
                </c:pt>
                <c:pt idx="4">
                  <c:v>0</c:v>
                </c:pt>
                <c:pt idx="5">
                  <c:v>0</c:v>
                </c:pt>
                <c:pt idx="6">
                  <c:v>0</c:v>
                </c:pt>
                <c:pt idx="7">
                  <c:v>0</c:v>
                </c:pt>
                <c:pt idx="8">
                  <c:v>0</c:v>
                </c:pt>
                <c:pt idx="9">
                  <c:v>0</c:v>
                </c:pt>
                <c:pt idx="10">
                  <c:v>1</c:v>
                </c:pt>
                <c:pt idx="11">
                  <c:v>0</c:v>
                </c:pt>
                <c:pt idx="12">
                  <c:v>1</c:v>
                </c:pt>
                <c:pt idx="13">
                  <c:v>0</c:v>
                </c:pt>
                <c:pt idx="14">
                  <c:v>2</c:v>
                </c:pt>
                <c:pt idx="15">
                  <c:v>1</c:v>
                </c:pt>
                <c:pt idx="16">
                  <c:v>0</c:v>
                </c:pt>
                <c:pt idx="17">
                  <c:v>1</c:v>
                </c:pt>
                <c:pt idx="18">
                  <c:v>0</c:v>
                </c:pt>
                <c:pt idx="19">
                  <c:v>1</c:v>
                </c:pt>
                <c:pt idx="20">
                  <c:v>1</c:v>
                </c:pt>
                <c:pt idx="21">
                  <c:v>0</c:v>
                </c:pt>
                <c:pt idx="22">
                  <c:v>1</c:v>
                </c:pt>
                <c:pt idx="23">
                  <c:v>2</c:v>
                </c:pt>
                <c:pt idx="24">
                  <c:v>0</c:v>
                </c:pt>
                <c:pt idx="25">
                  <c:v>1</c:v>
                </c:pt>
                <c:pt idx="26">
                  <c:v>0</c:v>
                </c:pt>
                <c:pt idx="27">
                  <c:v>0</c:v>
                </c:pt>
                <c:pt idx="28">
                  <c:v>0</c:v>
                </c:pt>
                <c:pt idx="29">
                  <c:v>2</c:v>
                </c:pt>
                <c:pt idx="30">
                  <c:v>0</c:v>
                </c:pt>
                <c:pt idx="31">
                  <c:v>0</c:v>
                </c:pt>
                <c:pt idx="32">
                  <c:v>0</c:v>
                </c:pt>
                <c:pt idx="33">
                  <c:v>0</c:v>
                </c:pt>
                <c:pt idx="34">
                  <c:v>1</c:v>
                </c:pt>
                <c:pt idx="35">
                  <c:v>0</c:v>
                </c:pt>
                <c:pt idx="36">
                  <c:v>0</c:v>
                </c:pt>
                <c:pt idx="37">
                  <c:v>0</c:v>
                </c:pt>
              </c:numCache>
            </c:numRef>
          </c:val>
          <c:extLst>
            <c:ext xmlns:c16="http://schemas.microsoft.com/office/drawing/2014/chart" uri="{C3380CC4-5D6E-409C-BE32-E72D297353CC}">
              <c16:uniqueId val="{00000000-9C0A-084F-9CB3-496C0C356AD1}"/>
            </c:ext>
          </c:extLst>
        </c:ser>
        <c:dLbls>
          <c:showLegendKey val="0"/>
          <c:showVal val="0"/>
          <c:showCatName val="0"/>
          <c:showSerName val="0"/>
          <c:showPercent val="0"/>
          <c:showBubbleSize val="0"/>
        </c:dLbls>
        <c:gapWidth val="219"/>
        <c:overlap val="-27"/>
        <c:axId val="1742024304"/>
        <c:axId val="1627197552"/>
      </c:barChart>
      <c:catAx>
        <c:axId val="174202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97552"/>
        <c:crosses val="autoZero"/>
        <c:auto val="1"/>
        <c:lblAlgn val="ctr"/>
        <c:lblOffset val="100"/>
        <c:noMultiLvlLbl val="0"/>
      </c:catAx>
      <c:valAx>
        <c:axId val="1627197552"/>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2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EACF"/>
                </a:solidFill>
                <a:latin typeface="+mn-lt"/>
                <a:ea typeface="+mn-ea"/>
                <a:cs typeface="+mn-cs"/>
              </a:defRPr>
            </a:pPr>
            <a:r>
              <a:rPr lang="en-US">
                <a:solidFill>
                  <a:srgbClr val="2CEACF"/>
                </a:solidFill>
              </a:rPr>
              <a:t>Memorization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EACF"/>
              </a:solidFill>
              <a:latin typeface="+mn-lt"/>
              <a:ea typeface="+mn-ea"/>
              <a:cs typeface="+mn-cs"/>
            </a:defRPr>
          </a:pPr>
          <a:endParaRPr lang="en-US"/>
        </a:p>
      </c:txPr>
    </c:title>
    <c:autoTitleDeleted val="0"/>
    <c:plotArea>
      <c:layout/>
      <c:barChart>
        <c:barDir val="col"/>
        <c:grouping val="clustered"/>
        <c:varyColors val="0"/>
        <c:ser>
          <c:idx val="0"/>
          <c:order val="0"/>
          <c:tx>
            <c:strRef>
              <c:f>Keywords!$T$41</c:f>
              <c:strCache>
                <c:ptCount val="1"/>
                <c:pt idx="0">
                  <c:v>Memory</c:v>
                </c:pt>
              </c:strCache>
            </c:strRef>
          </c:tx>
          <c:spPr>
            <a:solidFill>
              <a:srgbClr val="2CEACF"/>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Keywords!$T$42:$T$79</c:f>
              <c:numCache>
                <c:formatCode>General</c:formatCode>
                <c:ptCount val="38"/>
                <c:pt idx="0">
                  <c:v>0</c:v>
                </c:pt>
                <c:pt idx="1">
                  <c:v>0</c:v>
                </c:pt>
                <c:pt idx="2">
                  <c:v>1</c:v>
                </c:pt>
                <c:pt idx="3">
                  <c:v>0</c:v>
                </c:pt>
                <c:pt idx="4">
                  <c:v>0</c:v>
                </c:pt>
                <c:pt idx="5">
                  <c:v>0</c:v>
                </c:pt>
                <c:pt idx="6">
                  <c:v>0</c:v>
                </c:pt>
                <c:pt idx="7">
                  <c:v>0</c:v>
                </c:pt>
                <c:pt idx="8">
                  <c:v>1</c:v>
                </c:pt>
                <c:pt idx="9">
                  <c:v>0</c:v>
                </c:pt>
                <c:pt idx="10">
                  <c:v>1</c:v>
                </c:pt>
                <c:pt idx="11">
                  <c:v>1</c:v>
                </c:pt>
                <c:pt idx="12">
                  <c:v>1</c:v>
                </c:pt>
                <c:pt idx="13">
                  <c:v>2</c:v>
                </c:pt>
                <c:pt idx="14">
                  <c:v>0</c:v>
                </c:pt>
                <c:pt idx="15">
                  <c:v>1</c:v>
                </c:pt>
                <c:pt idx="16">
                  <c:v>2</c:v>
                </c:pt>
                <c:pt idx="17">
                  <c:v>2</c:v>
                </c:pt>
                <c:pt idx="18">
                  <c:v>5</c:v>
                </c:pt>
                <c:pt idx="19">
                  <c:v>1</c:v>
                </c:pt>
                <c:pt idx="20">
                  <c:v>1</c:v>
                </c:pt>
                <c:pt idx="21">
                  <c:v>3</c:v>
                </c:pt>
                <c:pt idx="22">
                  <c:v>2</c:v>
                </c:pt>
                <c:pt idx="23">
                  <c:v>2</c:v>
                </c:pt>
                <c:pt idx="24">
                  <c:v>2</c:v>
                </c:pt>
                <c:pt idx="25">
                  <c:v>1</c:v>
                </c:pt>
                <c:pt idx="26">
                  <c:v>1</c:v>
                </c:pt>
                <c:pt idx="27">
                  <c:v>2</c:v>
                </c:pt>
                <c:pt idx="28">
                  <c:v>2</c:v>
                </c:pt>
                <c:pt idx="29">
                  <c:v>3</c:v>
                </c:pt>
                <c:pt idx="30">
                  <c:v>4</c:v>
                </c:pt>
                <c:pt idx="31">
                  <c:v>4</c:v>
                </c:pt>
                <c:pt idx="32">
                  <c:v>2</c:v>
                </c:pt>
                <c:pt idx="33">
                  <c:v>6</c:v>
                </c:pt>
                <c:pt idx="34">
                  <c:v>3</c:v>
                </c:pt>
                <c:pt idx="35">
                  <c:v>5</c:v>
                </c:pt>
                <c:pt idx="36">
                  <c:v>4</c:v>
                </c:pt>
                <c:pt idx="37">
                  <c:v>4</c:v>
                </c:pt>
              </c:numCache>
            </c:numRef>
          </c:val>
          <c:extLst>
            <c:ext xmlns:c16="http://schemas.microsoft.com/office/drawing/2014/chart" uri="{C3380CC4-5D6E-409C-BE32-E72D297353CC}">
              <c16:uniqueId val="{00000000-A65A-304D-ADBD-FDD18E441DBF}"/>
            </c:ext>
          </c:extLst>
        </c:ser>
        <c:dLbls>
          <c:showLegendKey val="0"/>
          <c:showVal val="0"/>
          <c:showCatName val="0"/>
          <c:showSerName val="0"/>
          <c:showPercent val="0"/>
          <c:showBubbleSize val="0"/>
        </c:dLbls>
        <c:gapWidth val="219"/>
        <c:overlap val="-27"/>
        <c:axId val="1741929280"/>
        <c:axId val="1971834432"/>
      </c:barChart>
      <c:catAx>
        <c:axId val="174192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834432"/>
        <c:crosses val="autoZero"/>
        <c:auto val="1"/>
        <c:lblAlgn val="ctr"/>
        <c:lblOffset val="100"/>
        <c:noMultiLvlLbl val="0"/>
      </c:catAx>
      <c:valAx>
        <c:axId val="1971834432"/>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2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AEE899"/>
              </a:solidFill>
              <a:latin typeface="+mn-lt"/>
              <a:ea typeface="+mn-ea"/>
              <a:cs typeface="+mn-cs"/>
            </a:defRPr>
          </a:pPr>
          <a:endParaRPr lang="en-US"/>
        </a:p>
      </c:txPr>
    </c:title>
    <c:autoTitleDeleted val="0"/>
    <c:plotArea>
      <c:layout/>
      <c:barChart>
        <c:barDir val="col"/>
        <c:grouping val="clustered"/>
        <c:varyColors val="0"/>
        <c:ser>
          <c:idx val="0"/>
          <c:order val="0"/>
          <c:tx>
            <c:strRef>
              <c:f>Keywords!$U$41</c:f>
              <c:strCache>
                <c:ptCount val="1"/>
                <c:pt idx="0">
                  <c:v>Music</c:v>
                </c:pt>
              </c:strCache>
            </c:strRef>
          </c:tx>
          <c:spPr>
            <a:solidFill>
              <a:srgbClr val="AEE899"/>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Keywords!$U$42:$U$79</c:f>
              <c:numCache>
                <c:formatCode>General</c:formatCode>
                <c:ptCount val="38"/>
                <c:pt idx="0">
                  <c:v>0</c:v>
                </c:pt>
                <c:pt idx="1">
                  <c:v>0</c:v>
                </c:pt>
                <c:pt idx="2">
                  <c:v>0</c:v>
                </c:pt>
                <c:pt idx="3">
                  <c:v>0</c:v>
                </c:pt>
                <c:pt idx="4">
                  <c:v>0</c:v>
                </c:pt>
                <c:pt idx="5">
                  <c:v>0</c:v>
                </c:pt>
                <c:pt idx="6">
                  <c:v>0</c:v>
                </c:pt>
                <c:pt idx="7">
                  <c:v>0</c:v>
                </c:pt>
                <c:pt idx="8">
                  <c:v>1</c:v>
                </c:pt>
                <c:pt idx="9">
                  <c:v>0</c:v>
                </c:pt>
                <c:pt idx="10">
                  <c:v>0</c:v>
                </c:pt>
                <c:pt idx="11">
                  <c:v>0</c:v>
                </c:pt>
                <c:pt idx="12">
                  <c:v>1</c:v>
                </c:pt>
                <c:pt idx="13">
                  <c:v>0</c:v>
                </c:pt>
                <c:pt idx="14">
                  <c:v>0</c:v>
                </c:pt>
                <c:pt idx="15">
                  <c:v>1</c:v>
                </c:pt>
                <c:pt idx="16">
                  <c:v>2</c:v>
                </c:pt>
                <c:pt idx="17">
                  <c:v>0</c:v>
                </c:pt>
                <c:pt idx="18">
                  <c:v>1</c:v>
                </c:pt>
                <c:pt idx="19">
                  <c:v>0</c:v>
                </c:pt>
                <c:pt idx="20">
                  <c:v>0</c:v>
                </c:pt>
                <c:pt idx="21">
                  <c:v>1</c:v>
                </c:pt>
                <c:pt idx="22">
                  <c:v>1</c:v>
                </c:pt>
                <c:pt idx="23">
                  <c:v>1</c:v>
                </c:pt>
                <c:pt idx="24">
                  <c:v>1</c:v>
                </c:pt>
                <c:pt idx="25">
                  <c:v>0</c:v>
                </c:pt>
                <c:pt idx="26">
                  <c:v>1</c:v>
                </c:pt>
                <c:pt idx="27">
                  <c:v>0</c:v>
                </c:pt>
                <c:pt idx="28">
                  <c:v>1</c:v>
                </c:pt>
                <c:pt idx="29">
                  <c:v>0</c:v>
                </c:pt>
                <c:pt idx="30">
                  <c:v>1</c:v>
                </c:pt>
                <c:pt idx="31">
                  <c:v>1</c:v>
                </c:pt>
                <c:pt idx="32">
                  <c:v>1</c:v>
                </c:pt>
                <c:pt idx="33">
                  <c:v>1</c:v>
                </c:pt>
                <c:pt idx="34">
                  <c:v>0</c:v>
                </c:pt>
                <c:pt idx="35">
                  <c:v>2</c:v>
                </c:pt>
                <c:pt idx="36">
                  <c:v>1</c:v>
                </c:pt>
                <c:pt idx="37">
                  <c:v>1</c:v>
                </c:pt>
              </c:numCache>
            </c:numRef>
          </c:val>
          <c:extLst>
            <c:ext xmlns:c16="http://schemas.microsoft.com/office/drawing/2014/chart" uri="{C3380CC4-5D6E-409C-BE32-E72D297353CC}">
              <c16:uniqueId val="{00000000-35AF-464F-AC4C-6D72DF7C95C5}"/>
            </c:ext>
          </c:extLst>
        </c:ser>
        <c:dLbls>
          <c:showLegendKey val="0"/>
          <c:showVal val="0"/>
          <c:showCatName val="0"/>
          <c:showSerName val="0"/>
          <c:showPercent val="0"/>
          <c:showBubbleSize val="0"/>
        </c:dLbls>
        <c:gapWidth val="219"/>
        <c:overlap val="-27"/>
        <c:axId val="1998913216"/>
        <c:axId val="2001864496"/>
      </c:barChart>
      <c:catAx>
        <c:axId val="19989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864496"/>
        <c:crosses val="autoZero"/>
        <c:auto val="1"/>
        <c:lblAlgn val="ctr"/>
        <c:lblOffset val="100"/>
        <c:noMultiLvlLbl val="0"/>
      </c:catAx>
      <c:valAx>
        <c:axId val="2001864496"/>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1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A880C"/>
              </a:solidFill>
              <a:latin typeface="+mn-lt"/>
              <a:ea typeface="+mn-ea"/>
              <a:cs typeface="+mn-cs"/>
            </a:defRPr>
          </a:pPr>
          <a:endParaRPr lang="en-US"/>
        </a:p>
      </c:txPr>
    </c:title>
    <c:autoTitleDeleted val="0"/>
    <c:plotArea>
      <c:layout/>
      <c:barChart>
        <c:barDir val="col"/>
        <c:grouping val="clustered"/>
        <c:varyColors val="0"/>
        <c:ser>
          <c:idx val="0"/>
          <c:order val="0"/>
          <c:tx>
            <c:strRef>
              <c:f>Keywords!$V$41</c:f>
              <c:strCache>
                <c:ptCount val="1"/>
                <c:pt idx="0">
                  <c:v>Navigation</c:v>
                </c:pt>
              </c:strCache>
            </c:strRef>
          </c:tx>
          <c:spPr>
            <a:solidFill>
              <a:srgbClr val="FA880C"/>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Keywords!$V$42:$V$79</c:f>
              <c:numCache>
                <c:formatCode>General</c:formatCode>
                <c:ptCount val="38"/>
                <c:pt idx="0">
                  <c:v>3</c:v>
                </c:pt>
                <c:pt idx="1">
                  <c:v>0</c:v>
                </c:pt>
                <c:pt idx="2">
                  <c:v>1</c:v>
                </c:pt>
                <c:pt idx="3">
                  <c:v>3</c:v>
                </c:pt>
                <c:pt idx="4">
                  <c:v>2</c:v>
                </c:pt>
                <c:pt idx="5">
                  <c:v>2</c:v>
                </c:pt>
                <c:pt idx="6">
                  <c:v>2</c:v>
                </c:pt>
                <c:pt idx="7">
                  <c:v>1</c:v>
                </c:pt>
                <c:pt idx="8">
                  <c:v>0</c:v>
                </c:pt>
                <c:pt idx="9">
                  <c:v>0</c:v>
                </c:pt>
                <c:pt idx="10">
                  <c:v>2</c:v>
                </c:pt>
                <c:pt idx="11">
                  <c:v>0</c:v>
                </c:pt>
                <c:pt idx="12">
                  <c:v>0</c:v>
                </c:pt>
                <c:pt idx="13">
                  <c:v>0</c:v>
                </c:pt>
                <c:pt idx="14">
                  <c:v>0</c:v>
                </c:pt>
                <c:pt idx="15">
                  <c:v>1</c:v>
                </c:pt>
                <c:pt idx="16">
                  <c:v>1</c:v>
                </c:pt>
                <c:pt idx="17">
                  <c:v>0</c:v>
                </c:pt>
                <c:pt idx="18">
                  <c:v>1</c:v>
                </c:pt>
                <c:pt idx="19">
                  <c:v>0</c:v>
                </c:pt>
                <c:pt idx="20">
                  <c:v>0</c:v>
                </c:pt>
                <c:pt idx="21">
                  <c:v>0</c:v>
                </c:pt>
                <c:pt idx="22">
                  <c:v>0</c:v>
                </c:pt>
                <c:pt idx="23">
                  <c:v>0</c:v>
                </c:pt>
                <c:pt idx="24">
                  <c:v>0</c:v>
                </c:pt>
                <c:pt idx="25">
                  <c:v>1</c:v>
                </c:pt>
                <c:pt idx="26">
                  <c:v>1</c:v>
                </c:pt>
                <c:pt idx="27">
                  <c:v>0</c:v>
                </c:pt>
                <c:pt idx="28">
                  <c:v>0</c:v>
                </c:pt>
                <c:pt idx="29">
                  <c:v>0</c:v>
                </c:pt>
                <c:pt idx="30">
                  <c:v>0</c:v>
                </c:pt>
                <c:pt idx="31">
                  <c:v>1</c:v>
                </c:pt>
                <c:pt idx="32">
                  <c:v>0</c:v>
                </c:pt>
                <c:pt idx="33">
                  <c:v>0</c:v>
                </c:pt>
                <c:pt idx="34">
                  <c:v>0</c:v>
                </c:pt>
                <c:pt idx="35">
                  <c:v>0</c:v>
                </c:pt>
                <c:pt idx="36">
                  <c:v>0</c:v>
                </c:pt>
                <c:pt idx="37">
                  <c:v>1</c:v>
                </c:pt>
              </c:numCache>
            </c:numRef>
          </c:val>
          <c:extLst>
            <c:ext xmlns:c16="http://schemas.microsoft.com/office/drawing/2014/chart" uri="{C3380CC4-5D6E-409C-BE32-E72D297353CC}">
              <c16:uniqueId val="{00000000-E7A7-8E46-881A-6A373751DA47}"/>
            </c:ext>
          </c:extLst>
        </c:ser>
        <c:dLbls>
          <c:showLegendKey val="0"/>
          <c:showVal val="0"/>
          <c:showCatName val="0"/>
          <c:showSerName val="0"/>
          <c:showPercent val="0"/>
          <c:showBubbleSize val="0"/>
        </c:dLbls>
        <c:gapWidth val="219"/>
        <c:overlap val="-27"/>
        <c:axId val="1554620480"/>
        <c:axId val="1914493440"/>
      </c:barChart>
      <c:catAx>
        <c:axId val="15546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493440"/>
        <c:crosses val="autoZero"/>
        <c:auto val="1"/>
        <c:lblAlgn val="ctr"/>
        <c:lblOffset val="100"/>
        <c:noMultiLvlLbl val="0"/>
      </c:catAx>
      <c:valAx>
        <c:axId val="1914493440"/>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20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98EAC3"/>
              </a:solidFill>
              <a:latin typeface="+mn-lt"/>
              <a:ea typeface="+mn-ea"/>
              <a:cs typeface="+mn-cs"/>
            </a:defRPr>
          </a:pPr>
          <a:endParaRPr lang="en-US"/>
        </a:p>
      </c:txPr>
    </c:title>
    <c:autoTitleDeleted val="0"/>
    <c:plotArea>
      <c:layout/>
      <c:barChart>
        <c:barDir val="col"/>
        <c:grouping val="clustered"/>
        <c:varyColors val="0"/>
        <c:ser>
          <c:idx val="0"/>
          <c:order val="0"/>
          <c:tx>
            <c:strRef>
              <c:f>Keywords!$W$41</c:f>
              <c:strCache>
                <c:ptCount val="1"/>
                <c:pt idx="0">
                  <c:v>Pain</c:v>
                </c:pt>
              </c:strCache>
            </c:strRef>
          </c:tx>
          <c:spPr>
            <a:solidFill>
              <a:srgbClr val="98EAC3"/>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Keywords!$W$42:$W$79</c:f>
              <c:numCache>
                <c:formatCode>General</c:formatCode>
                <c:ptCount val="38"/>
                <c:pt idx="0">
                  <c:v>2</c:v>
                </c:pt>
                <c:pt idx="1">
                  <c:v>0</c:v>
                </c:pt>
                <c:pt idx="2">
                  <c:v>0</c:v>
                </c:pt>
                <c:pt idx="3">
                  <c:v>2</c:v>
                </c:pt>
                <c:pt idx="4">
                  <c:v>1</c:v>
                </c:pt>
                <c:pt idx="5">
                  <c:v>0</c:v>
                </c:pt>
                <c:pt idx="6">
                  <c:v>1</c:v>
                </c:pt>
                <c:pt idx="7">
                  <c:v>1</c:v>
                </c:pt>
                <c:pt idx="8">
                  <c:v>1</c:v>
                </c:pt>
                <c:pt idx="9">
                  <c:v>2</c:v>
                </c:pt>
                <c:pt idx="10">
                  <c:v>0</c:v>
                </c:pt>
                <c:pt idx="11">
                  <c:v>3</c:v>
                </c:pt>
                <c:pt idx="12">
                  <c:v>1</c:v>
                </c:pt>
                <c:pt idx="13">
                  <c:v>2</c:v>
                </c:pt>
                <c:pt idx="14">
                  <c:v>2</c:v>
                </c:pt>
                <c:pt idx="15">
                  <c:v>0</c:v>
                </c:pt>
                <c:pt idx="16">
                  <c:v>1</c:v>
                </c:pt>
                <c:pt idx="17">
                  <c:v>2</c:v>
                </c:pt>
                <c:pt idx="18">
                  <c:v>1</c:v>
                </c:pt>
                <c:pt idx="19">
                  <c:v>1</c:v>
                </c:pt>
                <c:pt idx="20">
                  <c:v>1</c:v>
                </c:pt>
                <c:pt idx="21">
                  <c:v>0</c:v>
                </c:pt>
                <c:pt idx="22">
                  <c:v>0</c:v>
                </c:pt>
                <c:pt idx="23">
                  <c:v>0</c:v>
                </c:pt>
                <c:pt idx="24">
                  <c:v>1</c:v>
                </c:pt>
                <c:pt idx="25">
                  <c:v>0</c:v>
                </c:pt>
                <c:pt idx="26">
                  <c:v>0</c:v>
                </c:pt>
                <c:pt idx="27">
                  <c:v>0</c:v>
                </c:pt>
                <c:pt idx="28">
                  <c:v>0</c:v>
                </c:pt>
                <c:pt idx="29">
                  <c:v>0</c:v>
                </c:pt>
                <c:pt idx="30">
                  <c:v>0</c:v>
                </c:pt>
                <c:pt idx="31">
                  <c:v>0</c:v>
                </c:pt>
                <c:pt idx="32">
                  <c:v>0</c:v>
                </c:pt>
                <c:pt idx="33">
                  <c:v>0</c:v>
                </c:pt>
                <c:pt idx="34">
                  <c:v>2</c:v>
                </c:pt>
                <c:pt idx="35">
                  <c:v>0</c:v>
                </c:pt>
                <c:pt idx="36">
                  <c:v>1</c:v>
                </c:pt>
                <c:pt idx="37">
                  <c:v>1</c:v>
                </c:pt>
              </c:numCache>
            </c:numRef>
          </c:val>
          <c:extLst>
            <c:ext xmlns:c16="http://schemas.microsoft.com/office/drawing/2014/chart" uri="{C3380CC4-5D6E-409C-BE32-E72D297353CC}">
              <c16:uniqueId val="{00000000-3A48-E14F-B5F2-3AF9D81A3D39}"/>
            </c:ext>
          </c:extLst>
        </c:ser>
        <c:dLbls>
          <c:showLegendKey val="0"/>
          <c:showVal val="0"/>
          <c:showCatName val="0"/>
          <c:showSerName val="0"/>
          <c:showPercent val="0"/>
          <c:showBubbleSize val="0"/>
        </c:dLbls>
        <c:gapWidth val="219"/>
        <c:overlap val="-27"/>
        <c:axId val="1971753184"/>
        <c:axId val="1627537552"/>
      </c:barChart>
      <c:catAx>
        <c:axId val="19717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37552"/>
        <c:crosses val="autoZero"/>
        <c:auto val="1"/>
        <c:lblAlgn val="ctr"/>
        <c:lblOffset val="100"/>
        <c:noMultiLvlLbl val="0"/>
      </c:catAx>
      <c:valAx>
        <c:axId val="1627537552"/>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7137B"/>
              </a:solidFill>
              <a:latin typeface="+mn-lt"/>
              <a:ea typeface="+mn-ea"/>
              <a:cs typeface="+mn-cs"/>
            </a:defRPr>
          </a:pPr>
          <a:endParaRPr lang="en-US"/>
        </a:p>
      </c:txPr>
    </c:title>
    <c:autoTitleDeleted val="0"/>
    <c:plotArea>
      <c:layout/>
      <c:barChart>
        <c:barDir val="col"/>
        <c:grouping val="clustered"/>
        <c:varyColors val="0"/>
        <c:ser>
          <c:idx val="0"/>
          <c:order val="0"/>
          <c:tx>
            <c:strRef>
              <c:f>Keywords!$X$41</c:f>
              <c:strCache>
                <c:ptCount val="1"/>
                <c:pt idx="0">
                  <c:v>Painting</c:v>
                </c:pt>
              </c:strCache>
            </c:strRef>
          </c:tx>
          <c:spPr>
            <a:solidFill>
              <a:srgbClr val="F7137B"/>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Keywords!$X$42:$X$79</c:f>
              <c:numCache>
                <c:formatCode>General</c:formatCode>
                <c:ptCount val="38"/>
                <c:pt idx="0">
                  <c:v>0</c:v>
                </c:pt>
                <c:pt idx="1">
                  <c:v>0</c:v>
                </c:pt>
                <c:pt idx="2">
                  <c:v>0</c:v>
                </c:pt>
                <c:pt idx="3">
                  <c:v>0</c:v>
                </c:pt>
                <c:pt idx="4">
                  <c:v>0</c:v>
                </c:pt>
                <c:pt idx="5">
                  <c:v>1</c:v>
                </c:pt>
                <c:pt idx="6">
                  <c:v>0</c:v>
                </c:pt>
                <c:pt idx="7">
                  <c:v>1</c:v>
                </c:pt>
                <c:pt idx="8">
                  <c:v>0</c:v>
                </c:pt>
                <c:pt idx="9">
                  <c:v>1</c:v>
                </c:pt>
                <c:pt idx="10">
                  <c:v>1</c:v>
                </c:pt>
                <c:pt idx="11">
                  <c:v>0</c:v>
                </c:pt>
                <c:pt idx="12">
                  <c:v>1</c:v>
                </c:pt>
                <c:pt idx="13">
                  <c:v>2</c:v>
                </c:pt>
                <c:pt idx="14">
                  <c:v>0</c:v>
                </c:pt>
                <c:pt idx="15">
                  <c:v>1</c:v>
                </c:pt>
                <c:pt idx="16">
                  <c:v>0</c:v>
                </c:pt>
                <c:pt idx="17">
                  <c:v>3</c:v>
                </c:pt>
                <c:pt idx="18">
                  <c:v>0</c:v>
                </c:pt>
                <c:pt idx="19">
                  <c:v>1</c:v>
                </c:pt>
                <c:pt idx="20">
                  <c:v>0</c:v>
                </c:pt>
                <c:pt idx="21">
                  <c:v>1</c:v>
                </c:pt>
                <c:pt idx="22">
                  <c:v>0</c:v>
                </c:pt>
                <c:pt idx="23">
                  <c:v>0</c:v>
                </c:pt>
                <c:pt idx="24">
                  <c:v>1</c:v>
                </c:pt>
                <c:pt idx="25">
                  <c:v>0</c:v>
                </c:pt>
                <c:pt idx="26">
                  <c:v>0</c:v>
                </c:pt>
                <c:pt idx="27">
                  <c:v>0</c:v>
                </c:pt>
                <c:pt idx="28">
                  <c:v>1</c:v>
                </c:pt>
                <c:pt idx="29">
                  <c:v>0</c:v>
                </c:pt>
                <c:pt idx="30">
                  <c:v>0</c:v>
                </c:pt>
                <c:pt idx="31">
                  <c:v>0</c:v>
                </c:pt>
                <c:pt idx="32">
                  <c:v>0</c:v>
                </c:pt>
                <c:pt idx="33">
                  <c:v>0</c:v>
                </c:pt>
                <c:pt idx="34">
                  <c:v>0</c:v>
                </c:pt>
                <c:pt idx="35">
                  <c:v>1</c:v>
                </c:pt>
                <c:pt idx="36">
                  <c:v>0</c:v>
                </c:pt>
                <c:pt idx="37">
                  <c:v>0</c:v>
                </c:pt>
              </c:numCache>
            </c:numRef>
          </c:val>
          <c:extLst>
            <c:ext xmlns:c16="http://schemas.microsoft.com/office/drawing/2014/chart" uri="{C3380CC4-5D6E-409C-BE32-E72D297353CC}">
              <c16:uniqueId val="{00000000-4806-6549-AF0E-8E004132EDEC}"/>
            </c:ext>
          </c:extLst>
        </c:ser>
        <c:dLbls>
          <c:showLegendKey val="0"/>
          <c:showVal val="0"/>
          <c:showCatName val="0"/>
          <c:showSerName val="0"/>
          <c:showPercent val="0"/>
          <c:showBubbleSize val="0"/>
        </c:dLbls>
        <c:gapWidth val="219"/>
        <c:overlap val="-27"/>
        <c:axId val="1742688336"/>
        <c:axId val="1659250768"/>
      </c:barChart>
      <c:catAx>
        <c:axId val="17426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250768"/>
        <c:crosses val="autoZero"/>
        <c:auto val="1"/>
        <c:lblAlgn val="ctr"/>
        <c:lblOffset val="100"/>
        <c:noMultiLvlLbl val="0"/>
      </c:catAx>
      <c:valAx>
        <c:axId val="1659250768"/>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68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4EB10"/>
                </a:solidFill>
                <a:latin typeface="+mn-lt"/>
                <a:ea typeface="+mn-ea"/>
                <a:cs typeface="+mn-cs"/>
              </a:defRPr>
            </a:pPr>
            <a:r>
              <a:rPr lang="en-US">
                <a:solidFill>
                  <a:srgbClr val="64EB10"/>
                </a:solidFill>
              </a:rPr>
              <a:t>Physical</a:t>
            </a:r>
            <a:r>
              <a:rPr lang="en-US" baseline="0">
                <a:solidFill>
                  <a:srgbClr val="64EB10"/>
                </a:solidFill>
              </a:rPr>
              <a:t> Strength</a:t>
            </a:r>
            <a:endParaRPr lang="en-US">
              <a:solidFill>
                <a:srgbClr val="64EB1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EB10"/>
              </a:solidFill>
              <a:latin typeface="+mn-lt"/>
              <a:ea typeface="+mn-ea"/>
              <a:cs typeface="+mn-cs"/>
            </a:defRPr>
          </a:pPr>
          <a:endParaRPr lang="en-US"/>
        </a:p>
      </c:txPr>
    </c:title>
    <c:autoTitleDeleted val="0"/>
    <c:plotArea>
      <c:layout/>
      <c:barChart>
        <c:barDir val="col"/>
        <c:grouping val="clustered"/>
        <c:varyColors val="0"/>
        <c:ser>
          <c:idx val="0"/>
          <c:order val="0"/>
          <c:tx>
            <c:strRef>
              <c:f>Keywords!$Y$41</c:f>
              <c:strCache>
                <c:ptCount val="1"/>
                <c:pt idx="0">
                  <c:v>PS</c:v>
                </c:pt>
              </c:strCache>
            </c:strRef>
          </c:tx>
          <c:spPr>
            <a:solidFill>
              <a:srgbClr val="64EB10"/>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Keywords!$Y$42:$Y$79</c:f>
              <c:numCache>
                <c:formatCode>General</c:formatCode>
                <c:ptCount val="38"/>
                <c:pt idx="0">
                  <c:v>7</c:v>
                </c:pt>
                <c:pt idx="1">
                  <c:v>9</c:v>
                </c:pt>
                <c:pt idx="2">
                  <c:v>8</c:v>
                </c:pt>
                <c:pt idx="3">
                  <c:v>9</c:v>
                </c:pt>
                <c:pt idx="4">
                  <c:v>10</c:v>
                </c:pt>
                <c:pt idx="5">
                  <c:v>10</c:v>
                </c:pt>
                <c:pt idx="6">
                  <c:v>7</c:v>
                </c:pt>
                <c:pt idx="7">
                  <c:v>10</c:v>
                </c:pt>
                <c:pt idx="8">
                  <c:v>9</c:v>
                </c:pt>
                <c:pt idx="9">
                  <c:v>9</c:v>
                </c:pt>
                <c:pt idx="10">
                  <c:v>8</c:v>
                </c:pt>
                <c:pt idx="11">
                  <c:v>8</c:v>
                </c:pt>
                <c:pt idx="12">
                  <c:v>7</c:v>
                </c:pt>
                <c:pt idx="13">
                  <c:v>8</c:v>
                </c:pt>
                <c:pt idx="14">
                  <c:v>8</c:v>
                </c:pt>
                <c:pt idx="15">
                  <c:v>4</c:v>
                </c:pt>
                <c:pt idx="16">
                  <c:v>9</c:v>
                </c:pt>
                <c:pt idx="17">
                  <c:v>7</c:v>
                </c:pt>
                <c:pt idx="18">
                  <c:v>7</c:v>
                </c:pt>
                <c:pt idx="19">
                  <c:v>8</c:v>
                </c:pt>
                <c:pt idx="20">
                  <c:v>10</c:v>
                </c:pt>
                <c:pt idx="21">
                  <c:v>9</c:v>
                </c:pt>
                <c:pt idx="22">
                  <c:v>9</c:v>
                </c:pt>
                <c:pt idx="23">
                  <c:v>7</c:v>
                </c:pt>
                <c:pt idx="24">
                  <c:v>10</c:v>
                </c:pt>
                <c:pt idx="25">
                  <c:v>8</c:v>
                </c:pt>
                <c:pt idx="26">
                  <c:v>10</c:v>
                </c:pt>
                <c:pt idx="27">
                  <c:v>9</c:v>
                </c:pt>
                <c:pt idx="28">
                  <c:v>11</c:v>
                </c:pt>
                <c:pt idx="29">
                  <c:v>9</c:v>
                </c:pt>
                <c:pt idx="30">
                  <c:v>7</c:v>
                </c:pt>
                <c:pt idx="31">
                  <c:v>3</c:v>
                </c:pt>
                <c:pt idx="32">
                  <c:v>8</c:v>
                </c:pt>
                <c:pt idx="33">
                  <c:v>5</c:v>
                </c:pt>
                <c:pt idx="34">
                  <c:v>8</c:v>
                </c:pt>
                <c:pt idx="35">
                  <c:v>10</c:v>
                </c:pt>
                <c:pt idx="36">
                  <c:v>9</c:v>
                </c:pt>
                <c:pt idx="37">
                  <c:v>7</c:v>
                </c:pt>
              </c:numCache>
            </c:numRef>
          </c:val>
          <c:extLst>
            <c:ext xmlns:c16="http://schemas.microsoft.com/office/drawing/2014/chart" uri="{C3380CC4-5D6E-409C-BE32-E72D297353CC}">
              <c16:uniqueId val="{00000000-86E5-4646-9E21-2FF673E4CDD7}"/>
            </c:ext>
          </c:extLst>
        </c:ser>
        <c:dLbls>
          <c:showLegendKey val="0"/>
          <c:showVal val="0"/>
          <c:showCatName val="0"/>
          <c:showSerName val="0"/>
          <c:showPercent val="0"/>
          <c:showBubbleSize val="0"/>
        </c:dLbls>
        <c:gapWidth val="219"/>
        <c:overlap val="-27"/>
        <c:axId val="1730072816"/>
        <c:axId val="1729599472"/>
      </c:barChart>
      <c:catAx>
        <c:axId val="17300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99472"/>
        <c:crosses val="autoZero"/>
        <c:auto val="1"/>
        <c:lblAlgn val="ctr"/>
        <c:lblOffset val="100"/>
        <c:noMultiLvlLbl val="0"/>
      </c:catAx>
      <c:valAx>
        <c:axId val="1729599472"/>
        <c:scaling>
          <c:orientation val="minMax"/>
          <c:max val="1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C10307"/>
              </a:solidFill>
              <a:latin typeface="+mn-lt"/>
              <a:ea typeface="+mn-ea"/>
              <a:cs typeface="+mn-cs"/>
            </a:defRPr>
          </a:pPr>
          <a:endParaRPr lang="en-US"/>
        </a:p>
      </c:txPr>
    </c:title>
    <c:autoTitleDeleted val="0"/>
    <c:plotArea>
      <c:layout/>
      <c:barChart>
        <c:barDir val="col"/>
        <c:grouping val="clustered"/>
        <c:varyColors val="0"/>
        <c:ser>
          <c:idx val="0"/>
          <c:order val="0"/>
          <c:tx>
            <c:strRef>
              <c:f>Keywords!$Z$41</c:f>
              <c:strCache>
                <c:ptCount val="1"/>
                <c:pt idx="0">
                  <c:v>Puzzle</c:v>
                </c:pt>
              </c:strCache>
            </c:strRef>
          </c:tx>
          <c:spPr>
            <a:solidFill>
              <a:srgbClr val="C10307"/>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Keywords!$Z$42:$Z$79</c:f>
              <c:numCache>
                <c:formatCode>General</c:formatCode>
                <c:ptCount val="38"/>
                <c:pt idx="0">
                  <c:v>2</c:v>
                </c:pt>
                <c:pt idx="1">
                  <c:v>0</c:v>
                </c:pt>
                <c:pt idx="2">
                  <c:v>0</c:v>
                </c:pt>
                <c:pt idx="3">
                  <c:v>2</c:v>
                </c:pt>
                <c:pt idx="4">
                  <c:v>1</c:v>
                </c:pt>
                <c:pt idx="5">
                  <c:v>0</c:v>
                </c:pt>
                <c:pt idx="6">
                  <c:v>1</c:v>
                </c:pt>
                <c:pt idx="7">
                  <c:v>0</c:v>
                </c:pt>
                <c:pt idx="8">
                  <c:v>1</c:v>
                </c:pt>
                <c:pt idx="9">
                  <c:v>2</c:v>
                </c:pt>
                <c:pt idx="10">
                  <c:v>3</c:v>
                </c:pt>
                <c:pt idx="11">
                  <c:v>2</c:v>
                </c:pt>
                <c:pt idx="12">
                  <c:v>1</c:v>
                </c:pt>
                <c:pt idx="13">
                  <c:v>2</c:v>
                </c:pt>
                <c:pt idx="14">
                  <c:v>4</c:v>
                </c:pt>
                <c:pt idx="15">
                  <c:v>3</c:v>
                </c:pt>
                <c:pt idx="16">
                  <c:v>5</c:v>
                </c:pt>
                <c:pt idx="17">
                  <c:v>4</c:v>
                </c:pt>
                <c:pt idx="18">
                  <c:v>6</c:v>
                </c:pt>
                <c:pt idx="19">
                  <c:v>2</c:v>
                </c:pt>
                <c:pt idx="20">
                  <c:v>3</c:v>
                </c:pt>
                <c:pt idx="21">
                  <c:v>1</c:v>
                </c:pt>
                <c:pt idx="22">
                  <c:v>2</c:v>
                </c:pt>
                <c:pt idx="23">
                  <c:v>1</c:v>
                </c:pt>
                <c:pt idx="24">
                  <c:v>1</c:v>
                </c:pt>
                <c:pt idx="25">
                  <c:v>3</c:v>
                </c:pt>
                <c:pt idx="26">
                  <c:v>1</c:v>
                </c:pt>
                <c:pt idx="27">
                  <c:v>2</c:v>
                </c:pt>
                <c:pt idx="28">
                  <c:v>1</c:v>
                </c:pt>
                <c:pt idx="29">
                  <c:v>3</c:v>
                </c:pt>
                <c:pt idx="30">
                  <c:v>3</c:v>
                </c:pt>
                <c:pt idx="31">
                  <c:v>3</c:v>
                </c:pt>
                <c:pt idx="32">
                  <c:v>2</c:v>
                </c:pt>
                <c:pt idx="33">
                  <c:v>1</c:v>
                </c:pt>
                <c:pt idx="34">
                  <c:v>3</c:v>
                </c:pt>
                <c:pt idx="35">
                  <c:v>3</c:v>
                </c:pt>
                <c:pt idx="36">
                  <c:v>3</c:v>
                </c:pt>
                <c:pt idx="37">
                  <c:v>4</c:v>
                </c:pt>
              </c:numCache>
            </c:numRef>
          </c:val>
          <c:extLst>
            <c:ext xmlns:c16="http://schemas.microsoft.com/office/drawing/2014/chart" uri="{C3380CC4-5D6E-409C-BE32-E72D297353CC}">
              <c16:uniqueId val="{00000000-6054-6040-96A7-EDEB471A4E2C}"/>
            </c:ext>
          </c:extLst>
        </c:ser>
        <c:dLbls>
          <c:showLegendKey val="0"/>
          <c:showVal val="0"/>
          <c:showCatName val="0"/>
          <c:showSerName val="0"/>
          <c:showPercent val="0"/>
          <c:showBubbleSize val="0"/>
        </c:dLbls>
        <c:gapWidth val="219"/>
        <c:overlap val="-27"/>
        <c:axId val="1998927680"/>
        <c:axId val="1998743152"/>
      </c:barChart>
      <c:catAx>
        <c:axId val="199892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743152"/>
        <c:crosses val="autoZero"/>
        <c:auto val="1"/>
        <c:lblAlgn val="ctr"/>
        <c:lblOffset val="100"/>
        <c:noMultiLvlLbl val="0"/>
      </c:catAx>
      <c:valAx>
        <c:axId val="1998743152"/>
        <c:scaling>
          <c:orientation val="minMax"/>
          <c:max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A7C88"/>
              </a:solidFill>
              <a:latin typeface="+mn-lt"/>
              <a:ea typeface="+mn-ea"/>
              <a:cs typeface="+mn-cs"/>
            </a:defRPr>
          </a:pPr>
          <a:endParaRPr lang="en-US"/>
        </a:p>
      </c:txPr>
    </c:title>
    <c:autoTitleDeleted val="0"/>
    <c:plotArea>
      <c:layout/>
      <c:barChart>
        <c:barDir val="col"/>
        <c:grouping val="clustered"/>
        <c:varyColors val="0"/>
        <c:ser>
          <c:idx val="0"/>
          <c:order val="0"/>
          <c:tx>
            <c:strRef>
              <c:f>Keywords!$AA$41</c:f>
              <c:strCache>
                <c:ptCount val="1"/>
                <c:pt idx="0">
                  <c:v>Searching</c:v>
                </c:pt>
              </c:strCache>
            </c:strRef>
          </c:tx>
          <c:spPr>
            <a:solidFill>
              <a:srgbClr val="FA7C88"/>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Keywords!$AA$42:$AA$79</c:f>
              <c:numCache>
                <c:formatCode>General</c:formatCode>
                <c:ptCount val="38"/>
                <c:pt idx="0">
                  <c:v>10</c:v>
                </c:pt>
                <c:pt idx="1">
                  <c:v>8</c:v>
                </c:pt>
                <c:pt idx="2">
                  <c:v>8</c:v>
                </c:pt>
                <c:pt idx="3">
                  <c:v>7</c:v>
                </c:pt>
                <c:pt idx="4">
                  <c:v>6</c:v>
                </c:pt>
                <c:pt idx="5">
                  <c:v>7</c:v>
                </c:pt>
                <c:pt idx="6">
                  <c:v>8</c:v>
                </c:pt>
                <c:pt idx="7">
                  <c:v>6</c:v>
                </c:pt>
                <c:pt idx="8">
                  <c:v>8</c:v>
                </c:pt>
                <c:pt idx="9">
                  <c:v>5</c:v>
                </c:pt>
                <c:pt idx="10">
                  <c:v>8</c:v>
                </c:pt>
                <c:pt idx="11">
                  <c:v>6</c:v>
                </c:pt>
                <c:pt idx="12">
                  <c:v>8</c:v>
                </c:pt>
                <c:pt idx="13">
                  <c:v>8</c:v>
                </c:pt>
                <c:pt idx="14">
                  <c:v>8</c:v>
                </c:pt>
                <c:pt idx="15">
                  <c:v>7</c:v>
                </c:pt>
                <c:pt idx="16">
                  <c:v>7</c:v>
                </c:pt>
                <c:pt idx="17">
                  <c:v>7</c:v>
                </c:pt>
                <c:pt idx="18">
                  <c:v>6</c:v>
                </c:pt>
                <c:pt idx="19">
                  <c:v>4</c:v>
                </c:pt>
                <c:pt idx="20">
                  <c:v>4</c:v>
                </c:pt>
                <c:pt idx="21">
                  <c:v>6</c:v>
                </c:pt>
                <c:pt idx="22">
                  <c:v>7</c:v>
                </c:pt>
                <c:pt idx="23">
                  <c:v>6</c:v>
                </c:pt>
                <c:pt idx="24">
                  <c:v>4</c:v>
                </c:pt>
                <c:pt idx="25">
                  <c:v>4</c:v>
                </c:pt>
                <c:pt idx="26">
                  <c:v>2</c:v>
                </c:pt>
                <c:pt idx="27">
                  <c:v>4</c:v>
                </c:pt>
                <c:pt idx="28">
                  <c:v>2</c:v>
                </c:pt>
                <c:pt idx="29">
                  <c:v>8</c:v>
                </c:pt>
                <c:pt idx="30">
                  <c:v>5</c:v>
                </c:pt>
                <c:pt idx="31">
                  <c:v>4</c:v>
                </c:pt>
                <c:pt idx="32">
                  <c:v>6</c:v>
                </c:pt>
                <c:pt idx="33">
                  <c:v>1</c:v>
                </c:pt>
                <c:pt idx="34">
                  <c:v>9</c:v>
                </c:pt>
                <c:pt idx="35">
                  <c:v>3</c:v>
                </c:pt>
                <c:pt idx="36">
                  <c:v>4</c:v>
                </c:pt>
                <c:pt idx="37">
                  <c:v>6</c:v>
                </c:pt>
              </c:numCache>
            </c:numRef>
          </c:val>
          <c:extLst>
            <c:ext xmlns:c16="http://schemas.microsoft.com/office/drawing/2014/chart" uri="{C3380CC4-5D6E-409C-BE32-E72D297353CC}">
              <c16:uniqueId val="{00000000-9828-094D-843D-F820C566A6EA}"/>
            </c:ext>
          </c:extLst>
        </c:ser>
        <c:dLbls>
          <c:showLegendKey val="0"/>
          <c:showVal val="0"/>
          <c:showCatName val="0"/>
          <c:showSerName val="0"/>
          <c:showPercent val="0"/>
          <c:showBubbleSize val="0"/>
        </c:dLbls>
        <c:gapWidth val="219"/>
        <c:overlap val="-27"/>
        <c:axId val="1973354000"/>
        <c:axId val="2095605024"/>
      </c:barChart>
      <c:catAx>
        <c:axId val="19733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05024"/>
        <c:crosses val="autoZero"/>
        <c:auto val="1"/>
        <c:lblAlgn val="ctr"/>
        <c:lblOffset val="100"/>
        <c:noMultiLvlLbl val="0"/>
      </c:catAx>
      <c:valAx>
        <c:axId val="2095605024"/>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35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22A63C"/>
              </a:solidFill>
              <a:latin typeface="+mn-lt"/>
              <a:ea typeface="+mn-ea"/>
              <a:cs typeface="+mn-cs"/>
            </a:defRPr>
          </a:pPr>
          <a:endParaRPr lang="en-US"/>
        </a:p>
      </c:txPr>
    </c:title>
    <c:autoTitleDeleted val="0"/>
    <c:plotArea>
      <c:layout/>
      <c:barChart>
        <c:barDir val="col"/>
        <c:grouping val="clustered"/>
        <c:varyColors val="0"/>
        <c:ser>
          <c:idx val="0"/>
          <c:order val="0"/>
          <c:tx>
            <c:strRef>
              <c:f>Keywords!$AB$41</c:f>
              <c:strCache>
                <c:ptCount val="1"/>
                <c:pt idx="0">
                  <c:v>Selling</c:v>
                </c:pt>
              </c:strCache>
            </c:strRef>
          </c:tx>
          <c:spPr>
            <a:solidFill>
              <a:srgbClr val="22A63C"/>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Keywords!$AB$42:$AB$79</c:f>
              <c:numCache>
                <c:formatCode>General</c:formatCode>
                <c:ptCount val="38"/>
                <c:pt idx="0">
                  <c:v>0</c:v>
                </c:pt>
                <c:pt idx="1">
                  <c:v>1</c:v>
                </c:pt>
                <c:pt idx="2">
                  <c:v>2</c:v>
                </c:pt>
                <c:pt idx="3">
                  <c:v>0</c:v>
                </c:pt>
                <c:pt idx="4">
                  <c:v>0</c:v>
                </c:pt>
                <c:pt idx="5">
                  <c:v>0</c:v>
                </c:pt>
                <c:pt idx="6">
                  <c:v>1</c:v>
                </c:pt>
                <c:pt idx="7">
                  <c:v>0</c:v>
                </c:pt>
                <c:pt idx="8">
                  <c:v>1</c:v>
                </c:pt>
                <c:pt idx="9">
                  <c:v>1</c:v>
                </c:pt>
                <c:pt idx="10">
                  <c:v>1</c:v>
                </c:pt>
                <c:pt idx="11">
                  <c:v>0</c:v>
                </c:pt>
                <c:pt idx="12">
                  <c:v>2</c:v>
                </c:pt>
                <c:pt idx="13">
                  <c:v>0</c:v>
                </c:pt>
                <c:pt idx="14">
                  <c:v>2</c:v>
                </c:pt>
                <c:pt idx="15">
                  <c:v>1</c:v>
                </c:pt>
                <c:pt idx="16">
                  <c:v>1</c:v>
                </c:pt>
                <c:pt idx="17">
                  <c:v>1</c:v>
                </c:pt>
                <c:pt idx="18">
                  <c:v>0</c:v>
                </c:pt>
                <c:pt idx="19">
                  <c:v>1</c:v>
                </c:pt>
                <c:pt idx="20">
                  <c:v>1</c:v>
                </c:pt>
                <c:pt idx="21">
                  <c:v>0</c:v>
                </c:pt>
                <c:pt idx="22">
                  <c:v>0</c:v>
                </c:pt>
                <c:pt idx="23">
                  <c:v>0</c:v>
                </c:pt>
                <c:pt idx="24">
                  <c:v>0</c:v>
                </c:pt>
                <c:pt idx="25">
                  <c:v>0</c:v>
                </c:pt>
                <c:pt idx="26">
                  <c:v>0</c:v>
                </c:pt>
                <c:pt idx="27">
                  <c:v>1</c:v>
                </c:pt>
                <c:pt idx="28">
                  <c:v>0</c:v>
                </c:pt>
                <c:pt idx="29">
                  <c:v>0</c:v>
                </c:pt>
                <c:pt idx="30">
                  <c:v>0</c:v>
                </c:pt>
                <c:pt idx="31">
                  <c:v>0</c:v>
                </c:pt>
                <c:pt idx="32">
                  <c:v>0</c:v>
                </c:pt>
                <c:pt idx="33">
                  <c:v>0</c:v>
                </c:pt>
                <c:pt idx="34">
                  <c:v>0</c:v>
                </c:pt>
                <c:pt idx="35">
                  <c:v>1</c:v>
                </c:pt>
                <c:pt idx="36">
                  <c:v>0</c:v>
                </c:pt>
                <c:pt idx="37">
                  <c:v>1</c:v>
                </c:pt>
              </c:numCache>
            </c:numRef>
          </c:val>
          <c:extLst>
            <c:ext xmlns:c16="http://schemas.microsoft.com/office/drawing/2014/chart" uri="{C3380CC4-5D6E-409C-BE32-E72D297353CC}">
              <c16:uniqueId val="{00000000-79D2-734A-B309-9E8FC3E543E2}"/>
            </c:ext>
          </c:extLst>
        </c:ser>
        <c:dLbls>
          <c:showLegendKey val="0"/>
          <c:showVal val="0"/>
          <c:showCatName val="0"/>
          <c:showSerName val="0"/>
          <c:showPercent val="0"/>
          <c:showBubbleSize val="0"/>
        </c:dLbls>
        <c:gapWidth val="219"/>
        <c:overlap val="-27"/>
        <c:axId val="1751405344"/>
        <c:axId val="1913988624"/>
      </c:barChart>
      <c:catAx>
        <c:axId val="175140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988624"/>
        <c:crosses val="autoZero"/>
        <c:auto val="1"/>
        <c:lblAlgn val="ctr"/>
        <c:lblOffset val="100"/>
        <c:noMultiLvlLbl val="0"/>
      </c:catAx>
      <c:valAx>
        <c:axId val="1913988624"/>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05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FAEA12"/>
              </a:solidFill>
              <a:latin typeface="+mn-lt"/>
              <a:ea typeface="+mn-ea"/>
              <a:cs typeface="+mn-cs"/>
            </a:defRPr>
          </a:pPr>
          <a:endParaRPr lang="en-US"/>
        </a:p>
      </c:txPr>
    </c:title>
    <c:autoTitleDeleted val="0"/>
    <c:plotArea>
      <c:layout/>
      <c:barChart>
        <c:barDir val="col"/>
        <c:grouping val="clustered"/>
        <c:varyColors val="0"/>
        <c:ser>
          <c:idx val="0"/>
          <c:order val="0"/>
          <c:tx>
            <c:strRef>
              <c:f>Keywords!$AC$41</c:f>
              <c:strCache>
                <c:ptCount val="1"/>
                <c:pt idx="0">
                  <c:v>Singing</c:v>
                </c:pt>
              </c:strCache>
            </c:strRef>
          </c:tx>
          <c:spPr>
            <a:solidFill>
              <a:srgbClr val="FAEA12"/>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Keywords!$AC$42:$AC$79</c:f>
              <c:numCache>
                <c:formatCode>General</c:formatCode>
                <c:ptCount val="38"/>
                <c:pt idx="0">
                  <c:v>0</c:v>
                </c:pt>
                <c:pt idx="1">
                  <c:v>0</c:v>
                </c:pt>
                <c:pt idx="2">
                  <c:v>0</c:v>
                </c:pt>
                <c:pt idx="3">
                  <c:v>0</c:v>
                </c:pt>
                <c:pt idx="4">
                  <c:v>0</c:v>
                </c:pt>
                <c:pt idx="5">
                  <c:v>0</c:v>
                </c:pt>
                <c:pt idx="6">
                  <c:v>0</c:v>
                </c:pt>
                <c:pt idx="7">
                  <c:v>0</c:v>
                </c:pt>
                <c:pt idx="8">
                  <c:v>0</c:v>
                </c:pt>
                <c:pt idx="9">
                  <c:v>1</c:v>
                </c:pt>
                <c:pt idx="10">
                  <c:v>0</c:v>
                </c:pt>
                <c:pt idx="11">
                  <c:v>0</c:v>
                </c:pt>
                <c:pt idx="12">
                  <c:v>0</c:v>
                </c:pt>
                <c:pt idx="13">
                  <c:v>1</c:v>
                </c:pt>
                <c:pt idx="14">
                  <c:v>0</c:v>
                </c:pt>
                <c:pt idx="15">
                  <c:v>0</c:v>
                </c:pt>
                <c:pt idx="16">
                  <c:v>0</c:v>
                </c:pt>
                <c:pt idx="17">
                  <c:v>0</c:v>
                </c:pt>
                <c:pt idx="18">
                  <c:v>0</c:v>
                </c:pt>
                <c:pt idx="19">
                  <c:v>1</c:v>
                </c:pt>
                <c:pt idx="20">
                  <c:v>0</c:v>
                </c:pt>
                <c:pt idx="21">
                  <c:v>0</c:v>
                </c:pt>
                <c:pt idx="22">
                  <c:v>1</c:v>
                </c:pt>
                <c:pt idx="23">
                  <c:v>0</c:v>
                </c:pt>
                <c:pt idx="24">
                  <c:v>0</c:v>
                </c:pt>
                <c:pt idx="25">
                  <c:v>0</c:v>
                </c:pt>
                <c:pt idx="26">
                  <c:v>1</c:v>
                </c:pt>
                <c:pt idx="27">
                  <c:v>0</c:v>
                </c:pt>
                <c:pt idx="28">
                  <c:v>1</c:v>
                </c:pt>
                <c:pt idx="29">
                  <c:v>1</c:v>
                </c:pt>
                <c:pt idx="30">
                  <c:v>0</c:v>
                </c:pt>
                <c:pt idx="31">
                  <c:v>1</c:v>
                </c:pt>
                <c:pt idx="32">
                  <c:v>1</c:v>
                </c:pt>
                <c:pt idx="33">
                  <c:v>1</c:v>
                </c:pt>
                <c:pt idx="34">
                  <c:v>0</c:v>
                </c:pt>
                <c:pt idx="35">
                  <c:v>1</c:v>
                </c:pt>
                <c:pt idx="36">
                  <c:v>1</c:v>
                </c:pt>
                <c:pt idx="37">
                  <c:v>0</c:v>
                </c:pt>
              </c:numCache>
            </c:numRef>
          </c:val>
          <c:extLst>
            <c:ext xmlns:c16="http://schemas.microsoft.com/office/drawing/2014/chart" uri="{C3380CC4-5D6E-409C-BE32-E72D297353CC}">
              <c16:uniqueId val="{00000000-BDF3-7843-95A8-29F1956A8F4E}"/>
            </c:ext>
          </c:extLst>
        </c:ser>
        <c:dLbls>
          <c:showLegendKey val="0"/>
          <c:showVal val="0"/>
          <c:showCatName val="0"/>
          <c:showSerName val="0"/>
          <c:showPercent val="0"/>
          <c:showBubbleSize val="0"/>
        </c:dLbls>
        <c:gapWidth val="219"/>
        <c:overlap val="-27"/>
        <c:axId val="1627672240"/>
        <c:axId val="1729613424"/>
      </c:barChart>
      <c:catAx>
        <c:axId val="162767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613424"/>
        <c:crosses val="autoZero"/>
        <c:auto val="1"/>
        <c:lblAlgn val="ctr"/>
        <c:lblOffset val="100"/>
        <c:noMultiLvlLbl val="0"/>
      </c:catAx>
      <c:valAx>
        <c:axId val="172961342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67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9FB4D5"/>
              </a:solidFill>
              <a:latin typeface="+mn-lt"/>
              <a:ea typeface="+mn-ea"/>
              <a:cs typeface="+mn-cs"/>
            </a:defRPr>
          </a:pPr>
          <a:endParaRPr lang="en-US"/>
        </a:p>
      </c:txPr>
    </c:title>
    <c:autoTitleDeleted val="0"/>
    <c:plotArea>
      <c:layout/>
      <c:barChart>
        <c:barDir val="col"/>
        <c:grouping val="clustered"/>
        <c:varyColors val="0"/>
        <c:ser>
          <c:idx val="0"/>
          <c:order val="0"/>
          <c:tx>
            <c:strRef>
              <c:f>Keywords!$AD$41</c:f>
              <c:strCache>
                <c:ptCount val="1"/>
                <c:pt idx="0">
                  <c:v>Swimming</c:v>
                </c:pt>
              </c:strCache>
            </c:strRef>
          </c:tx>
          <c:spPr>
            <a:solidFill>
              <a:srgbClr val="9FB4D5"/>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Keywords!$AD$42:$AD$79</c:f>
              <c:numCache>
                <c:formatCode>General</c:formatCode>
                <c:ptCount val="38"/>
                <c:pt idx="0">
                  <c:v>1</c:v>
                </c:pt>
                <c:pt idx="1">
                  <c:v>2</c:v>
                </c:pt>
                <c:pt idx="2">
                  <c:v>2</c:v>
                </c:pt>
                <c:pt idx="3">
                  <c:v>3</c:v>
                </c:pt>
                <c:pt idx="4">
                  <c:v>2</c:v>
                </c:pt>
                <c:pt idx="5">
                  <c:v>3</c:v>
                </c:pt>
                <c:pt idx="6">
                  <c:v>1</c:v>
                </c:pt>
                <c:pt idx="7">
                  <c:v>1</c:v>
                </c:pt>
                <c:pt idx="8">
                  <c:v>2</c:v>
                </c:pt>
                <c:pt idx="9">
                  <c:v>1</c:v>
                </c:pt>
                <c:pt idx="10">
                  <c:v>1</c:v>
                </c:pt>
                <c:pt idx="11">
                  <c:v>0</c:v>
                </c:pt>
                <c:pt idx="12">
                  <c:v>0</c:v>
                </c:pt>
                <c:pt idx="13">
                  <c:v>1</c:v>
                </c:pt>
                <c:pt idx="14">
                  <c:v>1</c:v>
                </c:pt>
                <c:pt idx="15">
                  <c:v>2</c:v>
                </c:pt>
                <c:pt idx="16">
                  <c:v>0</c:v>
                </c:pt>
                <c:pt idx="17">
                  <c:v>0</c:v>
                </c:pt>
                <c:pt idx="18">
                  <c:v>0</c:v>
                </c:pt>
                <c:pt idx="19">
                  <c:v>0</c:v>
                </c:pt>
                <c:pt idx="20">
                  <c:v>1</c:v>
                </c:pt>
                <c:pt idx="21">
                  <c:v>1</c:v>
                </c:pt>
                <c:pt idx="22">
                  <c:v>2</c:v>
                </c:pt>
                <c:pt idx="23">
                  <c:v>0</c:v>
                </c:pt>
                <c:pt idx="24">
                  <c:v>1</c:v>
                </c:pt>
                <c:pt idx="25">
                  <c:v>1</c:v>
                </c:pt>
                <c:pt idx="26">
                  <c:v>1</c:v>
                </c:pt>
                <c:pt idx="27">
                  <c:v>1</c:v>
                </c:pt>
                <c:pt idx="28">
                  <c:v>0</c:v>
                </c:pt>
                <c:pt idx="29">
                  <c:v>0</c:v>
                </c:pt>
                <c:pt idx="30">
                  <c:v>0</c:v>
                </c:pt>
                <c:pt idx="31">
                  <c:v>0</c:v>
                </c:pt>
                <c:pt idx="32">
                  <c:v>0</c:v>
                </c:pt>
                <c:pt idx="33">
                  <c:v>1</c:v>
                </c:pt>
                <c:pt idx="34">
                  <c:v>1</c:v>
                </c:pt>
                <c:pt idx="35">
                  <c:v>2</c:v>
                </c:pt>
                <c:pt idx="36">
                  <c:v>2</c:v>
                </c:pt>
                <c:pt idx="37">
                  <c:v>0</c:v>
                </c:pt>
              </c:numCache>
            </c:numRef>
          </c:val>
          <c:extLst>
            <c:ext xmlns:c16="http://schemas.microsoft.com/office/drawing/2014/chart" uri="{C3380CC4-5D6E-409C-BE32-E72D297353CC}">
              <c16:uniqueId val="{00000000-78D1-334F-BD8D-4B2C0C183ED9}"/>
            </c:ext>
          </c:extLst>
        </c:ser>
        <c:dLbls>
          <c:showLegendKey val="0"/>
          <c:showVal val="0"/>
          <c:showCatName val="0"/>
          <c:showSerName val="0"/>
          <c:showPercent val="0"/>
          <c:showBubbleSize val="0"/>
        </c:dLbls>
        <c:gapWidth val="219"/>
        <c:overlap val="-27"/>
        <c:axId val="1729375008"/>
        <c:axId val="1737212272"/>
      </c:barChart>
      <c:catAx>
        <c:axId val="17293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12272"/>
        <c:crosses val="autoZero"/>
        <c:auto val="1"/>
        <c:lblAlgn val="ctr"/>
        <c:lblOffset val="100"/>
        <c:noMultiLvlLbl val="0"/>
      </c:catAx>
      <c:valAx>
        <c:axId val="1737212272"/>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7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79A046"/>
              </a:solidFill>
              <a:latin typeface="+mn-lt"/>
              <a:ea typeface="+mn-ea"/>
              <a:cs typeface="+mn-cs"/>
            </a:defRPr>
          </a:pPr>
          <a:endParaRPr lang="en-US"/>
        </a:p>
      </c:txPr>
    </c:title>
    <c:autoTitleDeleted val="0"/>
    <c:plotArea>
      <c:layout/>
      <c:barChart>
        <c:barDir val="col"/>
        <c:grouping val="clustered"/>
        <c:varyColors val="0"/>
        <c:ser>
          <c:idx val="0"/>
          <c:order val="0"/>
          <c:tx>
            <c:strRef>
              <c:f>Keywords!$AE$41</c:f>
              <c:strCache>
                <c:ptCount val="1"/>
                <c:pt idx="0">
                  <c:v>Travel Issues</c:v>
                </c:pt>
              </c:strCache>
            </c:strRef>
          </c:tx>
          <c:spPr>
            <a:solidFill>
              <a:srgbClr val="79A046"/>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Keywords!$AE$42:$AE$79</c:f>
              <c:numCache>
                <c:formatCode>General</c:formatCode>
                <c:ptCount val="38"/>
                <c:pt idx="0">
                  <c:v>9</c:v>
                </c:pt>
                <c:pt idx="1">
                  <c:v>10</c:v>
                </c:pt>
                <c:pt idx="2">
                  <c:v>10</c:v>
                </c:pt>
                <c:pt idx="3">
                  <c:v>9</c:v>
                </c:pt>
                <c:pt idx="4">
                  <c:v>11</c:v>
                </c:pt>
                <c:pt idx="5">
                  <c:v>8</c:v>
                </c:pt>
                <c:pt idx="6">
                  <c:v>9</c:v>
                </c:pt>
                <c:pt idx="7">
                  <c:v>7</c:v>
                </c:pt>
                <c:pt idx="8">
                  <c:v>10</c:v>
                </c:pt>
                <c:pt idx="9">
                  <c:v>11</c:v>
                </c:pt>
                <c:pt idx="10">
                  <c:v>7</c:v>
                </c:pt>
                <c:pt idx="11">
                  <c:v>5</c:v>
                </c:pt>
                <c:pt idx="12">
                  <c:v>6</c:v>
                </c:pt>
                <c:pt idx="13">
                  <c:v>4</c:v>
                </c:pt>
                <c:pt idx="14">
                  <c:v>3</c:v>
                </c:pt>
                <c:pt idx="15">
                  <c:v>9</c:v>
                </c:pt>
                <c:pt idx="16">
                  <c:v>8</c:v>
                </c:pt>
                <c:pt idx="17">
                  <c:v>8</c:v>
                </c:pt>
                <c:pt idx="18">
                  <c:v>9</c:v>
                </c:pt>
                <c:pt idx="19">
                  <c:v>7</c:v>
                </c:pt>
                <c:pt idx="20">
                  <c:v>8</c:v>
                </c:pt>
                <c:pt idx="21">
                  <c:v>4</c:v>
                </c:pt>
                <c:pt idx="22">
                  <c:v>4</c:v>
                </c:pt>
                <c:pt idx="23">
                  <c:v>8</c:v>
                </c:pt>
                <c:pt idx="24">
                  <c:v>6</c:v>
                </c:pt>
                <c:pt idx="25">
                  <c:v>10</c:v>
                </c:pt>
                <c:pt idx="26">
                  <c:v>8</c:v>
                </c:pt>
                <c:pt idx="27">
                  <c:v>5</c:v>
                </c:pt>
                <c:pt idx="28">
                  <c:v>6</c:v>
                </c:pt>
                <c:pt idx="29">
                  <c:v>6</c:v>
                </c:pt>
                <c:pt idx="30">
                  <c:v>9</c:v>
                </c:pt>
                <c:pt idx="31">
                  <c:v>3</c:v>
                </c:pt>
                <c:pt idx="32">
                  <c:v>6</c:v>
                </c:pt>
                <c:pt idx="33">
                  <c:v>8</c:v>
                </c:pt>
                <c:pt idx="34">
                  <c:v>9</c:v>
                </c:pt>
                <c:pt idx="35">
                  <c:v>8</c:v>
                </c:pt>
                <c:pt idx="36">
                  <c:v>10</c:v>
                </c:pt>
                <c:pt idx="37">
                  <c:v>12</c:v>
                </c:pt>
              </c:numCache>
            </c:numRef>
          </c:val>
          <c:extLst>
            <c:ext xmlns:c16="http://schemas.microsoft.com/office/drawing/2014/chart" uri="{C3380CC4-5D6E-409C-BE32-E72D297353CC}">
              <c16:uniqueId val="{00000000-6379-364D-B12B-E6FBFE73D018}"/>
            </c:ext>
          </c:extLst>
        </c:ser>
        <c:dLbls>
          <c:showLegendKey val="0"/>
          <c:showVal val="0"/>
          <c:showCatName val="0"/>
          <c:showSerName val="0"/>
          <c:showPercent val="0"/>
          <c:showBubbleSize val="0"/>
        </c:dLbls>
        <c:gapWidth val="219"/>
        <c:overlap val="-27"/>
        <c:axId val="1760297872"/>
        <c:axId val="2095491984"/>
      </c:barChart>
      <c:catAx>
        <c:axId val="17602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491984"/>
        <c:crosses val="autoZero"/>
        <c:auto val="1"/>
        <c:lblAlgn val="ctr"/>
        <c:lblOffset val="100"/>
        <c:noMultiLvlLbl val="0"/>
      </c:catAx>
      <c:valAx>
        <c:axId val="2095491984"/>
        <c:scaling>
          <c:orientation val="minMax"/>
          <c:max val="1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29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C00000"/>
                </a:solidFill>
              </a:rPr>
              <a:t>Keywords</a:t>
            </a:r>
            <a:r>
              <a:rPr lang="en-US" sz="2000" b="1" baseline="0">
                <a:solidFill>
                  <a:srgbClr val="C00000"/>
                </a:solidFill>
              </a:rPr>
              <a:t> </a:t>
            </a:r>
            <a:r>
              <a:rPr lang="en-US" sz="2000" b="1" baseline="0"/>
              <a:t>per Season</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Keywords!$C$41</c:f>
              <c:strCache>
                <c:ptCount val="1"/>
                <c:pt idx="0">
                  <c:v>Total</c:v>
                </c:pt>
              </c:strCache>
            </c:strRef>
          </c:tx>
          <c:spPr>
            <a:solidFill>
              <a:srgbClr val="C00000"/>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Keywords!$C$42:$C$79</c:f>
              <c:numCache>
                <c:formatCode>General</c:formatCode>
                <c:ptCount val="38"/>
                <c:pt idx="0">
                  <c:v>54</c:v>
                </c:pt>
                <c:pt idx="1">
                  <c:v>57</c:v>
                </c:pt>
                <c:pt idx="2">
                  <c:v>67</c:v>
                </c:pt>
                <c:pt idx="3">
                  <c:v>58</c:v>
                </c:pt>
                <c:pt idx="4">
                  <c:v>63</c:v>
                </c:pt>
                <c:pt idx="5">
                  <c:v>61</c:v>
                </c:pt>
                <c:pt idx="6">
                  <c:v>55</c:v>
                </c:pt>
                <c:pt idx="7">
                  <c:v>56</c:v>
                </c:pt>
                <c:pt idx="8">
                  <c:v>66</c:v>
                </c:pt>
                <c:pt idx="9">
                  <c:v>64</c:v>
                </c:pt>
                <c:pt idx="10">
                  <c:v>59</c:v>
                </c:pt>
                <c:pt idx="11">
                  <c:v>52</c:v>
                </c:pt>
                <c:pt idx="12">
                  <c:v>47</c:v>
                </c:pt>
                <c:pt idx="13">
                  <c:v>54</c:v>
                </c:pt>
                <c:pt idx="14">
                  <c:v>54</c:v>
                </c:pt>
                <c:pt idx="15">
                  <c:v>52</c:v>
                </c:pt>
                <c:pt idx="16">
                  <c:v>67</c:v>
                </c:pt>
                <c:pt idx="17">
                  <c:v>62</c:v>
                </c:pt>
                <c:pt idx="18">
                  <c:v>67</c:v>
                </c:pt>
                <c:pt idx="19">
                  <c:v>65</c:v>
                </c:pt>
                <c:pt idx="20">
                  <c:v>59</c:v>
                </c:pt>
                <c:pt idx="21">
                  <c:v>56</c:v>
                </c:pt>
                <c:pt idx="22">
                  <c:v>55</c:v>
                </c:pt>
                <c:pt idx="23">
                  <c:v>56</c:v>
                </c:pt>
                <c:pt idx="24">
                  <c:v>56</c:v>
                </c:pt>
                <c:pt idx="25">
                  <c:v>66</c:v>
                </c:pt>
                <c:pt idx="26">
                  <c:v>50</c:v>
                </c:pt>
                <c:pt idx="27">
                  <c:v>49</c:v>
                </c:pt>
                <c:pt idx="28">
                  <c:v>47</c:v>
                </c:pt>
                <c:pt idx="29">
                  <c:v>64</c:v>
                </c:pt>
                <c:pt idx="30">
                  <c:v>59</c:v>
                </c:pt>
                <c:pt idx="31">
                  <c:v>50</c:v>
                </c:pt>
                <c:pt idx="32">
                  <c:v>54</c:v>
                </c:pt>
                <c:pt idx="33">
                  <c:v>51</c:v>
                </c:pt>
                <c:pt idx="34">
                  <c:v>70</c:v>
                </c:pt>
                <c:pt idx="35">
                  <c:v>63</c:v>
                </c:pt>
                <c:pt idx="36">
                  <c:v>68</c:v>
                </c:pt>
                <c:pt idx="37">
                  <c:v>78</c:v>
                </c:pt>
              </c:numCache>
            </c:numRef>
          </c:val>
          <c:extLst>
            <c:ext xmlns:c16="http://schemas.microsoft.com/office/drawing/2014/chart" uri="{C3380CC4-5D6E-409C-BE32-E72D297353CC}">
              <c16:uniqueId val="{00000000-201A-754F-9901-B2DF622507EC}"/>
            </c:ext>
          </c:extLst>
        </c:ser>
        <c:dLbls>
          <c:showLegendKey val="0"/>
          <c:showVal val="0"/>
          <c:showCatName val="0"/>
          <c:showSerName val="0"/>
          <c:showPercent val="0"/>
          <c:showBubbleSize val="0"/>
        </c:dLbls>
        <c:gapWidth val="219"/>
        <c:overlap val="-27"/>
        <c:axId val="2001654848"/>
        <c:axId val="769604736"/>
      </c:barChart>
      <c:catAx>
        <c:axId val="20016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04736"/>
        <c:crosses val="autoZero"/>
        <c:auto val="1"/>
        <c:lblAlgn val="ctr"/>
        <c:lblOffset val="100"/>
        <c:noMultiLvlLbl val="0"/>
      </c:catAx>
      <c:valAx>
        <c:axId val="76960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65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Building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9590FF"/>
            </a:solidFill>
            <a:ln>
              <a:noFill/>
            </a:ln>
            <a:effectLst/>
          </c:spPr>
          <c:invertIfNegative val="0"/>
          <c:cat>
            <c:strRef>
              <c:f>Keywords!$B$42:$B$79</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Keywords!$H$42:$H$79</c:f>
              <c:numCache>
                <c:formatCode>General</c:formatCode>
                <c:ptCount val="38"/>
                <c:pt idx="0">
                  <c:v>0</c:v>
                </c:pt>
                <c:pt idx="1">
                  <c:v>0</c:v>
                </c:pt>
                <c:pt idx="2">
                  <c:v>1</c:v>
                </c:pt>
                <c:pt idx="3">
                  <c:v>0</c:v>
                </c:pt>
                <c:pt idx="4">
                  <c:v>0</c:v>
                </c:pt>
                <c:pt idx="5">
                  <c:v>1</c:v>
                </c:pt>
                <c:pt idx="6">
                  <c:v>1</c:v>
                </c:pt>
                <c:pt idx="7">
                  <c:v>3</c:v>
                </c:pt>
                <c:pt idx="8">
                  <c:v>3</c:v>
                </c:pt>
                <c:pt idx="9">
                  <c:v>1</c:v>
                </c:pt>
                <c:pt idx="10">
                  <c:v>1</c:v>
                </c:pt>
                <c:pt idx="11">
                  <c:v>1</c:v>
                </c:pt>
                <c:pt idx="12">
                  <c:v>1</c:v>
                </c:pt>
                <c:pt idx="13">
                  <c:v>2</c:v>
                </c:pt>
                <c:pt idx="14">
                  <c:v>2</c:v>
                </c:pt>
                <c:pt idx="15">
                  <c:v>1</c:v>
                </c:pt>
                <c:pt idx="16">
                  <c:v>4</c:v>
                </c:pt>
                <c:pt idx="17">
                  <c:v>2</c:v>
                </c:pt>
                <c:pt idx="18">
                  <c:v>7</c:v>
                </c:pt>
                <c:pt idx="19">
                  <c:v>4</c:v>
                </c:pt>
                <c:pt idx="20">
                  <c:v>3</c:v>
                </c:pt>
                <c:pt idx="21">
                  <c:v>3</c:v>
                </c:pt>
                <c:pt idx="22">
                  <c:v>3</c:v>
                </c:pt>
                <c:pt idx="23">
                  <c:v>2</c:v>
                </c:pt>
                <c:pt idx="24">
                  <c:v>2</c:v>
                </c:pt>
                <c:pt idx="25">
                  <c:v>4</c:v>
                </c:pt>
                <c:pt idx="26">
                  <c:v>2</c:v>
                </c:pt>
                <c:pt idx="27">
                  <c:v>5</c:v>
                </c:pt>
                <c:pt idx="28">
                  <c:v>3</c:v>
                </c:pt>
                <c:pt idx="29">
                  <c:v>3</c:v>
                </c:pt>
                <c:pt idx="30">
                  <c:v>4</c:v>
                </c:pt>
                <c:pt idx="31">
                  <c:v>3</c:v>
                </c:pt>
                <c:pt idx="32">
                  <c:v>1</c:v>
                </c:pt>
                <c:pt idx="33">
                  <c:v>3</c:v>
                </c:pt>
                <c:pt idx="34">
                  <c:v>3</c:v>
                </c:pt>
                <c:pt idx="35">
                  <c:v>2</c:v>
                </c:pt>
                <c:pt idx="36">
                  <c:v>1</c:v>
                </c:pt>
                <c:pt idx="37">
                  <c:v>4</c:v>
                </c:pt>
              </c:numCache>
            </c:numRef>
          </c:val>
          <c:extLst>
            <c:ext xmlns:c16="http://schemas.microsoft.com/office/drawing/2014/chart" uri="{C3380CC4-5D6E-409C-BE32-E72D297353CC}">
              <c16:uniqueId val="{00000000-B7DE-8640-B17C-31D695587523}"/>
            </c:ext>
          </c:extLst>
        </c:ser>
        <c:dLbls>
          <c:showLegendKey val="0"/>
          <c:showVal val="0"/>
          <c:showCatName val="0"/>
          <c:showSerName val="0"/>
          <c:showPercent val="0"/>
          <c:showBubbleSize val="0"/>
        </c:dLbls>
        <c:gapWidth val="219"/>
        <c:overlap val="-27"/>
        <c:axId val="69308352"/>
        <c:axId val="555501744"/>
      </c:barChart>
      <c:catAx>
        <c:axId val="6930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01744"/>
        <c:crosses val="autoZero"/>
        <c:auto val="1"/>
        <c:lblAlgn val="ctr"/>
        <c:lblOffset val="100"/>
        <c:noMultiLvlLbl val="0"/>
      </c:catAx>
      <c:valAx>
        <c:axId val="55550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0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1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chemeClr val="accent4">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533-BA40-9FF7-A4B583F88F39}"/>
              </c:ext>
            </c:extLst>
          </c:dPt>
          <c:dPt>
            <c:idx val="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533-BA40-9FF7-A4B583F88F39}"/>
              </c:ext>
            </c:extLst>
          </c:dPt>
          <c:dPt>
            <c:idx val="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8533-BA40-9FF7-A4B583F88F39}"/>
              </c:ext>
            </c:extLst>
          </c:dPt>
          <c:dPt>
            <c:idx val="3"/>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533-BA40-9FF7-A4B583F88F39}"/>
              </c:ext>
            </c:extLst>
          </c:dPt>
          <c:dPt>
            <c:idx val="4"/>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8533-BA40-9FF7-A4B583F88F39}"/>
              </c:ext>
            </c:extLst>
          </c:dPt>
          <c:dPt>
            <c:idx val="5"/>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533-BA40-9FF7-A4B583F88F39}"/>
              </c:ext>
            </c:extLst>
          </c:dPt>
          <c:dPt>
            <c:idx val="6"/>
            <c:bubble3D val="0"/>
            <c:spPr>
              <a:solidFill>
                <a:schemeClr val="accent6">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8533-BA40-9FF7-A4B583F88F39}"/>
              </c:ext>
            </c:extLst>
          </c:dPt>
          <c:dPt>
            <c:idx val="7"/>
            <c:bubble3D val="0"/>
            <c:spPr>
              <a:solidFill>
                <a:schemeClr val="accent1">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533-BA40-9FF7-A4B583F88F39}"/>
              </c:ext>
            </c:extLst>
          </c:dPt>
          <c:dPt>
            <c:idx val="8"/>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8533-BA40-9FF7-A4B583F88F39}"/>
              </c:ext>
            </c:extLst>
          </c:dPt>
          <c:dPt>
            <c:idx val="9"/>
            <c:bubble3D val="0"/>
            <c:spPr>
              <a:solidFill>
                <a:srgbClr val="1FFFF0"/>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8E7-4096-93C2-9169571B56BE}"/>
              </c:ext>
            </c:extLst>
          </c:dPt>
          <c:dPt>
            <c:idx val="10"/>
            <c:bubble3D val="0"/>
            <c:spPr>
              <a:solidFill>
                <a:schemeClr val="accent5">
                  <a:lumMod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D8E7-4096-93C2-9169571B56B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w="3175">
                        <a:noFill/>
                      </a:ln>
                      <a:solidFill>
                        <a:schemeClr val="accent4">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8533-BA40-9FF7-A4B583F88F3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8533-BA40-9FF7-A4B583F88F3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8533-BA40-9FF7-A4B583F88F3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8533-BA40-9FF7-A4B583F88F3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8533-BA40-9FF7-A4B583F88F3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8533-BA40-9FF7-A4B583F88F3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8533-BA40-9FF7-A4B583F88F39}"/>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8533-BA40-9FF7-A4B583F88F39}"/>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8533-BA40-9FF7-A4B583F88F39}"/>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1FFFF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4-D8E7-4096-93C2-9169571B56BE}"/>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5-D8E7-4096-93C2-9169571B56B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Locations'!$P$55:$P$65</c:f>
              <c:strCache>
                <c:ptCount val="11"/>
                <c:pt idx="0">
                  <c:v>South America</c:v>
                </c:pt>
                <c:pt idx="1">
                  <c:v>East Asia</c:v>
                </c:pt>
                <c:pt idx="2">
                  <c:v>Western Europe</c:v>
                </c:pt>
                <c:pt idx="3">
                  <c:v>North America</c:v>
                </c:pt>
                <c:pt idx="4">
                  <c:v>Central Europe</c:v>
                </c:pt>
                <c:pt idx="5">
                  <c:v>Oceania</c:v>
                </c:pt>
                <c:pt idx="6">
                  <c:v>Caribbean</c:v>
                </c:pt>
                <c:pt idx="7">
                  <c:v>Central America</c:v>
                </c:pt>
                <c:pt idx="8">
                  <c:v>Northern Europe</c:v>
                </c:pt>
                <c:pt idx="9">
                  <c:v>Southern Africa</c:v>
                </c:pt>
                <c:pt idx="10">
                  <c:v>South East Asia</c:v>
                </c:pt>
              </c:strCache>
            </c:strRef>
          </c:cat>
          <c:val>
            <c:numRef>
              <c:f>'Race Locations'!$Q$55:$Q$65</c:f>
              <c:numCache>
                <c:formatCode>General</c:formatCode>
                <c:ptCount val="11"/>
                <c:pt idx="0">
                  <c:v>10</c:v>
                </c:pt>
                <c:pt idx="1">
                  <c:v>8</c:v>
                </c:pt>
                <c:pt idx="2">
                  <c:v>5</c:v>
                </c:pt>
                <c:pt idx="3">
                  <c:v>4</c:v>
                </c:pt>
                <c:pt idx="4">
                  <c:v>3</c:v>
                </c:pt>
                <c:pt idx="5">
                  <c:v>2</c:v>
                </c:pt>
                <c:pt idx="6">
                  <c:v>2</c:v>
                </c:pt>
                <c:pt idx="7">
                  <c:v>1</c:v>
                </c:pt>
                <c:pt idx="8">
                  <c:v>1</c:v>
                </c:pt>
                <c:pt idx="9">
                  <c:v>1</c:v>
                </c:pt>
                <c:pt idx="10">
                  <c:v>1</c:v>
                </c:pt>
              </c:numCache>
            </c:numRef>
          </c:val>
          <c:extLst>
            <c:ext xmlns:c16="http://schemas.microsoft.com/office/drawing/2014/chart" uri="{C3380CC4-5D6E-409C-BE32-E72D297353CC}">
              <c16:uniqueId val="{00000000-8533-BA40-9FF7-A4B583F88F39}"/>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8533-BA40-9FF7-A4B583F88F3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533-BA40-9FF7-A4B583F88F3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8533-BA40-9FF7-A4B583F88F3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8533-BA40-9FF7-A4B583F88F3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8533-BA40-9FF7-A4B583F88F39}"/>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8533-BA40-9FF7-A4B583F88F39}"/>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8533-BA40-9FF7-A4B583F88F39}"/>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8533-BA40-9FF7-A4B583F88F39}"/>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8533-BA40-9FF7-A4B583F88F3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8533-BA40-9FF7-A4B583F88F3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8533-BA40-9FF7-A4B583F88F3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8533-BA40-9FF7-A4B583F88F3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8533-BA40-9FF7-A4B583F88F3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533-BA40-9FF7-A4B583F88F39}"/>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8533-BA40-9FF7-A4B583F88F39}"/>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533-BA40-9FF7-A4B583F88F39}"/>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8533-BA40-9FF7-A4B583F88F39}"/>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533-BA40-9FF7-A4B583F88F3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Locations'!$P$55:$P$65</c:f>
              <c:strCache>
                <c:ptCount val="11"/>
                <c:pt idx="0">
                  <c:v>South America</c:v>
                </c:pt>
                <c:pt idx="1">
                  <c:v>East Asia</c:v>
                </c:pt>
                <c:pt idx="2">
                  <c:v>Western Europe</c:v>
                </c:pt>
                <c:pt idx="3">
                  <c:v>North America</c:v>
                </c:pt>
                <c:pt idx="4">
                  <c:v>Central Europe</c:v>
                </c:pt>
                <c:pt idx="5">
                  <c:v>Oceania</c:v>
                </c:pt>
                <c:pt idx="6">
                  <c:v>Caribbean</c:v>
                </c:pt>
                <c:pt idx="7">
                  <c:v>Central America</c:v>
                </c:pt>
                <c:pt idx="8">
                  <c:v>Northern Europe</c:v>
                </c:pt>
                <c:pt idx="9">
                  <c:v>Southern Africa</c:v>
                </c:pt>
                <c:pt idx="10">
                  <c:v>South East Asia</c:v>
                </c:pt>
              </c:strCache>
            </c:strRef>
          </c:cat>
          <c:val>
            <c:numRef>
              <c:f>'Race Locations'!$R$55:$R$63</c:f>
              <c:numCache>
                <c:formatCode>0%</c:formatCode>
                <c:ptCount val="9"/>
                <c:pt idx="0">
                  <c:v>0.26315789473684209</c:v>
                </c:pt>
                <c:pt idx="1">
                  <c:v>0.22222222222222221</c:v>
                </c:pt>
                <c:pt idx="2">
                  <c:v>0.1388888888888889</c:v>
                </c:pt>
                <c:pt idx="3">
                  <c:v>0.1111111111111111</c:v>
                </c:pt>
                <c:pt idx="4">
                  <c:v>8.3333333333333329E-2</c:v>
                </c:pt>
                <c:pt idx="5">
                  <c:v>5.5555555555555552E-2</c:v>
                </c:pt>
                <c:pt idx="6">
                  <c:v>5.5555555555555552E-2</c:v>
                </c:pt>
                <c:pt idx="7">
                  <c:v>2.7777777777777776E-2</c:v>
                </c:pt>
                <c:pt idx="8">
                  <c:v>2.7777777777777776E-2</c:v>
                </c:pt>
              </c:numCache>
            </c:numRef>
          </c:val>
          <c:extLst>
            <c:ext xmlns:c16="http://schemas.microsoft.com/office/drawing/2014/chart" uri="{C3380CC4-5D6E-409C-BE32-E72D297353CC}">
              <c16:uniqueId val="{00000001-8533-BA40-9FF7-A4B583F88F3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 2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FFE29B"/>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3DE1-8148-9E95-604FE20A8913}"/>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DE1-8148-9E95-604FE20A8913}"/>
              </c:ext>
            </c:extLst>
          </c:dPt>
          <c:dPt>
            <c:idx val="2"/>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3DE1-8148-9E95-604FE20A8913}"/>
              </c:ext>
            </c:extLst>
          </c:dPt>
          <c:dPt>
            <c:idx val="3"/>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DE1-8148-9E95-604FE20A8913}"/>
              </c:ext>
            </c:extLst>
          </c:dPt>
          <c:dPt>
            <c:idx val="4"/>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3DE1-8148-9E95-604FE20A8913}"/>
              </c:ext>
            </c:extLst>
          </c:dPt>
          <c:dPt>
            <c:idx val="5"/>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DE1-8148-9E95-604FE20A8913}"/>
              </c:ext>
            </c:extLst>
          </c:dPt>
          <c:dPt>
            <c:idx val="6"/>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3DE1-8148-9E95-604FE20A8913}"/>
              </c:ext>
            </c:extLst>
          </c:dPt>
          <c:dPt>
            <c:idx val="7"/>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3DE1-8148-9E95-604FE20A8913}"/>
              </c:ext>
            </c:extLst>
          </c:dPt>
          <c:dPt>
            <c:idx val="8"/>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3DE1-8148-9E95-604FE20A891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E29B"/>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3DE1-8148-9E95-604FE20A891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3DE1-8148-9E95-604FE20A891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3DE1-8148-9E95-604FE20A891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3DE1-8148-9E95-604FE20A891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3DE1-8148-9E95-604FE20A891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3DE1-8148-9E95-604FE20A891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3DE1-8148-9E95-604FE20A891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3DE1-8148-9E95-604FE20A891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3DE1-8148-9E95-604FE20A891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Locations'!$S$55:$S$63</c:f>
              <c:strCache>
                <c:ptCount val="9"/>
                <c:pt idx="0">
                  <c:v>South America</c:v>
                </c:pt>
                <c:pt idx="1">
                  <c:v>Central Europe</c:v>
                </c:pt>
                <c:pt idx="2">
                  <c:v>South East Asia</c:v>
                </c:pt>
                <c:pt idx="3">
                  <c:v>East Asia</c:v>
                </c:pt>
                <c:pt idx="4">
                  <c:v>North America</c:v>
                </c:pt>
                <c:pt idx="5">
                  <c:v>Western Europe</c:v>
                </c:pt>
                <c:pt idx="6">
                  <c:v>Oceania</c:v>
                </c:pt>
                <c:pt idx="7">
                  <c:v>West Africa</c:v>
                </c:pt>
                <c:pt idx="8">
                  <c:v>Northern Europe</c:v>
                </c:pt>
              </c:strCache>
            </c:strRef>
          </c:cat>
          <c:val>
            <c:numRef>
              <c:f>'Race Locations'!$T$55:$T$63</c:f>
              <c:numCache>
                <c:formatCode>General</c:formatCode>
                <c:ptCount val="9"/>
                <c:pt idx="0">
                  <c:v>13</c:v>
                </c:pt>
                <c:pt idx="1">
                  <c:v>5</c:v>
                </c:pt>
                <c:pt idx="2">
                  <c:v>5</c:v>
                </c:pt>
                <c:pt idx="3">
                  <c:v>4</c:v>
                </c:pt>
                <c:pt idx="4">
                  <c:v>3</c:v>
                </c:pt>
                <c:pt idx="5">
                  <c:v>3</c:v>
                </c:pt>
                <c:pt idx="6">
                  <c:v>2</c:v>
                </c:pt>
                <c:pt idx="7">
                  <c:v>1</c:v>
                </c:pt>
                <c:pt idx="8">
                  <c:v>1</c:v>
                </c:pt>
              </c:numCache>
            </c:numRef>
          </c:val>
          <c:extLst>
            <c:ext xmlns:c16="http://schemas.microsoft.com/office/drawing/2014/chart" uri="{C3380CC4-5D6E-409C-BE32-E72D297353CC}">
              <c16:uniqueId val="{00000000-3DE1-8148-9E95-604FE20A8913}"/>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3DE1-8148-9E95-604FE20A891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3DE1-8148-9E95-604FE20A891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3DE1-8148-9E95-604FE20A891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3DE1-8148-9E95-604FE20A891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3DE1-8148-9E95-604FE20A891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3DE1-8148-9E95-604FE20A891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3DE1-8148-9E95-604FE20A891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3DE1-8148-9E95-604FE20A891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3DE1-8148-9E95-604FE20A891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3DE1-8148-9E95-604FE20A891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3DE1-8148-9E95-604FE20A891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3DE1-8148-9E95-604FE20A891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3DE1-8148-9E95-604FE20A891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3DE1-8148-9E95-604FE20A891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3DE1-8148-9E95-604FE20A891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3DE1-8148-9E95-604FE20A891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3DE1-8148-9E95-604FE20A891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3DE1-8148-9E95-604FE20A8913}"/>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Locations'!$S$55:$S$63</c:f>
              <c:strCache>
                <c:ptCount val="9"/>
                <c:pt idx="0">
                  <c:v>South America</c:v>
                </c:pt>
                <c:pt idx="1">
                  <c:v>Central Europe</c:v>
                </c:pt>
                <c:pt idx="2">
                  <c:v>South East Asia</c:v>
                </c:pt>
                <c:pt idx="3">
                  <c:v>East Asia</c:v>
                </c:pt>
                <c:pt idx="4">
                  <c:v>North America</c:v>
                </c:pt>
                <c:pt idx="5">
                  <c:v>Western Europe</c:v>
                </c:pt>
                <c:pt idx="6">
                  <c:v>Oceania</c:v>
                </c:pt>
                <c:pt idx="7">
                  <c:v>West Africa</c:v>
                </c:pt>
                <c:pt idx="8">
                  <c:v>Northern Europe</c:v>
                </c:pt>
              </c:strCache>
            </c:strRef>
          </c:cat>
          <c:val>
            <c:numRef>
              <c:f>'Race Locations'!$U$55:$U$63</c:f>
              <c:numCache>
                <c:formatCode>0%</c:formatCode>
                <c:ptCount val="9"/>
                <c:pt idx="0">
                  <c:v>0.34210526315789475</c:v>
                </c:pt>
                <c:pt idx="1">
                  <c:v>0.1388888888888889</c:v>
                </c:pt>
                <c:pt idx="2">
                  <c:v>0.1388888888888889</c:v>
                </c:pt>
                <c:pt idx="3">
                  <c:v>0.1111111111111111</c:v>
                </c:pt>
                <c:pt idx="4">
                  <c:v>7.8947368421052627E-2</c:v>
                </c:pt>
                <c:pt idx="5">
                  <c:v>7.8947368421052627E-2</c:v>
                </c:pt>
                <c:pt idx="6">
                  <c:v>5.5555555555555552E-2</c:v>
                </c:pt>
                <c:pt idx="7">
                  <c:v>2.7777777777777776E-2</c:v>
                </c:pt>
                <c:pt idx="8">
                  <c:v>2.7777777777777776E-2</c:v>
                </c:pt>
              </c:numCache>
            </c:numRef>
          </c:val>
          <c:extLst>
            <c:ext xmlns:c16="http://schemas.microsoft.com/office/drawing/2014/chart" uri="{C3380CC4-5D6E-409C-BE32-E72D297353CC}">
              <c16:uniqueId val="{00000001-3DE1-8148-9E95-604FE20A8913}"/>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3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FFE29B"/>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DAE-794E-84E8-03632283C090}"/>
              </c:ext>
            </c:extLst>
          </c:dPt>
          <c:dPt>
            <c:idx val="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DAE-794E-84E8-03632283C090}"/>
              </c:ext>
            </c:extLst>
          </c:dPt>
          <c:dPt>
            <c:idx val="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DAE-794E-84E8-03632283C090}"/>
              </c:ext>
            </c:extLst>
          </c:dPt>
          <c:dPt>
            <c:idx val="3"/>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DAE-794E-84E8-03632283C090}"/>
              </c:ext>
            </c:extLst>
          </c:dPt>
          <c:dPt>
            <c:idx val="4"/>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DAE-794E-84E8-03632283C090}"/>
              </c:ext>
            </c:extLst>
          </c:dPt>
          <c:dPt>
            <c:idx val="5"/>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DAE-794E-84E8-03632283C090}"/>
              </c:ext>
            </c:extLst>
          </c:dPt>
          <c:dPt>
            <c:idx val="6"/>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5DAE-794E-84E8-03632283C090}"/>
              </c:ext>
            </c:extLst>
          </c:dPt>
          <c:dPt>
            <c:idx val="7"/>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DAE-794E-84E8-03632283C090}"/>
              </c:ext>
            </c:extLst>
          </c:dPt>
          <c:dPt>
            <c:idx val="8"/>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5DAE-794E-84E8-03632283C090}"/>
              </c:ext>
            </c:extLst>
          </c:dPt>
          <c:dPt>
            <c:idx val="9"/>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5DAE-794E-84E8-03632283C090}"/>
              </c:ext>
            </c:extLst>
          </c:dPt>
          <c:dPt>
            <c:idx val="10"/>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5DAE-794E-84E8-03632283C090}"/>
              </c:ext>
            </c:extLst>
          </c:dPt>
          <c:dPt>
            <c:idx val="11"/>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5DAE-794E-84E8-03632283C090}"/>
              </c:ext>
            </c:extLst>
          </c:dPt>
          <c:dPt>
            <c:idx val="1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5DAE-794E-84E8-03632283C09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E29B"/>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5DAE-794E-84E8-03632283C090}"/>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4D9A1B2D-7D42-9245-9FE2-A62BFF4472E7}" type="CATEGORYNAME">
                      <a:rPr lang="en-US">
                        <a:solidFill>
                          <a:srgbClr val="ACFFA5"/>
                        </a:solidFill>
                      </a:rPr>
                      <a:pPr>
                        <a:defRPr>
                          <a:solidFill>
                            <a:schemeClr val="accent1"/>
                          </a:solidFill>
                        </a:defRPr>
                      </a:pPr>
                      <a:t>[CATEGORY NAME]</a:t>
                    </a:fld>
                    <a:r>
                      <a:rPr lang="en-US" baseline="0">
                        <a:solidFill>
                          <a:srgbClr val="ACFFA5"/>
                        </a:solidFill>
                      </a:rPr>
                      <a:t>
</a:t>
                    </a:r>
                    <a:fld id="{D671FFD4-3406-8B4F-AAB0-A198D25C0BE6}" type="PERCENTAGE">
                      <a:rPr lang="en-US" baseline="0">
                        <a:solidFill>
                          <a:srgbClr val="ACFFA5"/>
                        </a:solidFill>
                      </a:rPr>
                      <a:pPr>
                        <a:defRPr>
                          <a:solidFill>
                            <a:schemeClr val="accent1"/>
                          </a:solidFill>
                        </a:defRPr>
                      </a:pPr>
                      <a:t>[PERCENTAGE]</a:t>
                    </a:fld>
                    <a:endParaRPr lang="en-US" baseline="0">
                      <a:solidFill>
                        <a:srgbClr val="ACFFA5"/>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DAE-794E-84E8-03632283C09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5DAE-794E-84E8-03632283C09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DAE-794E-84E8-03632283C09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5DAE-794E-84E8-03632283C09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DAE-794E-84E8-03632283C09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5DAE-794E-84E8-03632283C09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DAE-794E-84E8-03632283C09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5DAE-794E-84E8-03632283C09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DAE-794E-84E8-03632283C09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5DAE-794E-84E8-03632283C09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DAE-794E-84E8-03632283C09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5DAE-794E-84E8-03632283C09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Locations'!$V$55:$V$67</c:f>
              <c:strCache>
                <c:ptCount val="13"/>
                <c:pt idx="0">
                  <c:v>South America</c:v>
                </c:pt>
                <c:pt idx="1">
                  <c:v>South East Asia</c:v>
                </c:pt>
                <c:pt idx="2">
                  <c:v>Western Europe</c:v>
                </c:pt>
                <c:pt idx="3">
                  <c:v>East Asia</c:v>
                </c:pt>
                <c:pt idx="4">
                  <c:v>Central Europe </c:v>
                </c:pt>
                <c:pt idx="5">
                  <c:v>Eastern Europe</c:v>
                </c:pt>
                <c:pt idx="6">
                  <c:v>West Africa</c:v>
                </c:pt>
                <c:pt idx="7">
                  <c:v>North America</c:v>
                </c:pt>
                <c:pt idx="8">
                  <c:v>Northern Africa</c:v>
                </c:pt>
                <c:pt idx="9">
                  <c:v>Northern Europe</c:v>
                </c:pt>
                <c:pt idx="10">
                  <c:v>Oceania</c:v>
                </c:pt>
                <c:pt idx="11">
                  <c:v>Southern Africa</c:v>
                </c:pt>
                <c:pt idx="12">
                  <c:v>Southern Europe</c:v>
                </c:pt>
              </c:strCache>
            </c:strRef>
          </c:cat>
          <c:val>
            <c:numRef>
              <c:f>'Race Locations'!$W$55:$W$67</c:f>
              <c:numCache>
                <c:formatCode>General</c:formatCode>
                <c:ptCount val="13"/>
                <c:pt idx="0">
                  <c:v>10</c:v>
                </c:pt>
                <c:pt idx="1">
                  <c:v>8</c:v>
                </c:pt>
                <c:pt idx="2">
                  <c:v>6</c:v>
                </c:pt>
                <c:pt idx="3">
                  <c:v>2</c:v>
                </c:pt>
                <c:pt idx="4">
                  <c:v>2</c:v>
                </c:pt>
                <c:pt idx="5">
                  <c:v>3</c:v>
                </c:pt>
                <c:pt idx="6">
                  <c:v>2</c:v>
                </c:pt>
                <c:pt idx="7">
                  <c:v>1</c:v>
                </c:pt>
                <c:pt idx="8">
                  <c:v>1</c:v>
                </c:pt>
                <c:pt idx="9">
                  <c:v>1</c:v>
                </c:pt>
                <c:pt idx="10">
                  <c:v>1</c:v>
                </c:pt>
                <c:pt idx="11">
                  <c:v>1</c:v>
                </c:pt>
                <c:pt idx="12">
                  <c:v>1</c:v>
                </c:pt>
              </c:numCache>
            </c:numRef>
          </c:val>
          <c:extLst>
            <c:ext xmlns:c16="http://schemas.microsoft.com/office/drawing/2014/chart" uri="{C3380CC4-5D6E-409C-BE32-E72D297353CC}">
              <c16:uniqueId val="{00000000-5DAE-794E-84E8-03632283C090}"/>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5DAE-794E-84E8-03632283C09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5DAE-794E-84E8-03632283C09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5DAE-794E-84E8-03632283C09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5DAE-794E-84E8-03632283C09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5DAE-794E-84E8-03632283C09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5DAE-794E-84E8-03632283C09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5DAE-794E-84E8-03632283C09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5DAE-794E-84E8-03632283C09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5DAE-794E-84E8-03632283C09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5DAE-794E-84E8-03632283C09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5DAE-794E-84E8-03632283C09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5DAE-794E-84E8-03632283C09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5DAE-794E-84E8-03632283C09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5DAE-794E-84E8-03632283C09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5DAE-794E-84E8-03632283C09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5DAE-794E-84E8-03632283C09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5DAE-794E-84E8-03632283C09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5DAE-794E-84E8-03632283C09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5DAE-794E-84E8-03632283C09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5DAE-794E-84E8-03632283C09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5DAE-794E-84E8-03632283C09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5DAE-794E-84E8-03632283C09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5DAE-794E-84E8-03632283C09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5DAE-794E-84E8-03632283C09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5DAE-794E-84E8-03632283C09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5DAE-794E-84E8-03632283C09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Locations'!$V$55:$V$67</c:f>
              <c:strCache>
                <c:ptCount val="13"/>
                <c:pt idx="0">
                  <c:v>South America</c:v>
                </c:pt>
                <c:pt idx="1">
                  <c:v>South East Asia</c:v>
                </c:pt>
                <c:pt idx="2">
                  <c:v>Western Europe</c:v>
                </c:pt>
                <c:pt idx="3">
                  <c:v>East Asia</c:v>
                </c:pt>
                <c:pt idx="4">
                  <c:v>Central Europe </c:v>
                </c:pt>
                <c:pt idx="5">
                  <c:v>Eastern Europe</c:v>
                </c:pt>
                <c:pt idx="6">
                  <c:v>West Africa</c:v>
                </c:pt>
                <c:pt idx="7">
                  <c:v>North America</c:v>
                </c:pt>
                <c:pt idx="8">
                  <c:v>Northern Africa</c:v>
                </c:pt>
                <c:pt idx="9">
                  <c:v>Northern Europe</c:v>
                </c:pt>
                <c:pt idx="10">
                  <c:v>Oceania</c:v>
                </c:pt>
                <c:pt idx="11">
                  <c:v>Southern Africa</c:v>
                </c:pt>
                <c:pt idx="12">
                  <c:v>Southern Europe</c:v>
                </c:pt>
              </c:strCache>
            </c:strRef>
          </c:cat>
          <c:val>
            <c:numRef>
              <c:f>'Race Locations'!$X$55:$X$67</c:f>
              <c:numCache>
                <c:formatCode>0%</c:formatCode>
                <c:ptCount val="13"/>
                <c:pt idx="0">
                  <c:v>0.26315789473684209</c:v>
                </c:pt>
                <c:pt idx="1">
                  <c:v>0.21052631578947367</c:v>
                </c:pt>
                <c:pt idx="2">
                  <c:v>0.15789473684210525</c:v>
                </c:pt>
                <c:pt idx="3">
                  <c:v>5.2631578947368418E-2</c:v>
                </c:pt>
                <c:pt idx="4">
                  <c:v>5.2631578947368418E-2</c:v>
                </c:pt>
                <c:pt idx="5">
                  <c:v>7.8947368421052627E-2</c:v>
                </c:pt>
                <c:pt idx="6">
                  <c:v>5.2631578947368418E-2</c:v>
                </c:pt>
                <c:pt idx="7">
                  <c:v>2.6315789473684209E-2</c:v>
                </c:pt>
                <c:pt idx="8">
                  <c:v>2.6315789473684209E-2</c:v>
                </c:pt>
                <c:pt idx="9">
                  <c:v>2.6315789473684209E-2</c:v>
                </c:pt>
                <c:pt idx="10">
                  <c:v>2.6315789473684209E-2</c:v>
                </c:pt>
                <c:pt idx="11">
                  <c:v>2.6315789473684209E-2</c:v>
                </c:pt>
                <c:pt idx="12">
                  <c:v>2.6315789473684209E-2</c:v>
                </c:pt>
              </c:numCache>
            </c:numRef>
          </c:val>
          <c:extLst>
            <c:ext xmlns:c16="http://schemas.microsoft.com/office/drawing/2014/chart" uri="{C3380CC4-5D6E-409C-BE32-E72D297353CC}">
              <c16:uniqueId val="{00000001-5DAE-794E-84E8-03632283C09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4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B67-D14F-9046-DC00C8DD239F}"/>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B67-D14F-9046-DC00C8DD239F}"/>
              </c:ext>
            </c:extLst>
          </c:dPt>
          <c:dPt>
            <c:idx val="2"/>
            <c:bubble3D val="0"/>
            <c:spPr>
              <a:solidFill>
                <a:srgbClr val="FFE29B"/>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B67-D14F-9046-DC00C8DD239F}"/>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B67-D14F-9046-DC00C8DD239F}"/>
              </c:ext>
            </c:extLst>
          </c:dPt>
          <c:dPt>
            <c:idx val="4"/>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B67-D14F-9046-DC00C8DD239F}"/>
              </c:ext>
            </c:extLst>
          </c:dPt>
          <c:dPt>
            <c:idx val="5"/>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B67-D14F-9046-DC00C8DD239F}"/>
              </c:ext>
            </c:extLst>
          </c:dPt>
          <c:dPt>
            <c:idx val="6"/>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B67-D14F-9046-DC00C8DD239F}"/>
              </c:ext>
            </c:extLst>
          </c:dPt>
          <c:dPt>
            <c:idx val="7"/>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B67-D14F-9046-DC00C8DD239F}"/>
              </c:ext>
            </c:extLst>
          </c:dPt>
          <c:dPt>
            <c:idx val="8"/>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B67-D14F-9046-DC00C8DD239F}"/>
              </c:ext>
            </c:extLst>
          </c:dPt>
          <c:dPt>
            <c:idx val="9"/>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B67-D14F-9046-DC00C8DD239F}"/>
              </c:ext>
            </c:extLst>
          </c:dPt>
          <c:dPt>
            <c:idx val="10"/>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B67-D14F-9046-DC00C8DD239F}"/>
              </c:ext>
            </c:extLst>
          </c:dPt>
          <c:dPt>
            <c:idx val="11"/>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B67-D14F-9046-DC00C8DD239F}"/>
              </c:ext>
            </c:extLst>
          </c:dPt>
          <c:dPt>
            <c:idx val="12"/>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B67-D14F-9046-DC00C8DD239F}"/>
              </c:ext>
            </c:extLst>
          </c:dPt>
          <c:dPt>
            <c:idx val="1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B67-D14F-9046-DC00C8DD239F}"/>
              </c:ext>
            </c:extLst>
          </c:dPt>
          <c:dPt>
            <c:idx val="14"/>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B67-D14F-9046-DC00C8DD239F}"/>
              </c:ext>
            </c:extLst>
          </c:dPt>
          <c:dPt>
            <c:idx val="15"/>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5EB5-144C-B58F-49FE8C540F7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2B67-D14F-9046-DC00C8DD239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B67-D14F-9046-DC00C8DD239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E29B"/>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2B67-D14F-9046-DC00C8DD239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B67-D14F-9046-DC00C8DD239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2B67-D14F-9046-DC00C8DD239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B67-D14F-9046-DC00C8DD239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B67-D14F-9046-DC00C8DD239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B67-D14F-9046-DC00C8DD239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2B67-D14F-9046-DC00C8DD239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2B67-D14F-9046-DC00C8DD239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2B67-D14F-9046-DC00C8DD239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2B67-D14F-9046-DC00C8DD239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2B67-D14F-9046-DC00C8DD239F}"/>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2B67-D14F-9046-DC00C8DD239F}"/>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2B67-D14F-9046-DC00C8DD239F}"/>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5EB5-144C-B58F-49FE8C540F7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Locations'!$Y$55:$Y$70</c:f>
              <c:strCache>
                <c:ptCount val="16"/>
                <c:pt idx="0">
                  <c:v>South East Asia</c:v>
                </c:pt>
                <c:pt idx="1">
                  <c:v>Central Europe</c:v>
                </c:pt>
                <c:pt idx="2">
                  <c:v>South America</c:v>
                </c:pt>
                <c:pt idx="3">
                  <c:v>Western Europe</c:v>
                </c:pt>
                <c:pt idx="4">
                  <c:v>Northern Europe</c:v>
                </c:pt>
                <c:pt idx="5">
                  <c:v>Eastern Europe</c:v>
                </c:pt>
                <c:pt idx="6">
                  <c:v>Southern Africa</c:v>
                </c:pt>
                <c:pt idx="7">
                  <c:v>West Africa</c:v>
                </c:pt>
                <c:pt idx="8">
                  <c:v>East Africa</c:v>
                </c:pt>
                <c:pt idx="9">
                  <c:v>Middle East</c:v>
                </c:pt>
                <c:pt idx="10">
                  <c:v>North America</c:v>
                </c:pt>
                <c:pt idx="11">
                  <c:v>Northern Africa</c:v>
                </c:pt>
                <c:pt idx="12">
                  <c:v>Oceania</c:v>
                </c:pt>
                <c:pt idx="13">
                  <c:v>Southern Europe</c:v>
                </c:pt>
                <c:pt idx="14">
                  <c:v>South Asia</c:v>
                </c:pt>
                <c:pt idx="15">
                  <c:v>East Asia</c:v>
                </c:pt>
              </c:strCache>
            </c:strRef>
          </c:cat>
          <c:val>
            <c:numRef>
              <c:f>'Race Locations'!$Z$55:$Z$70</c:f>
              <c:numCache>
                <c:formatCode>General</c:formatCode>
                <c:ptCount val="16"/>
                <c:pt idx="0">
                  <c:v>9</c:v>
                </c:pt>
                <c:pt idx="1">
                  <c:v>6</c:v>
                </c:pt>
                <c:pt idx="2">
                  <c:v>4</c:v>
                </c:pt>
                <c:pt idx="3">
                  <c:v>4</c:v>
                </c:pt>
                <c:pt idx="4">
                  <c:v>3</c:v>
                </c:pt>
                <c:pt idx="5">
                  <c:v>2</c:v>
                </c:pt>
                <c:pt idx="6">
                  <c:v>2</c:v>
                </c:pt>
                <c:pt idx="7">
                  <c:v>2</c:v>
                </c:pt>
                <c:pt idx="8">
                  <c:v>1</c:v>
                </c:pt>
                <c:pt idx="9">
                  <c:v>1</c:v>
                </c:pt>
                <c:pt idx="10">
                  <c:v>1</c:v>
                </c:pt>
                <c:pt idx="11">
                  <c:v>1</c:v>
                </c:pt>
                <c:pt idx="12">
                  <c:v>1</c:v>
                </c:pt>
                <c:pt idx="13">
                  <c:v>1</c:v>
                </c:pt>
                <c:pt idx="14">
                  <c:v>1</c:v>
                </c:pt>
                <c:pt idx="15">
                  <c:v>1</c:v>
                </c:pt>
              </c:numCache>
            </c:numRef>
          </c:val>
          <c:extLst>
            <c:ext xmlns:c16="http://schemas.microsoft.com/office/drawing/2014/chart" uri="{C3380CC4-5D6E-409C-BE32-E72D297353CC}">
              <c16:uniqueId val="{00000000-2B67-D14F-9046-DC00C8DD239F}"/>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B67-D14F-9046-DC00C8DD239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B67-D14F-9046-DC00C8DD239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B67-D14F-9046-DC00C8DD239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2B67-D14F-9046-DC00C8DD239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B67-D14F-9046-DC00C8DD239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2B67-D14F-9046-DC00C8DD239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B67-D14F-9046-DC00C8DD239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2B67-D14F-9046-DC00C8DD239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B67-D14F-9046-DC00C8DD239F}"/>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2B67-D14F-9046-DC00C8DD239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B67-D14F-9046-DC00C8DD239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2B67-D14F-9046-DC00C8DD239F}"/>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B67-D14F-9046-DC00C8DD239F}"/>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2B67-D14F-9046-DC00C8DD239F}"/>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B67-D14F-9046-DC00C8DD239F}"/>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5EB5-144C-B58F-49FE8C540F7E}"/>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5EB5-144C-B58F-49FE8C540F7E}"/>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5EB5-144C-B58F-49FE8C540F7E}"/>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5EB5-144C-B58F-49FE8C540F7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2B67-D14F-9046-DC00C8DD239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2B67-D14F-9046-DC00C8DD239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2B67-D14F-9046-DC00C8DD239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2B67-D14F-9046-DC00C8DD239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2B67-D14F-9046-DC00C8DD239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2B67-D14F-9046-DC00C8DD239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2B67-D14F-9046-DC00C8DD239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2B67-D14F-9046-DC00C8DD239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2B67-D14F-9046-DC00C8DD239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2B67-D14F-9046-DC00C8DD239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2B67-D14F-9046-DC00C8DD239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2B67-D14F-9046-DC00C8DD239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2B67-D14F-9046-DC00C8DD239F}"/>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E-2B67-D14F-9046-DC00C8DD239F}"/>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2B67-D14F-9046-DC00C8DD239F}"/>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45-5EB5-144C-B58F-49FE8C540F7E}"/>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47-5EB5-144C-B58F-49FE8C540F7E}"/>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49-5EB5-144C-B58F-49FE8C540F7E}"/>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4B-5EB5-144C-B58F-49FE8C540F7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Locations'!$Y$55:$Y$70</c:f>
              <c:strCache>
                <c:ptCount val="16"/>
                <c:pt idx="0">
                  <c:v>South East Asia</c:v>
                </c:pt>
                <c:pt idx="1">
                  <c:v>Central Europe</c:v>
                </c:pt>
                <c:pt idx="2">
                  <c:v>South America</c:v>
                </c:pt>
                <c:pt idx="3">
                  <c:v>Western Europe</c:v>
                </c:pt>
                <c:pt idx="4">
                  <c:v>Northern Europe</c:v>
                </c:pt>
                <c:pt idx="5">
                  <c:v>Eastern Europe</c:v>
                </c:pt>
                <c:pt idx="6">
                  <c:v>Southern Africa</c:v>
                </c:pt>
                <c:pt idx="7">
                  <c:v>West Africa</c:v>
                </c:pt>
                <c:pt idx="8">
                  <c:v>East Africa</c:v>
                </c:pt>
                <c:pt idx="9">
                  <c:v>Middle East</c:v>
                </c:pt>
                <c:pt idx="10">
                  <c:v>North America</c:v>
                </c:pt>
                <c:pt idx="11">
                  <c:v>Northern Africa</c:v>
                </c:pt>
                <c:pt idx="12">
                  <c:v>Oceania</c:v>
                </c:pt>
                <c:pt idx="13">
                  <c:v>Southern Europe</c:v>
                </c:pt>
                <c:pt idx="14">
                  <c:v>South Asia</c:v>
                </c:pt>
                <c:pt idx="15">
                  <c:v>East Asia</c:v>
                </c:pt>
              </c:strCache>
            </c:strRef>
          </c:cat>
          <c:val>
            <c:numRef>
              <c:f>'Race Locations'!$AA$50:$AA$68</c:f>
              <c:numCache>
                <c:formatCode>General</c:formatCode>
                <c:ptCount val="19"/>
                <c:pt idx="4">
                  <c:v>0</c:v>
                </c:pt>
                <c:pt idx="5" formatCode="0%">
                  <c:v>0.23684210526315788</c:v>
                </c:pt>
                <c:pt idx="6" formatCode="0%">
                  <c:v>0.15789473684210525</c:v>
                </c:pt>
                <c:pt idx="7" formatCode="0%">
                  <c:v>0.10526315789473684</c:v>
                </c:pt>
                <c:pt idx="8" formatCode="0%">
                  <c:v>0.10526315789473684</c:v>
                </c:pt>
                <c:pt idx="9" formatCode="0%">
                  <c:v>7.8947368421052627E-2</c:v>
                </c:pt>
                <c:pt idx="10" formatCode="0%">
                  <c:v>5.2631578947368418E-2</c:v>
                </c:pt>
                <c:pt idx="11" formatCode="0%">
                  <c:v>5.2631578947368418E-2</c:v>
                </c:pt>
                <c:pt idx="12" formatCode="0%">
                  <c:v>5.2631578947368418E-2</c:v>
                </c:pt>
                <c:pt idx="13" formatCode="0%">
                  <c:v>2.6315789473684209E-2</c:v>
                </c:pt>
                <c:pt idx="14" formatCode="0%">
                  <c:v>2.6315789473684209E-2</c:v>
                </c:pt>
                <c:pt idx="15" formatCode="0%">
                  <c:v>2.6315789473684209E-2</c:v>
                </c:pt>
                <c:pt idx="16" formatCode="0%">
                  <c:v>2.6315789473684209E-2</c:v>
                </c:pt>
                <c:pt idx="17" formatCode="0%">
                  <c:v>2.6315789473684209E-2</c:v>
                </c:pt>
                <c:pt idx="18" formatCode="0%">
                  <c:v>2.6315789473684209E-2</c:v>
                </c:pt>
              </c:numCache>
            </c:numRef>
          </c:val>
          <c:extLst>
            <c:ext xmlns:c16="http://schemas.microsoft.com/office/drawing/2014/chart" uri="{C3380CC4-5D6E-409C-BE32-E72D297353CC}">
              <c16:uniqueId val="{00000001-2B67-D14F-9046-DC00C8DD239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5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B1C5-B244-BE95-771173C23A1E}"/>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B1C5-B244-BE95-771173C23A1E}"/>
              </c:ext>
            </c:extLst>
          </c:dPt>
          <c:dPt>
            <c:idx val="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B1C5-B244-BE95-771173C23A1E}"/>
              </c:ext>
            </c:extLst>
          </c:dPt>
          <c:dPt>
            <c:idx val="3"/>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B1C5-B244-BE95-771173C23A1E}"/>
              </c:ext>
            </c:extLst>
          </c:dPt>
          <c:dPt>
            <c:idx val="4"/>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B1C5-B244-BE95-771173C23A1E}"/>
              </c:ext>
            </c:extLst>
          </c:dPt>
          <c:dPt>
            <c:idx val="5"/>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B1C5-B244-BE95-771173C23A1E}"/>
              </c:ext>
            </c:extLst>
          </c:dPt>
          <c:dPt>
            <c:idx val="6"/>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B1C5-B244-BE95-771173C23A1E}"/>
              </c:ext>
            </c:extLst>
          </c:dPt>
          <c:dPt>
            <c:idx val="7"/>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B1C5-B244-BE95-771173C23A1E}"/>
              </c:ext>
            </c:extLst>
          </c:dPt>
          <c:dPt>
            <c:idx val="8"/>
            <c:bubble3D val="0"/>
            <c:spPr>
              <a:solidFill>
                <a:srgbClr val="9999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B1C5-B244-BE95-771173C23A1E}"/>
              </c:ext>
            </c:extLst>
          </c:dPt>
          <c:dPt>
            <c:idx val="9"/>
            <c:bubble3D val="0"/>
            <c:spPr>
              <a:solidFill>
                <a:schemeClr val="accent1">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B1C5-B244-BE95-771173C23A1E}"/>
              </c:ext>
            </c:extLst>
          </c:dPt>
          <c:dPt>
            <c:idx val="10"/>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B1C5-B244-BE95-771173C23A1E}"/>
              </c:ext>
            </c:extLst>
          </c:dPt>
          <c:dPt>
            <c:idx val="1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B1C5-B244-BE95-771173C23A1E}"/>
              </c:ext>
            </c:extLst>
          </c:dPt>
          <c:dPt>
            <c:idx val="12"/>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FCD-45DF-A4C3-6C471B442E31}"/>
              </c:ext>
            </c:extLst>
          </c:dPt>
          <c:dPt>
            <c:idx val="13"/>
            <c:bubble3D val="0"/>
            <c:spPr>
              <a:solidFill>
                <a:srgbClr val="FBDC8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0739-4592-B3A5-370ADD5F2ED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B1C5-B244-BE95-771173C23A1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B1C5-B244-BE95-771173C23A1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B1C5-B244-BE95-771173C23A1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B1C5-B244-BE95-771173C23A1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B1C5-B244-BE95-771173C23A1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B1C5-B244-BE95-771173C23A1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B1C5-B244-BE95-771173C23A1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B1C5-B244-BE95-771173C23A1E}"/>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99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B1C5-B244-BE95-771173C23A1E}"/>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B1C5-B244-BE95-771173C23A1E}"/>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B1C5-B244-BE95-771173C23A1E}"/>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B1C5-B244-BE95-771173C23A1E}"/>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9FCD-45DF-A4C3-6C471B442E31}"/>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BDC8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0-0739-4592-B3A5-370ADD5F2ED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Locations'!$AB$55:$AB$68</c:f>
              <c:strCache>
                <c:ptCount val="14"/>
                <c:pt idx="0">
                  <c:v>South East Asia</c:v>
                </c:pt>
                <c:pt idx="1">
                  <c:v>Central Europe</c:v>
                </c:pt>
                <c:pt idx="2">
                  <c:v>Western Europe</c:v>
                </c:pt>
                <c:pt idx="3">
                  <c:v>South Asia</c:v>
                </c:pt>
                <c:pt idx="4">
                  <c:v>Middle East</c:v>
                </c:pt>
                <c:pt idx="5">
                  <c:v>Northern Europe</c:v>
                </c:pt>
                <c:pt idx="6">
                  <c:v>Eastern Europe</c:v>
                </c:pt>
                <c:pt idx="7">
                  <c:v>Southern Africa</c:v>
                </c:pt>
                <c:pt idx="8">
                  <c:v>Southern Europe</c:v>
                </c:pt>
                <c:pt idx="9">
                  <c:v>Central America</c:v>
                </c:pt>
                <c:pt idx="10">
                  <c:v>East Africa</c:v>
                </c:pt>
                <c:pt idx="11">
                  <c:v>East Asia</c:v>
                </c:pt>
                <c:pt idx="12">
                  <c:v>Northern Africa</c:v>
                </c:pt>
                <c:pt idx="13">
                  <c:v>South America</c:v>
                </c:pt>
              </c:strCache>
            </c:strRef>
          </c:cat>
          <c:val>
            <c:numRef>
              <c:f>'Race Locations'!$AC$55:$AC$68</c:f>
              <c:numCache>
                <c:formatCode>General</c:formatCode>
                <c:ptCount val="14"/>
                <c:pt idx="0">
                  <c:v>5</c:v>
                </c:pt>
                <c:pt idx="1">
                  <c:v>5</c:v>
                </c:pt>
                <c:pt idx="2">
                  <c:v>4</c:v>
                </c:pt>
                <c:pt idx="3">
                  <c:v>4</c:v>
                </c:pt>
                <c:pt idx="4">
                  <c:v>3</c:v>
                </c:pt>
                <c:pt idx="5">
                  <c:v>3</c:v>
                </c:pt>
                <c:pt idx="6">
                  <c:v>2</c:v>
                </c:pt>
                <c:pt idx="7">
                  <c:v>2</c:v>
                </c:pt>
                <c:pt idx="8">
                  <c:v>2</c:v>
                </c:pt>
                <c:pt idx="9">
                  <c:v>1</c:v>
                </c:pt>
                <c:pt idx="10">
                  <c:v>1</c:v>
                </c:pt>
                <c:pt idx="11">
                  <c:v>1</c:v>
                </c:pt>
                <c:pt idx="12">
                  <c:v>1</c:v>
                </c:pt>
                <c:pt idx="13">
                  <c:v>1</c:v>
                </c:pt>
              </c:numCache>
            </c:numRef>
          </c:val>
          <c:extLst>
            <c:ext xmlns:c16="http://schemas.microsoft.com/office/drawing/2014/chart" uri="{C3380CC4-5D6E-409C-BE32-E72D297353CC}">
              <c16:uniqueId val="{00000000-B1C5-B244-BE95-771173C23A1E}"/>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B1C5-B244-BE95-771173C23A1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B1C5-B244-BE95-771173C23A1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B1C5-B244-BE95-771173C23A1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B1C5-B244-BE95-771173C23A1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B1C5-B244-BE95-771173C23A1E}"/>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B1C5-B244-BE95-771173C23A1E}"/>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B1C5-B244-BE95-771173C23A1E}"/>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B1C5-B244-BE95-771173C23A1E}"/>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B1C5-B244-BE95-771173C23A1E}"/>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B1C5-B244-BE95-771173C23A1E}"/>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B1C5-B244-BE95-771173C23A1E}"/>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B1C5-B244-BE95-771173C23A1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B1C5-B244-BE95-771173C23A1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B1C5-B244-BE95-771173C23A1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B1C5-B244-BE95-771173C23A1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B1C5-B244-BE95-771173C23A1E}"/>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B1C5-B244-BE95-771173C23A1E}"/>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B1C5-B244-BE95-771173C23A1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B1C5-B244-BE95-771173C23A1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B1C5-B244-BE95-771173C23A1E}"/>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B1C5-B244-BE95-771173C23A1E}"/>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B1C5-B244-BE95-771173C23A1E}"/>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B1C5-B244-BE95-771173C23A1E}"/>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B1C5-B244-BE95-771173C23A1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Locations'!$AB$55:$AB$68</c:f>
              <c:strCache>
                <c:ptCount val="14"/>
                <c:pt idx="0">
                  <c:v>South East Asia</c:v>
                </c:pt>
                <c:pt idx="1">
                  <c:v>Central Europe</c:v>
                </c:pt>
                <c:pt idx="2">
                  <c:v>Western Europe</c:v>
                </c:pt>
                <c:pt idx="3">
                  <c:v>South Asia</c:v>
                </c:pt>
                <c:pt idx="4">
                  <c:v>Middle East</c:v>
                </c:pt>
                <c:pt idx="5">
                  <c:v>Northern Europe</c:v>
                </c:pt>
                <c:pt idx="6">
                  <c:v>Eastern Europe</c:v>
                </c:pt>
                <c:pt idx="7">
                  <c:v>Southern Africa</c:v>
                </c:pt>
                <c:pt idx="8">
                  <c:v>Southern Europe</c:v>
                </c:pt>
                <c:pt idx="9">
                  <c:v>Central America</c:v>
                </c:pt>
                <c:pt idx="10">
                  <c:v>East Africa</c:v>
                </c:pt>
                <c:pt idx="11">
                  <c:v>East Asia</c:v>
                </c:pt>
                <c:pt idx="12">
                  <c:v>Northern Africa</c:v>
                </c:pt>
                <c:pt idx="13">
                  <c:v>South America</c:v>
                </c:pt>
              </c:strCache>
            </c:strRef>
          </c:cat>
          <c:val>
            <c:numRef>
              <c:f>'Race Locations'!$AD$55:$AD$66</c:f>
              <c:numCache>
                <c:formatCode>0%</c:formatCode>
                <c:ptCount val="12"/>
                <c:pt idx="0">
                  <c:v>0.13157894736842105</c:v>
                </c:pt>
                <c:pt idx="1">
                  <c:v>0.13157894736842105</c:v>
                </c:pt>
                <c:pt idx="2">
                  <c:v>0.10526315789473684</c:v>
                </c:pt>
                <c:pt idx="3">
                  <c:v>0.10526315789473684</c:v>
                </c:pt>
                <c:pt idx="4">
                  <c:v>7.8947368421052627E-2</c:v>
                </c:pt>
                <c:pt idx="5">
                  <c:v>7.8947368421052627E-2</c:v>
                </c:pt>
                <c:pt idx="6">
                  <c:v>5.2631578947368418E-2</c:v>
                </c:pt>
                <c:pt idx="7">
                  <c:v>5.2631578947368418E-2</c:v>
                </c:pt>
                <c:pt idx="8">
                  <c:v>5.2631578947368418E-2</c:v>
                </c:pt>
                <c:pt idx="9">
                  <c:v>2.6315789473684209E-2</c:v>
                </c:pt>
                <c:pt idx="10">
                  <c:v>2.6315789473684209E-2</c:v>
                </c:pt>
                <c:pt idx="11">
                  <c:v>2.6315789473684209E-2</c:v>
                </c:pt>
              </c:numCache>
            </c:numRef>
          </c:val>
          <c:extLst>
            <c:ext xmlns:c16="http://schemas.microsoft.com/office/drawing/2014/chart" uri="{C3380CC4-5D6E-409C-BE32-E72D297353CC}">
              <c16:uniqueId val="{00000001-B1C5-B244-BE95-771173C23A1E}"/>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6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D9A-6049-8C56-EDEC8C4DF2D8}"/>
              </c:ext>
            </c:extLst>
          </c:dPt>
          <c:dPt>
            <c:idx val="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D9A-6049-8C56-EDEC8C4DF2D8}"/>
              </c:ext>
            </c:extLst>
          </c:dPt>
          <c:dPt>
            <c:idx val="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D9A-6049-8C56-EDEC8C4DF2D8}"/>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D9A-6049-8C56-EDEC8C4DF2D8}"/>
              </c:ext>
            </c:extLst>
          </c:dPt>
          <c:dPt>
            <c:idx val="4"/>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D9A-6049-8C56-EDEC8C4DF2D8}"/>
              </c:ext>
            </c:extLst>
          </c:dPt>
          <c:dPt>
            <c:idx val="5"/>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D9A-6049-8C56-EDEC8C4DF2D8}"/>
              </c:ext>
            </c:extLst>
          </c:dPt>
          <c:dPt>
            <c:idx val="6"/>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7D9A-6049-8C56-EDEC8C4DF2D8}"/>
              </c:ext>
            </c:extLst>
          </c:dPt>
          <c:dPt>
            <c:idx val="7"/>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D9A-6049-8C56-EDEC8C4DF2D8}"/>
              </c:ext>
            </c:extLst>
          </c:dPt>
          <c:dPt>
            <c:idx val="8"/>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7D9A-6049-8C56-EDEC8C4DF2D8}"/>
              </c:ext>
            </c:extLst>
          </c:dPt>
          <c:dPt>
            <c:idx val="9"/>
            <c:bubble3D val="0"/>
            <c:spPr>
              <a:solidFill>
                <a:schemeClr val="tx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D9A-6049-8C56-EDEC8C4DF2D8}"/>
              </c:ext>
            </c:extLst>
          </c:dPt>
          <c:dPt>
            <c:idx val="10"/>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7D9A-6049-8C56-EDEC8C4DF2D8}"/>
              </c:ext>
            </c:extLst>
          </c:dPt>
          <c:dPt>
            <c:idx val="11"/>
            <c:bubble3D val="0"/>
            <c:spPr>
              <a:solidFill>
                <a:srgbClr val="FBDC8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C8DD-4955-8ED8-E1CF7D395C3E}"/>
              </c:ext>
            </c:extLst>
          </c:dPt>
          <c:dPt>
            <c:idx val="12"/>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C8DD-4955-8ED8-E1CF7D395C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7D9A-6049-8C56-EDEC8C4DF2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7D9A-6049-8C56-EDEC8C4DF2D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7D9A-6049-8C56-EDEC8C4DF2D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D9A-6049-8C56-EDEC8C4DF2D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7D9A-6049-8C56-EDEC8C4DF2D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D9A-6049-8C56-EDEC8C4DF2D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7D9A-6049-8C56-EDEC8C4DF2D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D9A-6049-8C56-EDEC8C4DF2D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7D9A-6049-8C56-EDEC8C4DF2D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7D9A-6049-8C56-EDEC8C4DF2D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7D9A-6049-8C56-EDEC8C4DF2D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BDC8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C-C8DD-4955-8ED8-E1CF7D395C3E}"/>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D-C8DD-4955-8ED8-E1CF7D395C3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Locations'!$AE$55:$AE$67</c:f>
              <c:strCache>
                <c:ptCount val="13"/>
                <c:pt idx="0">
                  <c:v>Western Europe</c:v>
                </c:pt>
                <c:pt idx="1">
                  <c:v>South Asia</c:v>
                </c:pt>
                <c:pt idx="2">
                  <c:v>Southern Europe</c:v>
                </c:pt>
                <c:pt idx="3">
                  <c:v>Central Europe</c:v>
                </c:pt>
                <c:pt idx="4">
                  <c:v>Middle East</c:v>
                </c:pt>
                <c:pt idx="5">
                  <c:v>Northern Africa</c:v>
                </c:pt>
                <c:pt idx="6">
                  <c:v>East Africa</c:v>
                </c:pt>
                <c:pt idx="7">
                  <c:v>Southern Africa</c:v>
                </c:pt>
                <c:pt idx="8">
                  <c:v>West Asia</c:v>
                </c:pt>
                <c:pt idx="9">
                  <c:v>Central America</c:v>
                </c:pt>
                <c:pt idx="10">
                  <c:v>Eastern Europe</c:v>
                </c:pt>
                <c:pt idx="11">
                  <c:v>South America</c:v>
                </c:pt>
                <c:pt idx="12">
                  <c:v>South East Asia</c:v>
                </c:pt>
              </c:strCache>
            </c:strRef>
          </c:cat>
          <c:val>
            <c:numRef>
              <c:f>'Race Locations'!$AF$55:$AF$67</c:f>
              <c:numCache>
                <c:formatCode>General</c:formatCode>
                <c:ptCount val="13"/>
                <c:pt idx="0">
                  <c:v>6</c:v>
                </c:pt>
                <c:pt idx="1">
                  <c:v>6</c:v>
                </c:pt>
                <c:pt idx="2">
                  <c:v>5</c:v>
                </c:pt>
                <c:pt idx="3">
                  <c:v>4</c:v>
                </c:pt>
                <c:pt idx="4">
                  <c:v>4</c:v>
                </c:pt>
                <c:pt idx="5">
                  <c:v>3</c:v>
                </c:pt>
                <c:pt idx="6">
                  <c:v>3</c:v>
                </c:pt>
                <c:pt idx="7">
                  <c:v>2</c:v>
                </c:pt>
                <c:pt idx="8">
                  <c:v>2</c:v>
                </c:pt>
                <c:pt idx="9">
                  <c:v>1</c:v>
                </c:pt>
                <c:pt idx="10">
                  <c:v>1</c:v>
                </c:pt>
                <c:pt idx="11">
                  <c:v>1</c:v>
                </c:pt>
                <c:pt idx="12">
                  <c:v>1</c:v>
                </c:pt>
              </c:numCache>
            </c:numRef>
          </c:val>
          <c:extLst>
            <c:ext xmlns:c16="http://schemas.microsoft.com/office/drawing/2014/chart" uri="{C3380CC4-5D6E-409C-BE32-E72D297353CC}">
              <c16:uniqueId val="{00000000-7D9A-6049-8C56-EDEC8C4DF2D8}"/>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D9A-6049-8C56-EDEC8C4DF2D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7D9A-6049-8C56-EDEC8C4DF2D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D9A-6049-8C56-EDEC8C4DF2D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7D9A-6049-8C56-EDEC8C4DF2D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D9A-6049-8C56-EDEC8C4DF2D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7D9A-6049-8C56-EDEC8C4DF2D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D9A-6049-8C56-EDEC8C4DF2D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7D9A-6049-8C56-EDEC8C4DF2D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D9A-6049-8C56-EDEC8C4DF2D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7D9A-6049-8C56-EDEC8C4DF2D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D9A-6049-8C56-EDEC8C4DF2D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7D9A-6049-8C56-EDEC8C4DF2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7D9A-6049-8C56-EDEC8C4DF2D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7D9A-6049-8C56-EDEC8C4DF2D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7D9A-6049-8C56-EDEC8C4DF2D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7D9A-6049-8C56-EDEC8C4DF2D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7D9A-6049-8C56-EDEC8C4DF2D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7D9A-6049-8C56-EDEC8C4DF2D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7D9A-6049-8C56-EDEC8C4DF2D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7D9A-6049-8C56-EDEC8C4DF2D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7D9A-6049-8C56-EDEC8C4DF2D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7D9A-6049-8C56-EDEC8C4DF2D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Locations'!$AE$55:$AE$67</c:f>
              <c:strCache>
                <c:ptCount val="13"/>
                <c:pt idx="0">
                  <c:v>Western Europe</c:v>
                </c:pt>
                <c:pt idx="1">
                  <c:v>South Asia</c:v>
                </c:pt>
                <c:pt idx="2">
                  <c:v>Southern Europe</c:v>
                </c:pt>
                <c:pt idx="3">
                  <c:v>Central Europe</c:v>
                </c:pt>
                <c:pt idx="4">
                  <c:v>Middle East</c:v>
                </c:pt>
                <c:pt idx="5">
                  <c:v>Northern Africa</c:v>
                </c:pt>
                <c:pt idx="6">
                  <c:v>East Africa</c:v>
                </c:pt>
                <c:pt idx="7">
                  <c:v>Southern Africa</c:v>
                </c:pt>
                <c:pt idx="8">
                  <c:v>West Asia</c:v>
                </c:pt>
                <c:pt idx="9">
                  <c:v>Central America</c:v>
                </c:pt>
                <c:pt idx="10">
                  <c:v>Eastern Europe</c:v>
                </c:pt>
                <c:pt idx="11">
                  <c:v>South America</c:v>
                </c:pt>
                <c:pt idx="12">
                  <c:v>South East Asia</c:v>
                </c:pt>
              </c:strCache>
            </c:strRef>
          </c:cat>
          <c:val>
            <c:numRef>
              <c:f>'Race Locations'!$AG$55:$AG$65</c:f>
              <c:numCache>
                <c:formatCode>0%</c:formatCode>
                <c:ptCount val="11"/>
                <c:pt idx="0">
                  <c:v>0.15789473684210525</c:v>
                </c:pt>
                <c:pt idx="1">
                  <c:v>0.15789473684210525</c:v>
                </c:pt>
                <c:pt idx="2">
                  <c:v>0.13157894736842105</c:v>
                </c:pt>
                <c:pt idx="3">
                  <c:v>0.10526315789473684</c:v>
                </c:pt>
                <c:pt idx="4">
                  <c:v>0.10526315789473684</c:v>
                </c:pt>
                <c:pt idx="5">
                  <c:v>7.8947368421052627E-2</c:v>
                </c:pt>
                <c:pt idx="6">
                  <c:v>7.8947368421052627E-2</c:v>
                </c:pt>
                <c:pt idx="7">
                  <c:v>5.2631578947368418E-2</c:v>
                </c:pt>
                <c:pt idx="8">
                  <c:v>5.2631578947368418E-2</c:v>
                </c:pt>
                <c:pt idx="9">
                  <c:v>2.6315789473684209E-2</c:v>
                </c:pt>
                <c:pt idx="10">
                  <c:v>2.6315789473684209E-2</c:v>
                </c:pt>
              </c:numCache>
            </c:numRef>
          </c:val>
          <c:extLst>
            <c:ext xmlns:c16="http://schemas.microsoft.com/office/drawing/2014/chart" uri="{C3380CC4-5D6E-409C-BE32-E72D297353CC}">
              <c16:uniqueId val="{00000001-7D9A-6049-8C56-EDEC8C4DF2D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a:t>
            </a:r>
            <a:r>
              <a:rPr lang="en-US" baseline="0"/>
              <a:t>g 7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95D-C84A-8712-F742C64575DA}"/>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95D-C84A-8712-F742C64575DA}"/>
              </c:ext>
            </c:extLst>
          </c:dPt>
          <c:dPt>
            <c:idx val="2"/>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95D-C84A-8712-F742C64575DA}"/>
              </c:ext>
            </c:extLst>
          </c:dPt>
          <c:dPt>
            <c:idx val="3"/>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95D-C84A-8712-F742C64575DA}"/>
              </c:ext>
            </c:extLst>
          </c:dPt>
          <c:dPt>
            <c:idx val="4"/>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95D-C84A-8712-F742C64575DA}"/>
              </c:ext>
            </c:extLst>
          </c:dPt>
          <c:dPt>
            <c:idx val="5"/>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95D-C84A-8712-F742C64575DA}"/>
              </c:ext>
            </c:extLst>
          </c:dPt>
          <c:dPt>
            <c:idx val="6"/>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195D-C84A-8712-F742C64575DA}"/>
              </c:ext>
            </c:extLst>
          </c:dPt>
          <c:dPt>
            <c:idx val="7"/>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95D-C84A-8712-F742C64575DA}"/>
              </c:ext>
            </c:extLst>
          </c:dPt>
          <c:dPt>
            <c:idx val="8"/>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195D-C84A-8712-F742C64575DA}"/>
              </c:ext>
            </c:extLst>
          </c:dPt>
          <c:dPt>
            <c:idx val="9"/>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95D-C84A-8712-F742C64575DA}"/>
              </c:ext>
            </c:extLst>
          </c:dPt>
          <c:dPt>
            <c:idx val="10"/>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195D-C84A-8712-F742C64575DA}"/>
              </c:ext>
            </c:extLst>
          </c:dPt>
          <c:dPt>
            <c:idx val="11"/>
            <c:bubble3D val="0"/>
            <c:spPr>
              <a:solidFill>
                <a:schemeClr val="accent4">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195D-C84A-8712-F742C64575DA}"/>
              </c:ext>
            </c:extLst>
          </c:dPt>
          <c:dPt>
            <c:idx val="12"/>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1009-4C5D-BB5C-44FDAA6569A9}"/>
              </c:ext>
            </c:extLst>
          </c:dPt>
          <c:dPt>
            <c:idx val="13"/>
            <c:bubble3D val="0"/>
            <c:spPr>
              <a:solidFill>
                <a:srgbClr val="99FF99"/>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1009-4C5D-BB5C-44FDAA6569A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195D-C84A-8712-F742C64575D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95D-C84A-8712-F742C64575D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95D-C84A-8712-F742C64575D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95D-C84A-8712-F742C64575D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195D-C84A-8712-F742C64575DA}"/>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95D-C84A-8712-F742C64575DA}"/>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195D-C84A-8712-F742C64575DA}"/>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95D-C84A-8712-F742C64575DA}"/>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195D-C84A-8712-F742C64575DA}"/>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195D-C84A-8712-F742C64575DA}"/>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195D-C84A-8712-F742C64575DA}"/>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195D-C84A-8712-F742C64575DA}"/>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1-1009-4C5D-BB5C-44FDAA6569A9}"/>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FF99"/>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0-1009-4C5D-BB5C-44FDAA6569A9}"/>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Locations'!$AH$55:$AH$68</c:f>
              <c:strCache>
                <c:ptCount val="14"/>
                <c:pt idx="0">
                  <c:v>Central Europe</c:v>
                </c:pt>
                <c:pt idx="1">
                  <c:v>Southern Europe</c:v>
                </c:pt>
                <c:pt idx="2">
                  <c:v>Southern Africa</c:v>
                </c:pt>
                <c:pt idx="3">
                  <c:v>South Asia</c:v>
                </c:pt>
                <c:pt idx="4">
                  <c:v>East Africa</c:v>
                </c:pt>
                <c:pt idx="5">
                  <c:v>Eastern Europe</c:v>
                </c:pt>
                <c:pt idx="6">
                  <c:v>Western Europe</c:v>
                </c:pt>
                <c:pt idx="7">
                  <c:v>East Asia</c:v>
                </c:pt>
                <c:pt idx="8">
                  <c:v>Central Asia</c:v>
                </c:pt>
                <c:pt idx="9">
                  <c:v>Middle East</c:v>
                </c:pt>
                <c:pt idx="10">
                  <c:v>North America</c:v>
                </c:pt>
                <c:pt idx="11">
                  <c:v>South America</c:v>
                </c:pt>
                <c:pt idx="12">
                  <c:v>West Asia</c:v>
                </c:pt>
                <c:pt idx="13">
                  <c:v>South East Asia</c:v>
                </c:pt>
              </c:strCache>
            </c:strRef>
          </c:cat>
          <c:val>
            <c:numRef>
              <c:f>'Race Locations'!$AI$55:$AI$68</c:f>
              <c:numCache>
                <c:formatCode>General</c:formatCode>
                <c:ptCount val="14"/>
                <c:pt idx="0">
                  <c:v>6</c:v>
                </c:pt>
                <c:pt idx="1">
                  <c:v>6</c:v>
                </c:pt>
                <c:pt idx="2">
                  <c:v>5</c:v>
                </c:pt>
                <c:pt idx="3">
                  <c:v>4</c:v>
                </c:pt>
                <c:pt idx="4">
                  <c:v>4</c:v>
                </c:pt>
                <c:pt idx="5">
                  <c:v>4</c:v>
                </c:pt>
                <c:pt idx="6">
                  <c:v>3</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195D-C84A-8712-F742C64575DA}"/>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195D-C84A-8712-F742C64575D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195D-C84A-8712-F742C64575D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195D-C84A-8712-F742C64575D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195D-C84A-8712-F742C64575D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195D-C84A-8712-F742C64575DA}"/>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195D-C84A-8712-F742C64575DA}"/>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195D-C84A-8712-F742C64575DA}"/>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195D-C84A-8712-F742C64575DA}"/>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195D-C84A-8712-F742C64575DA}"/>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195D-C84A-8712-F742C64575DA}"/>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195D-C84A-8712-F742C64575DA}"/>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195D-C84A-8712-F742C64575D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195D-C84A-8712-F742C64575D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195D-C84A-8712-F742C64575D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195D-C84A-8712-F742C64575D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195D-C84A-8712-F742C64575D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195D-C84A-8712-F742C64575DA}"/>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195D-C84A-8712-F742C64575DA}"/>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195D-C84A-8712-F742C64575DA}"/>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195D-C84A-8712-F742C64575DA}"/>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195D-C84A-8712-F742C64575DA}"/>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195D-C84A-8712-F742C64575DA}"/>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195D-C84A-8712-F742C64575DA}"/>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195D-C84A-8712-F742C64575DA}"/>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Locations'!$AH$55:$AH$68</c:f>
              <c:strCache>
                <c:ptCount val="14"/>
                <c:pt idx="0">
                  <c:v>Central Europe</c:v>
                </c:pt>
                <c:pt idx="1">
                  <c:v>Southern Europe</c:v>
                </c:pt>
                <c:pt idx="2">
                  <c:v>Southern Africa</c:v>
                </c:pt>
                <c:pt idx="3">
                  <c:v>South Asia</c:v>
                </c:pt>
                <c:pt idx="4">
                  <c:v>East Africa</c:v>
                </c:pt>
                <c:pt idx="5">
                  <c:v>Eastern Europe</c:v>
                </c:pt>
                <c:pt idx="6">
                  <c:v>Western Europe</c:v>
                </c:pt>
                <c:pt idx="7">
                  <c:v>East Asia</c:v>
                </c:pt>
                <c:pt idx="8">
                  <c:v>Central Asia</c:v>
                </c:pt>
                <c:pt idx="9">
                  <c:v>Middle East</c:v>
                </c:pt>
                <c:pt idx="10">
                  <c:v>North America</c:v>
                </c:pt>
                <c:pt idx="11">
                  <c:v>South America</c:v>
                </c:pt>
                <c:pt idx="12">
                  <c:v>West Asia</c:v>
                </c:pt>
                <c:pt idx="13">
                  <c:v>South East Asia</c:v>
                </c:pt>
              </c:strCache>
            </c:strRef>
          </c:cat>
          <c:val>
            <c:numRef>
              <c:f>'Race Locations'!$AJ$55:$AJ$66</c:f>
              <c:numCache>
                <c:formatCode>0%</c:formatCode>
                <c:ptCount val="12"/>
                <c:pt idx="0">
                  <c:v>0.15789473684210525</c:v>
                </c:pt>
                <c:pt idx="1">
                  <c:v>0.15789473684210525</c:v>
                </c:pt>
                <c:pt idx="2">
                  <c:v>0.13157894736842105</c:v>
                </c:pt>
                <c:pt idx="3">
                  <c:v>0.10526315789473684</c:v>
                </c:pt>
                <c:pt idx="4">
                  <c:v>0.10526315789473684</c:v>
                </c:pt>
                <c:pt idx="5">
                  <c:v>0.10526315789473684</c:v>
                </c:pt>
                <c:pt idx="6">
                  <c:v>7.8947368421052627E-2</c:v>
                </c:pt>
                <c:pt idx="7">
                  <c:v>2.6315789473684209E-2</c:v>
                </c:pt>
                <c:pt idx="8">
                  <c:v>2.6315789473684209E-2</c:v>
                </c:pt>
                <c:pt idx="9">
                  <c:v>2.6315789473684209E-2</c:v>
                </c:pt>
                <c:pt idx="10">
                  <c:v>2.6315789473684209E-2</c:v>
                </c:pt>
                <c:pt idx="11">
                  <c:v>2.6315789473684209E-2</c:v>
                </c:pt>
              </c:numCache>
            </c:numRef>
          </c:val>
          <c:extLst>
            <c:ext xmlns:c16="http://schemas.microsoft.com/office/drawing/2014/chart" uri="{C3380CC4-5D6E-409C-BE32-E72D297353CC}">
              <c16:uniqueId val="{00000001-195D-C84A-8712-F742C64575D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8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83A-D248-A116-1162CF57A428}"/>
              </c:ext>
            </c:extLst>
          </c:dPt>
          <c:dPt>
            <c:idx val="1"/>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83A-D248-A116-1162CF57A428}"/>
              </c:ext>
            </c:extLst>
          </c:dPt>
          <c:dPt>
            <c:idx val="2"/>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83A-D248-A116-1162CF57A428}"/>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83A-D248-A116-1162CF57A428}"/>
              </c:ext>
            </c:extLst>
          </c:dPt>
          <c:dPt>
            <c:idx val="4"/>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83A-D248-A116-1162CF57A428}"/>
              </c:ext>
            </c:extLst>
          </c:dPt>
          <c:dPt>
            <c:idx val="5"/>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83A-D248-A116-1162CF57A428}"/>
              </c:ext>
            </c:extLst>
          </c:dPt>
          <c:dPt>
            <c:idx val="6"/>
            <c:bubble3D val="0"/>
            <c:spPr>
              <a:solidFill>
                <a:schemeClr val="accent1">
                  <a:lumMod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183A-D248-A116-1162CF57A428}"/>
              </c:ext>
            </c:extLst>
          </c:dPt>
          <c:dPt>
            <c:idx val="7"/>
            <c:bubble3D val="0"/>
            <c:spPr>
              <a:solidFill>
                <a:srgbClr val="91F8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83A-D248-A116-1162CF57A428}"/>
              </c:ext>
            </c:extLst>
          </c:dPt>
          <c:dPt>
            <c:idx val="8"/>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183A-D248-A116-1162CF57A428}"/>
              </c:ext>
            </c:extLst>
          </c:dPt>
          <c:dPt>
            <c:idx val="9"/>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83A-D248-A116-1162CF57A428}"/>
              </c:ext>
            </c:extLst>
          </c:dPt>
          <c:dPt>
            <c:idx val="10"/>
            <c:bubble3D val="0"/>
            <c:spPr>
              <a:solidFill>
                <a:schemeClr val="accent6">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183A-D248-A116-1162CF57A428}"/>
              </c:ext>
            </c:extLst>
          </c:dPt>
          <c:dPt>
            <c:idx val="1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183A-D248-A116-1162CF57A428}"/>
              </c:ext>
            </c:extLst>
          </c:dPt>
          <c:dPt>
            <c:idx val="12"/>
            <c:bubble3D val="0"/>
            <c:spPr>
              <a:solidFill>
                <a:schemeClr val="accent1">
                  <a:lumMod val="80000"/>
                  <a:lumOff val="2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1285-4AD6-BDE2-9F2EA0DCAF28}"/>
              </c:ext>
            </c:extLst>
          </c:dPt>
          <c:dPt>
            <c:idx val="13"/>
            <c:bubble3D val="0"/>
            <c:spPr>
              <a:solidFill>
                <a:srgbClr val="B061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1285-4AD6-BDE2-9F2EA0DCAF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183A-D248-A116-1162CF57A42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83A-D248-A116-1162CF57A42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83A-D248-A116-1162CF57A42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83A-D248-A116-1162CF57A42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183A-D248-A116-1162CF57A42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83A-D248-A116-1162CF57A42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183A-D248-A116-1162CF57A42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1F8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83A-D248-A116-1162CF57A42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183A-D248-A116-1162CF57A42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183A-D248-A116-1162CF57A42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183A-D248-A116-1162CF57A42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183A-D248-A116-1162CF57A428}"/>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1-1285-4AD6-BDE2-9F2EA0DCAF28}"/>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061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0-1285-4AD6-BDE2-9F2EA0DCAF2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Locations'!$AK$55:$AK$68</c:f>
              <c:strCache>
                <c:ptCount val="14"/>
                <c:pt idx="0">
                  <c:v>Central Europe</c:v>
                </c:pt>
                <c:pt idx="1">
                  <c:v>Middle East</c:v>
                </c:pt>
                <c:pt idx="2">
                  <c:v>South Asia</c:v>
                </c:pt>
                <c:pt idx="3">
                  <c:v>Southern Europe</c:v>
                </c:pt>
                <c:pt idx="4">
                  <c:v>Eastern Europe</c:v>
                </c:pt>
                <c:pt idx="5">
                  <c:v>Southern Africa</c:v>
                </c:pt>
                <c:pt idx="6">
                  <c:v>South East Asia</c:v>
                </c:pt>
                <c:pt idx="7">
                  <c:v>East Africa</c:v>
                </c:pt>
                <c:pt idx="8">
                  <c:v>Northern Europe</c:v>
                </c:pt>
                <c:pt idx="9">
                  <c:v>Western Europe</c:v>
                </c:pt>
                <c:pt idx="10">
                  <c:v>Caribbean</c:v>
                </c:pt>
                <c:pt idx="11">
                  <c:v>Central Asia</c:v>
                </c:pt>
                <c:pt idx="12">
                  <c:v>North America</c:v>
                </c:pt>
                <c:pt idx="13">
                  <c:v>Oceania</c:v>
                </c:pt>
              </c:strCache>
            </c:strRef>
          </c:cat>
          <c:val>
            <c:numRef>
              <c:f>'Race Locations'!$AL$55:$AL$68</c:f>
              <c:numCache>
                <c:formatCode>General</c:formatCode>
                <c:ptCount val="14"/>
                <c:pt idx="0">
                  <c:v>5</c:v>
                </c:pt>
                <c:pt idx="1">
                  <c:v>5</c:v>
                </c:pt>
                <c:pt idx="2">
                  <c:v>4</c:v>
                </c:pt>
                <c:pt idx="3">
                  <c:v>5</c:v>
                </c:pt>
                <c:pt idx="4">
                  <c:v>4</c:v>
                </c:pt>
                <c:pt idx="5">
                  <c:v>3</c:v>
                </c:pt>
                <c:pt idx="6">
                  <c:v>3</c:v>
                </c:pt>
                <c:pt idx="7">
                  <c:v>2</c:v>
                </c:pt>
                <c:pt idx="8">
                  <c:v>2</c:v>
                </c:pt>
                <c:pt idx="9">
                  <c:v>2</c:v>
                </c:pt>
                <c:pt idx="10">
                  <c:v>1</c:v>
                </c:pt>
                <c:pt idx="11">
                  <c:v>1</c:v>
                </c:pt>
                <c:pt idx="12">
                  <c:v>1</c:v>
                </c:pt>
                <c:pt idx="13">
                  <c:v>1</c:v>
                </c:pt>
              </c:numCache>
            </c:numRef>
          </c:val>
          <c:extLst>
            <c:ext xmlns:c16="http://schemas.microsoft.com/office/drawing/2014/chart" uri="{C3380CC4-5D6E-409C-BE32-E72D297353CC}">
              <c16:uniqueId val="{00000000-183A-D248-A116-1162CF57A428}"/>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183A-D248-A116-1162CF57A42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183A-D248-A116-1162CF57A42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183A-D248-A116-1162CF57A42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183A-D248-A116-1162CF57A42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183A-D248-A116-1162CF57A42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183A-D248-A116-1162CF57A42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183A-D248-A116-1162CF57A42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183A-D248-A116-1162CF57A42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183A-D248-A116-1162CF57A42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183A-D248-A116-1162CF57A42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183A-D248-A116-1162CF57A42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183A-D248-A116-1162CF57A4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183A-D248-A116-1162CF57A42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183A-D248-A116-1162CF57A42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183A-D248-A116-1162CF57A42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183A-D248-A116-1162CF57A42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183A-D248-A116-1162CF57A42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183A-D248-A116-1162CF57A42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183A-D248-A116-1162CF57A42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183A-D248-A116-1162CF57A42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183A-D248-A116-1162CF57A42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183A-D248-A116-1162CF57A42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183A-D248-A116-1162CF57A42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183A-D248-A116-1162CF57A42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Locations'!$AK$55:$AK$68</c:f>
              <c:strCache>
                <c:ptCount val="14"/>
                <c:pt idx="0">
                  <c:v>Central Europe</c:v>
                </c:pt>
                <c:pt idx="1">
                  <c:v>Middle East</c:v>
                </c:pt>
                <c:pt idx="2">
                  <c:v>South Asia</c:v>
                </c:pt>
                <c:pt idx="3">
                  <c:v>Southern Europe</c:v>
                </c:pt>
                <c:pt idx="4">
                  <c:v>Eastern Europe</c:v>
                </c:pt>
                <c:pt idx="5">
                  <c:v>Southern Africa</c:v>
                </c:pt>
                <c:pt idx="6">
                  <c:v>South East Asia</c:v>
                </c:pt>
                <c:pt idx="7">
                  <c:v>East Africa</c:v>
                </c:pt>
                <c:pt idx="8">
                  <c:v>Northern Europe</c:v>
                </c:pt>
                <c:pt idx="9">
                  <c:v>Western Europe</c:v>
                </c:pt>
                <c:pt idx="10">
                  <c:v>Caribbean</c:v>
                </c:pt>
                <c:pt idx="11">
                  <c:v>Central Asia</c:v>
                </c:pt>
                <c:pt idx="12">
                  <c:v>North America</c:v>
                </c:pt>
                <c:pt idx="13">
                  <c:v>Oceania</c:v>
                </c:pt>
              </c:strCache>
            </c:strRef>
          </c:cat>
          <c:val>
            <c:numRef>
              <c:f>'Race Locations'!$AM$55:$AM$66</c:f>
              <c:numCache>
                <c:formatCode>0%</c:formatCode>
                <c:ptCount val="12"/>
                <c:pt idx="0">
                  <c:v>0.13157894736842105</c:v>
                </c:pt>
                <c:pt idx="1">
                  <c:v>0.13157894736842105</c:v>
                </c:pt>
                <c:pt idx="2">
                  <c:v>0.10526315789473684</c:v>
                </c:pt>
                <c:pt idx="3">
                  <c:v>0.13157894736842105</c:v>
                </c:pt>
                <c:pt idx="4">
                  <c:v>0.10526315789473684</c:v>
                </c:pt>
                <c:pt idx="5">
                  <c:v>7.8947368421052627E-2</c:v>
                </c:pt>
                <c:pt idx="6">
                  <c:v>7.8947368421052627E-2</c:v>
                </c:pt>
                <c:pt idx="7">
                  <c:v>5.2631578947368418E-2</c:v>
                </c:pt>
                <c:pt idx="8">
                  <c:v>5.2631578947368418E-2</c:v>
                </c:pt>
                <c:pt idx="9">
                  <c:v>5.2631578947368418E-2</c:v>
                </c:pt>
                <c:pt idx="10">
                  <c:v>2.6315789473684209E-2</c:v>
                </c:pt>
                <c:pt idx="11">
                  <c:v>2.6315789473684209E-2</c:v>
                </c:pt>
              </c:numCache>
            </c:numRef>
          </c:val>
          <c:extLst>
            <c:ext xmlns:c16="http://schemas.microsoft.com/office/drawing/2014/chart" uri="{C3380CC4-5D6E-409C-BE32-E72D297353CC}">
              <c16:uniqueId val="{00000001-183A-D248-A116-1162CF57A42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9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040-8C4E-9059-BA2134EB0F34}"/>
              </c:ext>
            </c:extLst>
          </c:dPt>
          <c:dPt>
            <c:idx val="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040-8C4E-9059-BA2134EB0F34}"/>
              </c:ext>
            </c:extLst>
          </c:dPt>
          <c:dPt>
            <c:idx val="2"/>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040-8C4E-9059-BA2134EB0F34}"/>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040-8C4E-9059-BA2134EB0F34}"/>
              </c:ext>
            </c:extLst>
          </c:dPt>
          <c:dPt>
            <c:idx val="4"/>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040-8C4E-9059-BA2134EB0F34}"/>
              </c:ext>
            </c:extLst>
          </c:dPt>
          <c:dPt>
            <c:idx val="5"/>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040-8C4E-9059-BA2134EB0F34}"/>
              </c:ext>
            </c:extLst>
          </c:dPt>
          <c:dPt>
            <c:idx val="6"/>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7040-8C4E-9059-BA2134EB0F34}"/>
              </c:ext>
            </c:extLst>
          </c:dPt>
          <c:dPt>
            <c:idx val="7"/>
            <c:bubble3D val="0"/>
            <c:spPr>
              <a:solidFill>
                <a:schemeClr val="accent6">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040-8C4E-9059-BA2134EB0F34}"/>
              </c:ext>
            </c:extLst>
          </c:dPt>
          <c:dPt>
            <c:idx val="8"/>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7040-8C4E-9059-BA2134EB0F34}"/>
              </c:ext>
            </c:extLst>
          </c:dPt>
          <c:dPt>
            <c:idx val="9"/>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040-8C4E-9059-BA2134EB0F34}"/>
              </c:ext>
            </c:extLst>
          </c:dPt>
          <c:dPt>
            <c:idx val="10"/>
            <c:bubble3D val="0"/>
            <c:spPr>
              <a:solidFill>
                <a:schemeClr val="accent5">
                  <a:lumMod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E78C-481D-8C4D-86FD0843B4DD}"/>
              </c:ext>
            </c:extLst>
          </c:dPt>
          <c:dPt>
            <c:idx val="11"/>
            <c:bubble3D val="0"/>
            <c:spPr>
              <a:solidFill>
                <a:srgbClr val="9999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E78C-481D-8C4D-86FD0843B4D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7040-8C4E-9059-BA2134EB0F34}"/>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E2121C0-8B3F-884B-9982-85DF66FD09FC}" type="CATEGORYNAME">
                      <a:rPr lang="en-US">
                        <a:solidFill>
                          <a:srgbClr val="ACFFA5"/>
                        </a:solidFill>
                      </a:rPr>
                      <a:pPr>
                        <a:defRPr>
                          <a:solidFill>
                            <a:schemeClr val="accent1"/>
                          </a:solidFill>
                        </a:defRPr>
                      </a:pPr>
                      <a:t>[CATEGORY NAME]</a:t>
                    </a:fld>
                    <a:r>
                      <a:rPr lang="en-US" baseline="0">
                        <a:solidFill>
                          <a:srgbClr val="ACFFA5"/>
                        </a:solidFill>
                      </a:rPr>
                      <a:t>
</a:t>
                    </a:r>
                    <a:fld id="{DD7C7E15-8187-E14F-A931-FEBE065AFADE}" type="PERCENTAGE">
                      <a:rPr lang="en-US" baseline="0">
                        <a:solidFill>
                          <a:srgbClr val="ACFFA5"/>
                        </a:solidFill>
                      </a:rPr>
                      <a:pPr>
                        <a:defRPr>
                          <a:solidFill>
                            <a:schemeClr val="accent1"/>
                          </a:solidFill>
                        </a:defRPr>
                      </a:pPr>
                      <a:t>[PERCENTAGE]</a:t>
                    </a:fld>
                    <a:endParaRPr lang="en-US" baseline="0">
                      <a:solidFill>
                        <a:srgbClr val="ACFFA5"/>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040-8C4E-9059-BA2134EB0F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7040-8C4E-9059-BA2134EB0F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7040-8C4E-9059-BA2134EB0F3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7040-8C4E-9059-BA2134EB0F3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7040-8C4E-9059-BA2134EB0F3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7040-8C4E-9059-BA2134EB0F3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7040-8C4E-9059-BA2134EB0F3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7040-8C4E-9059-BA2134EB0F3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7040-8C4E-9059-BA2134EB0F3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9-E78C-481D-8C4D-86FD0843B4DD}"/>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999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8-E78C-481D-8C4D-86FD0843B4D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Locations'!$AN$55:$AN$66</c:f>
              <c:strCache>
                <c:ptCount val="12"/>
                <c:pt idx="0">
                  <c:v>Central Europe</c:v>
                </c:pt>
                <c:pt idx="1">
                  <c:v>South East Asia</c:v>
                </c:pt>
                <c:pt idx="2">
                  <c:v>South Asia</c:v>
                </c:pt>
                <c:pt idx="3">
                  <c:v>Southern Europe</c:v>
                </c:pt>
                <c:pt idx="4">
                  <c:v>Eastern Europe</c:v>
                </c:pt>
                <c:pt idx="5">
                  <c:v>Oceania</c:v>
                </c:pt>
                <c:pt idx="6">
                  <c:v>East Asia</c:v>
                </c:pt>
                <c:pt idx="7">
                  <c:v>Caribbean</c:v>
                </c:pt>
                <c:pt idx="8">
                  <c:v>Middle East</c:v>
                </c:pt>
                <c:pt idx="9">
                  <c:v>North America</c:v>
                </c:pt>
                <c:pt idx="10">
                  <c:v>Northern Europe</c:v>
                </c:pt>
                <c:pt idx="11">
                  <c:v>Western Europe</c:v>
                </c:pt>
              </c:strCache>
            </c:strRef>
          </c:cat>
          <c:val>
            <c:numRef>
              <c:f>'Race Locations'!$AO$55:$AO$66</c:f>
              <c:numCache>
                <c:formatCode>General</c:formatCode>
                <c:ptCount val="12"/>
                <c:pt idx="0">
                  <c:v>10</c:v>
                </c:pt>
                <c:pt idx="1">
                  <c:v>9</c:v>
                </c:pt>
                <c:pt idx="2">
                  <c:v>6</c:v>
                </c:pt>
                <c:pt idx="3">
                  <c:v>4</c:v>
                </c:pt>
                <c:pt idx="4">
                  <c:v>3</c:v>
                </c:pt>
                <c:pt idx="5">
                  <c:v>2</c:v>
                </c:pt>
                <c:pt idx="6">
                  <c:v>1</c:v>
                </c:pt>
                <c:pt idx="7">
                  <c:v>1</c:v>
                </c:pt>
                <c:pt idx="8">
                  <c:v>1</c:v>
                </c:pt>
                <c:pt idx="9">
                  <c:v>1</c:v>
                </c:pt>
                <c:pt idx="10">
                  <c:v>1</c:v>
                </c:pt>
                <c:pt idx="11">
                  <c:v>1</c:v>
                </c:pt>
              </c:numCache>
            </c:numRef>
          </c:val>
          <c:extLst>
            <c:ext xmlns:c16="http://schemas.microsoft.com/office/drawing/2014/chart" uri="{C3380CC4-5D6E-409C-BE32-E72D297353CC}">
              <c16:uniqueId val="{00000000-7040-8C4E-9059-BA2134EB0F34}"/>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7040-8C4E-9059-BA2134EB0F3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040-8C4E-9059-BA2134EB0F3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7040-8C4E-9059-BA2134EB0F3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040-8C4E-9059-BA2134EB0F3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7040-8C4E-9059-BA2134EB0F3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040-8C4E-9059-BA2134EB0F3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7040-8C4E-9059-BA2134EB0F3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040-8C4E-9059-BA2134EB0F3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7040-8C4E-9059-BA2134EB0F3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040-8C4E-9059-BA2134EB0F3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7040-8C4E-9059-BA2134EB0F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7040-8C4E-9059-BA2134EB0F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7040-8C4E-9059-BA2134EB0F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7040-8C4E-9059-BA2134EB0F3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7040-8C4E-9059-BA2134EB0F3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7040-8C4E-9059-BA2134EB0F3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7040-8C4E-9059-BA2134EB0F3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7040-8C4E-9059-BA2134EB0F3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7040-8C4E-9059-BA2134EB0F3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7040-8C4E-9059-BA2134EB0F3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Locations'!$AN$55:$AN$66</c:f>
              <c:strCache>
                <c:ptCount val="12"/>
                <c:pt idx="0">
                  <c:v>Central Europe</c:v>
                </c:pt>
                <c:pt idx="1">
                  <c:v>South East Asia</c:v>
                </c:pt>
                <c:pt idx="2">
                  <c:v>South Asia</c:v>
                </c:pt>
                <c:pt idx="3">
                  <c:v>Southern Europe</c:v>
                </c:pt>
                <c:pt idx="4">
                  <c:v>Eastern Europe</c:v>
                </c:pt>
                <c:pt idx="5">
                  <c:v>Oceania</c:v>
                </c:pt>
                <c:pt idx="6">
                  <c:v>East Asia</c:v>
                </c:pt>
                <c:pt idx="7">
                  <c:v>Caribbean</c:v>
                </c:pt>
                <c:pt idx="8">
                  <c:v>Middle East</c:v>
                </c:pt>
                <c:pt idx="9">
                  <c:v>North America</c:v>
                </c:pt>
                <c:pt idx="10">
                  <c:v>Northern Europe</c:v>
                </c:pt>
                <c:pt idx="11">
                  <c:v>Western Europe</c:v>
                </c:pt>
              </c:strCache>
            </c:strRef>
          </c:cat>
          <c:val>
            <c:numRef>
              <c:f>'Race Locations'!$AP$55:$AP$64</c:f>
              <c:numCache>
                <c:formatCode>0%</c:formatCode>
                <c:ptCount val="10"/>
                <c:pt idx="0">
                  <c:v>0.26315789473684209</c:v>
                </c:pt>
                <c:pt idx="1">
                  <c:v>0.23684210526315788</c:v>
                </c:pt>
                <c:pt idx="2">
                  <c:v>0.15789473684210525</c:v>
                </c:pt>
                <c:pt idx="3">
                  <c:v>0.10526315789473684</c:v>
                </c:pt>
                <c:pt idx="4">
                  <c:v>7.8947368421052627E-2</c:v>
                </c:pt>
                <c:pt idx="5">
                  <c:v>5.2631578947368418E-2</c:v>
                </c:pt>
                <c:pt idx="6">
                  <c:v>2.6315789473684209E-2</c:v>
                </c:pt>
                <c:pt idx="7">
                  <c:v>2.6315789473684209E-2</c:v>
                </c:pt>
                <c:pt idx="8">
                  <c:v>2.6315789473684209E-2</c:v>
                </c:pt>
                <c:pt idx="9">
                  <c:v>2.6315789473684209E-2</c:v>
                </c:pt>
              </c:numCache>
            </c:numRef>
          </c:val>
          <c:extLst>
            <c:ext xmlns:c16="http://schemas.microsoft.com/office/drawing/2014/chart" uri="{C3380CC4-5D6E-409C-BE32-E72D297353CC}">
              <c16:uniqueId val="{00000001-7040-8C4E-9059-BA2134EB0F3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10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911-E448-9D47-7A85C7ECFD77}"/>
              </c:ext>
            </c:extLst>
          </c:dPt>
          <c:dPt>
            <c:idx val="1"/>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911-E448-9D47-7A85C7ECFD77}"/>
              </c:ext>
            </c:extLst>
          </c:dPt>
          <c:dPt>
            <c:idx val="2"/>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4911-E448-9D47-7A85C7ECFD77}"/>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911-E448-9D47-7A85C7ECFD77}"/>
              </c:ext>
            </c:extLst>
          </c:dPt>
          <c:dPt>
            <c:idx val="4"/>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4911-E448-9D47-7A85C7ECFD77}"/>
              </c:ext>
            </c:extLst>
          </c:dPt>
          <c:dPt>
            <c:idx val="5"/>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911-E448-9D47-7A85C7ECFD77}"/>
              </c:ext>
            </c:extLst>
          </c:dPt>
          <c:dPt>
            <c:idx val="6"/>
            <c:bubble3D val="0"/>
            <c:spPr>
              <a:solidFill>
                <a:schemeClr val="accent6">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4911-E448-9D47-7A85C7ECFD77}"/>
              </c:ext>
            </c:extLst>
          </c:dPt>
          <c:dPt>
            <c:idx val="7"/>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911-E448-9D47-7A85C7ECFD77}"/>
              </c:ext>
            </c:extLst>
          </c:dPt>
          <c:dPt>
            <c:idx val="8"/>
            <c:bubble3D val="0"/>
            <c:spPr>
              <a:solidFill>
                <a:srgbClr val="DB89C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4911-E448-9D47-7A85C7ECFD77}"/>
              </c:ext>
            </c:extLst>
          </c:dPt>
          <c:dPt>
            <c:idx val="9"/>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911-E448-9D47-7A85C7ECFD77}"/>
              </c:ext>
            </c:extLst>
          </c:dPt>
          <c:dPt>
            <c:idx val="10"/>
            <c:bubble3D val="0"/>
            <c:spPr>
              <a:solidFill>
                <a:schemeClr val="accent5">
                  <a:lumMod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9DD-4C67-82D3-83CAC7D5309D}"/>
              </c:ext>
            </c:extLst>
          </c:dPt>
          <c:dPt>
            <c:idx val="11"/>
            <c:bubble3D val="0"/>
            <c:spPr>
              <a:solidFill>
                <a:srgbClr val="FBDC8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39DD-4C67-82D3-83CAC7D5309D}"/>
              </c:ext>
            </c:extLst>
          </c:dPt>
          <c:dPt>
            <c:idx val="12"/>
            <c:bubble3D val="0"/>
            <c:spPr>
              <a:solidFill>
                <a:schemeClr val="accent1">
                  <a:lumMod val="80000"/>
                  <a:lumOff val="2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39DD-4C67-82D3-83CAC7D5309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4911-E448-9D47-7A85C7ECFD7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911-E448-9D47-7A85C7ECFD7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4911-E448-9D47-7A85C7ECFD7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911-E448-9D47-7A85C7ECFD7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4911-E448-9D47-7A85C7ECFD7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4911-E448-9D47-7A85C7ECFD7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4911-E448-9D47-7A85C7ECFD7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4911-E448-9D47-7A85C7ECFD7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DB89C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4911-E448-9D47-7A85C7ECFD7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4911-E448-9D47-7A85C7ECFD77}"/>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9-39DD-4C67-82D3-83CAC7D5309D}"/>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BDC8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8-39DD-4C67-82D3-83CAC7D5309D}"/>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A-39DD-4C67-82D3-83CAC7D5309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Locations'!$AQ$55:$AQ$67</c:f>
              <c:strCache>
                <c:ptCount val="13"/>
                <c:pt idx="0">
                  <c:v>South East Asia</c:v>
                </c:pt>
                <c:pt idx="1">
                  <c:v>East Asia</c:v>
                </c:pt>
                <c:pt idx="2">
                  <c:v>Western Europe</c:v>
                </c:pt>
                <c:pt idx="3">
                  <c:v>Central Europe</c:v>
                </c:pt>
                <c:pt idx="4">
                  <c:v>Oceania</c:v>
                </c:pt>
                <c:pt idx="5">
                  <c:v>South Asia</c:v>
                </c:pt>
                <c:pt idx="6">
                  <c:v>Caribbean</c:v>
                </c:pt>
                <c:pt idx="7">
                  <c:v>Eastern Europe</c:v>
                </c:pt>
                <c:pt idx="8">
                  <c:v>Middle East</c:v>
                </c:pt>
                <c:pt idx="9">
                  <c:v>North America</c:v>
                </c:pt>
                <c:pt idx="10">
                  <c:v>Northern Africa</c:v>
                </c:pt>
                <c:pt idx="11">
                  <c:v>South America</c:v>
                </c:pt>
                <c:pt idx="12">
                  <c:v>Northern Europe</c:v>
                </c:pt>
              </c:strCache>
            </c:strRef>
          </c:cat>
          <c:val>
            <c:numRef>
              <c:f>'Race Locations'!$AR$55:$AR$67</c:f>
              <c:numCache>
                <c:formatCode>General</c:formatCode>
                <c:ptCount val="13"/>
                <c:pt idx="0">
                  <c:v>9</c:v>
                </c:pt>
                <c:pt idx="1">
                  <c:v>7</c:v>
                </c:pt>
                <c:pt idx="2">
                  <c:v>5</c:v>
                </c:pt>
                <c:pt idx="3">
                  <c:v>4</c:v>
                </c:pt>
                <c:pt idx="4">
                  <c:v>3</c:v>
                </c:pt>
                <c:pt idx="5">
                  <c:v>2</c:v>
                </c:pt>
                <c:pt idx="6">
                  <c:v>1</c:v>
                </c:pt>
                <c:pt idx="7">
                  <c:v>1</c:v>
                </c:pt>
                <c:pt idx="8">
                  <c:v>1</c:v>
                </c:pt>
                <c:pt idx="9">
                  <c:v>1</c:v>
                </c:pt>
                <c:pt idx="10">
                  <c:v>1</c:v>
                </c:pt>
                <c:pt idx="11">
                  <c:v>1</c:v>
                </c:pt>
                <c:pt idx="12">
                  <c:v>1</c:v>
                </c:pt>
              </c:numCache>
            </c:numRef>
          </c:val>
          <c:extLst>
            <c:ext xmlns:c16="http://schemas.microsoft.com/office/drawing/2014/chart" uri="{C3380CC4-5D6E-409C-BE32-E72D297353CC}">
              <c16:uniqueId val="{00000000-4911-E448-9D47-7A85C7ECFD77}"/>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4911-E448-9D47-7A85C7ECFD7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4911-E448-9D47-7A85C7ECFD7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4911-E448-9D47-7A85C7ECFD7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4911-E448-9D47-7A85C7ECFD7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4911-E448-9D47-7A85C7ECFD7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4911-E448-9D47-7A85C7ECFD7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4911-E448-9D47-7A85C7ECFD77}"/>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4911-E448-9D47-7A85C7ECFD77}"/>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4911-E448-9D47-7A85C7ECFD77}"/>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4911-E448-9D47-7A85C7ECFD7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4911-E448-9D47-7A85C7ECFD7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4911-E448-9D47-7A85C7ECFD7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4911-E448-9D47-7A85C7ECFD7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4911-E448-9D47-7A85C7ECFD7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4911-E448-9D47-7A85C7ECFD7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4911-E448-9D47-7A85C7ECFD77}"/>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4911-E448-9D47-7A85C7ECFD7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3-4911-E448-9D47-7A85C7ECFD77}"/>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4911-E448-9D47-7A85C7ECFD7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4911-E448-9D47-7A85C7ECFD77}"/>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Locations'!$AQ$55:$AQ$67</c:f>
              <c:strCache>
                <c:ptCount val="13"/>
                <c:pt idx="0">
                  <c:v>South East Asia</c:v>
                </c:pt>
                <c:pt idx="1">
                  <c:v>East Asia</c:v>
                </c:pt>
                <c:pt idx="2">
                  <c:v>Western Europe</c:v>
                </c:pt>
                <c:pt idx="3">
                  <c:v>Central Europe</c:v>
                </c:pt>
                <c:pt idx="4">
                  <c:v>Oceania</c:v>
                </c:pt>
                <c:pt idx="5">
                  <c:v>South Asia</c:v>
                </c:pt>
                <c:pt idx="6">
                  <c:v>Caribbean</c:v>
                </c:pt>
                <c:pt idx="7">
                  <c:v>Eastern Europe</c:v>
                </c:pt>
                <c:pt idx="8">
                  <c:v>Middle East</c:v>
                </c:pt>
                <c:pt idx="9">
                  <c:v>North America</c:v>
                </c:pt>
                <c:pt idx="10">
                  <c:v>Northern Africa</c:v>
                </c:pt>
                <c:pt idx="11">
                  <c:v>South America</c:v>
                </c:pt>
                <c:pt idx="12">
                  <c:v>Northern Europe</c:v>
                </c:pt>
              </c:strCache>
            </c:strRef>
          </c:cat>
          <c:val>
            <c:numRef>
              <c:f>'Race Locations'!$AS$55:$AS$64</c:f>
              <c:numCache>
                <c:formatCode>0%</c:formatCode>
                <c:ptCount val="10"/>
                <c:pt idx="0">
                  <c:v>0.24324324324324326</c:v>
                </c:pt>
                <c:pt idx="1">
                  <c:v>0.1891891891891892</c:v>
                </c:pt>
                <c:pt idx="2">
                  <c:v>0.13513513513513514</c:v>
                </c:pt>
                <c:pt idx="3">
                  <c:v>0.10810810810810811</c:v>
                </c:pt>
                <c:pt idx="4">
                  <c:v>8.1081081081081086E-2</c:v>
                </c:pt>
                <c:pt idx="5">
                  <c:v>5.4054054054054057E-2</c:v>
                </c:pt>
                <c:pt idx="6">
                  <c:v>2.7027027027027029E-2</c:v>
                </c:pt>
                <c:pt idx="7">
                  <c:v>2.7027027027027029E-2</c:v>
                </c:pt>
                <c:pt idx="8">
                  <c:v>2.7027027027027029E-2</c:v>
                </c:pt>
                <c:pt idx="9">
                  <c:v>2.7027027027027029E-2</c:v>
                </c:pt>
              </c:numCache>
            </c:numRef>
          </c:val>
          <c:extLst>
            <c:ext xmlns:c16="http://schemas.microsoft.com/office/drawing/2014/chart" uri="{C3380CC4-5D6E-409C-BE32-E72D297353CC}">
              <c16:uniqueId val="{00000001-4911-E448-9D47-7A85C7ECFD77}"/>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11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35B-E249-9940-F0FA2AB11440}"/>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35B-E249-9940-F0FA2AB11440}"/>
              </c:ext>
            </c:extLst>
          </c:dPt>
          <c:dPt>
            <c:idx val="2"/>
            <c:bubble3D val="0"/>
            <c:spPr>
              <a:solidFill>
                <a:schemeClr val="accent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35B-E249-9940-F0FA2AB11440}"/>
              </c:ext>
            </c:extLst>
          </c:dPt>
          <c:dPt>
            <c:idx val="3"/>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35B-E249-9940-F0FA2AB11440}"/>
              </c:ext>
            </c:extLst>
          </c:dPt>
          <c:dPt>
            <c:idx val="4"/>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35B-E249-9940-F0FA2AB11440}"/>
              </c:ext>
            </c:extLst>
          </c:dPt>
          <c:dPt>
            <c:idx val="5"/>
            <c:bubble3D val="0"/>
            <c:spPr>
              <a:solidFill>
                <a:srgbClr val="FFE29B"/>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35B-E249-9940-F0FA2AB11440}"/>
              </c:ext>
            </c:extLst>
          </c:dPt>
          <c:dPt>
            <c:idx val="6"/>
            <c:bubble3D val="0"/>
            <c:spPr>
              <a:solidFill>
                <a:schemeClr val="tx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35B-E249-9940-F0FA2AB11440}"/>
              </c:ext>
            </c:extLst>
          </c:dPt>
          <c:dPt>
            <c:idx val="7"/>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35B-E249-9940-F0FA2AB1144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235B-E249-9940-F0FA2AB1144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alpha val="99000"/>
                        </a:srgb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35B-E249-9940-F0FA2AB1144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235B-E249-9940-F0FA2AB1144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35B-E249-9940-F0FA2AB1144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235B-E249-9940-F0FA2AB1144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E29B"/>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235B-E249-9940-F0FA2AB1144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235B-E249-9940-F0FA2AB1144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235B-E249-9940-F0FA2AB1144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Locations'!$AT$55:$AT$62</c:f>
              <c:strCache>
                <c:ptCount val="8"/>
                <c:pt idx="0">
                  <c:v>East Asia</c:v>
                </c:pt>
                <c:pt idx="1">
                  <c:v>Western Europe</c:v>
                </c:pt>
                <c:pt idx="2">
                  <c:v>South East Asia</c:v>
                </c:pt>
                <c:pt idx="3">
                  <c:v>Central Europe</c:v>
                </c:pt>
                <c:pt idx="4">
                  <c:v>Oceania</c:v>
                </c:pt>
                <c:pt idx="5">
                  <c:v>South America</c:v>
                </c:pt>
                <c:pt idx="6">
                  <c:v>Central America</c:v>
                </c:pt>
                <c:pt idx="7">
                  <c:v>North America</c:v>
                </c:pt>
              </c:strCache>
            </c:strRef>
          </c:cat>
          <c:val>
            <c:numRef>
              <c:f>'Race Locations'!$AU$55:$AU$62</c:f>
              <c:numCache>
                <c:formatCode>General</c:formatCode>
                <c:ptCount val="8"/>
                <c:pt idx="0">
                  <c:v>16</c:v>
                </c:pt>
                <c:pt idx="1">
                  <c:v>9</c:v>
                </c:pt>
                <c:pt idx="2">
                  <c:v>4</c:v>
                </c:pt>
                <c:pt idx="3">
                  <c:v>2</c:v>
                </c:pt>
                <c:pt idx="4">
                  <c:v>2</c:v>
                </c:pt>
                <c:pt idx="5">
                  <c:v>2</c:v>
                </c:pt>
                <c:pt idx="6">
                  <c:v>1</c:v>
                </c:pt>
                <c:pt idx="7">
                  <c:v>1</c:v>
                </c:pt>
              </c:numCache>
            </c:numRef>
          </c:val>
          <c:extLst>
            <c:ext xmlns:c16="http://schemas.microsoft.com/office/drawing/2014/chart" uri="{C3380CC4-5D6E-409C-BE32-E72D297353CC}">
              <c16:uniqueId val="{00000000-235B-E249-9940-F0FA2AB11440}"/>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35B-E249-9940-F0FA2AB1144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35B-E249-9940-F0FA2AB1144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35B-E249-9940-F0FA2AB1144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35B-E249-9940-F0FA2AB1144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35B-E249-9940-F0FA2AB1144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35B-E249-9940-F0FA2AB1144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35B-E249-9940-F0FA2AB1144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35B-E249-9940-F0FA2AB1144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235B-E249-9940-F0FA2AB1144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235B-E249-9940-F0FA2AB1144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235B-E249-9940-F0FA2AB1144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235B-E249-9940-F0FA2AB1144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235B-E249-9940-F0FA2AB1144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F-235B-E249-9940-F0FA2AB1144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235B-E249-9940-F0FA2AB1144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1-235B-E249-9940-F0FA2AB1144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Locations'!$AT$55:$AT$62</c:f>
              <c:strCache>
                <c:ptCount val="8"/>
                <c:pt idx="0">
                  <c:v>East Asia</c:v>
                </c:pt>
                <c:pt idx="1">
                  <c:v>Western Europe</c:v>
                </c:pt>
                <c:pt idx="2">
                  <c:v>South East Asia</c:v>
                </c:pt>
                <c:pt idx="3">
                  <c:v>Central Europe</c:v>
                </c:pt>
                <c:pt idx="4">
                  <c:v>Oceania</c:v>
                </c:pt>
                <c:pt idx="5">
                  <c:v>South America</c:v>
                </c:pt>
                <c:pt idx="6">
                  <c:v>Central America</c:v>
                </c:pt>
                <c:pt idx="7">
                  <c:v>North America</c:v>
                </c:pt>
              </c:strCache>
            </c:strRef>
          </c:cat>
          <c:val>
            <c:numRef>
              <c:f>'Race Locations'!$AV$55:$AV$62</c:f>
              <c:numCache>
                <c:formatCode>0%</c:formatCode>
                <c:ptCount val="8"/>
                <c:pt idx="0">
                  <c:v>0.5</c:v>
                </c:pt>
                <c:pt idx="1">
                  <c:v>0.28125</c:v>
                </c:pt>
                <c:pt idx="2">
                  <c:v>0.125</c:v>
                </c:pt>
                <c:pt idx="3">
                  <c:v>6.25E-2</c:v>
                </c:pt>
                <c:pt idx="4">
                  <c:v>6.25E-2</c:v>
                </c:pt>
                <c:pt idx="5">
                  <c:v>6.25E-2</c:v>
                </c:pt>
                <c:pt idx="6">
                  <c:v>3.125E-2</c:v>
                </c:pt>
                <c:pt idx="7">
                  <c:v>3.125E-2</c:v>
                </c:pt>
              </c:numCache>
            </c:numRef>
          </c:val>
          <c:extLst>
            <c:ext xmlns:c16="http://schemas.microsoft.com/office/drawing/2014/chart" uri="{C3380CC4-5D6E-409C-BE32-E72D297353CC}">
              <c16:uniqueId val="{00000001-235B-E249-9940-F0FA2AB1144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leg</a:t>
            </a:r>
            <a:r>
              <a:rPr lang="en-US" baseline="0"/>
              <a:t> 12 areas</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D8D-8342-9931-433A80F7130C}"/>
              </c:ext>
            </c:extLst>
          </c:dPt>
          <c:dPt>
            <c:idx val="1"/>
            <c:bubble3D val="0"/>
            <c:spPr>
              <a:solidFill>
                <a:srgbClr val="BB77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D8D-8342-9931-433A80F7130C}"/>
              </c:ext>
            </c:extLst>
          </c:dPt>
          <c:dPt>
            <c:idx val="2"/>
            <c:bubble3D val="0"/>
            <c:spPr>
              <a:solidFill>
                <a:schemeClr val="accent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D8D-8342-9931-433A80F7130C}"/>
              </c:ext>
            </c:extLst>
          </c:dPt>
          <c:dPt>
            <c:idx val="3"/>
            <c:bubble3D val="0"/>
            <c:spPr>
              <a:solidFill>
                <a:schemeClr val="accent6">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D8D-8342-9931-433A80F7130C}"/>
              </c:ext>
            </c:extLst>
          </c:dPt>
          <c:dPt>
            <c:idx val="4"/>
            <c:bubble3D val="0"/>
            <c:spPr>
              <a:solidFill>
                <a:srgbClr val="ACFFA5"/>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ED8D-8342-9931-433A80F7130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ED8D-8342-9931-433A80F7130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BB77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D8D-8342-9931-433A80F7130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ED8D-8342-9931-433A80F7130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D8D-8342-9931-433A80F7130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ACFFA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ED8D-8342-9931-433A80F7130C}"/>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Locations'!$AW$55:$AW$59</c:f>
              <c:strCache>
                <c:ptCount val="5"/>
                <c:pt idx="0">
                  <c:v>North America</c:v>
                </c:pt>
                <c:pt idx="1">
                  <c:v>Oceania</c:v>
                </c:pt>
                <c:pt idx="2">
                  <c:v>South East Asia</c:v>
                </c:pt>
                <c:pt idx="3">
                  <c:v>Caribbean</c:v>
                </c:pt>
                <c:pt idx="4">
                  <c:v>East Asia</c:v>
                </c:pt>
              </c:strCache>
            </c:strRef>
          </c:cat>
          <c:val>
            <c:numRef>
              <c:f>'Race Locations'!$AX$55:$AX$59</c:f>
              <c:numCache>
                <c:formatCode>General</c:formatCode>
                <c:ptCount val="5"/>
                <c:pt idx="0">
                  <c:v>2</c:v>
                </c:pt>
                <c:pt idx="1">
                  <c:v>2</c:v>
                </c:pt>
                <c:pt idx="2">
                  <c:v>2</c:v>
                </c:pt>
                <c:pt idx="3">
                  <c:v>1</c:v>
                </c:pt>
                <c:pt idx="4">
                  <c:v>1</c:v>
                </c:pt>
              </c:numCache>
            </c:numRef>
          </c:val>
          <c:extLst>
            <c:ext xmlns:c16="http://schemas.microsoft.com/office/drawing/2014/chart" uri="{C3380CC4-5D6E-409C-BE32-E72D297353CC}">
              <c16:uniqueId val="{00000000-ED8D-8342-9931-433A80F7130C}"/>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D8D-8342-9931-433A80F7130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ED8D-8342-9931-433A80F7130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ED8D-8342-9931-433A80F7130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ED8D-8342-9931-433A80F7130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ED8D-8342-9931-433A80F7130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ED8D-8342-9931-433A80F7130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ED8D-8342-9931-433A80F7130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ED8D-8342-9931-433A80F7130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ED8D-8342-9931-433A80F7130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ED8D-8342-9931-433A80F7130C}"/>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Locations'!$AW$55:$AW$59</c:f>
              <c:strCache>
                <c:ptCount val="5"/>
                <c:pt idx="0">
                  <c:v>North America</c:v>
                </c:pt>
                <c:pt idx="1">
                  <c:v>Oceania</c:v>
                </c:pt>
                <c:pt idx="2">
                  <c:v>South East Asia</c:v>
                </c:pt>
                <c:pt idx="3">
                  <c:v>Caribbean</c:v>
                </c:pt>
                <c:pt idx="4">
                  <c:v>East Asia</c:v>
                </c:pt>
              </c:strCache>
            </c:strRef>
          </c:cat>
          <c:val>
            <c:numRef>
              <c:f>'Race Locations'!$AY$55:$AY$59</c:f>
              <c:numCache>
                <c:formatCode>0%</c:formatCode>
                <c:ptCount val="5"/>
                <c:pt idx="0">
                  <c:v>0.25</c:v>
                </c:pt>
                <c:pt idx="1">
                  <c:v>0.25</c:v>
                </c:pt>
                <c:pt idx="2">
                  <c:v>0.25</c:v>
                </c:pt>
                <c:pt idx="3">
                  <c:v>0.125</c:v>
                </c:pt>
                <c:pt idx="4">
                  <c:v>0.125</c:v>
                </c:pt>
              </c:numCache>
            </c:numRef>
          </c:val>
          <c:extLst>
            <c:ext xmlns:c16="http://schemas.microsoft.com/office/drawing/2014/chart" uri="{C3380CC4-5D6E-409C-BE32-E72D297353CC}">
              <c16:uniqueId val="{00000001-ED8D-8342-9931-433A80F7130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accent2"/>
                </a:solidFill>
                <a:latin typeface="+mn-lt"/>
                <a:ea typeface="+mn-ea"/>
                <a:cs typeface="+mn-cs"/>
              </a:defRPr>
            </a:pPr>
            <a:r>
              <a:rPr lang="en-US">
                <a:solidFill>
                  <a:schemeClr val="accent2"/>
                </a:solidFill>
              </a:rPr>
              <a:t>Final Leg areas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accent2"/>
              </a:solidFill>
              <a:latin typeface="+mn-lt"/>
              <a:ea typeface="+mn-ea"/>
              <a:cs typeface="+mn-cs"/>
            </a:defRPr>
          </a:pPr>
          <a:endParaRPr lang="en-US"/>
        </a:p>
      </c:txPr>
    </c:title>
    <c:autoTitleDeleted val="0"/>
    <c:plotArea>
      <c:layout/>
      <c:pieChart>
        <c:varyColors val="1"/>
        <c:ser>
          <c:idx val="0"/>
          <c:order val="0"/>
          <c:spPr>
            <a:ln>
              <a:solidFill>
                <a:schemeClr val="tx1"/>
              </a:solidFill>
            </a:ln>
          </c:spPr>
          <c:dPt>
            <c:idx val="0"/>
            <c:bubble3D val="0"/>
            <c:spPr>
              <a:solidFill>
                <a:schemeClr val="accent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A6CD-124A-845D-111D42B79F2B}"/>
              </c:ext>
            </c:extLst>
          </c:dPt>
          <c:dPt>
            <c:idx val="1"/>
            <c:bubble3D val="0"/>
            <c:spPr>
              <a:solidFill>
                <a:srgbClr val="9590FF"/>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6CD-124A-845D-111D42B79F2B}"/>
              </c:ext>
            </c:extLst>
          </c:dPt>
          <c:dPt>
            <c:idx val="2"/>
            <c:bubble3D val="0"/>
            <c:spPr>
              <a:solidFill>
                <a:schemeClr val="tx2">
                  <a:lumMod val="40000"/>
                  <a:lumOff val="60000"/>
                </a:schemeClr>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6CD-124A-845D-111D42B79F2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40000"/>
                          <a:lumOff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A6CD-124A-845D-111D42B79F2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9590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A6CD-124A-845D-111D42B79F2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A6CD-124A-845D-111D42B79F2B}"/>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Locations'!$AZ$55:$AZ$57</c:f>
              <c:strCache>
                <c:ptCount val="3"/>
                <c:pt idx="0">
                  <c:v>North America</c:v>
                </c:pt>
                <c:pt idx="1">
                  <c:v>Western Europe</c:v>
                </c:pt>
                <c:pt idx="2">
                  <c:v>Central America</c:v>
                </c:pt>
              </c:strCache>
            </c:strRef>
          </c:cat>
          <c:val>
            <c:numRef>
              <c:f>'Race Locations'!$BA$55:$BA$57</c:f>
              <c:numCache>
                <c:formatCode>General</c:formatCode>
                <c:ptCount val="3"/>
                <c:pt idx="0">
                  <c:v>40</c:v>
                </c:pt>
                <c:pt idx="1">
                  <c:v>2</c:v>
                </c:pt>
                <c:pt idx="2">
                  <c:v>1</c:v>
                </c:pt>
              </c:numCache>
            </c:numRef>
          </c:val>
          <c:extLst>
            <c:ext xmlns:c16="http://schemas.microsoft.com/office/drawing/2014/chart" uri="{C3380CC4-5D6E-409C-BE32-E72D297353CC}">
              <c16:uniqueId val="{00000000-A6CD-124A-845D-111D42B79F2B}"/>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6CD-124A-845D-111D42B79F2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6CD-124A-845D-111D42B79F2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6CD-124A-845D-111D42B79F2B}"/>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6CD-124A-845D-111D42B79F2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A6CD-124A-845D-111D42B79F2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6CD-124A-845D-111D42B79F2B}"/>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'Race Locations'!$AZ$55:$AZ$57</c:f>
              <c:strCache>
                <c:ptCount val="3"/>
                <c:pt idx="0">
                  <c:v>North America</c:v>
                </c:pt>
                <c:pt idx="1">
                  <c:v>Western Europe</c:v>
                </c:pt>
                <c:pt idx="2">
                  <c:v>Central America</c:v>
                </c:pt>
              </c:strCache>
            </c:strRef>
          </c:cat>
          <c:val>
            <c:numRef>
              <c:f>'Race Locations'!$BB$55:$BB$57</c:f>
              <c:numCache>
                <c:formatCode>0%</c:formatCode>
                <c:ptCount val="3"/>
                <c:pt idx="0">
                  <c:v>1.0526315789473684</c:v>
                </c:pt>
                <c:pt idx="1">
                  <c:v>5.4054054054054057E-2</c:v>
                </c:pt>
                <c:pt idx="2">
                  <c:v>2.7027027027027029E-2</c:v>
                </c:pt>
              </c:numCache>
            </c:numRef>
          </c:val>
          <c:extLst>
            <c:ext xmlns:c16="http://schemas.microsoft.com/office/drawing/2014/chart" uri="{C3380CC4-5D6E-409C-BE32-E72D297353CC}">
              <c16:uniqueId val="{00000001-A6CD-124A-845D-111D42B79F2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Breakdown</a:t>
            </a:r>
            <a:r>
              <a:rPr lang="en-US" b="1" baseline="0"/>
              <a:t> of Challenges per Season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Challenges!$D$12</c:f>
              <c:strCache>
                <c:ptCount val="1"/>
                <c:pt idx="0">
                  <c:v>Route Info</c:v>
                </c:pt>
              </c:strCache>
            </c:strRef>
          </c:tx>
          <c:spPr>
            <a:solidFill>
              <a:schemeClr val="accent1"/>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Challenges!$D$13:$D$50</c:f>
              <c:numCache>
                <c:formatCode>General</c:formatCode>
                <c:ptCount val="38"/>
                <c:pt idx="0">
                  <c:v>41</c:v>
                </c:pt>
                <c:pt idx="1">
                  <c:v>58</c:v>
                </c:pt>
                <c:pt idx="2">
                  <c:v>56</c:v>
                </c:pt>
                <c:pt idx="3">
                  <c:v>58</c:v>
                </c:pt>
                <c:pt idx="4">
                  <c:v>62</c:v>
                </c:pt>
                <c:pt idx="5">
                  <c:v>66</c:v>
                </c:pt>
                <c:pt idx="6">
                  <c:v>56</c:v>
                </c:pt>
                <c:pt idx="7">
                  <c:v>66</c:v>
                </c:pt>
                <c:pt idx="8">
                  <c:v>56</c:v>
                </c:pt>
                <c:pt idx="9">
                  <c:v>52</c:v>
                </c:pt>
                <c:pt idx="10">
                  <c:v>50</c:v>
                </c:pt>
                <c:pt idx="11">
                  <c:v>49</c:v>
                </c:pt>
                <c:pt idx="12">
                  <c:v>48</c:v>
                </c:pt>
                <c:pt idx="13">
                  <c:v>46</c:v>
                </c:pt>
                <c:pt idx="14">
                  <c:v>51</c:v>
                </c:pt>
                <c:pt idx="15">
                  <c:v>54</c:v>
                </c:pt>
                <c:pt idx="16">
                  <c:v>54</c:v>
                </c:pt>
                <c:pt idx="17">
                  <c:v>56</c:v>
                </c:pt>
                <c:pt idx="18">
                  <c:v>55</c:v>
                </c:pt>
                <c:pt idx="19">
                  <c:v>48</c:v>
                </c:pt>
                <c:pt idx="20">
                  <c:v>50</c:v>
                </c:pt>
                <c:pt idx="21">
                  <c:v>51</c:v>
                </c:pt>
                <c:pt idx="22">
                  <c:v>52</c:v>
                </c:pt>
                <c:pt idx="23">
                  <c:v>53</c:v>
                </c:pt>
                <c:pt idx="24">
                  <c:v>56</c:v>
                </c:pt>
                <c:pt idx="25">
                  <c:v>49</c:v>
                </c:pt>
                <c:pt idx="26">
                  <c:v>47</c:v>
                </c:pt>
                <c:pt idx="27">
                  <c:v>52</c:v>
                </c:pt>
                <c:pt idx="28">
                  <c:v>54</c:v>
                </c:pt>
                <c:pt idx="29">
                  <c:v>49</c:v>
                </c:pt>
                <c:pt idx="30">
                  <c:v>53</c:v>
                </c:pt>
                <c:pt idx="31">
                  <c:v>53</c:v>
                </c:pt>
                <c:pt idx="32">
                  <c:v>43</c:v>
                </c:pt>
                <c:pt idx="33">
                  <c:v>39</c:v>
                </c:pt>
                <c:pt idx="34">
                  <c:v>57</c:v>
                </c:pt>
                <c:pt idx="35">
                  <c:v>45</c:v>
                </c:pt>
                <c:pt idx="36">
                  <c:v>67</c:v>
                </c:pt>
                <c:pt idx="37">
                  <c:v>64</c:v>
                </c:pt>
              </c:numCache>
            </c:numRef>
          </c:val>
          <c:extLst>
            <c:ext xmlns:c16="http://schemas.microsoft.com/office/drawing/2014/chart" uri="{C3380CC4-5D6E-409C-BE32-E72D297353CC}">
              <c16:uniqueId val="{00000000-ED5B-8E4F-8842-9FC021085A9E}"/>
            </c:ext>
          </c:extLst>
        </c:ser>
        <c:ser>
          <c:idx val="1"/>
          <c:order val="1"/>
          <c:tx>
            <c:strRef>
              <c:f>Challenges!$E$12</c:f>
              <c:strCache>
                <c:ptCount val="1"/>
                <c:pt idx="0">
                  <c:v>Road Block</c:v>
                </c:pt>
              </c:strCache>
            </c:strRef>
          </c:tx>
          <c:spPr>
            <a:solidFill>
              <a:srgbClr val="FF000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Challenges!$E$13:$E$50</c:f>
              <c:numCache>
                <c:formatCode>General</c:formatCode>
                <c:ptCount val="38"/>
                <c:pt idx="0">
                  <c:v>12</c:v>
                </c:pt>
                <c:pt idx="1">
                  <c:v>12</c:v>
                </c:pt>
                <c:pt idx="2">
                  <c:v>12</c:v>
                </c:pt>
                <c:pt idx="3">
                  <c:v>12</c:v>
                </c:pt>
                <c:pt idx="4">
                  <c:v>12</c:v>
                </c:pt>
                <c:pt idx="5">
                  <c:v>12</c:v>
                </c:pt>
                <c:pt idx="6">
                  <c:v>12</c:v>
                </c:pt>
                <c:pt idx="7">
                  <c:v>12</c:v>
                </c:pt>
                <c:pt idx="8">
                  <c:v>12</c:v>
                </c:pt>
                <c:pt idx="9">
                  <c:v>13</c:v>
                </c:pt>
                <c:pt idx="10">
                  <c:v>12</c:v>
                </c:pt>
                <c:pt idx="11">
                  <c:v>11</c:v>
                </c:pt>
                <c:pt idx="12">
                  <c:v>9</c:v>
                </c:pt>
                <c:pt idx="13">
                  <c:v>11</c:v>
                </c:pt>
                <c:pt idx="14">
                  <c:v>13</c:v>
                </c:pt>
                <c:pt idx="15">
                  <c:v>12</c:v>
                </c:pt>
                <c:pt idx="16">
                  <c:v>12</c:v>
                </c:pt>
                <c:pt idx="17">
                  <c:v>12</c:v>
                </c:pt>
                <c:pt idx="18">
                  <c:v>13</c:v>
                </c:pt>
                <c:pt idx="19">
                  <c:v>12</c:v>
                </c:pt>
                <c:pt idx="20">
                  <c:v>14</c:v>
                </c:pt>
                <c:pt idx="21">
                  <c:v>13</c:v>
                </c:pt>
                <c:pt idx="22">
                  <c:v>13</c:v>
                </c:pt>
                <c:pt idx="23">
                  <c:v>12</c:v>
                </c:pt>
                <c:pt idx="24">
                  <c:v>10</c:v>
                </c:pt>
                <c:pt idx="25">
                  <c:v>10</c:v>
                </c:pt>
                <c:pt idx="26">
                  <c:v>12</c:v>
                </c:pt>
                <c:pt idx="27">
                  <c:v>14</c:v>
                </c:pt>
                <c:pt idx="28">
                  <c:v>11</c:v>
                </c:pt>
                <c:pt idx="29">
                  <c:v>9</c:v>
                </c:pt>
                <c:pt idx="30">
                  <c:v>12</c:v>
                </c:pt>
                <c:pt idx="31">
                  <c:v>11</c:v>
                </c:pt>
                <c:pt idx="32">
                  <c:v>11</c:v>
                </c:pt>
                <c:pt idx="33">
                  <c:v>12</c:v>
                </c:pt>
                <c:pt idx="34">
                  <c:v>12</c:v>
                </c:pt>
                <c:pt idx="35">
                  <c:v>14</c:v>
                </c:pt>
                <c:pt idx="36">
                  <c:v>13</c:v>
                </c:pt>
                <c:pt idx="37">
                  <c:v>13</c:v>
                </c:pt>
              </c:numCache>
            </c:numRef>
          </c:val>
          <c:extLst>
            <c:ext xmlns:c16="http://schemas.microsoft.com/office/drawing/2014/chart" uri="{C3380CC4-5D6E-409C-BE32-E72D297353CC}">
              <c16:uniqueId val="{00000001-ED5B-8E4F-8842-9FC021085A9E}"/>
            </c:ext>
          </c:extLst>
        </c:ser>
        <c:ser>
          <c:idx val="2"/>
          <c:order val="2"/>
          <c:tx>
            <c:strRef>
              <c:f>Challenges!$F$12</c:f>
              <c:strCache>
                <c:ptCount val="1"/>
                <c:pt idx="0">
                  <c:v>Detour</c:v>
                </c:pt>
              </c:strCache>
            </c:strRef>
          </c:tx>
          <c:spPr>
            <a:solidFill>
              <a:srgbClr val="FFFF0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Challenges!$F$13:$F$50</c:f>
              <c:numCache>
                <c:formatCode>General</c:formatCode>
                <c:ptCount val="38"/>
                <c:pt idx="0">
                  <c:v>13</c:v>
                </c:pt>
                <c:pt idx="1">
                  <c:v>12</c:v>
                </c:pt>
                <c:pt idx="2">
                  <c:v>13</c:v>
                </c:pt>
                <c:pt idx="3">
                  <c:v>13</c:v>
                </c:pt>
                <c:pt idx="4">
                  <c:v>12</c:v>
                </c:pt>
                <c:pt idx="5">
                  <c:v>13</c:v>
                </c:pt>
                <c:pt idx="6">
                  <c:v>13</c:v>
                </c:pt>
                <c:pt idx="7">
                  <c:v>13</c:v>
                </c:pt>
                <c:pt idx="8">
                  <c:v>13</c:v>
                </c:pt>
                <c:pt idx="9">
                  <c:v>13</c:v>
                </c:pt>
                <c:pt idx="10">
                  <c:v>13</c:v>
                </c:pt>
                <c:pt idx="11">
                  <c:v>10</c:v>
                </c:pt>
                <c:pt idx="12">
                  <c:v>11</c:v>
                </c:pt>
                <c:pt idx="13">
                  <c:v>10</c:v>
                </c:pt>
                <c:pt idx="14">
                  <c:v>9</c:v>
                </c:pt>
                <c:pt idx="15">
                  <c:v>9</c:v>
                </c:pt>
                <c:pt idx="16">
                  <c:v>10</c:v>
                </c:pt>
                <c:pt idx="17">
                  <c:v>10</c:v>
                </c:pt>
                <c:pt idx="18">
                  <c:v>8</c:v>
                </c:pt>
                <c:pt idx="19">
                  <c:v>10</c:v>
                </c:pt>
                <c:pt idx="20">
                  <c:v>10</c:v>
                </c:pt>
                <c:pt idx="21">
                  <c:v>9</c:v>
                </c:pt>
                <c:pt idx="22">
                  <c:v>10</c:v>
                </c:pt>
                <c:pt idx="23">
                  <c:v>9</c:v>
                </c:pt>
                <c:pt idx="24">
                  <c:v>10</c:v>
                </c:pt>
                <c:pt idx="25">
                  <c:v>11</c:v>
                </c:pt>
                <c:pt idx="26">
                  <c:v>11</c:v>
                </c:pt>
                <c:pt idx="27">
                  <c:v>10</c:v>
                </c:pt>
                <c:pt idx="28">
                  <c:v>9</c:v>
                </c:pt>
                <c:pt idx="29">
                  <c:v>9</c:v>
                </c:pt>
                <c:pt idx="30">
                  <c:v>10</c:v>
                </c:pt>
                <c:pt idx="31">
                  <c:v>7</c:v>
                </c:pt>
                <c:pt idx="32">
                  <c:v>8</c:v>
                </c:pt>
                <c:pt idx="33">
                  <c:v>9</c:v>
                </c:pt>
                <c:pt idx="34">
                  <c:v>10</c:v>
                </c:pt>
                <c:pt idx="35">
                  <c:v>10</c:v>
                </c:pt>
                <c:pt idx="36">
                  <c:v>7</c:v>
                </c:pt>
                <c:pt idx="37">
                  <c:v>7</c:v>
                </c:pt>
              </c:numCache>
            </c:numRef>
          </c:val>
          <c:extLst>
            <c:ext xmlns:c16="http://schemas.microsoft.com/office/drawing/2014/chart" uri="{C3380CC4-5D6E-409C-BE32-E72D297353CC}">
              <c16:uniqueId val="{00000002-ED5B-8E4F-8842-9FC021085A9E}"/>
            </c:ext>
          </c:extLst>
        </c:ser>
        <c:ser>
          <c:idx val="3"/>
          <c:order val="3"/>
          <c:tx>
            <c:strRef>
              <c:f>Challenges!$G$12</c:f>
              <c:strCache>
                <c:ptCount val="1"/>
                <c:pt idx="0">
                  <c:v>Fast Forward</c:v>
                </c:pt>
              </c:strCache>
            </c:strRef>
          </c:tx>
          <c:spPr>
            <a:solidFill>
              <a:srgbClr val="2DFF0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Challenges!$G$13:$G$50</c:f>
              <c:numCache>
                <c:formatCode>General</c:formatCode>
                <c:ptCount val="38"/>
                <c:pt idx="0">
                  <c:v>11</c:v>
                </c:pt>
                <c:pt idx="1">
                  <c:v>11</c:v>
                </c:pt>
                <c:pt idx="2">
                  <c:v>11</c:v>
                </c:pt>
                <c:pt idx="3">
                  <c:v>11</c:v>
                </c:pt>
                <c:pt idx="4">
                  <c:v>2</c:v>
                </c:pt>
                <c:pt idx="5">
                  <c:v>2</c:v>
                </c:pt>
                <c:pt idx="6">
                  <c:v>2</c:v>
                </c:pt>
                <c:pt idx="7">
                  <c:v>1</c:v>
                </c:pt>
                <c:pt idx="8">
                  <c:v>2</c:v>
                </c:pt>
                <c:pt idx="9">
                  <c:v>2</c:v>
                </c:pt>
                <c:pt idx="10">
                  <c:v>2</c:v>
                </c:pt>
                <c:pt idx="11">
                  <c:v>1</c:v>
                </c:pt>
                <c:pt idx="12">
                  <c:v>2</c:v>
                </c:pt>
                <c:pt idx="13">
                  <c:v>1</c:v>
                </c:pt>
                <c:pt idx="14">
                  <c:v>1</c:v>
                </c:pt>
                <c:pt idx="15">
                  <c:v>1</c:v>
                </c:pt>
                <c:pt idx="16">
                  <c:v>1</c:v>
                </c:pt>
                <c:pt idx="17">
                  <c:v>0</c:v>
                </c:pt>
                <c:pt idx="18">
                  <c:v>0</c:v>
                </c:pt>
                <c:pt idx="19">
                  <c:v>3</c:v>
                </c:pt>
                <c:pt idx="20">
                  <c:v>2</c:v>
                </c:pt>
                <c:pt idx="21">
                  <c:v>1</c:v>
                </c:pt>
                <c:pt idx="22">
                  <c:v>1</c:v>
                </c:pt>
                <c:pt idx="23">
                  <c:v>0</c:v>
                </c:pt>
                <c:pt idx="24">
                  <c:v>1</c:v>
                </c:pt>
                <c:pt idx="25">
                  <c:v>0</c:v>
                </c:pt>
                <c:pt idx="26">
                  <c:v>1</c:v>
                </c:pt>
                <c:pt idx="27">
                  <c:v>0</c:v>
                </c:pt>
                <c:pt idx="28">
                  <c:v>1</c:v>
                </c:pt>
                <c:pt idx="36">
                  <c:v>1</c:v>
                </c:pt>
                <c:pt idx="37">
                  <c:v>1</c:v>
                </c:pt>
              </c:numCache>
            </c:numRef>
          </c:val>
          <c:extLst>
            <c:ext xmlns:c16="http://schemas.microsoft.com/office/drawing/2014/chart" uri="{C3380CC4-5D6E-409C-BE32-E72D297353CC}">
              <c16:uniqueId val="{00000003-ED5B-8E4F-8842-9FC021085A9E}"/>
            </c:ext>
          </c:extLst>
        </c:ser>
        <c:ser>
          <c:idx val="4"/>
          <c:order val="4"/>
          <c:tx>
            <c:strRef>
              <c:f>Challenges!$H$23</c:f>
              <c:strCache>
                <c:ptCount val="1"/>
                <c:pt idx="0">
                  <c:v>Speed Bump</c:v>
                </c:pt>
              </c:strCache>
            </c:strRef>
          </c:tx>
          <c:spPr>
            <a:solidFill>
              <a:schemeClr val="accent6"/>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Challenges!$H$13:$H$49</c:f>
              <c:numCache>
                <c:formatCode>General</c:formatCode>
                <c:ptCount val="37"/>
                <c:pt idx="10">
                  <c:v>0</c:v>
                </c:pt>
                <c:pt idx="11">
                  <c:v>2</c:v>
                </c:pt>
                <c:pt idx="12">
                  <c:v>2</c:v>
                </c:pt>
                <c:pt idx="13">
                  <c:v>2</c:v>
                </c:pt>
                <c:pt idx="14">
                  <c:v>2</c:v>
                </c:pt>
                <c:pt idx="15">
                  <c:v>3</c:v>
                </c:pt>
                <c:pt idx="16">
                  <c:v>2</c:v>
                </c:pt>
                <c:pt idx="17">
                  <c:v>1</c:v>
                </c:pt>
                <c:pt idx="18">
                  <c:v>3</c:v>
                </c:pt>
                <c:pt idx="19">
                  <c:v>3</c:v>
                </c:pt>
                <c:pt idx="20">
                  <c:v>3</c:v>
                </c:pt>
                <c:pt idx="21">
                  <c:v>2</c:v>
                </c:pt>
                <c:pt idx="22">
                  <c:v>2</c:v>
                </c:pt>
                <c:pt idx="23">
                  <c:v>3</c:v>
                </c:pt>
                <c:pt idx="24">
                  <c:v>3</c:v>
                </c:pt>
                <c:pt idx="25">
                  <c:v>3</c:v>
                </c:pt>
                <c:pt idx="26">
                  <c:v>1</c:v>
                </c:pt>
                <c:pt idx="27">
                  <c:v>2</c:v>
                </c:pt>
                <c:pt idx="28">
                  <c:v>2</c:v>
                </c:pt>
                <c:pt idx="29">
                  <c:v>2</c:v>
                </c:pt>
                <c:pt idx="30">
                  <c:v>3</c:v>
                </c:pt>
                <c:pt idx="31">
                  <c:v>2</c:v>
                </c:pt>
                <c:pt idx="32">
                  <c:v>1</c:v>
                </c:pt>
              </c:numCache>
            </c:numRef>
          </c:val>
          <c:extLst>
            <c:ext xmlns:c16="http://schemas.microsoft.com/office/drawing/2014/chart" uri="{C3380CC4-5D6E-409C-BE32-E72D297353CC}">
              <c16:uniqueId val="{00000004-ED5B-8E4F-8842-9FC021085A9E}"/>
            </c:ext>
          </c:extLst>
        </c:ser>
        <c:ser>
          <c:idx val="5"/>
          <c:order val="5"/>
          <c:tx>
            <c:strRef>
              <c:f>Challenges!$I$30</c:f>
              <c:strCache>
                <c:ptCount val="1"/>
                <c:pt idx="0">
                  <c:v>Hazard</c:v>
                </c:pt>
              </c:strCache>
            </c:strRef>
          </c:tx>
          <c:spPr>
            <a:solidFill>
              <a:schemeClr val="tx1"/>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Challenges!$I$13:$I$50</c:f>
              <c:numCache>
                <c:formatCode>General</c:formatCode>
                <c:ptCount val="38"/>
                <c:pt idx="17">
                  <c:v>0</c:v>
                </c:pt>
                <c:pt idx="18">
                  <c:v>1</c:v>
                </c:pt>
                <c:pt idx="37">
                  <c:v>1</c:v>
                </c:pt>
              </c:numCache>
            </c:numRef>
          </c:val>
          <c:extLst>
            <c:ext xmlns:c16="http://schemas.microsoft.com/office/drawing/2014/chart" uri="{C3380CC4-5D6E-409C-BE32-E72D297353CC}">
              <c16:uniqueId val="{00000005-ED5B-8E4F-8842-9FC021085A9E}"/>
            </c:ext>
          </c:extLst>
        </c:ser>
        <c:ser>
          <c:idx val="6"/>
          <c:order val="6"/>
          <c:tx>
            <c:strRef>
              <c:f>Challenges!$J$43</c:f>
              <c:strCache>
                <c:ptCount val="1"/>
                <c:pt idx="0">
                  <c:v>City Sprint</c:v>
                </c:pt>
              </c:strCache>
            </c:strRef>
          </c:tx>
          <c:spPr>
            <a:solidFill>
              <a:srgbClr val="00B0F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Challenges!$J$13:$J$49</c:f>
              <c:numCache>
                <c:formatCode>General</c:formatCode>
                <c:ptCount val="37"/>
                <c:pt idx="30">
                  <c:v>0</c:v>
                </c:pt>
                <c:pt idx="31">
                  <c:v>9</c:v>
                </c:pt>
              </c:numCache>
            </c:numRef>
          </c:val>
          <c:extLst>
            <c:ext xmlns:c16="http://schemas.microsoft.com/office/drawing/2014/chart" uri="{C3380CC4-5D6E-409C-BE32-E72D297353CC}">
              <c16:uniqueId val="{00000006-ED5B-8E4F-8842-9FC021085A9E}"/>
            </c:ext>
          </c:extLst>
        </c:ser>
        <c:ser>
          <c:idx val="7"/>
          <c:order val="7"/>
          <c:tx>
            <c:strRef>
              <c:f>Challenges!$K$46</c:f>
              <c:strCache>
                <c:ptCount val="1"/>
                <c:pt idx="0">
                  <c:v>Express Pass</c:v>
                </c:pt>
              </c:strCache>
            </c:strRef>
          </c:tx>
          <c:spPr>
            <a:solidFill>
              <a:srgbClr val="C0000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Challenges!$K$13:$K$49</c:f>
              <c:numCache>
                <c:formatCode>General</c:formatCode>
                <c:ptCount val="37"/>
                <c:pt idx="33">
                  <c:v>0</c:v>
                </c:pt>
                <c:pt idx="34">
                  <c:v>2</c:v>
                </c:pt>
                <c:pt idx="36">
                  <c:v>1</c:v>
                </c:pt>
              </c:numCache>
            </c:numRef>
          </c:val>
          <c:extLst>
            <c:ext xmlns:c16="http://schemas.microsoft.com/office/drawing/2014/chart" uri="{C3380CC4-5D6E-409C-BE32-E72D297353CC}">
              <c16:uniqueId val="{00000007-ED5B-8E4F-8842-9FC021085A9E}"/>
            </c:ext>
          </c:extLst>
        </c:ser>
        <c:ser>
          <c:idx val="8"/>
          <c:order val="8"/>
          <c:tx>
            <c:strRef>
              <c:f>Challenges!$L$48</c:f>
              <c:strCache>
                <c:ptCount val="1"/>
                <c:pt idx="0">
                  <c:v>Fork-in-Road</c:v>
                </c:pt>
              </c:strCache>
            </c:strRef>
          </c:tx>
          <c:spPr>
            <a:solidFill>
              <a:srgbClr val="FFC000"/>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Challenges!$L$13:$L$49</c:f>
              <c:numCache>
                <c:formatCode>General</c:formatCode>
                <c:ptCount val="37"/>
                <c:pt idx="35">
                  <c:v>0</c:v>
                </c:pt>
                <c:pt idx="36">
                  <c:v>1</c:v>
                </c:pt>
              </c:numCache>
            </c:numRef>
          </c:val>
          <c:extLst>
            <c:ext xmlns:c16="http://schemas.microsoft.com/office/drawing/2014/chart" uri="{C3380CC4-5D6E-409C-BE32-E72D297353CC}">
              <c16:uniqueId val="{00000008-ED5B-8E4F-8842-9FC021085A9E}"/>
            </c:ext>
          </c:extLst>
        </c:ser>
        <c:dLbls>
          <c:showLegendKey val="0"/>
          <c:showVal val="0"/>
          <c:showCatName val="0"/>
          <c:showSerName val="0"/>
          <c:showPercent val="0"/>
          <c:showBubbleSize val="0"/>
        </c:dLbls>
        <c:gapWidth val="219"/>
        <c:overlap val="-27"/>
        <c:axId val="922739295"/>
        <c:axId val="562213856"/>
      </c:barChart>
      <c:catAx>
        <c:axId val="92273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13856"/>
        <c:crosses val="autoZero"/>
        <c:auto val="1"/>
        <c:lblAlgn val="ctr"/>
        <c:lblOffset val="100"/>
        <c:noMultiLvlLbl val="0"/>
      </c:catAx>
      <c:valAx>
        <c:axId val="56221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39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of Challenges per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Challenges!$C$12</c:f>
              <c:strCache>
                <c:ptCount val="1"/>
                <c:pt idx="0">
                  <c:v>Total</c:v>
                </c:pt>
              </c:strCache>
            </c:strRef>
          </c:tx>
          <c:spPr>
            <a:solidFill>
              <a:schemeClr val="bg1">
                <a:lumMod val="50000"/>
              </a:schemeClr>
            </a:solidFill>
            <a:ln>
              <a:noFill/>
            </a:ln>
            <a:effectLst/>
          </c:spPr>
          <c:invertIfNegative val="0"/>
          <c:cat>
            <c:strRef>
              <c:f>Challenges!$B$13:$B$50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Challenges!$C$13:$C$50</c:f>
              <c:numCache>
                <c:formatCode>General</c:formatCode>
                <c:ptCount val="38"/>
                <c:pt idx="0">
                  <c:v>77</c:v>
                </c:pt>
                <c:pt idx="1">
                  <c:v>93</c:v>
                </c:pt>
                <c:pt idx="2">
                  <c:v>92</c:v>
                </c:pt>
                <c:pt idx="3">
                  <c:v>94</c:v>
                </c:pt>
                <c:pt idx="4">
                  <c:v>88</c:v>
                </c:pt>
                <c:pt idx="5">
                  <c:v>93</c:v>
                </c:pt>
                <c:pt idx="6">
                  <c:v>83</c:v>
                </c:pt>
                <c:pt idx="7">
                  <c:v>92</c:v>
                </c:pt>
                <c:pt idx="8">
                  <c:v>83</c:v>
                </c:pt>
                <c:pt idx="9">
                  <c:v>79</c:v>
                </c:pt>
                <c:pt idx="10">
                  <c:v>77</c:v>
                </c:pt>
                <c:pt idx="11">
                  <c:v>73</c:v>
                </c:pt>
                <c:pt idx="12">
                  <c:v>72</c:v>
                </c:pt>
                <c:pt idx="13">
                  <c:v>70</c:v>
                </c:pt>
                <c:pt idx="14">
                  <c:v>76</c:v>
                </c:pt>
                <c:pt idx="15">
                  <c:v>79</c:v>
                </c:pt>
                <c:pt idx="16">
                  <c:v>79</c:v>
                </c:pt>
                <c:pt idx="17">
                  <c:v>79</c:v>
                </c:pt>
                <c:pt idx="18">
                  <c:v>79</c:v>
                </c:pt>
                <c:pt idx="19">
                  <c:v>76</c:v>
                </c:pt>
                <c:pt idx="20">
                  <c:v>79</c:v>
                </c:pt>
                <c:pt idx="21">
                  <c:v>76</c:v>
                </c:pt>
                <c:pt idx="22">
                  <c:v>78</c:v>
                </c:pt>
                <c:pt idx="23">
                  <c:v>77</c:v>
                </c:pt>
                <c:pt idx="24">
                  <c:v>80</c:v>
                </c:pt>
                <c:pt idx="25">
                  <c:v>73</c:v>
                </c:pt>
                <c:pt idx="26">
                  <c:v>72</c:v>
                </c:pt>
                <c:pt idx="27">
                  <c:v>78</c:v>
                </c:pt>
                <c:pt idx="28">
                  <c:v>77</c:v>
                </c:pt>
                <c:pt idx="29">
                  <c:v>69</c:v>
                </c:pt>
                <c:pt idx="30">
                  <c:v>78</c:v>
                </c:pt>
                <c:pt idx="31">
                  <c:v>82</c:v>
                </c:pt>
                <c:pt idx="32">
                  <c:v>63</c:v>
                </c:pt>
                <c:pt idx="33">
                  <c:v>60</c:v>
                </c:pt>
                <c:pt idx="34">
                  <c:v>81</c:v>
                </c:pt>
                <c:pt idx="35">
                  <c:v>69</c:v>
                </c:pt>
                <c:pt idx="36">
                  <c:v>90</c:v>
                </c:pt>
                <c:pt idx="37">
                  <c:v>86</c:v>
                </c:pt>
              </c:numCache>
            </c:numRef>
          </c:val>
          <c:extLst>
            <c:ext xmlns:c16="http://schemas.microsoft.com/office/drawing/2014/chart" uri="{C3380CC4-5D6E-409C-BE32-E72D297353CC}">
              <c16:uniqueId val="{00000000-4B69-CC46-BD51-84A3AF10A844}"/>
            </c:ext>
          </c:extLst>
        </c:ser>
        <c:dLbls>
          <c:showLegendKey val="0"/>
          <c:showVal val="0"/>
          <c:showCatName val="0"/>
          <c:showSerName val="0"/>
          <c:showPercent val="0"/>
          <c:showBubbleSize val="0"/>
        </c:dLbls>
        <c:gapWidth val="219"/>
        <c:overlap val="-27"/>
        <c:axId val="1280902367"/>
        <c:axId val="1841166783"/>
      </c:barChart>
      <c:catAx>
        <c:axId val="128090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166783"/>
        <c:crosses val="autoZero"/>
        <c:auto val="1"/>
        <c:lblAlgn val="ctr"/>
        <c:lblOffset val="100"/>
        <c:noMultiLvlLbl val="0"/>
      </c:catAx>
      <c:valAx>
        <c:axId val="1841166783"/>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0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Average Challenges per Season (5-38)</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Challenges!$B$105</c:f>
              <c:strCache>
                <c:ptCount val="1"/>
                <c:pt idx="0">
                  <c:v>Average</c:v>
                </c:pt>
              </c:strCache>
            </c:strRef>
          </c:tx>
          <c:dPt>
            <c:idx val="0"/>
            <c:bubble3D val="0"/>
            <c:spPr>
              <a:solidFill>
                <a:srgbClr val="0070C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ACE-8841-82F7-536FF41A20ED}"/>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8ACE-8841-82F7-536FF41A20ED}"/>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ACE-8841-82F7-536FF41A20ED}"/>
              </c:ext>
            </c:extLst>
          </c:dPt>
          <c:dPt>
            <c:idx val="3"/>
            <c:bubble3D val="0"/>
            <c:spPr>
              <a:solidFill>
                <a:srgbClr val="00FF2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8ACE-8841-82F7-536FF41A20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Challenges!$C$64:$F$64</c:f>
              <c:strCache>
                <c:ptCount val="4"/>
                <c:pt idx="0">
                  <c:v>Route Info</c:v>
                </c:pt>
                <c:pt idx="1">
                  <c:v>Road Block</c:v>
                </c:pt>
                <c:pt idx="2">
                  <c:v>Detour</c:v>
                </c:pt>
                <c:pt idx="3">
                  <c:v>Fast Forward</c:v>
                </c:pt>
              </c:strCache>
            </c:strRef>
          </c:cat>
          <c:val>
            <c:numRef>
              <c:f>Challenges!$C$105:$F$105</c:f>
              <c:numCache>
                <c:formatCode>0%</c:formatCode>
                <c:ptCount val="4"/>
                <c:pt idx="0">
                  <c:v>0.68006929136363814</c:v>
                </c:pt>
                <c:pt idx="1">
                  <c:v>0.15437873717413084</c:v>
                </c:pt>
                <c:pt idx="2">
                  <c:v>0.13021351766811809</c:v>
                </c:pt>
                <c:pt idx="3">
                  <c:v>1.1814864914843529E-2</c:v>
                </c:pt>
              </c:numCache>
            </c:numRef>
          </c:val>
          <c:extLst>
            <c:ext xmlns:c16="http://schemas.microsoft.com/office/drawing/2014/chart" uri="{C3380CC4-5D6E-409C-BE32-E72D297353CC}">
              <c16:uniqueId val="{00000000-8ACE-8841-82F7-536FF41A20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Challenges per Season (1-4)</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Challenges!$B$69</c:f>
              <c:strCache>
                <c:ptCount val="1"/>
                <c:pt idx="0">
                  <c:v>Average</c:v>
                </c:pt>
              </c:strCache>
            </c:strRef>
          </c:tx>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D01-CB46-BB11-258976E568DA}"/>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6D01-CB46-BB11-258976E568DA}"/>
              </c:ext>
            </c:extLst>
          </c:dPt>
          <c:dPt>
            <c:idx val="2"/>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D01-CB46-BB11-258976E568DA}"/>
              </c:ext>
            </c:extLst>
          </c:dPt>
          <c:dPt>
            <c:idx val="3"/>
            <c:bubble3D val="0"/>
            <c:spPr>
              <a:solidFill>
                <a:srgbClr val="00FF2A"/>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6D01-CB46-BB11-258976E568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Challenges!$C$64:$F$64</c:f>
              <c:strCache>
                <c:ptCount val="4"/>
                <c:pt idx="0">
                  <c:v>Route Info</c:v>
                </c:pt>
                <c:pt idx="1">
                  <c:v>Road Block</c:v>
                </c:pt>
                <c:pt idx="2">
                  <c:v>Detour</c:v>
                </c:pt>
                <c:pt idx="3">
                  <c:v>Fast Forward</c:v>
                </c:pt>
              </c:strCache>
            </c:strRef>
          </c:cat>
          <c:val>
            <c:numRef>
              <c:f>Challenges!$C$69:$F$69</c:f>
              <c:numCache>
                <c:formatCode>0%</c:formatCode>
                <c:ptCount val="4"/>
                <c:pt idx="0">
                  <c:v>0.59546009380392118</c:v>
                </c:pt>
                <c:pt idx="1">
                  <c:v>0.13574269274636316</c:v>
                </c:pt>
                <c:pt idx="2">
                  <c:v>0.14436641176554937</c:v>
                </c:pt>
                <c:pt idx="3">
                  <c:v>0.12443080168416626</c:v>
                </c:pt>
              </c:numCache>
            </c:numRef>
          </c:val>
          <c:extLst>
            <c:ext xmlns:c16="http://schemas.microsoft.com/office/drawing/2014/chart" uri="{C3380CC4-5D6E-409C-BE32-E72D297353CC}">
              <c16:uniqueId val="{00000000-6D01-CB46-BB11-258976E568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Route Infos per Season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'Route Info'!$C$12</c:f>
              <c:strCache>
                <c:ptCount val="1"/>
                <c:pt idx="0">
                  <c:v>Route Info</c:v>
                </c:pt>
              </c:strCache>
            </c:strRef>
          </c:tx>
          <c:spPr>
            <a:solidFill>
              <a:schemeClr val="bg1"/>
            </a:solidFill>
            <a:ln>
              <a:noFill/>
            </a:ln>
            <a:effectLst/>
          </c:spPr>
          <c:invertIfNegative val="0"/>
          <c:cat>
            <c:strRef>
              <c:f>'Route Info'!$B$13:$B$50</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'Route Info'!$C$13:$C$50</c:f>
              <c:numCache>
                <c:formatCode>General</c:formatCode>
                <c:ptCount val="38"/>
                <c:pt idx="0">
                  <c:v>41</c:v>
                </c:pt>
                <c:pt idx="1">
                  <c:v>58</c:v>
                </c:pt>
                <c:pt idx="2">
                  <c:v>56</c:v>
                </c:pt>
                <c:pt idx="3">
                  <c:v>58</c:v>
                </c:pt>
                <c:pt idx="4">
                  <c:v>62</c:v>
                </c:pt>
                <c:pt idx="5">
                  <c:v>66</c:v>
                </c:pt>
                <c:pt idx="6">
                  <c:v>56</c:v>
                </c:pt>
                <c:pt idx="7">
                  <c:v>66</c:v>
                </c:pt>
                <c:pt idx="8">
                  <c:v>56</c:v>
                </c:pt>
                <c:pt idx="9">
                  <c:v>52</c:v>
                </c:pt>
                <c:pt idx="10">
                  <c:v>50</c:v>
                </c:pt>
                <c:pt idx="11">
                  <c:v>49</c:v>
                </c:pt>
                <c:pt idx="12">
                  <c:v>48</c:v>
                </c:pt>
                <c:pt idx="13">
                  <c:v>46</c:v>
                </c:pt>
                <c:pt idx="14">
                  <c:v>51</c:v>
                </c:pt>
                <c:pt idx="15">
                  <c:v>54</c:v>
                </c:pt>
                <c:pt idx="16">
                  <c:v>54</c:v>
                </c:pt>
                <c:pt idx="17">
                  <c:v>56</c:v>
                </c:pt>
                <c:pt idx="18">
                  <c:v>55</c:v>
                </c:pt>
                <c:pt idx="19">
                  <c:v>48</c:v>
                </c:pt>
                <c:pt idx="20">
                  <c:v>50</c:v>
                </c:pt>
                <c:pt idx="21">
                  <c:v>51</c:v>
                </c:pt>
                <c:pt idx="22">
                  <c:v>52</c:v>
                </c:pt>
                <c:pt idx="23">
                  <c:v>53</c:v>
                </c:pt>
                <c:pt idx="24">
                  <c:v>56</c:v>
                </c:pt>
                <c:pt idx="25">
                  <c:v>49</c:v>
                </c:pt>
                <c:pt idx="26">
                  <c:v>47</c:v>
                </c:pt>
                <c:pt idx="27">
                  <c:v>52</c:v>
                </c:pt>
                <c:pt idx="28">
                  <c:v>54</c:v>
                </c:pt>
                <c:pt idx="29">
                  <c:v>49</c:v>
                </c:pt>
                <c:pt idx="30">
                  <c:v>53</c:v>
                </c:pt>
                <c:pt idx="31">
                  <c:v>53</c:v>
                </c:pt>
                <c:pt idx="32">
                  <c:v>43</c:v>
                </c:pt>
                <c:pt idx="33">
                  <c:v>39</c:v>
                </c:pt>
                <c:pt idx="34">
                  <c:v>57</c:v>
                </c:pt>
                <c:pt idx="35">
                  <c:v>45</c:v>
                </c:pt>
                <c:pt idx="36">
                  <c:v>67</c:v>
                </c:pt>
                <c:pt idx="37">
                  <c:v>64</c:v>
                </c:pt>
              </c:numCache>
            </c:numRef>
          </c:val>
          <c:extLst>
            <c:ext xmlns:c16="http://schemas.microsoft.com/office/drawing/2014/chart" uri="{C3380CC4-5D6E-409C-BE32-E72D297353CC}">
              <c16:uniqueId val="{00000000-FF38-7840-BA1F-2AD6048CB500}"/>
            </c:ext>
          </c:extLst>
        </c:ser>
        <c:dLbls>
          <c:showLegendKey val="0"/>
          <c:showVal val="0"/>
          <c:showCatName val="0"/>
          <c:showSerName val="0"/>
          <c:showPercent val="0"/>
          <c:showBubbleSize val="0"/>
        </c:dLbls>
        <c:gapWidth val="269"/>
        <c:overlap val="-20"/>
        <c:axId val="674488767"/>
        <c:axId val="674398399"/>
      </c:barChart>
      <c:catAx>
        <c:axId val="6744887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74398399"/>
        <c:crosses val="autoZero"/>
        <c:auto val="1"/>
        <c:lblAlgn val="ctr"/>
        <c:lblOffset val="100"/>
        <c:noMultiLvlLbl val="0"/>
      </c:catAx>
      <c:valAx>
        <c:axId val="67439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4488767"/>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of Keywords on route infos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6262-4380-8029-B31C19D9644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6262-4380-8029-B31C19D9644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7-E4E6-408A-801C-F00F95B0B0E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8-E4E6-408A-801C-F00F95B0B0E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6262-4380-8029-B31C19D96447}"/>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9-E4E6-408A-801C-F00F95B0B0EA}"/>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B-E4E6-408A-801C-F00F95B0B0EA}"/>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A-E4E6-408A-801C-F00F95B0B0EA}"/>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6262-4380-8029-B31C19D96447}"/>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0C-E4E6-408A-801C-F00F95B0B0EA}"/>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0D-E4E6-408A-801C-F00F95B0B0EA}"/>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0E-E4E6-408A-801C-F00F95B0B0EA}"/>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19-6262-4380-8029-B31C19D96447}"/>
              </c:ext>
            </c:extLst>
          </c:dPt>
          <c:dPt>
            <c:idx val="13"/>
            <c:bubble3D val="0"/>
            <c:spPr>
              <a:solidFill>
                <a:schemeClr val="lt1"/>
              </a:solidFill>
              <a:ln w="19050">
                <a:solidFill>
                  <a:schemeClr val="accent1"/>
                </a:solidFill>
              </a:ln>
              <a:effectLst/>
            </c:spPr>
            <c:extLst>
              <c:ext xmlns:c16="http://schemas.microsoft.com/office/drawing/2014/chart" uri="{C3380CC4-5D6E-409C-BE32-E72D297353CC}">
                <c16:uniqueId val="{0000001B-6262-4380-8029-B31C19D96447}"/>
              </c:ext>
            </c:extLst>
          </c:dPt>
          <c:dPt>
            <c:idx val="14"/>
            <c:bubble3D val="0"/>
            <c:spPr>
              <a:solidFill>
                <a:schemeClr val="lt1"/>
              </a:solidFill>
              <a:ln w="19050">
                <a:solidFill>
                  <a:schemeClr val="accent1"/>
                </a:solidFill>
              </a:ln>
              <a:effectLst/>
            </c:spPr>
            <c:extLst>
              <c:ext xmlns:c16="http://schemas.microsoft.com/office/drawing/2014/chart" uri="{C3380CC4-5D6E-409C-BE32-E72D297353CC}">
                <c16:uniqueId val="{0000000F-E4E6-408A-801C-F00F95B0B0EA}"/>
              </c:ext>
            </c:extLst>
          </c:dPt>
          <c:dPt>
            <c:idx val="15"/>
            <c:bubble3D val="0"/>
            <c:spPr>
              <a:solidFill>
                <a:schemeClr val="lt1"/>
              </a:solidFill>
              <a:ln w="19050">
                <a:solidFill>
                  <a:schemeClr val="accent1"/>
                </a:solidFill>
              </a:ln>
              <a:effectLst/>
            </c:spPr>
            <c:extLst>
              <c:ext xmlns:c16="http://schemas.microsoft.com/office/drawing/2014/chart" uri="{C3380CC4-5D6E-409C-BE32-E72D297353CC}">
                <c16:uniqueId val="{00000010-E4E6-408A-801C-F00F95B0B0EA}"/>
              </c:ext>
            </c:extLst>
          </c:dPt>
          <c:dPt>
            <c:idx val="16"/>
            <c:bubble3D val="0"/>
            <c:spPr>
              <a:solidFill>
                <a:schemeClr val="lt1"/>
              </a:solidFill>
              <a:ln w="19050">
                <a:solidFill>
                  <a:schemeClr val="accent1"/>
                </a:solidFill>
              </a:ln>
              <a:effectLst/>
            </c:spPr>
            <c:extLst>
              <c:ext xmlns:c16="http://schemas.microsoft.com/office/drawing/2014/chart" uri="{C3380CC4-5D6E-409C-BE32-E72D297353CC}">
                <c16:uniqueId val="{00000021-6262-4380-8029-B31C19D96447}"/>
              </c:ext>
            </c:extLst>
          </c:dPt>
          <c:dPt>
            <c:idx val="17"/>
            <c:bubble3D val="0"/>
            <c:spPr>
              <a:solidFill>
                <a:schemeClr val="lt1"/>
              </a:solidFill>
              <a:ln w="19050">
                <a:solidFill>
                  <a:schemeClr val="accent1"/>
                </a:solidFill>
              </a:ln>
              <a:effectLst/>
            </c:spPr>
            <c:extLst>
              <c:ext xmlns:c16="http://schemas.microsoft.com/office/drawing/2014/chart" uri="{C3380CC4-5D6E-409C-BE32-E72D297353CC}">
                <c16:uniqueId val="{00000014-E4E6-408A-801C-F00F95B0B0EA}"/>
              </c:ext>
            </c:extLst>
          </c:dPt>
          <c:dPt>
            <c:idx val="18"/>
            <c:bubble3D val="0"/>
            <c:spPr>
              <a:solidFill>
                <a:schemeClr val="lt1"/>
              </a:solidFill>
              <a:ln w="19050">
                <a:solidFill>
                  <a:schemeClr val="accent1"/>
                </a:solidFill>
              </a:ln>
              <a:effectLst/>
            </c:spPr>
            <c:extLst>
              <c:ext xmlns:c16="http://schemas.microsoft.com/office/drawing/2014/chart" uri="{C3380CC4-5D6E-409C-BE32-E72D297353CC}">
                <c16:uniqueId val="{00000011-E4E6-408A-801C-F00F95B0B0EA}"/>
              </c:ext>
            </c:extLst>
          </c:dPt>
          <c:dPt>
            <c:idx val="19"/>
            <c:bubble3D val="0"/>
            <c:spPr>
              <a:solidFill>
                <a:schemeClr val="lt1"/>
              </a:solidFill>
              <a:ln w="19050">
                <a:solidFill>
                  <a:schemeClr val="accent1"/>
                </a:solidFill>
              </a:ln>
              <a:effectLst/>
            </c:spPr>
            <c:extLst>
              <c:ext xmlns:c16="http://schemas.microsoft.com/office/drawing/2014/chart" uri="{C3380CC4-5D6E-409C-BE32-E72D297353CC}">
                <c16:uniqueId val="{00000012-E4E6-408A-801C-F00F95B0B0EA}"/>
              </c:ext>
            </c:extLst>
          </c:dPt>
          <c:dPt>
            <c:idx val="20"/>
            <c:bubble3D val="0"/>
            <c:spPr>
              <a:solidFill>
                <a:schemeClr val="lt1"/>
              </a:solidFill>
              <a:ln w="19050">
                <a:solidFill>
                  <a:schemeClr val="accent1"/>
                </a:solidFill>
              </a:ln>
              <a:effectLst/>
            </c:spPr>
            <c:extLst>
              <c:ext xmlns:c16="http://schemas.microsoft.com/office/drawing/2014/chart" uri="{C3380CC4-5D6E-409C-BE32-E72D297353CC}">
                <c16:uniqueId val="{00000013-E4E6-408A-801C-F00F95B0B0EA}"/>
              </c:ext>
            </c:extLst>
          </c:dPt>
          <c:dPt>
            <c:idx val="21"/>
            <c:bubble3D val="0"/>
            <c:spPr>
              <a:solidFill>
                <a:schemeClr val="lt1"/>
              </a:solidFill>
              <a:ln w="19050">
                <a:solidFill>
                  <a:schemeClr val="accent1"/>
                </a:solidFill>
              </a:ln>
              <a:effectLst/>
            </c:spPr>
            <c:extLst>
              <c:ext xmlns:c16="http://schemas.microsoft.com/office/drawing/2014/chart" uri="{C3380CC4-5D6E-409C-BE32-E72D297353CC}">
                <c16:uniqueId val="{0000002B-6262-4380-8029-B31C19D96447}"/>
              </c:ext>
            </c:extLst>
          </c:dPt>
          <c:dPt>
            <c:idx val="22"/>
            <c:bubble3D val="0"/>
            <c:spPr>
              <a:solidFill>
                <a:schemeClr val="lt1"/>
              </a:solidFill>
              <a:ln w="19050">
                <a:solidFill>
                  <a:schemeClr val="accent1"/>
                </a:solidFill>
              </a:ln>
              <a:effectLst/>
            </c:spPr>
            <c:extLst>
              <c:ext xmlns:c16="http://schemas.microsoft.com/office/drawing/2014/chart" uri="{C3380CC4-5D6E-409C-BE32-E72D297353CC}">
                <c16:uniqueId val="{0000002D-6262-4380-8029-B31C19D96447}"/>
              </c:ext>
            </c:extLst>
          </c:dPt>
          <c:dPt>
            <c:idx val="23"/>
            <c:bubble3D val="0"/>
            <c:spPr>
              <a:solidFill>
                <a:schemeClr val="lt1"/>
              </a:solidFill>
              <a:ln w="19050">
                <a:solidFill>
                  <a:schemeClr val="accent1"/>
                </a:solidFill>
              </a:ln>
              <a:effectLst/>
            </c:spPr>
            <c:extLst>
              <c:ext xmlns:c16="http://schemas.microsoft.com/office/drawing/2014/chart" uri="{C3380CC4-5D6E-409C-BE32-E72D297353CC}">
                <c16:uniqueId val="{0000002F-6262-4380-8029-B31C19D96447}"/>
              </c:ext>
            </c:extLst>
          </c:dPt>
          <c:dPt>
            <c:idx val="24"/>
            <c:bubble3D val="0"/>
            <c:spPr>
              <a:solidFill>
                <a:schemeClr val="lt1"/>
              </a:solidFill>
              <a:ln w="19050">
                <a:solidFill>
                  <a:schemeClr val="accent1"/>
                </a:solidFill>
              </a:ln>
              <a:effectLst/>
            </c:spPr>
            <c:extLst>
              <c:ext xmlns:c16="http://schemas.microsoft.com/office/drawing/2014/chart" uri="{C3380CC4-5D6E-409C-BE32-E72D297353CC}">
                <c16:uniqueId val="{00000002-E4E6-408A-801C-F00F95B0B0EA}"/>
              </c:ext>
            </c:extLst>
          </c:dPt>
          <c:dPt>
            <c:idx val="25"/>
            <c:bubble3D val="0"/>
            <c:spPr>
              <a:solidFill>
                <a:schemeClr val="lt1"/>
              </a:solidFill>
              <a:ln w="19050">
                <a:solidFill>
                  <a:schemeClr val="accent1"/>
                </a:solidFill>
              </a:ln>
              <a:effectLst/>
            </c:spPr>
            <c:extLst>
              <c:ext xmlns:c16="http://schemas.microsoft.com/office/drawing/2014/chart" uri="{C3380CC4-5D6E-409C-BE32-E72D297353CC}">
                <c16:uniqueId val="{00000006-E4E6-408A-801C-F00F95B0B0EA}"/>
              </c:ext>
            </c:extLst>
          </c:dPt>
          <c:dPt>
            <c:idx val="26"/>
            <c:bubble3D val="0"/>
            <c:spPr>
              <a:solidFill>
                <a:schemeClr val="lt1"/>
              </a:solidFill>
              <a:ln w="19050">
                <a:solidFill>
                  <a:schemeClr val="accent1"/>
                </a:solidFill>
              </a:ln>
              <a:effectLst/>
            </c:spPr>
            <c:extLst>
              <c:ext xmlns:c16="http://schemas.microsoft.com/office/drawing/2014/chart" uri="{C3380CC4-5D6E-409C-BE32-E72D297353CC}">
                <c16:uniqueId val="{00000001-E4E6-408A-801C-F00F95B0B0EA}"/>
              </c:ext>
            </c:extLst>
          </c:dPt>
          <c:dPt>
            <c:idx val="27"/>
            <c:bubble3D val="0"/>
            <c:spPr>
              <a:solidFill>
                <a:schemeClr val="lt1"/>
              </a:solidFill>
              <a:ln w="19050">
                <a:solidFill>
                  <a:schemeClr val="accent1"/>
                </a:solidFill>
              </a:ln>
              <a:effectLst/>
            </c:spPr>
            <c:extLst>
              <c:ext xmlns:c16="http://schemas.microsoft.com/office/drawing/2014/chart" uri="{C3380CC4-5D6E-409C-BE32-E72D297353CC}">
                <c16:uniqueId val="{00000005-E4E6-408A-801C-F00F95B0B0EA}"/>
              </c:ext>
            </c:extLst>
          </c:dPt>
          <c:dLbls>
            <c:dLbl>
              <c:idx val="2"/>
              <c:layout>
                <c:manualLayout>
                  <c:x val="-4.3334999232590744E-2"/>
                  <c:y val="-4.06661417322835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E6-408A-801C-F00F95B0B0EA}"/>
                </c:ext>
              </c:extLst>
            </c:dLbl>
            <c:dLbl>
              <c:idx val="3"/>
              <c:layout>
                <c:manualLayout>
                  <c:x val="1.0858033982584066E-2"/>
                  <c:y val="-9.858092738407740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4E6-408A-801C-F00F95B0B0EA}"/>
                </c:ext>
              </c:extLst>
            </c:dLbl>
            <c:dLbl>
              <c:idx val="5"/>
              <c:layout>
                <c:manualLayout>
                  <c:x val="2.6191692670053048E-3"/>
                  <c:y val="-1.70839895013123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4E6-408A-801C-F00F95B0B0EA}"/>
                </c:ext>
              </c:extLst>
            </c:dLbl>
            <c:dLbl>
              <c:idx val="6"/>
              <c:layout>
                <c:manualLayout>
                  <c:x val="1.758658445360901E-2"/>
                  <c:y val="1.423622047244094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4E6-408A-801C-F00F95B0B0EA}"/>
                </c:ext>
              </c:extLst>
            </c:dLbl>
            <c:dLbl>
              <c:idx val="7"/>
              <c:layout>
                <c:manualLayout>
                  <c:x val="1.8746355539682395E-2"/>
                  <c:y val="5.11291338582677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E4E6-408A-801C-F00F95B0B0EA}"/>
                </c:ext>
              </c:extLst>
            </c:dLbl>
            <c:dLbl>
              <c:idx val="9"/>
              <c:layout>
                <c:manualLayout>
                  <c:x val="1.6418449633741825E-2"/>
                  <c:y val="-3.133158355205599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E4E6-408A-801C-F00F95B0B0EA}"/>
                </c:ext>
              </c:extLst>
            </c:dLbl>
            <c:dLbl>
              <c:idx val="10"/>
              <c:layout>
                <c:manualLayout>
                  <c:x val="9.6464664398577208E-3"/>
                  <c:y val="1.95886264216973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4E6-408A-801C-F00F95B0B0EA}"/>
                </c:ext>
              </c:extLst>
            </c:dLbl>
            <c:dLbl>
              <c:idx val="11"/>
              <c:layout>
                <c:manualLayout>
                  <c:x val="-6.9961899524264952E-3"/>
                  <c:y val="3.54138232720909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E4E6-408A-801C-F00F95B0B0EA}"/>
                </c:ext>
              </c:extLst>
            </c:dLbl>
            <c:dLbl>
              <c:idx val="14"/>
              <c:layout>
                <c:manualLayout>
                  <c:x val="5.7312412455917984E-2"/>
                  <c:y val="-3.58705161854768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4E6-408A-801C-F00F95B0B0EA}"/>
                </c:ext>
              </c:extLst>
            </c:dLbl>
            <c:dLbl>
              <c:idx val="15"/>
              <c:layout>
                <c:manualLayout>
                  <c:x val="4.0461689843991282E-2"/>
                  <c:y val="-5.90831146106736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4E6-408A-801C-F00F95B0B0EA}"/>
                </c:ext>
              </c:extLst>
            </c:dLbl>
            <c:dLbl>
              <c:idx val="17"/>
              <c:delete val="1"/>
              <c:extLst>
                <c:ext xmlns:c15="http://schemas.microsoft.com/office/drawing/2012/chart" uri="{CE6537A1-D6FC-4f65-9D91-7224C49458BB}"/>
                <c:ext xmlns:c16="http://schemas.microsoft.com/office/drawing/2014/chart" uri="{C3380CC4-5D6E-409C-BE32-E72D297353CC}">
                  <c16:uniqueId val="{00000014-E4E6-408A-801C-F00F95B0B0EA}"/>
                </c:ext>
              </c:extLst>
            </c:dLbl>
            <c:dLbl>
              <c:idx val="18"/>
              <c:layout>
                <c:manualLayout>
                  <c:x val="-3.3147384543056976E-2"/>
                  <c:y val="-2.1802274715660542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E4E6-408A-801C-F00F95B0B0EA}"/>
                </c:ext>
              </c:extLst>
            </c:dLbl>
            <c:dLbl>
              <c:idx val="19"/>
              <c:layout>
                <c:manualLayout>
                  <c:x val="-8.5225126769259876E-2"/>
                  <c:y val="-4.24573928258967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E4E6-408A-801C-F00F95B0B0EA}"/>
                </c:ext>
              </c:extLst>
            </c:dLbl>
            <c:dLbl>
              <c:idx val="20"/>
              <c:layout>
                <c:manualLayout>
                  <c:x val="-9.1185387588629901E-2"/>
                  <c:y val="-9.49371828521434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E4E6-408A-801C-F00F95B0B0EA}"/>
                </c:ext>
              </c:extLst>
            </c:dLbl>
            <c:dLbl>
              <c:idx val="24"/>
              <c:layout>
                <c:manualLayout>
                  <c:x val="-0.17135485737779632"/>
                  <c:y val="4.96426946631671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4E6-408A-801C-F00F95B0B0EA}"/>
                </c:ext>
              </c:extLst>
            </c:dLbl>
            <c:dLbl>
              <c:idx val="25"/>
              <c:layout>
                <c:manualLayout>
                  <c:x val="-0.27157703923236776"/>
                  <c:y val="3.046369203849513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4E6-408A-801C-F00F95B0B0EA}"/>
                </c:ext>
              </c:extLst>
            </c:dLbl>
            <c:dLbl>
              <c:idx val="26"/>
              <c:layout>
                <c:manualLayout>
                  <c:x val="0.1818682174887728"/>
                  <c:y val="4.97748031496062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E6-408A-801C-F00F95B0B0EA}"/>
                </c:ext>
              </c:extLst>
            </c:dLbl>
            <c:dLbl>
              <c:idx val="27"/>
              <c:delete val="1"/>
              <c:extLst>
                <c:ext xmlns:c15="http://schemas.microsoft.com/office/drawing/2012/chart" uri="{CE6537A1-D6FC-4f65-9D91-7224C49458BB}"/>
                <c:ext xmlns:c16="http://schemas.microsoft.com/office/drawing/2014/chart" uri="{C3380CC4-5D6E-409C-BE32-E72D297353CC}">
                  <c16:uniqueId val="{00000005-E4E6-408A-801C-F00F95B0B0E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'Route Info'!$AF$556:$AF$583</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'Route Info'!$AG$556:$AG$583</c:f>
              <c:numCache>
                <c:formatCode>0%</c:formatCode>
                <c:ptCount val="28"/>
                <c:pt idx="0">
                  <c:v>8.8397790055248615E-2</c:v>
                </c:pt>
                <c:pt idx="1">
                  <c:v>0.11602209944751381</c:v>
                </c:pt>
                <c:pt idx="2">
                  <c:v>5.5248618784530384E-3</c:v>
                </c:pt>
                <c:pt idx="3">
                  <c:v>1.1049723756906077E-2</c:v>
                </c:pt>
                <c:pt idx="4">
                  <c:v>4.9723756906077346E-2</c:v>
                </c:pt>
                <c:pt idx="5">
                  <c:v>2.7624309392265192E-2</c:v>
                </c:pt>
                <c:pt idx="6">
                  <c:v>1.6574585635359115E-2</c:v>
                </c:pt>
                <c:pt idx="7">
                  <c:v>5.5248618784530384E-3</c:v>
                </c:pt>
                <c:pt idx="8">
                  <c:v>4.4198895027624308E-2</c:v>
                </c:pt>
                <c:pt idx="9">
                  <c:v>1.1049723756906077E-2</c:v>
                </c:pt>
                <c:pt idx="10">
                  <c:v>2.7624309392265192E-2</c:v>
                </c:pt>
                <c:pt idx="11">
                  <c:v>1.6574585635359115E-2</c:v>
                </c:pt>
                <c:pt idx="12">
                  <c:v>4.4198895027624308E-2</c:v>
                </c:pt>
                <c:pt idx="13">
                  <c:v>9.3922651933701654E-2</c:v>
                </c:pt>
                <c:pt idx="14">
                  <c:v>2.7624309392265192E-2</c:v>
                </c:pt>
                <c:pt idx="15">
                  <c:v>1.6574585635359115E-2</c:v>
                </c:pt>
                <c:pt idx="16">
                  <c:v>0.11602209944751381</c:v>
                </c:pt>
                <c:pt idx="17">
                  <c:v>0</c:v>
                </c:pt>
                <c:pt idx="18">
                  <c:v>1.6574585635359115E-2</c:v>
                </c:pt>
                <c:pt idx="19">
                  <c:v>2.2099447513812154E-2</c:v>
                </c:pt>
                <c:pt idx="20">
                  <c:v>1.1049723756906077E-2</c:v>
                </c:pt>
                <c:pt idx="21">
                  <c:v>0.19337016574585636</c:v>
                </c:pt>
                <c:pt idx="22">
                  <c:v>9.3922651933701654E-2</c:v>
                </c:pt>
                <c:pt idx="23">
                  <c:v>0.24861878453038674</c:v>
                </c:pt>
                <c:pt idx="24">
                  <c:v>5.5248618784530384E-3</c:v>
                </c:pt>
                <c:pt idx="25">
                  <c:v>5.5248618784530384E-3</c:v>
                </c:pt>
                <c:pt idx="26">
                  <c:v>1.1049723756906077E-2</c:v>
                </c:pt>
                <c:pt idx="27">
                  <c:v>0</c:v>
                </c:pt>
              </c:numCache>
            </c:numRef>
          </c:val>
          <c:extLst>
            <c:ext xmlns:c16="http://schemas.microsoft.com/office/drawing/2014/chart" uri="{C3380CC4-5D6E-409C-BE32-E72D297353CC}">
              <c16:uniqueId val="{00000000-E4E6-408A-801C-F00F95B0B0E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Route</a:t>
            </a:r>
            <a:r>
              <a:rPr lang="en-US" baseline="0"/>
              <a:t> Info Challenges by Keyword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5A22-4839-AFA3-9EE0C5004A18}"/>
              </c:ext>
            </c:extLst>
          </c:dPt>
          <c:dPt>
            <c:idx val="1"/>
            <c:invertIfNegative val="0"/>
            <c:bubble3D val="0"/>
            <c:spPr>
              <a:solidFill>
                <a:srgbClr val="FFC000"/>
              </a:solidFill>
              <a:ln>
                <a:noFill/>
              </a:ln>
              <a:effectLst/>
            </c:spPr>
            <c:extLst>
              <c:ext xmlns:c16="http://schemas.microsoft.com/office/drawing/2014/chart" uri="{C3380CC4-5D6E-409C-BE32-E72D297353CC}">
                <c16:uniqueId val="{00000002-5A22-4839-AFA3-9EE0C5004A18}"/>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5A22-4839-AFA3-9EE0C5004A18}"/>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5A22-4839-AFA3-9EE0C5004A18}"/>
              </c:ext>
            </c:extLst>
          </c:dPt>
          <c:dPt>
            <c:idx val="4"/>
            <c:invertIfNegative val="0"/>
            <c:bubble3D val="0"/>
            <c:spPr>
              <a:solidFill>
                <a:srgbClr val="9999FF"/>
              </a:solidFill>
              <a:ln>
                <a:noFill/>
              </a:ln>
              <a:effectLst/>
            </c:spPr>
            <c:extLst>
              <c:ext xmlns:c16="http://schemas.microsoft.com/office/drawing/2014/chart" uri="{C3380CC4-5D6E-409C-BE32-E72D297353CC}">
                <c16:uniqueId val="{00000005-5A22-4839-AFA3-9EE0C5004A18}"/>
              </c:ext>
            </c:extLst>
          </c:dPt>
          <c:dPt>
            <c:idx val="5"/>
            <c:invertIfNegative val="0"/>
            <c:bubble3D val="0"/>
            <c:spPr>
              <a:solidFill>
                <a:schemeClr val="tx1"/>
              </a:solidFill>
              <a:ln>
                <a:noFill/>
              </a:ln>
              <a:effectLst/>
            </c:spPr>
            <c:extLst>
              <c:ext xmlns:c16="http://schemas.microsoft.com/office/drawing/2014/chart" uri="{C3380CC4-5D6E-409C-BE32-E72D297353CC}">
                <c16:uniqueId val="{00000006-5A22-4839-AFA3-9EE0C5004A18}"/>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7-5A22-4839-AFA3-9EE0C5004A18}"/>
              </c:ext>
            </c:extLst>
          </c:dPt>
          <c:dPt>
            <c:idx val="7"/>
            <c:invertIfNegative val="0"/>
            <c:bubble3D val="0"/>
            <c:spPr>
              <a:solidFill>
                <a:srgbClr val="B061FF"/>
              </a:solidFill>
              <a:ln>
                <a:noFill/>
              </a:ln>
              <a:effectLst/>
            </c:spPr>
            <c:extLst>
              <c:ext xmlns:c16="http://schemas.microsoft.com/office/drawing/2014/chart" uri="{C3380CC4-5D6E-409C-BE32-E72D297353CC}">
                <c16:uniqueId val="{00000008-5A22-4839-AFA3-9EE0C5004A18}"/>
              </c:ext>
            </c:extLst>
          </c:dPt>
          <c:dPt>
            <c:idx val="8"/>
            <c:invertIfNegative val="0"/>
            <c:bubble3D val="0"/>
            <c:spPr>
              <a:solidFill>
                <a:srgbClr val="FF00FF"/>
              </a:solidFill>
              <a:ln>
                <a:noFill/>
              </a:ln>
              <a:effectLst/>
            </c:spPr>
            <c:extLst>
              <c:ext xmlns:c16="http://schemas.microsoft.com/office/drawing/2014/chart" uri="{C3380CC4-5D6E-409C-BE32-E72D297353CC}">
                <c16:uniqueId val="{00000009-5A22-4839-AFA3-9EE0C5004A18}"/>
              </c:ext>
            </c:extLst>
          </c:dPt>
          <c:dPt>
            <c:idx val="9"/>
            <c:invertIfNegative val="0"/>
            <c:bubble3D val="0"/>
            <c:spPr>
              <a:solidFill>
                <a:srgbClr val="002060"/>
              </a:solidFill>
              <a:ln>
                <a:noFill/>
              </a:ln>
              <a:effectLst/>
            </c:spPr>
            <c:extLst>
              <c:ext xmlns:c16="http://schemas.microsoft.com/office/drawing/2014/chart" uri="{C3380CC4-5D6E-409C-BE32-E72D297353CC}">
                <c16:uniqueId val="{0000000A-5A22-4839-AFA3-9EE0C5004A18}"/>
              </c:ext>
            </c:extLst>
          </c:dPt>
          <c:dPt>
            <c:idx val="10"/>
            <c:invertIfNegative val="0"/>
            <c:bubble3D val="0"/>
            <c:spPr>
              <a:solidFill>
                <a:srgbClr val="FFFF00"/>
              </a:solidFill>
              <a:ln>
                <a:noFill/>
              </a:ln>
              <a:effectLst/>
            </c:spPr>
            <c:extLst>
              <c:ext xmlns:c16="http://schemas.microsoft.com/office/drawing/2014/chart" uri="{C3380CC4-5D6E-409C-BE32-E72D297353CC}">
                <c16:uniqueId val="{0000000B-5A22-4839-AFA3-9EE0C5004A18}"/>
              </c:ext>
            </c:extLst>
          </c:dPt>
          <c:dPt>
            <c:idx val="11"/>
            <c:invertIfNegative val="0"/>
            <c:bubble3D val="0"/>
            <c:spPr>
              <a:solidFill>
                <a:srgbClr val="DAFF8F"/>
              </a:solidFill>
              <a:ln>
                <a:noFill/>
              </a:ln>
              <a:effectLst/>
            </c:spPr>
            <c:extLst>
              <c:ext xmlns:c16="http://schemas.microsoft.com/office/drawing/2014/chart" uri="{C3380CC4-5D6E-409C-BE32-E72D297353CC}">
                <c16:uniqueId val="{0000000C-5A22-4839-AFA3-9EE0C5004A18}"/>
              </c:ext>
            </c:extLst>
          </c:dPt>
          <c:dPt>
            <c:idx val="12"/>
            <c:invertIfNegative val="0"/>
            <c:bubble3D val="0"/>
            <c:spPr>
              <a:solidFill>
                <a:srgbClr val="7030A0"/>
              </a:solidFill>
              <a:ln>
                <a:noFill/>
              </a:ln>
              <a:effectLst/>
            </c:spPr>
            <c:extLst>
              <c:ext xmlns:c16="http://schemas.microsoft.com/office/drawing/2014/chart" uri="{C3380CC4-5D6E-409C-BE32-E72D297353CC}">
                <c16:uniqueId val="{0000000D-5A22-4839-AFA3-9EE0C5004A18}"/>
              </c:ext>
            </c:extLst>
          </c:dPt>
          <c:dPt>
            <c:idx val="13"/>
            <c:invertIfNegative val="0"/>
            <c:bubble3D val="0"/>
            <c:spPr>
              <a:solidFill>
                <a:srgbClr val="FF0000"/>
              </a:solidFill>
              <a:ln>
                <a:noFill/>
              </a:ln>
              <a:effectLst/>
            </c:spPr>
            <c:extLst>
              <c:ext xmlns:c16="http://schemas.microsoft.com/office/drawing/2014/chart" uri="{C3380CC4-5D6E-409C-BE32-E72D297353CC}">
                <c16:uniqueId val="{0000000E-5A22-4839-AFA3-9EE0C5004A18}"/>
              </c:ext>
            </c:extLst>
          </c:dPt>
          <c:dPt>
            <c:idx val="14"/>
            <c:invertIfNegative val="0"/>
            <c:bubble3D val="0"/>
            <c:spPr>
              <a:solidFill>
                <a:srgbClr val="FFB48F"/>
              </a:solidFill>
              <a:ln>
                <a:noFill/>
              </a:ln>
              <a:effectLst/>
            </c:spPr>
            <c:extLst>
              <c:ext xmlns:c16="http://schemas.microsoft.com/office/drawing/2014/chart" uri="{C3380CC4-5D6E-409C-BE32-E72D297353CC}">
                <c16:uniqueId val="{0000000F-5A22-4839-AFA3-9EE0C5004A18}"/>
              </c:ext>
            </c:extLst>
          </c:dPt>
          <c:dPt>
            <c:idx val="15"/>
            <c:invertIfNegative val="0"/>
            <c:bubble3D val="0"/>
            <c:spPr>
              <a:solidFill>
                <a:srgbClr val="FF5353"/>
              </a:solidFill>
              <a:ln>
                <a:noFill/>
              </a:ln>
              <a:effectLst/>
            </c:spPr>
            <c:extLst>
              <c:ext xmlns:c16="http://schemas.microsoft.com/office/drawing/2014/chart" uri="{C3380CC4-5D6E-409C-BE32-E72D297353CC}">
                <c16:uniqueId val="{00000010-5A22-4839-AFA3-9EE0C5004A18}"/>
              </c:ext>
            </c:extLst>
          </c:dPt>
          <c:dPt>
            <c:idx val="16"/>
            <c:invertIfNegative val="0"/>
            <c:bubble3D val="0"/>
            <c:spPr>
              <a:solidFill>
                <a:srgbClr val="66FFFF"/>
              </a:solidFill>
              <a:ln>
                <a:noFill/>
              </a:ln>
              <a:effectLst/>
            </c:spPr>
            <c:extLst>
              <c:ext xmlns:c16="http://schemas.microsoft.com/office/drawing/2014/chart" uri="{C3380CC4-5D6E-409C-BE32-E72D297353CC}">
                <c16:uniqueId val="{00000011-5A22-4839-AFA3-9EE0C5004A18}"/>
              </c:ext>
            </c:extLst>
          </c:dPt>
          <c:dPt>
            <c:idx val="18"/>
            <c:invertIfNegative val="0"/>
            <c:bubble3D val="0"/>
            <c:spPr>
              <a:solidFill>
                <a:srgbClr val="FFC000"/>
              </a:solidFill>
              <a:ln>
                <a:noFill/>
              </a:ln>
              <a:effectLst/>
            </c:spPr>
            <c:extLst>
              <c:ext xmlns:c16="http://schemas.microsoft.com/office/drawing/2014/chart" uri="{C3380CC4-5D6E-409C-BE32-E72D297353CC}">
                <c16:uniqueId val="{00000012-5A22-4839-AFA3-9EE0C5004A18}"/>
              </c:ext>
            </c:extLst>
          </c:dPt>
          <c:dPt>
            <c:idx val="19"/>
            <c:invertIfNegative val="0"/>
            <c:bubble3D val="0"/>
            <c:spPr>
              <a:solidFill>
                <a:srgbClr val="65FFDA"/>
              </a:solidFill>
              <a:ln>
                <a:noFill/>
              </a:ln>
              <a:effectLst/>
            </c:spPr>
            <c:extLst>
              <c:ext xmlns:c16="http://schemas.microsoft.com/office/drawing/2014/chart" uri="{C3380CC4-5D6E-409C-BE32-E72D297353CC}">
                <c16:uniqueId val="{00000013-5A22-4839-AFA3-9EE0C5004A18}"/>
              </c:ext>
            </c:extLst>
          </c:dPt>
          <c:dPt>
            <c:idx val="20"/>
            <c:invertIfNegative val="0"/>
            <c:bubble3D val="0"/>
            <c:spPr>
              <a:solidFill>
                <a:srgbClr val="FF00FF"/>
              </a:solidFill>
              <a:ln>
                <a:noFill/>
              </a:ln>
              <a:effectLst/>
            </c:spPr>
            <c:extLst>
              <c:ext xmlns:c16="http://schemas.microsoft.com/office/drawing/2014/chart" uri="{C3380CC4-5D6E-409C-BE32-E72D297353CC}">
                <c16:uniqueId val="{00000014-5A22-4839-AFA3-9EE0C5004A18}"/>
              </c:ext>
            </c:extLst>
          </c:dPt>
          <c:dPt>
            <c:idx val="21"/>
            <c:invertIfNegative val="0"/>
            <c:bubble3D val="0"/>
            <c:spPr>
              <a:solidFill>
                <a:srgbClr val="66FF33"/>
              </a:solidFill>
              <a:ln>
                <a:noFill/>
              </a:ln>
              <a:effectLst/>
            </c:spPr>
            <c:extLst>
              <c:ext xmlns:c16="http://schemas.microsoft.com/office/drawing/2014/chart" uri="{C3380CC4-5D6E-409C-BE32-E72D297353CC}">
                <c16:uniqueId val="{00000015-5A22-4839-AFA3-9EE0C5004A18}"/>
              </c:ext>
            </c:extLst>
          </c:dPt>
          <c:dPt>
            <c:idx val="22"/>
            <c:invertIfNegative val="0"/>
            <c:bubble3D val="0"/>
            <c:spPr>
              <a:solidFill>
                <a:srgbClr val="C00000"/>
              </a:solidFill>
              <a:ln>
                <a:noFill/>
              </a:ln>
              <a:effectLst/>
            </c:spPr>
            <c:extLst>
              <c:ext xmlns:c16="http://schemas.microsoft.com/office/drawing/2014/chart" uri="{C3380CC4-5D6E-409C-BE32-E72D297353CC}">
                <c16:uniqueId val="{00000016-5A22-4839-AFA3-9EE0C5004A18}"/>
              </c:ext>
            </c:extLst>
          </c:dPt>
          <c:dPt>
            <c:idx val="23"/>
            <c:invertIfNegative val="0"/>
            <c:bubble3D val="0"/>
            <c:spPr>
              <a:solidFill>
                <a:srgbClr val="F6A8AF"/>
              </a:solidFill>
              <a:ln>
                <a:noFill/>
              </a:ln>
              <a:effectLst/>
            </c:spPr>
            <c:extLst>
              <c:ext xmlns:c16="http://schemas.microsoft.com/office/drawing/2014/chart" uri="{C3380CC4-5D6E-409C-BE32-E72D297353CC}">
                <c16:uniqueId val="{00000017-5A22-4839-AFA3-9EE0C5004A18}"/>
              </c:ext>
            </c:extLst>
          </c:dPt>
          <c:dPt>
            <c:idx val="24"/>
            <c:invertIfNegative val="0"/>
            <c:bubble3D val="0"/>
            <c:spPr>
              <a:solidFill>
                <a:srgbClr val="00B050"/>
              </a:solidFill>
              <a:ln>
                <a:noFill/>
              </a:ln>
              <a:effectLst/>
            </c:spPr>
            <c:extLst>
              <c:ext xmlns:c16="http://schemas.microsoft.com/office/drawing/2014/chart" uri="{C3380CC4-5D6E-409C-BE32-E72D297353CC}">
                <c16:uniqueId val="{00000018-5A22-4839-AFA3-9EE0C5004A18}"/>
              </c:ext>
            </c:extLst>
          </c:dPt>
          <c:dPt>
            <c:idx val="25"/>
            <c:invertIfNegative val="0"/>
            <c:bubble3D val="0"/>
            <c:spPr>
              <a:solidFill>
                <a:srgbClr val="FFFF00"/>
              </a:solidFill>
              <a:ln>
                <a:noFill/>
              </a:ln>
              <a:effectLst/>
            </c:spPr>
            <c:extLst>
              <c:ext xmlns:c16="http://schemas.microsoft.com/office/drawing/2014/chart" uri="{C3380CC4-5D6E-409C-BE32-E72D297353CC}">
                <c16:uniqueId val="{00000019-5A22-4839-AFA3-9EE0C5004A18}"/>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1A-5A22-4839-AFA3-9EE0C5004A18}"/>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'Route Info'!$Q$524:$Q$551</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'Route Info'!$AE$524:$AE$551</c:f>
              <c:numCache>
                <c:formatCode>General</c:formatCode>
                <c:ptCount val="28"/>
                <c:pt idx="0">
                  <c:v>16</c:v>
                </c:pt>
                <c:pt idx="1">
                  <c:v>21</c:v>
                </c:pt>
                <c:pt idx="2">
                  <c:v>1</c:v>
                </c:pt>
                <c:pt idx="3">
                  <c:v>2</c:v>
                </c:pt>
                <c:pt idx="4">
                  <c:v>9</c:v>
                </c:pt>
                <c:pt idx="5">
                  <c:v>5</c:v>
                </c:pt>
                <c:pt idx="6">
                  <c:v>3</c:v>
                </c:pt>
                <c:pt idx="7">
                  <c:v>1</c:v>
                </c:pt>
                <c:pt idx="8">
                  <c:v>8</c:v>
                </c:pt>
                <c:pt idx="9">
                  <c:v>2</c:v>
                </c:pt>
                <c:pt idx="10">
                  <c:v>5</c:v>
                </c:pt>
                <c:pt idx="11">
                  <c:v>3</c:v>
                </c:pt>
                <c:pt idx="12">
                  <c:v>8</c:v>
                </c:pt>
                <c:pt idx="13">
                  <c:v>17</c:v>
                </c:pt>
                <c:pt idx="14">
                  <c:v>5</c:v>
                </c:pt>
                <c:pt idx="15">
                  <c:v>3</c:v>
                </c:pt>
                <c:pt idx="16">
                  <c:v>21</c:v>
                </c:pt>
                <c:pt idx="17">
                  <c:v>0</c:v>
                </c:pt>
                <c:pt idx="18">
                  <c:v>3</c:v>
                </c:pt>
                <c:pt idx="19">
                  <c:v>4</c:v>
                </c:pt>
                <c:pt idx="20">
                  <c:v>2</c:v>
                </c:pt>
                <c:pt idx="21">
                  <c:v>35</c:v>
                </c:pt>
                <c:pt idx="22">
                  <c:v>17</c:v>
                </c:pt>
                <c:pt idx="23">
                  <c:v>45</c:v>
                </c:pt>
                <c:pt idx="24">
                  <c:v>1</c:v>
                </c:pt>
                <c:pt idx="25">
                  <c:v>1</c:v>
                </c:pt>
                <c:pt idx="26">
                  <c:v>2</c:v>
                </c:pt>
                <c:pt idx="27">
                  <c:v>0</c:v>
                </c:pt>
              </c:numCache>
            </c:numRef>
          </c:val>
          <c:extLst>
            <c:ext xmlns:c16="http://schemas.microsoft.com/office/drawing/2014/chart" uri="{C3380CC4-5D6E-409C-BE32-E72D297353CC}">
              <c16:uniqueId val="{00000000-5A22-4839-AFA3-9EE0C5004A18}"/>
            </c:ext>
          </c:extLst>
        </c:ser>
        <c:dLbls>
          <c:dLblPos val="outEnd"/>
          <c:showLegendKey val="0"/>
          <c:showVal val="1"/>
          <c:showCatName val="0"/>
          <c:showSerName val="0"/>
          <c:showPercent val="0"/>
          <c:showBubbleSize val="0"/>
        </c:dLbls>
        <c:gapWidth val="444"/>
        <c:overlap val="-90"/>
        <c:axId val="1250087584"/>
        <c:axId val="1250075584"/>
      </c:barChart>
      <c:catAx>
        <c:axId val="125008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075584"/>
        <c:crosses val="autoZero"/>
        <c:auto val="1"/>
        <c:lblAlgn val="ctr"/>
        <c:lblOffset val="100"/>
        <c:noMultiLvlLbl val="0"/>
      </c:catAx>
      <c:valAx>
        <c:axId val="1250075584"/>
        <c:scaling>
          <c:orientation val="minMax"/>
        </c:scaling>
        <c:delete val="1"/>
        <c:axPos val="l"/>
        <c:numFmt formatCode="General" sourceLinked="1"/>
        <c:majorTickMark val="none"/>
        <c:minorTickMark val="none"/>
        <c:tickLblPos val="nextTo"/>
        <c:crossAx val="125008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Road Blocks per Season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'Road Block'!$C$9</c:f>
              <c:strCache>
                <c:ptCount val="1"/>
                <c:pt idx="0">
                  <c:v>Road Block</c:v>
                </c:pt>
              </c:strCache>
            </c:strRef>
          </c:tx>
          <c:spPr>
            <a:solidFill>
              <a:schemeClr val="bg1"/>
            </a:solidFill>
            <a:ln>
              <a:noFill/>
            </a:ln>
            <a:effectLst/>
          </c:spPr>
          <c:invertIfNegative val="0"/>
          <c:cat>
            <c:strRef>
              <c:f>'Road Block'!$B$10:$B$47</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'Road Block'!$C$10:$C$47</c:f>
              <c:numCache>
                <c:formatCode>General</c:formatCode>
                <c:ptCount val="38"/>
                <c:pt idx="0">
                  <c:v>12</c:v>
                </c:pt>
                <c:pt idx="1">
                  <c:v>12</c:v>
                </c:pt>
                <c:pt idx="2">
                  <c:v>11</c:v>
                </c:pt>
                <c:pt idx="3">
                  <c:v>12</c:v>
                </c:pt>
                <c:pt idx="4">
                  <c:v>12</c:v>
                </c:pt>
                <c:pt idx="5">
                  <c:v>12</c:v>
                </c:pt>
                <c:pt idx="6">
                  <c:v>12</c:v>
                </c:pt>
                <c:pt idx="7">
                  <c:v>11</c:v>
                </c:pt>
                <c:pt idx="8">
                  <c:v>12</c:v>
                </c:pt>
                <c:pt idx="9">
                  <c:v>13</c:v>
                </c:pt>
                <c:pt idx="10">
                  <c:v>12</c:v>
                </c:pt>
                <c:pt idx="11">
                  <c:v>11</c:v>
                </c:pt>
                <c:pt idx="12">
                  <c:v>9</c:v>
                </c:pt>
                <c:pt idx="13">
                  <c:v>11</c:v>
                </c:pt>
                <c:pt idx="14">
                  <c:v>13</c:v>
                </c:pt>
                <c:pt idx="15">
                  <c:v>12</c:v>
                </c:pt>
                <c:pt idx="16">
                  <c:v>12</c:v>
                </c:pt>
                <c:pt idx="17">
                  <c:v>12</c:v>
                </c:pt>
                <c:pt idx="18">
                  <c:v>13</c:v>
                </c:pt>
                <c:pt idx="19">
                  <c:v>12</c:v>
                </c:pt>
                <c:pt idx="20">
                  <c:v>14</c:v>
                </c:pt>
                <c:pt idx="21">
                  <c:v>13</c:v>
                </c:pt>
                <c:pt idx="22">
                  <c:v>13</c:v>
                </c:pt>
                <c:pt idx="23">
                  <c:v>12</c:v>
                </c:pt>
                <c:pt idx="24">
                  <c:v>10</c:v>
                </c:pt>
                <c:pt idx="25">
                  <c:v>10</c:v>
                </c:pt>
                <c:pt idx="26">
                  <c:v>12</c:v>
                </c:pt>
                <c:pt idx="27">
                  <c:v>14</c:v>
                </c:pt>
                <c:pt idx="28">
                  <c:v>11</c:v>
                </c:pt>
                <c:pt idx="29">
                  <c:v>9</c:v>
                </c:pt>
                <c:pt idx="30">
                  <c:v>12</c:v>
                </c:pt>
                <c:pt idx="31">
                  <c:v>11</c:v>
                </c:pt>
                <c:pt idx="32">
                  <c:v>11</c:v>
                </c:pt>
                <c:pt idx="33">
                  <c:v>12</c:v>
                </c:pt>
                <c:pt idx="34">
                  <c:v>12</c:v>
                </c:pt>
                <c:pt idx="35">
                  <c:v>14</c:v>
                </c:pt>
                <c:pt idx="36">
                  <c:v>13</c:v>
                </c:pt>
                <c:pt idx="37">
                  <c:v>13</c:v>
                </c:pt>
              </c:numCache>
            </c:numRef>
          </c:val>
          <c:extLst>
            <c:ext xmlns:c16="http://schemas.microsoft.com/office/drawing/2014/chart" uri="{C3380CC4-5D6E-409C-BE32-E72D297353CC}">
              <c16:uniqueId val="{00000000-87A8-1947-ADAC-D6C5748901F4}"/>
            </c:ext>
          </c:extLst>
        </c:ser>
        <c:dLbls>
          <c:showLegendKey val="0"/>
          <c:showVal val="0"/>
          <c:showCatName val="0"/>
          <c:showSerName val="0"/>
          <c:showPercent val="0"/>
          <c:showBubbleSize val="0"/>
        </c:dLbls>
        <c:gapWidth val="269"/>
        <c:overlap val="-20"/>
        <c:axId val="689406815"/>
        <c:axId val="689408527"/>
      </c:barChart>
      <c:catAx>
        <c:axId val="68940681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89408527"/>
        <c:crosses val="autoZero"/>
        <c:auto val="1"/>
        <c:lblAlgn val="ctr"/>
        <c:lblOffset val="100"/>
        <c:noMultiLvlLbl val="0"/>
      </c:catAx>
      <c:valAx>
        <c:axId val="689408527"/>
        <c:scaling>
          <c:orientation val="minMax"/>
          <c:max val="14"/>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9406815"/>
        <c:crosses val="autoZero"/>
        <c:crossBetween val="between"/>
      </c:valAx>
      <c:spPr>
        <a:noFill/>
        <a:ln>
          <a:noFill/>
        </a:ln>
        <a:effectLst/>
      </c:spPr>
    </c:plotArea>
    <c:plotVisOnly val="1"/>
    <c:dispBlanksAs val="gap"/>
    <c:showDLblsOverMax val="0"/>
  </c:chart>
  <c:spPr>
    <a:solidFill>
      <a:srgbClr val="FF0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Road block challenges by keywords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0-D2E5-3E43-879D-8C5581A57F16}"/>
              </c:ext>
            </c:extLst>
          </c:dPt>
          <c:dPt>
            <c:idx val="1"/>
            <c:invertIfNegative val="0"/>
            <c:bubble3D val="0"/>
            <c:spPr>
              <a:solidFill>
                <a:srgbClr val="FFC000"/>
              </a:solidFill>
              <a:ln>
                <a:noFill/>
              </a:ln>
              <a:effectLst/>
            </c:spPr>
            <c:extLst>
              <c:ext xmlns:c16="http://schemas.microsoft.com/office/drawing/2014/chart" uri="{C3380CC4-5D6E-409C-BE32-E72D297353CC}">
                <c16:uniqueId val="{00000001-D2E5-3E43-879D-8C5581A57F1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D2E5-3E43-879D-8C5581A57F16}"/>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D2E5-3E43-879D-8C5581A57F16}"/>
              </c:ext>
            </c:extLst>
          </c:dPt>
          <c:dPt>
            <c:idx val="4"/>
            <c:invertIfNegative val="0"/>
            <c:bubble3D val="0"/>
            <c:spPr>
              <a:solidFill>
                <a:srgbClr val="9590FF"/>
              </a:solidFill>
              <a:ln>
                <a:noFill/>
              </a:ln>
              <a:effectLst/>
            </c:spPr>
            <c:extLst>
              <c:ext xmlns:c16="http://schemas.microsoft.com/office/drawing/2014/chart" uri="{C3380CC4-5D6E-409C-BE32-E72D297353CC}">
                <c16:uniqueId val="{00000004-D2E5-3E43-879D-8C5581A57F16}"/>
              </c:ext>
            </c:extLst>
          </c:dPt>
          <c:dPt>
            <c:idx val="5"/>
            <c:invertIfNegative val="0"/>
            <c:bubble3D val="0"/>
            <c:spPr>
              <a:solidFill>
                <a:schemeClr val="tx1"/>
              </a:solidFill>
              <a:ln>
                <a:noFill/>
              </a:ln>
              <a:effectLst/>
            </c:spPr>
            <c:extLst>
              <c:ext xmlns:c16="http://schemas.microsoft.com/office/drawing/2014/chart" uri="{C3380CC4-5D6E-409C-BE32-E72D297353CC}">
                <c16:uniqueId val="{00000005-D2E5-3E43-879D-8C5581A57F16}"/>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6-D2E5-3E43-879D-8C5581A57F16}"/>
              </c:ext>
            </c:extLst>
          </c:dPt>
          <c:dPt>
            <c:idx val="7"/>
            <c:invertIfNegative val="0"/>
            <c:bubble3D val="0"/>
            <c:spPr>
              <a:solidFill>
                <a:srgbClr val="D4A2FF"/>
              </a:solidFill>
              <a:ln>
                <a:noFill/>
              </a:ln>
              <a:effectLst/>
            </c:spPr>
            <c:extLst>
              <c:ext xmlns:c16="http://schemas.microsoft.com/office/drawing/2014/chart" uri="{C3380CC4-5D6E-409C-BE32-E72D297353CC}">
                <c16:uniqueId val="{00000007-D2E5-3E43-879D-8C5581A57F16}"/>
              </c:ext>
            </c:extLst>
          </c:dPt>
          <c:dPt>
            <c:idx val="8"/>
            <c:invertIfNegative val="0"/>
            <c:bubble3D val="0"/>
            <c:spPr>
              <a:solidFill>
                <a:srgbClr val="FF00E6"/>
              </a:solidFill>
              <a:ln>
                <a:noFill/>
              </a:ln>
              <a:effectLst/>
            </c:spPr>
            <c:extLst>
              <c:ext xmlns:c16="http://schemas.microsoft.com/office/drawing/2014/chart" uri="{C3380CC4-5D6E-409C-BE32-E72D297353CC}">
                <c16:uniqueId val="{00000008-D2E5-3E43-879D-8C5581A57F16}"/>
              </c:ext>
            </c:extLst>
          </c:dPt>
          <c:dPt>
            <c:idx val="9"/>
            <c:invertIfNegative val="0"/>
            <c:bubble3D val="0"/>
            <c:spPr>
              <a:solidFill>
                <a:srgbClr val="002060"/>
              </a:solidFill>
              <a:ln>
                <a:noFill/>
              </a:ln>
              <a:effectLst/>
            </c:spPr>
            <c:extLst>
              <c:ext xmlns:c16="http://schemas.microsoft.com/office/drawing/2014/chart" uri="{C3380CC4-5D6E-409C-BE32-E72D297353CC}">
                <c16:uniqueId val="{0000000F-D2E5-3E43-879D-8C5581A57F16}"/>
              </c:ext>
            </c:extLst>
          </c:dPt>
          <c:dPt>
            <c:idx val="10"/>
            <c:invertIfNegative val="0"/>
            <c:bubble3D val="0"/>
            <c:spPr>
              <a:solidFill>
                <a:srgbClr val="FFFF00"/>
              </a:solidFill>
              <a:ln>
                <a:noFill/>
              </a:ln>
              <a:effectLst/>
            </c:spPr>
            <c:extLst>
              <c:ext xmlns:c16="http://schemas.microsoft.com/office/drawing/2014/chart" uri="{C3380CC4-5D6E-409C-BE32-E72D297353CC}">
                <c16:uniqueId val="{00000011-D2E5-3E43-879D-8C5581A57F16}"/>
              </c:ext>
            </c:extLst>
          </c:dPt>
          <c:dPt>
            <c:idx val="11"/>
            <c:invertIfNegative val="0"/>
            <c:bubble3D val="0"/>
            <c:spPr>
              <a:solidFill>
                <a:srgbClr val="FFFF00"/>
              </a:solidFill>
              <a:ln>
                <a:noFill/>
              </a:ln>
              <a:effectLst/>
            </c:spPr>
            <c:extLst>
              <c:ext xmlns:c16="http://schemas.microsoft.com/office/drawing/2014/chart" uri="{C3380CC4-5D6E-409C-BE32-E72D297353CC}">
                <c16:uniqueId val="{00000010-D2E5-3E43-879D-8C5581A57F16}"/>
              </c:ext>
            </c:extLst>
          </c:dPt>
          <c:dPt>
            <c:idx val="12"/>
            <c:invertIfNegative val="0"/>
            <c:bubble3D val="0"/>
            <c:spPr>
              <a:solidFill>
                <a:srgbClr val="7030A0"/>
              </a:solidFill>
              <a:ln>
                <a:noFill/>
              </a:ln>
              <a:effectLst/>
            </c:spPr>
            <c:extLst>
              <c:ext xmlns:c16="http://schemas.microsoft.com/office/drawing/2014/chart" uri="{C3380CC4-5D6E-409C-BE32-E72D297353CC}">
                <c16:uniqueId val="{0000000C-D2E5-3E43-879D-8C5581A57F16}"/>
              </c:ext>
            </c:extLst>
          </c:dPt>
          <c:dPt>
            <c:idx val="14"/>
            <c:invertIfNegative val="0"/>
            <c:bubble3D val="0"/>
            <c:spPr>
              <a:solidFill>
                <a:srgbClr val="FFB99A"/>
              </a:solidFill>
              <a:ln>
                <a:noFill/>
              </a:ln>
              <a:effectLst/>
            </c:spPr>
            <c:extLst>
              <c:ext xmlns:c16="http://schemas.microsoft.com/office/drawing/2014/chart" uri="{C3380CC4-5D6E-409C-BE32-E72D297353CC}">
                <c16:uniqueId val="{00000012-D2E5-3E43-879D-8C5581A57F16}"/>
              </c:ext>
            </c:extLst>
          </c:dPt>
          <c:dPt>
            <c:idx val="15"/>
            <c:invertIfNegative val="0"/>
            <c:bubble3D val="0"/>
            <c:spPr>
              <a:solidFill>
                <a:srgbClr val="F24362"/>
              </a:solidFill>
              <a:ln>
                <a:noFill/>
              </a:ln>
              <a:effectLst/>
            </c:spPr>
            <c:extLst>
              <c:ext xmlns:c16="http://schemas.microsoft.com/office/drawing/2014/chart" uri="{C3380CC4-5D6E-409C-BE32-E72D297353CC}">
                <c16:uniqueId val="{00000019-D2E5-3E43-879D-8C5581A57F16}"/>
              </c:ext>
            </c:extLst>
          </c:dPt>
          <c:dPt>
            <c:idx val="16"/>
            <c:invertIfNegative val="0"/>
            <c:bubble3D val="0"/>
            <c:spPr>
              <a:solidFill>
                <a:srgbClr val="1FFFF0"/>
              </a:solidFill>
              <a:ln>
                <a:noFill/>
              </a:ln>
              <a:effectLst/>
            </c:spPr>
            <c:extLst>
              <c:ext xmlns:c16="http://schemas.microsoft.com/office/drawing/2014/chart" uri="{C3380CC4-5D6E-409C-BE32-E72D297353CC}">
                <c16:uniqueId val="{0000000B-D2E5-3E43-879D-8C5581A57F16}"/>
              </c:ext>
            </c:extLst>
          </c:dPt>
          <c:dPt>
            <c:idx val="17"/>
            <c:invertIfNegative val="0"/>
            <c:bubble3D val="0"/>
            <c:spPr>
              <a:solidFill>
                <a:srgbClr val="ACFFA5"/>
              </a:solidFill>
              <a:ln>
                <a:noFill/>
              </a:ln>
              <a:effectLst/>
            </c:spPr>
            <c:extLst>
              <c:ext xmlns:c16="http://schemas.microsoft.com/office/drawing/2014/chart" uri="{C3380CC4-5D6E-409C-BE32-E72D297353CC}">
                <c16:uniqueId val="{00000013-D2E5-3E43-879D-8C5581A57F16}"/>
              </c:ext>
            </c:extLst>
          </c:dPt>
          <c:dPt>
            <c:idx val="18"/>
            <c:invertIfNegative val="0"/>
            <c:bubble3D val="0"/>
            <c:spPr>
              <a:solidFill>
                <a:srgbClr val="FF9300"/>
              </a:solidFill>
              <a:ln>
                <a:noFill/>
              </a:ln>
              <a:effectLst/>
            </c:spPr>
            <c:extLst>
              <c:ext xmlns:c16="http://schemas.microsoft.com/office/drawing/2014/chart" uri="{C3380CC4-5D6E-409C-BE32-E72D297353CC}">
                <c16:uniqueId val="{00000014-D2E5-3E43-879D-8C5581A57F16}"/>
              </c:ext>
            </c:extLst>
          </c:dPt>
          <c:dPt>
            <c:idx val="19"/>
            <c:invertIfNegative val="0"/>
            <c:bubble3D val="0"/>
            <c:spPr>
              <a:solidFill>
                <a:srgbClr val="1FFFF0"/>
              </a:solidFill>
              <a:ln>
                <a:noFill/>
              </a:ln>
              <a:effectLst/>
            </c:spPr>
            <c:extLst>
              <c:ext xmlns:c16="http://schemas.microsoft.com/office/drawing/2014/chart" uri="{C3380CC4-5D6E-409C-BE32-E72D297353CC}">
                <c16:uniqueId val="{0000000A-D2E5-3E43-879D-8C5581A57F16}"/>
              </c:ext>
            </c:extLst>
          </c:dPt>
          <c:dPt>
            <c:idx val="20"/>
            <c:invertIfNegative val="0"/>
            <c:bubble3D val="0"/>
            <c:spPr>
              <a:solidFill>
                <a:srgbClr val="FF00E6"/>
              </a:solidFill>
              <a:ln>
                <a:noFill/>
              </a:ln>
              <a:effectLst/>
            </c:spPr>
            <c:extLst>
              <c:ext xmlns:c16="http://schemas.microsoft.com/office/drawing/2014/chart" uri="{C3380CC4-5D6E-409C-BE32-E72D297353CC}">
                <c16:uniqueId val="{00000009-D2E5-3E43-879D-8C5581A57F16}"/>
              </c:ext>
            </c:extLst>
          </c:dPt>
          <c:dPt>
            <c:idx val="21"/>
            <c:invertIfNegative val="0"/>
            <c:bubble3D val="0"/>
            <c:spPr>
              <a:solidFill>
                <a:srgbClr val="63FF2E"/>
              </a:solidFill>
              <a:ln>
                <a:noFill/>
              </a:ln>
              <a:effectLst/>
            </c:spPr>
            <c:extLst>
              <c:ext xmlns:c16="http://schemas.microsoft.com/office/drawing/2014/chart" uri="{C3380CC4-5D6E-409C-BE32-E72D297353CC}">
                <c16:uniqueId val="{0000000D-D2E5-3E43-879D-8C5581A57F16}"/>
              </c:ext>
            </c:extLst>
          </c:dPt>
          <c:dPt>
            <c:idx val="22"/>
            <c:invertIfNegative val="0"/>
            <c:bubble3D val="0"/>
            <c:spPr>
              <a:solidFill>
                <a:srgbClr val="C00000"/>
              </a:solidFill>
              <a:ln>
                <a:noFill/>
              </a:ln>
              <a:effectLst/>
            </c:spPr>
            <c:extLst>
              <c:ext xmlns:c16="http://schemas.microsoft.com/office/drawing/2014/chart" uri="{C3380CC4-5D6E-409C-BE32-E72D297353CC}">
                <c16:uniqueId val="{0000000E-D2E5-3E43-879D-8C5581A57F16}"/>
              </c:ext>
            </c:extLst>
          </c:dPt>
          <c:dPt>
            <c:idx val="23"/>
            <c:invertIfNegative val="0"/>
            <c:bubble3D val="0"/>
            <c:spPr>
              <a:solidFill>
                <a:srgbClr val="DC7488"/>
              </a:solidFill>
              <a:ln>
                <a:noFill/>
              </a:ln>
              <a:effectLst/>
            </c:spPr>
            <c:extLst>
              <c:ext xmlns:c16="http://schemas.microsoft.com/office/drawing/2014/chart" uri="{C3380CC4-5D6E-409C-BE32-E72D297353CC}">
                <c16:uniqueId val="{00000018-D2E5-3E43-879D-8C5581A57F16}"/>
              </c:ext>
            </c:extLst>
          </c:dPt>
          <c:dPt>
            <c:idx val="24"/>
            <c:invertIfNegative val="0"/>
            <c:bubble3D val="0"/>
            <c:spPr>
              <a:solidFill>
                <a:srgbClr val="00B050"/>
              </a:solidFill>
              <a:ln>
                <a:noFill/>
              </a:ln>
              <a:effectLst/>
            </c:spPr>
            <c:extLst>
              <c:ext xmlns:c16="http://schemas.microsoft.com/office/drawing/2014/chart" uri="{C3380CC4-5D6E-409C-BE32-E72D297353CC}">
                <c16:uniqueId val="{00000015-D2E5-3E43-879D-8C5581A57F16}"/>
              </c:ext>
            </c:extLst>
          </c:dPt>
          <c:dPt>
            <c:idx val="25"/>
            <c:invertIfNegative val="0"/>
            <c:bubble3D val="0"/>
            <c:spPr>
              <a:solidFill>
                <a:srgbClr val="FFFF00"/>
              </a:solidFill>
              <a:ln>
                <a:noFill/>
              </a:ln>
              <a:effectLst/>
            </c:spPr>
            <c:extLst>
              <c:ext xmlns:c16="http://schemas.microsoft.com/office/drawing/2014/chart" uri="{C3380CC4-5D6E-409C-BE32-E72D297353CC}">
                <c16:uniqueId val="{00000016-D2E5-3E43-879D-8C5581A57F16}"/>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17-D2E5-3E43-879D-8C5581A57F16}"/>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'Road Block'!$Q$118:$Q$145</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'Road Block'!$AE$118:$AE$145</c:f>
              <c:numCache>
                <c:formatCode>General</c:formatCode>
                <c:ptCount val="28"/>
                <c:pt idx="0">
                  <c:v>26</c:v>
                </c:pt>
                <c:pt idx="1">
                  <c:v>47</c:v>
                </c:pt>
                <c:pt idx="2">
                  <c:v>18</c:v>
                </c:pt>
                <c:pt idx="3">
                  <c:v>12</c:v>
                </c:pt>
                <c:pt idx="4">
                  <c:v>31</c:v>
                </c:pt>
                <c:pt idx="5">
                  <c:v>8</c:v>
                </c:pt>
                <c:pt idx="6">
                  <c:v>5</c:v>
                </c:pt>
                <c:pt idx="7">
                  <c:v>12</c:v>
                </c:pt>
                <c:pt idx="8">
                  <c:v>18</c:v>
                </c:pt>
                <c:pt idx="9">
                  <c:v>2</c:v>
                </c:pt>
                <c:pt idx="10">
                  <c:v>22</c:v>
                </c:pt>
                <c:pt idx="11">
                  <c:v>2</c:v>
                </c:pt>
                <c:pt idx="12">
                  <c:v>45</c:v>
                </c:pt>
                <c:pt idx="13">
                  <c:v>70</c:v>
                </c:pt>
                <c:pt idx="14">
                  <c:v>11</c:v>
                </c:pt>
                <c:pt idx="15">
                  <c:v>6</c:v>
                </c:pt>
                <c:pt idx="16">
                  <c:v>30</c:v>
                </c:pt>
                <c:pt idx="17">
                  <c:v>5</c:v>
                </c:pt>
                <c:pt idx="18">
                  <c:v>4</c:v>
                </c:pt>
                <c:pt idx="19">
                  <c:v>4</c:v>
                </c:pt>
                <c:pt idx="20">
                  <c:v>3</c:v>
                </c:pt>
                <c:pt idx="21">
                  <c:v>92</c:v>
                </c:pt>
                <c:pt idx="22">
                  <c:v>22</c:v>
                </c:pt>
                <c:pt idx="23">
                  <c:v>102</c:v>
                </c:pt>
                <c:pt idx="24">
                  <c:v>4</c:v>
                </c:pt>
                <c:pt idx="25">
                  <c:v>4</c:v>
                </c:pt>
                <c:pt idx="26">
                  <c:v>19</c:v>
                </c:pt>
                <c:pt idx="27">
                  <c:v>0</c:v>
                </c:pt>
              </c:numCache>
            </c:numRef>
          </c:val>
          <c:extLst>
            <c:ext xmlns:c16="http://schemas.microsoft.com/office/drawing/2014/chart" uri="{C3380CC4-5D6E-409C-BE32-E72D297353CC}">
              <c16:uniqueId val="{00000000-C400-A94B-A871-CCEFF5DC7F85}"/>
            </c:ext>
          </c:extLst>
        </c:ser>
        <c:dLbls>
          <c:dLblPos val="outEnd"/>
          <c:showLegendKey val="0"/>
          <c:showVal val="1"/>
          <c:showCatName val="0"/>
          <c:showSerName val="0"/>
          <c:showPercent val="0"/>
          <c:showBubbleSize val="0"/>
        </c:dLbls>
        <c:gapWidth val="444"/>
        <c:overlap val="-90"/>
        <c:axId val="284776575"/>
        <c:axId val="284434063"/>
      </c:barChart>
      <c:catAx>
        <c:axId val="284776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4434063"/>
        <c:crosses val="autoZero"/>
        <c:auto val="1"/>
        <c:lblAlgn val="ctr"/>
        <c:lblOffset val="100"/>
        <c:noMultiLvlLbl val="0"/>
      </c:catAx>
      <c:valAx>
        <c:axId val="284434063"/>
        <c:scaling>
          <c:orientation val="minMax"/>
        </c:scaling>
        <c:delete val="1"/>
        <c:axPos val="l"/>
        <c:numFmt formatCode="General" sourceLinked="1"/>
        <c:majorTickMark val="none"/>
        <c:minorTickMark val="none"/>
        <c:tickLblPos val="nextTo"/>
        <c:crossAx val="28477657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of keywords in road blocks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'Road Block'!$AG$149</c:f>
              <c:strCache>
                <c:ptCount val="1"/>
                <c:pt idx="0">
                  <c:v>%</c:v>
                </c:pt>
              </c:strCache>
            </c:strRef>
          </c:tx>
          <c:spPr>
            <a:solidFill>
              <a:schemeClr val="lt1"/>
            </a:solidFill>
            <a:ln w="19050">
              <a:solidFill>
                <a:srgbClr val="FF0000"/>
              </a:solidFill>
            </a:ln>
            <a:effectLst/>
          </c:spPr>
          <c:dPt>
            <c:idx val="0"/>
            <c:bubble3D val="0"/>
            <c:spPr>
              <a:solidFill>
                <a:schemeClr val="lt1"/>
              </a:solidFill>
              <a:ln w="19050">
                <a:solidFill>
                  <a:srgbClr val="FF0000"/>
                </a:solidFill>
              </a:ln>
              <a:effectLst/>
            </c:spPr>
            <c:extLst>
              <c:ext xmlns:c16="http://schemas.microsoft.com/office/drawing/2014/chart" uri="{C3380CC4-5D6E-409C-BE32-E72D297353CC}">
                <c16:uniqueId val="{00000001-248F-6C4F-B8BA-2EC994D7CD6E}"/>
              </c:ext>
            </c:extLst>
          </c:dPt>
          <c:dPt>
            <c:idx val="1"/>
            <c:bubble3D val="0"/>
            <c:spPr>
              <a:solidFill>
                <a:schemeClr val="lt1"/>
              </a:solidFill>
              <a:ln w="19050">
                <a:solidFill>
                  <a:srgbClr val="FF0000"/>
                </a:solidFill>
              </a:ln>
              <a:effectLst/>
            </c:spPr>
            <c:extLst>
              <c:ext xmlns:c16="http://schemas.microsoft.com/office/drawing/2014/chart" uri="{C3380CC4-5D6E-409C-BE32-E72D297353CC}">
                <c16:uniqueId val="{00000003-248F-6C4F-B8BA-2EC994D7CD6E}"/>
              </c:ext>
            </c:extLst>
          </c:dPt>
          <c:dPt>
            <c:idx val="2"/>
            <c:bubble3D val="0"/>
            <c:spPr>
              <a:solidFill>
                <a:schemeClr val="lt1"/>
              </a:solidFill>
              <a:ln w="19050">
                <a:solidFill>
                  <a:srgbClr val="FF0000"/>
                </a:solidFill>
              </a:ln>
              <a:effectLst/>
            </c:spPr>
            <c:extLst>
              <c:ext xmlns:c16="http://schemas.microsoft.com/office/drawing/2014/chart" uri="{C3380CC4-5D6E-409C-BE32-E72D297353CC}">
                <c16:uniqueId val="{00000005-248F-6C4F-B8BA-2EC994D7CD6E}"/>
              </c:ext>
            </c:extLst>
          </c:dPt>
          <c:dPt>
            <c:idx val="3"/>
            <c:bubble3D val="0"/>
            <c:spPr>
              <a:solidFill>
                <a:schemeClr val="lt1"/>
              </a:solidFill>
              <a:ln w="19050">
                <a:solidFill>
                  <a:srgbClr val="FF0000"/>
                </a:solidFill>
              </a:ln>
              <a:effectLst/>
            </c:spPr>
            <c:extLst>
              <c:ext xmlns:c16="http://schemas.microsoft.com/office/drawing/2014/chart" uri="{C3380CC4-5D6E-409C-BE32-E72D297353CC}">
                <c16:uniqueId val="{00000007-248F-6C4F-B8BA-2EC994D7CD6E}"/>
              </c:ext>
            </c:extLst>
          </c:dPt>
          <c:dPt>
            <c:idx val="4"/>
            <c:bubble3D val="0"/>
            <c:spPr>
              <a:solidFill>
                <a:schemeClr val="lt1"/>
              </a:solidFill>
              <a:ln w="19050">
                <a:solidFill>
                  <a:srgbClr val="FF0000"/>
                </a:solidFill>
              </a:ln>
              <a:effectLst/>
            </c:spPr>
            <c:extLst>
              <c:ext xmlns:c16="http://schemas.microsoft.com/office/drawing/2014/chart" uri="{C3380CC4-5D6E-409C-BE32-E72D297353CC}">
                <c16:uniqueId val="{00000009-248F-6C4F-B8BA-2EC994D7CD6E}"/>
              </c:ext>
            </c:extLst>
          </c:dPt>
          <c:dPt>
            <c:idx val="5"/>
            <c:bubble3D val="0"/>
            <c:spPr>
              <a:solidFill>
                <a:schemeClr val="lt1"/>
              </a:solidFill>
              <a:ln w="19050">
                <a:solidFill>
                  <a:srgbClr val="FF0000"/>
                </a:solidFill>
              </a:ln>
              <a:effectLst/>
            </c:spPr>
            <c:extLst>
              <c:ext xmlns:c16="http://schemas.microsoft.com/office/drawing/2014/chart" uri="{C3380CC4-5D6E-409C-BE32-E72D297353CC}">
                <c16:uniqueId val="{00000001-52EE-0748-BD9B-E0188486205A}"/>
              </c:ext>
            </c:extLst>
          </c:dPt>
          <c:dPt>
            <c:idx val="6"/>
            <c:bubble3D val="0"/>
            <c:spPr>
              <a:solidFill>
                <a:schemeClr val="lt1"/>
              </a:solidFill>
              <a:ln w="19050">
                <a:solidFill>
                  <a:srgbClr val="FF0000"/>
                </a:solidFill>
              </a:ln>
              <a:effectLst/>
            </c:spPr>
            <c:extLst>
              <c:ext xmlns:c16="http://schemas.microsoft.com/office/drawing/2014/chart" uri="{C3380CC4-5D6E-409C-BE32-E72D297353CC}">
                <c16:uniqueId val="{00000002-52EE-0748-BD9B-E0188486205A}"/>
              </c:ext>
            </c:extLst>
          </c:dPt>
          <c:dPt>
            <c:idx val="7"/>
            <c:bubble3D val="0"/>
            <c:spPr>
              <a:solidFill>
                <a:schemeClr val="lt1"/>
              </a:solidFill>
              <a:ln w="19050">
                <a:solidFill>
                  <a:srgbClr val="FF0000"/>
                </a:solidFill>
              </a:ln>
              <a:effectLst/>
            </c:spPr>
            <c:extLst>
              <c:ext xmlns:c16="http://schemas.microsoft.com/office/drawing/2014/chart" uri="{C3380CC4-5D6E-409C-BE32-E72D297353CC}">
                <c16:uniqueId val="{0000000F-248F-6C4F-B8BA-2EC994D7CD6E}"/>
              </c:ext>
            </c:extLst>
          </c:dPt>
          <c:dPt>
            <c:idx val="8"/>
            <c:bubble3D val="0"/>
            <c:spPr>
              <a:solidFill>
                <a:schemeClr val="lt1"/>
              </a:solidFill>
              <a:ln w="19050">
                <a:solidFill>
                  <a:srgbClr val="FF0000"/>
                </a:solidFill>
              </a:ln>
              <a:effectLst/>
            </c:spPr>
            <c:extLst>
              <c:ext xmlns:c16="http://schemas.microsoft.com/office/drawing/2014/chart" uri="{C3380CC4-5D6E-409C-BE32-E72D297353CC}">
                <c16:uniqueId val="{00000011-248F-6C4F-B8BA-2EC994D7CD6E}"/>
              </c:ext>
            </c:extLst>
          </c:dPt>
          <c:dPt>
            <c:idx val="9"/>
            <c:bubble3D val="0"/>
            <c:spPr>
              <a:solidFill>
                <a:schemeClr val="lt1"/>
              </a:solidFill>
              <a:ln w="19050">
                <a:solidFill>
                  <a:srgbClr val="FF0000"/>
                </a:solidFill>
              </a:ln>
              <a:effectLst/>
            </c:spPr>
            <c:extLst>
              <c:ext xmlns:c16="http://schemas.microsoft.com/office/drawing/2014/chart" uri="{C3380CC4-5D6E-409C-BE32-E72D297353CC}">
                <c16:uniqueId val="{00000003-52EE-0748-BD9B-E0188486205A}"/>
              </c:ext>
            </c:extLst>
          </c:dPt>
          <c:dPt>
            <c:idx val="10"/>
            <c:bubble3D val="0"/>
            <c:spPr>
              <a:solidFill>
                <a:schemeClr val="lt1"/>
              </a:solidFill>
              <a:ln w="19050">
                <a:solidFill>
                  <a:srgbClr val="FF0000"/>
                </a:solidFill>
              </a:ln>
              <a:effectLst/>
            </c:spPr>
            <c:extLst>
              <c:ext xmlns:c16="http://schemas.microsoft.com/office/drawing/2014/chart" uri="{C3380CC4-5D6E-409C-BE32-E72D297353CC}">
                <c16:uniqueId val="{00000015-248F-6C4F-B8BA-2EC994D7CD6E}"/>
              </c:ext>
            </c:extLst>
          </c:dPt>
          <c:dPt>
            <c:idx val="11"/>
            <c:bubble3D val="0"/>
            <c:spPr>
              <a:solidFill>
                <a:schemeClr val="lt1"/>
              </a:solidFill>
              <a:ln w="19050">
                <a:solidFill>
                  <a:srgbClr val="FF0000"/>
                </a:solidFill>
              </a:ln>
              <a:effectLst/>
            </c:spPr>
            <c:extLst>
              <c:ext xmlns:c16="http://schemas.microsoft.com/office/drawing/2014/chart" uri="{C3380CC4-5D6E-409C-BE32-E72D297353CC}">
                <c16:uniqueId val="{00000004-52EE-0748-BD9B-E0188486205A}"/>
              </c:ext>
            </c:extLst>
          </c:dPt>
          <c:dPt>
            <c:idx val="12"/>
            <c:bubble3D val="0"/>
            <c:spPr>
              <a:solidFill>
                <a:schemeClr val="lt1"/>
              </a:solidFill>
              <a:ln w="19050">
                <a:solidFill>
                  <a:srgbClr val="FF0000"/>
                </a:solidFill>
              </a:ln>
              <a:effectLst/>
            </c:spPr>
            <c:extLst>
              <c:ext xmlns:c16="http://schemas.microsoft.com/office/drawing/2014/chart" uri="{C3380CC4-5D6E-409C-BE32-E72D297353CC}">
                <c16:uniqueId val="{00000019-248F-6C4F-B8BA-2EC994D7CD6E}"/>
              </c:ext>
            </c:extLst>
          </c:dPt>
          <c:dPt>
            <c:idx val="13"/>
            <c:bubble3D val="0"/>
            <c:spPr>
              <a:solidFill>
                <a:schemeClr val="lt1"/>
              </a:solidFill>
              <a:ln w="19050">
                <a:solidFill>
                  <a:srgbClr val="FF0000"/>
                </a:solidFill>
              </a:ln>
              <a:effectLst/>
            </c:spPr>
            <c:extLst>
              <c:ext xmlns:c16="http://schemas.microsoft.com/office/drawing/2014/chart" uri="{C3380CC4-5D6E-409C-BE32-E72D297353CC}">
                <c16:uniqueId val="{0000001B-248F-6C4F-B8BA-2EC994D7CD6E}"/>
              </c:ext>
            </c:extLst>
          </c:dPt>
          <c:dPt>
            <c:idx val="14"/>
            <c:bubble3D val="0"/>
            <c:spPr>
              <a:solidFill>
                <a:schemeClr val="lt1"/>
              </a:solidFill>
              <a:ln w="19050">
                <a:solidFill>
                  <a:srgbClr val="FF0000"/>
                </a:solidFill>
              </a:ln>
              <a:effectLst/>
            </c:spPr>
            <c:extLst>
              <c:ext xmlns:c16="http://schemas.microsoft.com/office/drawing/2014/chart" uri="{C3380CC4-5D6E-409C-BE32-E72D297353CC}">
                <c16:uniqueId val="{00000005-52EE-0748-BD9B-E0188486205A}"/>
              </c:ext>
            </c:extLst>
          </c:dPt>
          <c:dPt>
            <c:idx val="15"/>
            <c:bubble3D val="0"/>
            <c:spPr>
              <a:solidFill>
                <a:schemeClr val="lt1"/>
              </a:solidFill>
              <a:ln w="19050">
                <a:solidFill>
                  <a:srgbClr val="FF0000"/>
                </a:solidFill>
              </a:ln>
              <a:effectLst/>
            </c:spPr>
            <c:extLst>
              <c:ext xmlns:c16="http://schemas.microsoft.com/office/drawing/2014/chart" uri="{C3380CC4-5D6E-409C-BE32-E72D297353CC}">
                <c16:uniqueId val="{00000006-52EE-0748-BD9B-E0188486205A}"/>
              </c:ext>
            </c:extLst>
          </c:dPt>
          <c:dPt>
            <c:idx val="16"/>
            <c:bubble3D val="0"/>
            <c:spPr>
              <a:solidFill>
                <a:schemeClr val="lt1"/>
              </a:solidFill>
              <a:ln w="19050">
                <a:solidFill>
                  <a:srgbClr val="FF0000"/>
                </a:solidFill>
              </a:ln>
              <a:effectLst/>
            </c:spPr>
            <c:extLst>
              <c:ext xmlns:c16="http://schemas.microsoft.com/office/drawing/2014/chart" uri="{C3380CC4-5D6E-409C-BE32-E72D297353CC}">
                <c16:uniqueId val="{00000021-248F-6C4F-B8BA-2EC994D7CD6E}"/>
              </c:ext>
            </c:extLst>
          </c:dPt>
          <c:dPt>
            <c:idx val="17"/>
            <c:bubble3D val="0"/>
            <c:spPr>
              <a:solidFill>
                <a:schemeClr val="lt1"/>
              </a:solidFill>
              <a:ln w="19050">
                <a:solidFill>
                  <a:srgbClr val="FF0000"/>
                </a:solidFill>
              </a:ln>
              <a:effectLst/>
            </c:spPr>
            <c:extLst>
              <c:ext xmlns:c16="http://schemas.microsoft.com/office/drawing/2014/chart" uri="{C3380CC4-5D6E-409C-BE32-E72D297353CC}">
                <c16:uniqueId val="{00000008-52EE-0748-BD9B-E0188486205A}"/>
              </c:ext>
            </c:extLst>
          </c:dPt>
          <c:dPt>
            <c:idx val="18"/>
            <c:bubble3D val="0"/>
            <c:spPr>
              <a:solidFill>
                <a:schemeClr val="lt1"/>
              </a:solidFill>
              <a:ln w="19050">
                <a:solidFill>
                  <a:srgbClr val="FF0000"/>
                </a:solidFill>
              </a:ln>
              <a:effectLst/>
            </c:spPr>
            <c:extLst>
              <c:ext xmlns:c16="http://schemas.microsoft.com/office/drawing/2014/chart" uri="{C3380CC4-5D6E-409C-BE32-E72D297353CC}">
                <c16:uniqueId val="{00000007-52EE-0748-BD9B-E0188486205A}"/>
              </c:ext>
            </c:extLst>
          </c:dPt>
          <c:dPt>
            <c:idx val="19"/>
            <c:bubble3D val="0"/>
            <c:spPr>
              <a:solidFill>
                <a:schemeClr val="lt1"/>
              </a:solidFill>
              <a:ln w="19050">
                <a:solidFill>
                  <a:srgbClr val="FF0000"/>
                </a:solidFill>
              </a:ln>
              <a:effectLst/>
            </c:spPr>
            <c:extLst>
              <c:ext xmlns:c16="http://schemas.microsoft.com/office/drawing/2014/chart" uri="{C3380CC4-5D6E-409C-BE32-E72D297353CC}">
                <c16:uniqueId val="{0000000A-52EE-0748-BD9B-E0188486205A}"/>
              </c:ext>
            </c:extLst>
          </c:dPt>
          <c:dPt>
            <c:idx val="20"/>
            <c:bubble3D val="0"/>
            <c:spPr>
              <a:solidFill>
                <a:schemeClr val="lt1"/>
              </a:solidFill>
              <a:ln w="19050">
                <a:solidFill>
                  <a:srgbClr val="FF0000"/>
                </a:solidFill>
              </a:ln>
              <a:effectLst/>
            </c:spPr>
            <c:extLst>
              <c:ext xmlns:c16="http://schemas.microsoft.com/office/drawing/2014/chart" uri="{C3380CC4-5D6E-409C-BE32-E72D297353CC}">
                <c16:uniqueId val="{00000009-52EE-0748-BD9B-E0188486205A}"/>
              </c:ext>
            </c:extLst>
          </c:dPt>
          <c:dPt>
            <c:idx val="21"/>
            <c:bubble3D val="0"/>
            <c:spPr>
              <a:solidFill>
                <a:schemeClr val="lt1"/>
              </a:solidFill>
              <a:ln w="19050">
                <a:solidFill>
                  <a:srgbClr val="FF0000"/>
                </a:solidFill>
              </a:ln>
              <a:effectLst/>
            </c:spPr>
            <c:extLst>
              <c:ext xmlns:c16="http://schemas.microsoft.com/office/drawing/2014/chart" uri="{C3380CC4-5D6E-409C-BE32-E72D297353CC}">
                <c16:uniqueId val="{0000002B-248F-6C4F-B8BA-2EC994D7CD6E}"/>
              </c:ext>
            </c:extLst>
          </c:dPt>
          <c:dPt>
            <c:idx val="22"/>
            <c:bubble3D val="0"/>
            <c:spPr>
              <a:solidFill>
                <a:schemeClr val="lt1"/>
              </a:solidFill>
              <a:ln w="19050">
                <a:solidFill>
                  <a:srgbClr val="FF0000"/>
                </a:solidFill>
              </a:ln>
              <a:effectLst/>
            </c:spPr>
            <c:extLst>
              <c:ext xmlns:c16="http://schemas.microsoft.com/office/drawing/2014/chart" uri="{C3380CC4-5D6E-409C-BE32-E72D297353CC}">
                <c16:uniqueId val="{0000002D-248F-6C4F-B8BA-2EC994D7CD6E}"/>
              </c:ext>
            </c:extLst>
          </c:dPt>
          <c:dPt>
            <c:idx val="23"/>
            <c:bubble3D val="0"/>
            <c:spPr>
              <a:solidFill>
                <a:schemeClr val="lt1"/>
              </a:solidFill>
              <a:ln w="19050">
                <a:solidFill>
                  <a:srgbClr val="FF0000"/>
                </a:solidFill>
              </a:ln>
              <a:effectLst/>
            </c:spPr>
            <c:extLst>
              <c:ext xmlns:c16="http://schemas.microsoft.com/office/drawing/2014/chart" uri="{C3380CC4-5D6E-409C-BE32-E72D297353CC}">
                <c16:uniqueId val="{0000002F-248F-6C4F-B8BA-2EC994D7CD6E}"/>
              </c:ext>
            </c:extLst>
          </c:dPt>
          <c:dPt>
            <c:idx val="24"/>
            <c:bubble3D val="0"/>
            <c:spPr>
              <a:solidFill>
                <a:schemeClr val="lt1"/>
              </a:solidFill>
              <a:ln w="19050">
                <a:solidFill>
                  <a:srgbClr val="FF0000"/>
                </a:solidFill>
              </a:ln>
              <a:effectLst/>
            </c:spPr>
            <c:extLst>
              <c:ext xmlns:c16="http://schemas.microsoft.com/office/drawing/2014/chart" uri="{C3380CC4-5D6E-409C-BE32-E72D297353CC}">
                <c16:uniqueId val="{0000000B-52EE-0748-BD9B-E0188486205A}"/>
              </c:ext>
            </c:extLst>
          </c:dPt>
          <c:dPt>
            <c:idx val="25"/>
            <c:bubble3D val="0"/>
            <c:spPr>
              <a:solidFill>
                <a:schemeClr val="lt1"/>
              </a:solidFill>
              <a:ln w="19050">
                <a:solidFill>
                  <a:srgbClr val="FF0000"/>
                </a:solidFill>
              </a:ln>
              <a:effectLst/>
            </c:spPr>
            <c:extLst>
              <c:ext xmlns:c16="http://schemas.microsoft.com/office/drawing/2014/chart" uri="{C3380CC4-5D6E-409C-BE32-E72D297353CC}">
                <c16:uniqueId val="{0000000D-52EE-0748-BD9B-E0188486205A}"/>
              </c:ext>
            </c:extLst>
          </c:dPt>
          <c:dPt>
            <c:idx val="26"/>
            <c:bubble3D val="0"/>
            <c:spPr>
              <a:solidFill>
                <a:schemeClr val="lt1"/>
              </a:solidFill>
              <a:ln w="19050">
                <a:solidFill>
                  <a:srgbClr val="FF0000"/>
                </a:solidFill>
              </a:ln>
              <a:effectLst/>
            </c:spPr>
            <c:extLst>
              <c:ext xmlns:c16="http://schemas.microsoft.com/office/drawing/2014/chart" uri="{C3380CC4-5D6E-409C-BE32-E72D297353CC}">
                <c16:uniqueId val="{0000000C-52EE-0748-BD9B-E0188486205A}"/>
              </c:ext>
            </c:extLst>
          </c:dPt>
          <c:dLbls>
            <c:dLbl>
              <c:idx val="5"/>
              <c:layout>
                <c:manualLayout>
                  <c:x val="-3.1654482520947365E-3"/>
                  <c:y val="-2.0434676363665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EE-0748-BD9B-E0188486205A}"/>
                </c:ext>
              </c:extLst>
            </c:dLbl>
            <c:dLbl>
              <c:idx val="6"/>
              <c:layout>
                <c:manualLayout>
                  <c:x val="-6.4170874754204297E-3"/>
                  <c:y val="9.93728662591076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2EE-0748-BD9B-E0188486205A}"/>
                </c:ext>
              </c:extLst>
            </c:dLbl>
            <c:dLbl>
              <c:idx val="9"/>
              <c:layout>
                <c:manualLayout>
                  <c:x val="2.9508530938010327E-3"/>
                  <c:y val="-1.71465902194761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EE-0748-BD9B-E0188486205A}"/>
                </c:ext>
              </c:extLst>
            </c:dLbl>
            <c:dLbl>
              <c:idx val="11"/>
              <c:layout>
                <c:manualLayout>
                  <c:x val="1.671073264904489E-2"/>
                  <c:y val="-3.202996733392736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2EE-0748-BD9B-E0188486205A}"/>
                </c:ext>
              </c:extLst>
            </c:dLbl>
            <c:dLbl>
              <c:idx val="14"/>
              <c:layout>
                <c:manualLayout>
                  <c:x val="-8.2514485173184868E-2"/>
                  <c:y val="-1.309563701529435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EE-0748-BD9B-E0188486205A}"/>
                </c:ext>
              </c:extLst>
            </c:dLbl>
            <c:dLbl>
              <c:idx val="15"/>
              <c:layout>
                <c:manualLayout>
                  <c:x val="-0.1171625769390152"/>
                  <c:y val="-2.1063768911377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2EE-0748-BD9B-E0188486205A}"/>
                </c:ext>
              </c:extLst>
            </c:dLbl>
            <c:dLbl>
              <c:idx val="17"/>
              <c:layout>
                <c:manualLayout>
                  <c:x val="4.2824017989616632E-3"/>
                  <c:y val="3.1028870910876973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52EE-0748-BD9B-E0188486205A}"/>
                </c:ext>
              </c:extLst>
            </c:dLbl>
            <c:dLbl>
              <c:idx val="18"/>
              <c:layout>
                <c:manualLayout>
                  <c:x val="-1.5992293577035282E-2"/>
                  <c:y val="-8.575912274872823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EE-0748-BD9B-E0188486205A}"/>
                </c:ext>
              </c:extLst>
            </c:dLbl>
            <c:dLbl>
              <c:idx val="19"/>
              <c:layout>
                <c:manualLayout>
                  <c:x val="-4.3823968989710152E-2"/>
                  <c:y val="-5.39606916025669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2EE-0748-BD9B-E0188486205A}"/>
                </c:ext>
              </c:extLst>
            </c:dLbl>
            <c:dLbl>
              <c:idx val="20"/>
              <c:layout>
                <c:manualLayout>
                  <c:x val="-6.1673508329509047E-2"/>
                  <c:y val="-8.32515349732819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EE-0748-BD9B-E0188486205A}"/>
                </c:ext>
              </c:extLst>
            </c:dLbl>
            <c:dLbl>
              <c:idx val="24"/>
              <c:layout>
                <c:manualLayout>
                  <c:x val="-0.14011285723612568"/>
                  <c:y val="6.37938735042670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2EE-0748-BD9B-E0188486205A}"/>
                </c:ext>
              </c:extLst>
            </c:dLbl>
            <c:dLbl>
              <c:idx val="25"/>
              <c:layout>
                <c:manualLayout>
                  <c:x val="-0.11143461003200468"/>
                  <c:y val="3.20499482667832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EE-0748-BD9B-E0188486205A}"/>
                </c:ext>
              </c:extLst>
            </c:dLbl>
            <c:dLbl>
              <c:idx val="26"/>
              <c:layout>
                <c:manualLayout>
                  <c:x val="-9.3214653116631643E-2"/>
                  <c:y val="3.4541421251837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52EE-0748-BD9B-E018848620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'Road Block'!$AF$150:$AF$176</c:f>
              <c:strCache>
                <c:ptCount val="27"/>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strCache>
            </c:strRef>
          </c:cat>
          <c:val>
            <c:numRef>
              <c:f>'Road Block'!$AG$150:$AG$176</c:f>
              <c:numCache>
                <c:formatCode>0%</c:formatCode>
                <c:ptCount val="27"/>
                <c:pt idx="0">
                  <c:v>5.7649667405764965E-2</c:v>
                </c:pt>
                <c:pt idx="1">
                  <c:v>0.10421286031042129</c:v>
                </c:pt>
                <c:pt idx="2">
                  <c:v>3.9911308203991129E-2</c:v>
                </c:pt>
                <c:pt idx="3">
                  <c:v>2.6607538802660754E-2</c:v>
                </c:pt>
                <c:pt idx="4">
                  <c:v>6.8736141906873618E-2</c:v>
                </c:pt>
                <c:pt idx="5">
                  <c:v>1.7738359201773836E-2</c:v>
                </c:pt>
                <c:pt idx="6">
                  <c:v>1.1086474501108648E-2</c:v>
                </c:pt>
                <c:pt idx="7">
                  <c:v>2.6607538802660754E-2</c:v>
                </c:pt>
                <c:pt idx="8">
                  <c:v>3.9911308203991129E-2</c:v>
                </c:pt>
                <c:pt idx="9">
                  <c:v>4.434589800443459E-3</c:v>
                </c:pt>
                <c:pt idx="10">
                  <c:v>4.878048780487805E-2</c:v>
                </c:pt>
                <c:pt idx="11">
                  <c:v>4.434589800443459E-3</c:v>
                </c:pt>
                <c:pt idx="12">
                  <c:v>9.9778270509977826E-2</c:v>
                </c:pt>
                <c:pt idx="13">
                  <c:v>0.15521064301552107</c:v>
                </c:pt>
                <c:pt idx="14">
                  <c:v>2.4390243902439025E-2</c:v>
                </c:pt>
                <c:pt idx="15">
                  <c:v>1.3303769401330377E-2</c:v>
                </c:pt>
                <c:pt idx="16">
                  <c:v>6.6518847006651879E-2</c:v>
                </c:pt>
                <c:pt idx="17">
                  <c:v>1.1086474501108648E-2</c:v>
                </c:pt>
                <c:pt idx="18">
                  <c:v>8.869179600886918E-3</c:v>
                </c:pt>
                <c:pt idx="19">
                  <c:v>8.869179600886918E-3</c:v>
                </c:pt>
                <c:pt idx="20">
                  <c:v>6.6518847006651885E-3</c:v>
                </c:pt>
                <c:pt idx="21">
                  <c:v>0.2039911308203991</c:v>
                </c:pt>
                <c:pt idx="22">
                  <c:v>4.878048780487805E-2</c:v>
                </c:pt>
                <c:pt idx="23">
                  <c:v>0.22616407982261641</c:v>
                </c:pt>
                <c:pt idx="24">
                  <c:v>8.869179600886918E-3</c:v>
                </c:pt>
                <c:pt idx="25">
                  <c:v>8.869179600886918E-3</c:v>
                </c:pt>
                <c:pt idx="26">
                  <c:v>4.2128603104212861E-2</c:v>
                </c:pt>
              </c:numCache>
            </c:numRef>
          </c:val>
          <c:extLst>
            <c:ext xmlns:c16="http://schemas.microsoft.com/office/drawing/2014/chart" uri="{C3380CC4-5D6E-409C-BE32-E72D297353CC}">
              <c16:uniqueId val="{00000000-52EE-0748-BD9B-E0188486205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Detours per Season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Detour!$C$9</c:f>
              <c:strCache>
                <c:ptCount val="1"/>
                <c:pt idx="0">
                  <c:v>Detour</c:v>
                </c:pt>
              </c:strCache>
            </c:strRef>
          </c:tx>
          <c:spPr>
            <a:solidFill>
              <a:schemeClr val="bg1"/>
            </a:solidFill>
            <a:ln>
              <a:solidFill>
                <a:srgbClr val="FFFF00"/>
              </a:solidFill>
            </a:ln>
            <a:effectLst/>
          </c:spPr>
          <c:invertIfNegative val="0"/>
          <c:cat>
            <c:strRef>
              <c:f>Detour!$B$10:$B$47</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Detour!$C$10:$C$47</c:f>
              <c:numCache>
                <c:formatCode>General</c:formatCode>
                <c:ptCount val="38"/>
                <c:pt idx="0">
                  <c:v>13</c:v>
                </c:pt>
                <c:pt idx="1">
                  <c:v>12</c:v>
                </c:pt>
                <c:pt idx="2">
                  <c:v>13</c:v>
                </c:pt>
                <c:pt idx="3">
                  <c:v>13</c:v>
                </c:pt>
                <c:pt idx="4">
                  <c:v>12</c:v>
                </c:pt>
                <c:pt idx="5">
                  <c:v>13</c:v>
                </c:pt>
                <c:pt idx="6">
                  <c:v>13</c:v>
                </c:pt>
                <c:pt idx="7">
                  <c:v>13</c:v>
                </c:pt>
                <c:pt idx="8">
                  <c:v>13</c:v>
                </c:pt>
                <c:pt idx="9">
                  <c:v>13</c:v>
                </c:pt>
                <c:pt idx="10">
                  <c:v>13</c:v>
                </c:pt>
                <c:pt idx="11">
                  <c:v>10</c:v>
                </c:pt>
                <c:pt idx="12">
                  <c:v>11</c:v>
                </c:pt>
                <c:pt idx="13">
                  <c:v>10</c:v>
                </c:pt>
                <c:pt idx="14">
                  <c:v>9</c:v>
                </c:pt>
                <c:pt idx="15">
                  <c:v>9</c:v>
                </c:pt>
                <c:pt idx="16">
                  <c:v>10</c:v>
                </c:pt>
                <c:pt idx="17">
                  <c:v>10</c:v>
                </c:pt>
                <c:pt idx="18">
                  <c:v>8</c:v>
                </c:pt>
                <c:pt idx="19">
                  <c:v>10</c:v>
                </c:pt>
                <c:pt idx="20">
                  <c:v>10</c:v>
                </c:pt>
                <c:pt idx="21">
                  <c:v>9</c:v>
                </c:pt>
                <c:pt idx="22">
                  <c:v>10</c:v>
                </c:pt>
                <c:pt idx="23">
                  <c:v>9</c:v>
                </c:pt>
                <c:pt idx="24">
                  <c:v>10</c:v>
                </c:pt>
                <c:pt idx="25">
                  <c:v>11</c:v>
                </c:pt>
                <c:pt idx="26">
                  <c:v>11</c:v>
                </c:pt>
                <c:pt idx="27">
                  <c:v>10</c:v>
                </c:pt>
                <c:pt idx="28">
                  <c:v>9</c:v>
                </c:pt>
                <c:pt idx="29">
                  <c:v>9</c:v>
                </c:pt>
                <c:pt idx="30">
                  <c:v>10</c:v>
                </c:pt>
                <c:pt idx="31">
                  <c:v>7</c:v>
                </c:pt>
                <c:pt idx="32">
                  <c:v>8</c:v>
                </c:pt>
                <c:pt idx="33">
                  <c:v>9</c:v>
                </c:pt>
                <c:pt idx="34">
                  <c:v>10</c:v>
                </c:pt>
                <c:pt idx="35">
                  <c:v>10</c:v>
                </c:pt>
                <c:pt idx="36">
                  <c:v>7</c:v>
                </c:pt>
                <c:pt idx="37">
                  <c:v>7</c:v>
                </c:pt>
              </c:numCache>
            </c:numRef>
          </c:val>
          <c:extLst>
            <c:ext xmlns:c16="http://schemas.microsoft.com/office/drawing/2014/chart" uri="{C3380CC4-5D6E-409C-BE32-E72D297353CC}">
              <c16:uniqueId val="{00000000-EA47-F04F-9867-A8A9C14D3730}"/>
            </c:ext>
          </c:extLst>
        </c:ser>
        <c:dLbls>
          <c:showLegendKey val="0"/>
          <c:showVal val="0"/>
          <c:showCatName val="0"/>
          <c:showSerName val="0"/>
          <c:showPercent val="0"/>
          <c:showBubbleSize val="0"/>
        </c:dLbls>
        <c:gapWidth val="269"/>
        <c:overlap val="-20"/>
        <c:axId val="380331904"/>
        <c:axId val="1486014815"/>
      </c:barChart>
      <c:catAx>
        <c:axId val="3803319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6014815"/>
        <c:crosses val="autoZero"/>
        <c:auto val="1"/>
        <c:lblAlgn val="ctr"/>
        <c:lblOffset val="100"/>
        <c:noMultiLvlLbl val="0"/>
      </c:catAx>
      <c:valAx>
        <c:axId val="1486014815"/>
        <c:scaling>
          <c:orientation val="minMax"/>
          <c:max val="13"/>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033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Detour keyword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Detour!$AG$147</c:f>
              <c:strCache>
                <c:ptCount val="1"/>
                <c:pt idx="0">
                  <c:v>%</c:v>
                </c:pt>
              </c:strCache>
            </c:strRef>
          </c:tx>
          <c:spPr>
            <a:solidFill>
              <a:schemeClr val="lt1"/>
            </a:solidFill>
            <a:ln w="19050">
              <a:solidFill>
                <a:srgbClr val="FFC000"/>
              </a:solidFill>
            </a:ln>
            <a:effectLst/>
          </c:spPr>
          <c:dPt>
            <c:idx val="0"/>
            <c:bubble3D val="0"/>
            <c:spPr>
              <a:solidFill>
                <a:schemeClr val="lt1"/>
              </a:solidFill>
              <a:ln w="19050">
                <a:solidFill>
                  <a:srgbClr val="FFC000"/>
                </a:solidFill>
              </a:ln>
              <a:effectLst/>
            </c:spPr>
            <c:extLst>
              <c:ext xmlns:c16="http://schemas.microsoft.com/office/drawing/2014/chart" uri="{C3380CC4-5D6E-409C-BE32-E72D297353CC}">
                <c16:uniqueId val="{00000001-22BF-45C6-A0AD-19D5EB104BC4}"/>
              </c:ext>
            </c:extLst>
          </c:dPt>
          <c:dPt>
            <c:idx val="1"/>
            <c:bubble3D val="0"/>
            <c:spPr>
              <a:solidFill>
                <a:schemeClr val="lt1"/>
              </a:solidFill>
              <a:ln w="19050">
                <a:solidFill>
                  <a:srgbClr val="FFC000"/>
                </a:solidFill>
              </a:ln>
              <a:effectLst/>
            </c:spPr>
            <c:extLst>
              <c:ext xmlns:c16="http://schemas.microsoft.com/office/drawing/2014/chart" uri="{C3380CC4-5D6E-409C-BE32-E72D297353CC}">
                <c16:uniqueId val="{00000003-22BF-45C6-A0AD-19D5EB104BC4}"/>
              </c:ext>
            </c:extLst>
          </c:dPt>
          <c:dPt>
            <c:idx val="2"/>
            <c:bubble3D val="0"/>
            <c:spPr>
              <a:solidFill>
                <a:schemeClr val="lt1"/>
              </a:solidFill>
              <a:ln w="19050">
                <a:solidFill>
                  <a:srgbClr val="FFC000"/>
                </a:solidFill>
              </a:ln>
              <a:effectLst/>
            </c:spPr>
            <c:extLst>
              <c:ext xmlns:c16="http://schemas.microsoft.com/office/drawing/2014/chart" uri="{C3380CC4-5D6E-409C-BE32-E72D297353CC}">
                <c16:uniqueId val="{00000005-22BF-45C6-A0AD-19D5EB104BC4}"/>
              </c:ext>
            </c:extLst>
          </c:dPt>
          <c:dPt>
            <c:idx val="3"/>
            <c:bubble3D val="0"/>
            <c:spPr>
              <a:solidFill>
                <a:schemeClr val="lt1"/>
              </a:solidFill>
              <a:ln w="19050">
                <a:solidFill>
                  <a:srgbClr val="FFC000"/>
                </a:solidFill>
              </a:ln>
              <a:effectLst/>
            </c:spPr>
            <c:extLst>
              <c:ext xmlns:c16="http://schemas.microsoft.com/office/drawing/2014/chart" uri="{C3380CC4-5D6E-409C-BE32-E72D297353CC}">
                <c16:uniqueId val="{00000007-22BF-45C6-A0AD-19D5EB104BC4}"/>
              </c:ext>
            </c:extLst>
          </c:dPt>
          <c:dPt>
            <c:idx val="4"/>
            <c:bubble3D val="0"/>
            <c:spPr>
              <a:solidFill>
                <a:schemeClr val="lt1"/>
              </a:solidFill>
              <a:ln w="19050">
                <a:solidFill>
                  <a:srgbClr val="FFC000"/>
                </a:solidFill>
              </a:ln>
              <a:effectLst/>
            </c:spPr>
            <c:extLst>
              <c:ext xmlns:c16="http://schemas.microsoft.com/office/drawing/2014/chart" uri="{C3380CC4-5D6E-409C-BE32-E72D297353CC}">
                <c16:uniqueId val="{00000009-22BF-45C6-A0AD-19D5EB104BC4}"/>
              </c:ext>
            </c:extLst>
          </c:dPt>
          <c:dPt>
            <c:idx val="5"/>
            <c:bubble3D val="0"/>
            <c:spPr>
              <a:solidFill>
                <a:schemeClr val="lt1"/>
              </a:solidFill>
              <a:ln w="19050">
                <a:solidFill>
                  <a:srgbClr val="FFC000"/>
                </a:solidFill>
              </a:ln>
              <a:effectLst/>
            </c:spPr>
            <c:extLst>
              <c:ext xmlns:c16="http://schemas.microsoft.com/office/drawing/2014/chart" uri="{C3380CC4-5D6E-409C-BE32-E72D297353CC}">
                <c16:uniqueId val="{0000000B-22BF-45C6-A0AD-19D5EB104BC4}"/>
              </c:ext>
            </c:extLst>
          </c:dPt>
          <c:dPt>
            <c:idx val="6"/>
            <c:bubble3D val="0"/>
            <c:spPr>
              <a:solidFill>
                <a:schemeClr val="lt1"/>
              </a:solidFill>
              <a:ln w="19050">
                <a:solidFill>
                  <a:srgbClr val="FFC000"/>
                </a:solidFill>
              </a:ln>
              <a:effectLst/>
            </c:spPr>
            <c:extLst>
              <c:ext xmlns:c16="http://schemas.microsoft.com/office/drawing/2014/chart" uri="{C3380CC4-5D6E-409C-BE32-E72D297353CC}">
                <c16:uniqueId val="{00000005-9AD3-4B47-B788-A9FF5CCA0C1A}"/>
              </c:ext>
            </c:extLst>
          </c:dPt>
          <c:dPt>
            <c:idx val="7"/>
            <c:bubble3D val="0"/>
            <c:spPr>
              <a:solidFill>
                <a:schemeClr val="lt1"/>
              </a:solidFill>
              <a:ln w="19050">
                <a:solidFill>
                  <a:srgbClr val="FFC000"/>
                </a:solidFill>
              </a:ln>
              <a:effectLst/>
            </c:spPr>
            <c:extLst>
              <c:ext xmlns:c16="http://schemas.microsoft.com/office/drawing/2014/chart" uri="{C3380CC4-5D6E-409C-BE32-E72D297353CC}">
                <c16:uniqueId val="{0000000F-22BF-45C6-A0AD-19D5EB104BC4}"/>
              </c:ext>
            </c:extLst>
          </c:dPt>
          <c:dPt>
            <c:idx val="8"/>
            <c:bubble3D val="0"/>
            <c:spPr>
              <a:solidFill>
                <a:schemeClr val="lt1"/>
              </a:solidFill>
              <a:ln w="19050">
                <a:solidFill>
                  <a:srgbClr val="FFC000"/>
                </a:solidFill>
              </a:ln>
              <a:effectLst/>
            </c:spPr>
            <c:extLst>
              <c:ext xmlns:c16="http://schemas.microsoft.com/office/drawing/2014/chart" uri="{C3380CC4-5D6E-409C-BE32-E72D297353CC}">
                <c16:uniqueId val="{00000011-22BF-45C6-A0AD-19D5EB104BC4}"/>
              </c:ext>
            </c:extLst>
          </c:dPt>
          <c:dPt>
            <c:idx val="9"/>
            <c:bubble3D val="0"/>
            <c:spPr>
              <a:solidFill>
                <a:schemeClr val="lt1"/>
              </a:solidFill>
              <a:ln w="19050">
                <a:solidFill>
                  <a:srgbClr val="FFC000"/>
                </a:solidFill>
              </a:ln>
              <a:effectLst/>
            </c:spPr>
            <c:extLst>
              <c:ext xmlns:c16="http://schemas.microsoft.com/office/drawing/2014/chart" uri="{C3380CC4-5D6E-409C-BE32-E72D297353CC}">
                <c16:uniqueId val="{00000006-9AD3-4B47-B788-A9FF5CCA0C1A}"/>
              </c:ext>
            </c:extLst>
          </c:dPt>
          <c:dPt>
            <c:idx val="10"/>
            <c:bubble3D val="0"/>
            <c:spPr>
              <a:solidFill>
                <a:schemeClr val="lt1"/>
              </a:solidFill>
              <a:ln w="19050">
                <a:solidFill>
                  <a:srgbClr val="FFC000"/>
                </a:solidFill>
              </a:ln>
              <a:effectLst/>
            </c:spPr>
            <c:extLst>
              <c:ext xmlns:c16="http://schemas.microsoft.com/office/drawing/2014/chart" uri="{C3380CC4-5D6E-409C-BE32-E72D297353CC}">
                <c16:uniqueId val="{00000015-22BF-45C6-A0AD-19D5EB104BC4}"/>
              </c:ext>
            </c:extLst>
          </c:dPt>
          <c:dPt>
            <c:idx val="11"/>
            <c:bubble3D val="0"/>
            <c:spPr>
              <a:solidFill>
                <a:schemeClr val="lt1"/>
              </a:solidFill>
              <a:ln w="19050">
                <a:solidFill>
                  <a:srgbClr val="FFC000"/>
                </a:solidFill>
              </a:ln>
              <a:effectLst/>
            </c:spPr>
            <c:extLst>
              <c:ext xmlns:c16="http://schemas.microsoft.com/office/drawing/2014/chart" uri="{C3380CC4-5D6E-409C-BE32-E72D297353CC}">
                <c16:uniqueId val="{00000007-9AD3-4B47-B788-A9FF5CCA0C1A}"/>
              </c:ext>
            </c:extLst>
          </c:dPt>
          <c:dPt>
            <c:idx val="12"/>
            <c:bubble3D val="0"/>
            <c:spPr>
              <a:solidFill>
                <a:schemeClr val="lt1"/>
              </a:solidFill>
              <a:ln w="19050">
                <a:solidFill>
                  <a:srgbClr val="FFC000"/>
                </a:solidFill>
              </a:ln>
              <a:effectLst/>
            </c:spPr>
            <c:extLst>
              <c:ext xmlns:c16="http://schemas.microsoft.com/office/drawing/2014/chart" uri="{C3380CC4-5D6E-409C-BE32-E72D297353CC}">
                <c16:uniqueId val="{00000019-22BF-45C6-A0AD-19D5EB104BC4}"/>
              </c:ext>
            </c:extLst>
          </c:dPt>
          <c:dPt>
            <c:idx val="13"/>
            <c:bubble3D val="0"/>
            <c:spPr>
              <a:solidFill>
                <a:schemeClr val="lt1"/>
              </a:solidFill>
              <a:ln w="19050">
                <a:solidFill>
                  <a:srgbClr val="FFC000"/>
                </a:solidFill>
              </a:ln>
              <a:effectLst/>
            </c:spPr>
            <c:extLst>
              <c:ext xmlns:c16="http://schemas.microsoft.com/office/drawing/2014/chart" uri="{C3380CC4-5D6E-409C-BE32-E72D297353CC}">
                <c16:uniqueId val="{00000008-9AD3-4B47-B788-A9FF5CCA0C1A}"/>
              </c:ext>
            </c:extLst>
          </c:dPt>
          <c:dPt>
            <c:idx val="14"/>
            <c:bubble3D val="0"/>
            <c:spPr>
              <a:solidFill>
                <a:schemeClr val="lt1"/>
              </a:solidFill>
              <a:ln w="19050">
                <a:solidFill>
                  <a:srgbClr val="FFC000"/>
                </a:solidFill>
              </a:ln>
              <a:effectLst/>
            </c:spPr>
            <c:extLst>
              <c:ext xmlns:c16="http://schemas.microsoft.com/office/drawing/2014/chart" uri="{C3380CC4-5D6E-409C-BE32-E72D297353CC}">
                <c16:uniqueId val="{0000001D-22BF-45C6-A0AD-19D5EB104BC4}"/>
              </c:ext>
            </c:extLst>
          </c:dPt>
          <c:dPt>
            <c:idx val="15"/>
            <c:bubble3D val="0"/>
            <c:spPr>
              <a:solidFill>
                <a:schemeClr val="lt1"/>
              </a:solidFill>
              <a:ln w="19050">
                <a:solidFill>
                  <a:srgbClr val="FFC000"/>
                </a:solidFill>
              </a:ln>
              <a:effectLst/>
            </c:spPr>
            <c:extLst>
              <c:ext xmlns:c16="http://schemas.microsoft.com/office/drawing/2014/chart" uri="{C3380CC4-5D6E-409C-BE32-E72D297353CC}">
                <c16:uniqueId val="{00000009-9AD3-4B47-B788-A9FF5CCA0C1A}"/>
              </c:ext>
            </c:extLst>
          </c:dPt>
          <c:dPt>
            <c:idx val="16"/>
            <c:bubble3D val="0"/>
            <c:spPr>
              <a:solidFill>
                <a:schemeClr val="lt1"/>
              </a:solidFill>
              <a:ln w="19050">
                <a:solidFill>
                  <a:srgbClr val="FFC000"/>
                </a:solidFill>
              </a:ln>
              <a:effectLst/>
            </c:spPr>
            <c:extLst>
              <c:ext xmlns:c16="http://schemas.microsoft.com/office/drawing/2014/chart" uri="{C3380CC4-5D6E-409C-BE32-E72D297353CC}">
                <c16:uniqueId val="{00000021-22BF-45C6-A0AD-19D5EB104BC4}"/>
              </c:ext>
            </c:extLst>
          </c:dPt>
          <c:dPt>
            <c:idx val="17"/>
            <c:bubble3D val="0"/>
            <c:spPr>
              <a:solidFill>
                <a:schemeClr val="lt1"/>
              </a:solidFill>
              <a:ln w="19050">
                <a:solidFill>
                  <a:srgbClr val="FFC000"/>
                </a:solidFill>
              </a:ln>
              <a:effectLst/>
            </c:spPr>
            <c:extLst>
              <c:ext xmlns:c16="http://schemas.microsoft.com/office/drawing/2014/chart" uri="{C3380CC4-5D6E-409C-BE32-E72D297353CC}">
                <c16:uniqueId val="{0000000D-9AD3-4B47-B788-A9FF5CCA0C1A}"/>
              </c:ext>
            </c:extLst>
          </c:dPt>
          <c:dPt>
            <c:idx val="18"/>
            <c:bubble3D val="0"/>
            <c:spPr>
              <a:solidFill>
                <a:schemeClr val="lt1"/>
              </a:solidFill>
              <a:ln w="19050">
                <a:solidFill>
                  <a:srgbClr val="FFC000"/>
                </a:solidFill>
              </a:ln>
              <a:effectLst/>
            </c:spPr>
            <c:extLst>
              <c:ext xmlns:c16="http://schemas.microsoft.com/office/drawing/2014/chart" uri="{C3380CC4-5D6E-409C-BE32-E72D297353CC}">
                <c16:uniqueId val="{0000000A-9AD3-4B47-B788-A9FF5CCA0C1A}"/>
              </c:ext>
            </c:extLst>
          </c:dPt>
          <c:dPt>
            <c:idx val="19"/>
            <c:bubble3D val="0"/>
            <c:spPr>
              <a:solidFill>
                <a:schemeClr val="lt1"/>
              </a:solidFill>
              <a:ln w="19050">
                <a:solidFill>
                  <a:srgbClr val="FFC000"/>
                </a:solidFill>
              </a:ln>
              <a:effectLst/>
            </c:spPr>
            <c:extLst>
              <c:ext xmlns:c16="http://schemas.microsoft.com/office/drawing/2014/chart" uri="{C3380CC4-5D6E-409C-BE32-E72D297353CC}">
                <c16:uniqueId val="{0000000C-9AD3-4B47-B788-A9FF5CCA0C1A}"/>
              </c:ext>
            </c:extLst>
          </c:dPt>
          <c:dPt>
            <c:idx val="20"/>
            <c:bubble3D val="0"/>
            <c:spPr>
              <a:solidFill>
                <a:schemeClr val="lt1"/>
              </a:solidFill>
              <a:ln w="19050">
                <a:solidFill>
                  <a:srgbClr val="FFC000"/>
                </a:solidFill>
              </a:ln>
              <a:effectLst/>
            </c:spPr>
            <c:extLst>
              <c:ext xmlns:c16="http://schemas.microsoft.com/office/drawing/2014/chart" uri="{C3380CC4-5D6E-409C-BE32-E72D297353CC}">
                <c16:uniqueId val="{0000000B-9AD3-4B47-B788-A9FF5CCA0C1A}"/>
              </c:ext>
            </c:extLst>
          </c:dPt>
          <c:dPt>
            <c:idx val="21"/>
            <c:bubble3D val="0"/>
            <c:spPr>
              <a:solidFill>
                <a:schemeClr val="lt1"/>
              </a:solidFill>
              <a:ln w="19050">
                <a:solidFill>
                  <a:srgbClr val="FFC000"/>
                </a:solidFill>
              </a:ln>
              <a:effectLst/>
            </c:spPr>
            <c:extLst>
              <c:ext xmlns:c16="http://schemas.microsoft.com/office/drawing/2014/chart" uri="{C3380CC4-5D6E-409C-BE32-E72D297353CC}">
                <c16:uniqueId val="{0000002B-22BF-45C6-A0AD-19D5EB104BC4}"/>
              </c:ext>
            </c:extLst>
          </c:dPt>
          <c:dPt>
            <c:idx val="22"/>
            <c:bubble3D val="0"/>
            <c:spPr>
              <a:solidFill>
                <a:schemeClr val="lt1"/>
              </a:solidFill>
              <a:ln w="19050">
                <a:solidFill>
                  <a:srgbClr val="FFC000"/>
                </a:solidFill>
              </a:ln>
              <a:effectLst/>
            </c:spPr>
            <c:extLst>
              <c:ext xmlns:c16="http://schemas.microsoft.com/office/drawing/2014/chart" uri="{C3380CC4-5D6E-409C-BE32-E72D297353CC}">
                <c16:uniqueId val="{00000001-9AD3-4B47-B788-A9FF5CCA0C1A}"/>
              </c:ext>
            </c:extLst>
          </c:dPt>
          <c:dPt>
            <c:idx val="23"/>
            <c:bubble3D val="0"/>
            <c:spPr>
              <a:solidFill>
                <a:schemeClr val="lt1"/>
              </a:solidFill>
              <a:ln w="19050">
                <a:solidFill>
                  <a:srgbClr val="FFC000"/>
                </a:solidFill>
              </a:ln>
              <a:effectLst/>
            </c:spPr>
            <c:extLst>
              <c:ext xmlns:c16="http://schemas.microsoft.com/office/drawing/2014/chart" uri="{C3380CC4-5D6E-409C-BE32-E72D297353CC}">
                <c16:uniqueId val="{0000002F-22BF-45C6-A0AD-19D5EB104BC4}"/>
              </c:ext>
            </c:extLst>
          </c:dPt>
          <c:dPt>
            <c:idx val="24"/>
            <c:bubble3D val="0"/>
            <c:spPr>
              <a:solidFill>
                <a:schemeClr val="lt1"/>
              </a:solidFill>
              <a:ln w="19050">
                <a:solidFill>
                  <a:srgbClr val="FFC000"/>
                </a:solidFill>
              </a:ln>
              <a:effectLst/>
            </c:spPr>
            <c:extLst>
              <c:ext xmlns:c16="http://schemas.microsoft.com/office/drawing/2014/chart" uri="{C3380CC4-5D6E-409C-BE32-E72D297353CC}">
                <c16:uniqueId val="{00000031-22BF-45C6-A0AD-19D5EB104BC4}"/>
              </c:ext>
            </c:extLst>
          </c:dPt>
          <c:dPt>
            <c:idx val="25"/>
            <c:bubble3D val="0"/>
            <c:spPr>
              <a:solidFill>
                <a:schemeClr val="lt1"/>
              </a:solidFill>
              <a:ln w="19050">
                <a:solidFill>
                  <a:srgbClr val="FFC000"/>
                </a:solidFill>
              </a:ln>
              <a:effectLst/>
            </c:spPr>
            <c:extLst>
              <c:ext xmlns:c16="http://schemas.microsoft.com/office/drawing/2014/chart" uri="{C3380CC4-5D6E-409C-BE32-E72D297353CC}">
                <c16:uniqueId val="{00000002-9AD3-4B47-B788-A9FF5CCA0C1A}"/>
              </c:ext>
            </c:extLst>
          </c:dPt>
          <c:dPt>
            <c:idx val="26"/>
            <c:bubble3D val="0"/>
            <c:spPr>
              <a:solidFill>
                <a:schemeClr val="lt1"/>
              </a:solidFill>
              <a:ln w="19050">
                <a:solidFill>
                  <a:srgbClr val="FFC000"/>
                </a:solidFill>
              </a:ln>
              <a:effectLst/>
            </c:spPr>
            <c:extLst>
              <c:ext xmlns:c16="http://schemas.microsoft.com/office/drawing/2014/chart" uri="{C3380CC4-5D6E-409C-BE32-E72D297353CC}">
                <c16:uniqueId val="{00000004-9AD3-4B47-B788-A9FF5CCA0C1A}"/>
              </c:ext>
            </c:extLst>
          </c:dPt>
          <c:dPt>
            <c:idx val="27"/>
            <c:bubble3D val="0"/>
            <c:spPr>
              <a:solidFill>
                <a:schemeClr val="lt1"/>
              </a:solidFill>
              <a:ln w="19050">
                <a:solidFill>
                  <a:srgbClr val="FFC000"/>
                </a:solidFill>
              </a:ln>
              <a:effectLst/>
            </c:spPr>
            <c:extLst>
              <c:ext xmlns:c16="http://schemas.microsoft.com/office/drawing/2014/chart" uri="{C3380CC4-5D6E-409C-BE32-E72D297353CC}">
                <c16:uniqueId val="{00000003-9AD3-4B47-B788-A9FF5CCA0C1A}"/>
              </c:ext>
            </c:extLst>
          </c:dPt>
          <c:dLbls>
            <c:dLbl>
              <c:idx val="6"/>
              <c:layout>
                <c:manualLayout>
                  <c:x val="1.2381948095616957E-2"/>
                  <c:y val="3.437666725349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D3-4B47-B788-A9FF5CCA0C1A}"/>
                </c:ext>
              </c:extLst>
            </c:dLbl>
            <c:dLbl>
              <c:idx val="9"/>
              <c:delete val="1"/>
              <c:extLst>
                <c:ext xmlns:c15="http://schemas.microsoft.com/office/drawing/2012/chart" uri="{CE6537A1-D6FC-4f65-9D91-7224C49458BB}"/>
                <c:ext xmlns:c16="http://schemas.microsoft.com/office/drawing/2014/chart" uri="{C3380CC4-5D6E-409C-BE32-E72D297353CC}">
                  <c16:uniqueId val="{00000006-9AD3-4B47-B788-A9FF5CCA0C1A}"/>
                </c:ext>
              </c:extLst>
            </c:dLbl>
            <c:dLbl>
              <c:idx val="11"/>
              <c:delete val="1"/>
              <c:extLst>
                <c:ext xmlns:c15="http://schemas.microsoft.com/office/drawing/2012/chart" uri="{CE6537A1-D6FC-4f65-9D91-7224C49458BB}"/>
                <c:ext xmlns:c16="http://schemas.microsoft.com/office/drawing/2014/chart" uri="{C3380CC4-5D6E-409C-BE32-E72D297353CC}">
                  <c16:uniqueId val="{00000007-9AD3-4B47-B788-A9FF5CCA0C1A}"/>
                </c:ext>
              </c:extLst>
            </c:dLbl>
            <c:dLbl>
              <c:idx val="13"/>
              <c:layout>
                <c:manualLayout>
                  <c:x val="0.11914215944261677"/>
                  <c:y val="-1.7467105130537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9AD3-4B47-B788-A9FF5CCA0C1A}"/>
                </c:ext>
              </c:extLst>
            </c:dLbl>
            <c:dLbl>
              <c:idx val="15"/>
              <c:layout>
                <c:manualLayout>
                  <c:x val="-0.10031672126035428"/>
                  <c:y val="-2.092088164029006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AD3-4B47-B788-A9FF5CCA0C1A}"/>
                </c:ext>
              </c:extLst>
            </c:dLbl>
            <c:dLbl>
              <c:idx val="17"/>
              <c:layout>
                <c:manualLayout>
                  <c:x val="4.0113038988528894E-2"/>
                  <c:y val="-6.9398397823986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AD3-4B47-B788-A9FF5CCA0C1A}"/>
                </c:ext>
              </c:extLst>
            </c:dLbl>
            <c:dLbl>
              <c:idx val="18"/>
              <c:layout>
                <c:manualLayout>
                  <c:x val="-4.6280257629357412E-2"/>
                  <c:y val="-2.00120814983745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AD3-4B47-B788-A9FF5CCA0C1A}"/>
                </c:ext>
              </c:extLst>
            </c:dLbl>
            <c:dLbl>
              <c:idx val="19"/>
              <c:layout>
                <c:manualLayout>
                  <c:x val="-0.11121953434677487"/>
                  <c:y val="-4.07154222544156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9AD3-4B47-B788-A9FF5CCA0C1A}"/>
                </c:ext>
              </c:extLst>
            </c:dLbl>
            <c:dLbl>
              <c:idx val="20"/>
              <c:layout>
                <c:manualLayout>
                  <c:x val="-8.4955241400870782E-2"/>
                  <c:y val="-7.99450150716357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AD3-4B47-B788-A9FF5CCA0C1A}"/>
                </c:ext>
              </c:extLst>
            </c:dLbl>
            <c:dLbl>
              <c:idx val="22"/>
              <c:layout>
                <c:manualLayout>
                  <c:x val="1.5088095811199869E-2"/>
                  <c:y val="5.402741250320851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D3-4B47-B788-A9FF5CCA0C1A}"/>
                </c:ext>
              </c:extLst>
            </c:dLbl>
            <c:dLbl>
              <c:idx val="25"/>
              <c:layout>
                <c:manualLayout>
                  <c:x val="-7.8982397112182537E-2"/>
                  <c:y val="4.90442983794127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AD3-4B47-B788-A9FF5CCA0C1A}"/>
                </c:ext>
              </c:extLst>
            </c:dLbl>
            <c:dLbl>
              <c:idx val="26"/>
              <c:layout>
                <c:manualLayout>
                  <c:x val="0.16536466912130457"/>
                  <c:y val="4.07559066969667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AD3-4B47-B788-A9FF5CCA0C1A}"/>
                </c:ext>
              </c:extLst>
            </c:dLbl>
            <c:dLbl>
              <c:idx val="27"/>
              <c:delete val="1"/>
              <c:extLst>
                <c:ext xmlns:c15="http://schemas.microsoft.com/office/drawing/2012/chart" uri="{CE6537A1-D6FC-4f65-9D91-7224C49458BB}"/>
                <c:ext xmlns:c16="http://schemas.microsoft.com/office/drawing/2014/chart" uri="{C3380CC4-5D6E-409C-BE32-E72D297353CC}">
                  <c16:uniqueId val="{00000003-9AD3-4B47-B788-A9FF5CCA0C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Detour!$AF$148:$AF$175</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Detour!$AG$148:$AG$175</c:f>
              <c:numCache>
                <c:formatCode>0%</c:formatCode>
                <c:ptCount val="28"/>
                <c:pt idx="0">
                  <c:v>0.15601023017902813</c:v>
                </c:pt>
                <c:pt idx="1">
                  <c:v>0.27365728900255754</c:v>
                </c:pt>
                <c:pt idx="2">
                  <c:v>7.1611253196930943E-2</c:v>
                </c:pt>
                <c:pt idx="3">
                  <c:v>7.1611253196930943E-2</c:v>
                </c:pt>
                <c:pt idx="4">
                  <c:v>0.1815856777493606</c:v>
                </c:pt>
                <c:pt idx="5">
                  <c:v>8.9514066496163683E-2</c:v>
                </c:pt>
                <c:pt idx="6">
                  <c:v>1.0230179028132993E-2</c:v>
                </c:pt>
                <c:pt idx="7">
                  <c:v>7.9283887468030695E-2</c:v>
                </c:pt>
                <c:pt idx="8">
                  <c:v>9.4629156010230184E-2</c:v>
                </c:pt>
                <c:pt idx="9">
                  <c:v>0</c:v>
                </c:pt>
                <c:pt idx="10">
                  <c:v>5.1150895140664961E-2</c:v>
                </c:pt>
                <c:pt idx="11">
                  <c:v>0</c:v>
                </c:pt>
                <c:pt idx="12">
                  <c:v>0.10485933503836317</c:v>
                </c:pt>
                <c:pt idx="13">
                  <c:v>6.9053708439897693E-2</c:v>
                </c:pt>
                <c:pt idx="14">
                  <c:v>5.3708439897698211E-2</c:v>
                </c:pt>
                <c:pt idx="15">
                  <c:v>1.278772378516624E-2</c:v>
                </c:pt>
                <c:pt idx="16">
                  <c:v>5.8823529411764705E-2</c:v>
                </c:pt>
                <c:pt idx="17">
                  <c:v>3.5805626598465472E-2</c:v>
                </c:pt>
                <c:pt idx="18">
                  <c:v>4.6035805626598467E-2</c:v>
                </c:pt>
                <c:pt idx="19">
                  <c:v>3.0690537084398978E-2</c:v>
                </c:pt>
                <c:pt idx="20">
                  <c:v>2.557544757033248E-2</c:v>
                </c:pt>
                <c:pt idx="21">
                  <c:v>0.61381074168797956</c:v>
                </c:pt>
                <c:pt idx="22">
                  <c:v>3.0690537084398978E-2</c:v>
                </c:pt>
                <c:pt idx="23">
                  <c:v>0.2915601023017903</c:v>
                </c:pt>
                <c:pt idx="24">
                  <c:v>5.3708439897698211E-2</c:v>
                </c:pt>
                <c:pt idx="25">
                  <c:v>1.7902813299232736E-2</c:v>
                </c:pt>
                <c:pt idx="26">
                  <c:v>4.0920716112531973E-2</c:v>
                </c:pt>
                <c:pt idx="27">
                  <c:v>0</c:v>
                </c:pt>
              </c:numCache>
            </c:numRef>
          </c:val>
          <c:extLst>
            <c:ext xmlns:c16="http://schemas.microsoft.com/office/drawing/2014/chart" uri="{C3380CC4-5D6E-409C-BE32-E72D297353CC}">
              <c16:uniqueId val="{00000000-9AD3-4B47-B788-A9FF5CCA0C1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Detour challenges by keywords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57D1-5349-8040-1BFBBD670490}"/>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2-57D1-5349-8040-1BFBBD670490}"/>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57D1-5349-8040-1BFBBD670490}"/>
              </c:ext>
            </c:extLst>
          </c:dPt>
          <c:dPt>
            <c:idx val="4"/>
            <c:invertIfNegative val="0"/>
            <c:bubble3D val="0"/>
            <c:spPr>
              <a:solidFill>
                <a:srgbClr val="9590FF"/>
              </a:solidFill>
              <a:ln>
                <a:noFill/>
              </a:ln>
              <a:effectLst/>
            </c:spPr>
            <c:extLst>
              <c:ext xmlns:c16="http://schemas.microsoft.com/office/drawing/2014/chart" uri="{C3380CC4-5D6E-409C-BE32-E72D297353CC}">
                <c16:uniqueId val="{00000004-57D1-5349-8040-1BFBBD670490}"/>
              </c:ext>
            </c:extLst>
          </c:dPt>
          <c:dPt>
            <c:idx val="5"/>
            <c:invertIfNegative val="0"/>
            <c:bubble3D val="0"/>
            <c:spPr>
              <a:solidFill>
                <a:schemeClr val="tx1"/>
              </a:solidFill>
              <a:ln>
                <a:noFill/>
              </a:ln>
              <a:effectLst/>
            </c:spPr>
            <c:extLst>
              <c:ext xmlns:c16="http://schemas.microsoft.com/office/drawing/2014/chart" uri="{C3380CC4-5D6E-409C-BE32-E72D297353CC}">
                <c16:uniqueId val="{00000005-57D1-5349-8040-1BFBBD670490}"/>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6-57D1-5349-8040-1BFBBD670490}"/>
              </c:ext>
            </c:extLst>
          </c:dPt>
          <c:dPt>
            <c:idx val="7"/>
            <c:invertIfNegative val="0"/>
            <c:bubble3D val="0"/>
            <c:spPr>
              <a:solidFill>
                <a:srgbClr val="D4A2FF"/>
              </a:solidFill>
              <a:ln>
                <a:noFill/>
              </a:ln>
              <a:effectLst/>
            </c:spPr>
            <c:extLst>
              <c:ext xmlns:c16="http://schemas.microsoft.com/office/drawing/2014/chart" uri="{C3380CC4-5D6E-409C-BE32-E72D297353CC}">
                <c16:uniqueId val="{00000007-57D1-5349-8040-1BFBBD670490}"/>
              </c:ext>
            </c:extLst>
          </c:dPt>
          <c:dPt>
            <c:idx val="8"/>
            <c:invertIfNegative val="0"/>
            <c:bubble3D val="0"/>
            <c:spPr>
              <a:solidFill>
                <a:srgbClr val="FF00E6"/>
              </a:solidFill>
              <a:ln>
                <a:noFill/>
              </a:ln>
              <a:effectLst/>
            </c:spPr>
            <c:extLst>
              <c:ext xmlns:c16="http://schemas.microsoft.com/office/drawing/2014/chart" uri="{C3380CC4-5D6E-409C-BE32-E72D297353CC}">
                <c16:uniqueId val="{00000008-57D1-5349-8040-1BFBBD670490}"/>
              </c:ext>
            </c:extLst>
          </c:dPt>
          <c:dPt>
            <c:idx val="10"/>
            <c:invertIfNegative val="0"/>
            <c:bubble3D val="0"/>
            <c:spPr>
              <a:solidFill>
                <a:srgbClr val="FFFA9F"/>
              </a:solidFill>
              <a:ln>
                <a:noFill/>
              </a:ln>
              <a:effectLst/>
            </c:spPr>
            <c:extLst>
              <c:ext xmlns:c16="http://schemas.microsoft.com/office/drawing/2014/chart" uri="{C3380CC4-5D6E-409C-BE32-E72D297353CC}">
                <c16:uniqueId val="{00000010-57D1-5349-8040-1BFBBD670490}"/>
              </c:ext>
            </c:extLst>
          </c:dPt>
          <c:dPt>
            <c:idx val="12"/>
            <c:invertIfNegative val="0"/>
            <c:bubble3D val="0"/>
            <c:spPr>
              <a:solidFill>
                <a:srgbClr val="7030A0"/>
              </a:solidFill>
              <a:ln>
                <a:noFill/>
              </a:ln>
              <a:effectLst/>
            </c:spPr>
            <c:extLst>
              <c:ext xmlns:c16="http://schemas.microsoft.com/office/drawing/2014/chart" uri="{C3380CC4-5D6E-409C-BE32-E72D297353CC}">
                <c16:uniqueId val="{0000000F-57D1-5349-8040-1BFBBD670490}"/>
              </c:ext>
            </c:extLst>
          </c:dPt>
          <c:dPt>
            <c:idx val="13"/>
            <c:invertIfNegative val="0"/>
            <c:bubble3D val="0"/>
            <c:spPr>
              <a:solidFill>
                <a:srgbClr val="FF0000"/>
              </a:solidFill>
              <a:ln>
                <a:noFill/>
              </a:ln>
              <a:effectLst/>
            </c:spPr>
            <c:extLst>
              <c:ext xmlns:c16="http://schemas.microsoft.com/office/drawing/2014/chart" uri="{C3380CC4-5D6E-409C-BE32-E72D297353CC}">
                <c16:uniqueId val="{0000000E-57D1-5349-8040-1BFBBD670490}"/>
              </c:ext>
            </c:extLst>
          </c:dPt>
          <c:dPt>
            <c:idx val="14"/>
            <c:invertIfNegative val="0"/>
            <c:bubble3D val="0"/>
            <c:spPr>
              <a:solidFill>
                <a:srgbClr val="FFB99A"/>
              </a:solidFill>
              <a:ln>
                <a:noFill/>
              </a:ln>
              <a:effectLst/>
            </c:spPr>
            <c:extLst>
              <c:ext xmlns:c16="http://schemas.microsoft.com/office/drawing/2014/chart" uri="{C3380CC4-5D6E-409C-BE32-E72D297353CC}">
                <c16:uniqueId val="{00000011-57D1-5349-8040-1BFBBD670490}"/>
              </c:ext>
            </c:extLst>
          </c:dPt>
          <c:dPt>
            <c:idx val="16"/>
            <c:invertIfNegative val="0"/>
            <c:bubble3D val="0"/>
            <c:spPr>
              <a:solidFill>
                <a:srgbClr val="1FFFF0"/>
              </a:solidFill>
              <a:ln>
                <a:noFill/>
              </a:ln>
              <a:effectLst/>
            </c:spPr>
            <c:extLst>
              <c:ext xmlns:c16="http://schemas.microsoft.com/office/drawing/2014/chart" uri="{C3380CC4-5D6E-409C-BE32-E72D297353CC}">
                <c16:uniqueId val="{0000000B-57D1-5349-8040-1BFBBD670490}"/>
              </c:ext>
            </c:extLst>
          </c:dPt>
          <c:dPt>
            <c:idx val="17"/>
            <c:invertIfNegative val="0"/>
            <c:bubble3D val="0"/>
            <c:spPr>
              <a:solidFill>
                <a:srgbClr val="ACFFA5"/>
              </a:solidFill>
              <a:ln>
                <a:noFill/>
              </a:ln>
              <a:effectLst/>
            </c:spPr>
            <c:extLst>
              <c:ext xmlns:c16="http://schemas.microsoft.com/office/drawing/2014/chart" uri="{C3380CC4-5D6E-409C-BE32-E72D297353CC}">
                <c16:uniqueId val="{0000000C-57D1-5349-8040-1BFBBD670490}"/>
              </c:ext>
            </c:extLst>
          </c:dPt>
          <c:dPt>
            <c:idx val="18"/>
            <c:invertIfNegative val="0"/>
            <c:bubble3D val="0"/>
            <c:spPr>
              <a:solidFill>
                <a:srgbClr val="FF9300"/>
              </a:solidFill>
              <a:ln>
                <a:noFill/>
              </a:ln>
              <a:effectLst/>
            </c:spPr>
            <c:extLst>
              <c:ext xmlns:c16="http://schemas.microsoft.com/office/drawing/2014/chart" uri="{C3380CC4-5D6E-409C-BE32-E72D297353CC}">
                <c16:uniqueId val="{0000000D-57D1-5349-8040-1BFBBD670490}"/>
              </c:ext>
            </c:extLst>
          </c:dPt>
          <c:dPt>
            <c:idx val="19"/>
            <c:invertIfNegative val="0"/>
            <c:bubble3D val="0"/>
            <c:spPr>
              <a:solidFill>
                <a:srgbClr val="1FFFF0"/>
              </a:solidFill>
              <a:ln>
                <a:noFill/>
              </a:ln>
              <a:effectLst/>
            </c:spPr>
            <c:extLst>
              <c:ext xmlns:c16="http://schemas.microsoft.com/office/drawing/2014/chart" uri="{C3380CC4-5D6E-409C-BE32-E72D297353CC}">
                <c16:uniqueId val="{0000000A-57D1-5349-8040-1BFBBD670490}"/>
              </c:ext>
            </c:extLst>
          </c:dPt>
          <c:dPt>
            <c:idx val="20"/>
            <c:invertIfNegative val="0"/>
            <c:bubble3D val="0"/>
            <c:spPr>
              <a:solidFill>
                <a:srgbClr val="FF00E6"/>
              </a:solidFill>
              <a:ln>
                <a:noFill/>
              </a:ln>
              <a:effectLst/>
            </c:spPr>
            <c:extLst>
              <c:ext xmlns:c16="http://schemas.microsoft.com/office/drawing/2014/chart" uri="{C3380CC4-5D6E-409C-BE32-E72D297353CC}">
                <c16:uniqueId val="{00000009-57D1-5349-8040-1BFBBD670490}"/>
              </c:ext>
            </c:extLst>
          </c:dPt>
          <c:dPt>
            <c:idx val="21"/>
            <c:invertIfNegative val="0"/>
            <c:bubble3D val="0"/>
            <c:spPr>
              <a:solidFill>
                <a:srgbClr val="63FF2E"/>
              </a:solidFill>
              <a:ln>
                <a:noFill/>
              </a:ln>
              <a:effectLst/>
            </c:spPr>
            <c:extLst>
              <c:ext xmlns:c16="http://schemas.microsoft.com/office/drawing/2014/chart" uri="{C3380CC4-5D6E-409C-BE32-E72D297353CC}">
                <c16:uniqueId val="{00000012-57D1-5349-8040-1BFBBD670490}"/>
              </c:ext>
            </c:extLst>
          </c:dPt>
          <c:dPt>
            <c:idx val="22"/>
            <c:invertIfNegative val="0"/>
            <c:bubble3D val="0"/>
            <c:spPr>
              <a:solidFill>
                <a:srgbClr val="C00000"/>
              </a:solidFill>
              <a:ln>
                <a:noFill/>
              </a:ln>
              <a:effectLst/>
            </c:spPr>
            <c:extLst>
              <c:ext xmlns:c16="http://schemas.microsoft.com/office/drawing/2014/chart" uri="{C3380CC4-5D6E-409C-BE32-E72D297353CC}">
                <c16:uniqueId val="{00000013-57D1-5349-8040-1BFBBD670490}"/>
              </c:ext>
            </c:extLst>
          </c:dPt>
          <c:dPt>
            <c:idx val="23"/>
            <c:invertIfNegative val="0"/>
            <c:bubble3D val="0"/>
            <c:spPr>
              <a:solidFill>
                <a:srgbClr val="FF87A1"/>
              </a:solidFill>
              <a:ln>
                <a:noFill/>
              </a:ln>
              <a:effectLst/>
            </c:spPr>
            <c:extLst>
              <c:ext xmlns:c16="http://schemas.microsoft.com/office/drawing/2014/chart" uri="{C3380CC4-5D6E-409C-BE32-E72D297353CC}">
                <c16:uniqueId val="{00000014-57D1-5349-8040-1BFBBD670490}"/>
              </c:ext>
            </c:extLst>
          </c:dPt>
          <c:dPt>
            <c:idx val="24"/>
            <c:invertIfNegative val="0"/>
            <c:bubble3D val="0"/>
            <c:spPr>
              <a:solidFill>
                <a:srgbClr val="00B050"/>
              </a:solidFill>
              <a:ln>
                <a:noFill/>
              </a:ln>
              <a:effectLst/>
            </c:spPr>
            <c:extLst>
              <c:ext xmlns:c16="http://schemas.microsoft.com/office/drawing/2014/chart" uri="{C3380CC4-5D6E-409C-BE32-E72D297353CC}">
                <c16:uniqueId val="{00000015-57D1-5349-8040-1BFBBD670490}"/>
              </c:ext>
            </c:extLst>
          </c:dPt>
          <c:dPt>
            <c:idx val="25"/>
            <c:invertIfNegative val="0"/>
            <c:bubble3D val="0"/>
            <c:spPr>
              <a:solidFill>
                <a:srgbClr val="FFFF00"/>
              </a:solidFill>
              <a:ln>
                <a:noFill/>
              </a:ln>
              <a:effectLst/>
            </c:spPr>
            <c:extLst>
              <c:ext xmlns:c16="http://schemas.microsoft.com/office/drawing/2014/chart" uri="{C3380CC4-5D6E-409C-BE32-E72D297353CC}">
                <c16:uniqueId val="{00000016-57D1-5349-8040-1BFBBD670490}"/>
              </c:ext>
            </c:extLst>
          </c:dPt>
          <c:dPt>
            <c:idx val="26"/>
            <c:invertIfNegative val="0"/>
            <c:bubble3D val="0"/>
            <c:spPr>
              <a:solidFill>
                <a:schemeClr val="accent1"/>
              </a:solidFill>
              <a:ln>
                <a:noFill/>
              </a:ln>
              <a:effectLst/>
            </c:spPr>
            <c:extLst>
              <c:ext xmlns:c16="http://schemas.microsoft.com/office/drawing/2014/chart" uri="{C3380CC4-5D6E-409C-BE32-E72D297353CC}">
                <c16:uniqueId val="{00000017-57D1-5349-8040-1BFBBD670490}"/>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Detour!$Q$116:$Q$143</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Detour!$AE$116:$AE$143</c:f>
              <c:numCache>
                <c:formatCode>General</c:formatCode>
                <c:ptCount val="28"/>
                <c:pt idx="0">
                  <c:v>61</c:v>
                </c:pt>
                <c:pt idx="1">
                  <c:v>107</c:v>
                </c:pt>
                <c:pt idx="2">
                  <c:v>28</c:v>
                </c:pt>
                <c:pt idx="3">
                  <c:v>28</c:v>
                </c:pt>
                <c:pt idx="4">
                  <c:v>71</c:v>
                </c:pt>
                <c:pt idx="5">
                  <c:v>35</c:v>
                </c:pt>
                <c:pt idx="6">
                  <c:v>4</c:v>
                </c:pt>
                <c:pt idx="7">
                  <c:v>31</c:v>
                </c:pt>
                <c:pt idx="8">
                  <c:v>37</c:v>
                </c:pt>
                <c:pt idx="9">
                  <c:v>0</c:v>
                </c:pt>
                <c:pt idx="10">
                  <c:v>20</c:v>
                </c:pt>
                <c:pt idx="11">
                  <c:v>0</c:v>
                </c:pt>
                <c:pt idx="12">
                  <c:v>41</c:v>
                </c:pt>
                <c:pt idx="13">
                  <c:v>27</c:v>
                </c:pt>
                <c:pt idx="14">
                  <c:v>21</c:v>
                </c:pt>
                <c:pt idx="15">
                  <c:v>5</c:v>
                </c:pt>
                <c:pt idx="16">
                  <c:v>23</c:v>
                </c:pt>
                <c:pt idx="17">
                  <c:v>14</c:v>
                </c:pt>
                <c:pt idx="18">
                  <c:v>18</c:v>
                </c:pt>
                <c:pt idx="19">
                  <c:v>12</c:v>
                </c:pt>
                <c:pt idx="20">
                  <c:v>10</c:v>
                </c:pt>
                <c:pt idx="21">
                  <c:v>240</c:v>
                </c:pt>
                <c:pt idx="22">
                  <c:v>12</c:v>
                </c:pt>
                <c:pt idx="23">
                  <c:v>114</c:v>
                </c:pt>
                <c:pt idx="24">
                  <c:v>21</c:v>
                </c:pt>
                <c:pt idx="25">
                  <c:v>7</c:v>
                </c:pt>
                <c:pt idx="26">
                  <c:v>16</c:v>
                </c:pt>
                <c:pt idx="27">
                  <c:v>0</c:v>
                </c:pt>
              </c:numCache>
            </c:numRef>
          </c:val>
          <c:extLst>
            <c:ext xmlns:c16="http://schemas.microsoft.com/office/drawing/2014/chart" uri="{C3380CC4-5D6E-409C-BE32-E72D297353CC}">
              <c16:uniqueId val="{00000000-57D1-5349-8040-1BFBBD670490}"/>
            </c:ext>
          </c:extLst>
        </c:ser>
        <c:dLbls>
          <c:dLblPos val="outEnd"/>
          <c:showLegendKey val="0"/>
          <c:showVal val="1"/>
          <c:showCatName val="0"/>
          <c:showSerName val="0"/>
          <c:showPercent val="0"/>
          <c:showBubbleSize val="0"/>
        </c:dLbls>
        <c:gapWidth val="444"/>
        <c:overlap val="-90"/>
        <c:axId val="1741600096"/>
        <c:axId val="2025232976"/>
      </c:barChart>
      <c:catAx>
        <c:axId val="174160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5232976"/>
        <c:crosses val="autoZero"/>
        <c:auto val="1"/>
        <c:lblAlgn val="ctr"/>
        <c:lblOffset val="100"/>
        <c:noMultiLvlLbl val="0"/>
      </c:catAx>
      <c:valAx>
        <c:axId val="2025232976"/>
        <c:scaling>
          <c:orientation val="minMax"/>
        </c:scaling>
        <c:delete val="1"/>
        <c:axPos val="l"/>
        <c:numFmt formatCode="General" sourceLinked="1"/>
        <c:majorTickMark val="none"/>
        <c:minorTickMark val="none"/>
        <c:tickLblPos val="nextTo"/>
        <c:crossAx val="1741600096"/>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Number of Fast Forwards per Season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'Fast Forward'!$C$8:$C$9</c:f>
              <c:strCache>
                <c:ptCount val="2"/>
                <c:pt idx="0">
                  <c:v>Number of Fast Forwards per Season</c:v>
                </c:pt>
                <c:pt idx="1">
                  <c:v>Fast Forward</c:v>
                </c:pt>
              </c:strCache>
            </c:strRef>
          </c:tx>
          <c:spPr>
            <a:solidFill>
              <a:schemeClr val="bg1"/>
            </a:solidFill>
            <a:ln>
              <a:solidFill>
                <a:schemeClr val="tx1"/>
              </a:solidFill>
            </a:ln>
            <a:effectLst/>
          </c:spPr>
          <c:invertIfNegative val="0"/>
          <c:cat>
            <c:strRef>
              <c:f>'Fast Forward'!$B$10:$B$40</c:f>
              <c:strCache>
                <c:ptCount val="31"/>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37</c:v>
                </c:pt>
                <c:pt idx="30">
                  <c:v>Season 38</c:v>
                </c:pt>
              </c:strCache>
            </c:strRef>
          </c:cat>
          <c:val>
            <c:numRef>
              <c:f>'Fast Forward'!$C$10:$C$40</c:f>
              <c:numCache>
                <c:formatCode>General</c:formatCode>
                <c:ptCount val="31"/>
                <c:pt idx="0">
                  <c:v>11</c:v>
                </c:pt>
                <c:pt idx="1">
                  <c:v>11</c:v>
                </c:pt>
                <c:pt idx="2">
                  <c:v>11</c:v>
                </c:pt>
                <c:pt idx="3">
                  <c:v>11</c:v>
                </c:pt>
                <c:pt idx="4">
                  <c:v>2</c:v>
                </c:pt>
                <c:pt idx="5">
                  <c:v>2</c:v>
                </c:pt>
                <c:pt idx="6">
                  <c:v>2</c:v>
                </c:pt>
                <c:pt idx="7">
                  <c:v>1</c:v>
                </c:pt>
                <c:pt idx="8">
                  <c:v>2</c:v>
                </c:pt>
                <c:pt idx="9">
                  <c:v>2</c:v>
                </c:pt>
                <c:pt idx="10">
                  <c:v>2</c:v>
                </c:pt>
                <c:pt idx="11">
                  <c:v>1</c:v>
                </c:pt>
                <c:pt idx="12">
                  <c:v>2</c:v>
                </c:pt>
                <c:pt idx="13">
                  <c:v>1</c:v>
                </c:pt>
                <c:pt idx="14">
                  <c:v>1</c:v>
                </c:pt>
                <c:pt idx="15">
                  <c:v>1</c:v>
                </c:pt>
                <c:pt idx="16">
                  <c:v>1</c:v>
                </c:pt>
                <c:pt idx="17">
                  <c:v>0</c:v>
                </c:pt>
                <c:pt idx="18">
                  <c:v>0</c:v>
                </c:pt>
                <c:pt idx="19">
                  <c:v>3</c:v>
                </c:pt>
                <c:pt idx="20">
                  <c:v>2</c:v>
                </c:pt>
                <c:pt idx="21">
                  <c:v>1</c:v>
                </c:pt>
                <c:pt idx="22">
                  <c:v>1</c:v>
                </c:pt>
                <c:pt idx="23">
                  <c:v>0</c:v>
                </c:pt>
                <c:pt idx="24">
                  <c:v>1</c:v>
                </c:pt>
                <c:pt idx="25">
                  <c:v>0</c:v>
                </c:pt>
                <c:pt idx="26">
                  <c:v>1</c:v>
                </c:pt>
                <c:pt idx="27">
                  <c:v>0</c:v>
                </c:pt>
                <c:pt idx="28">
                  <c:v>1</c:v>
                </c:pt>
                <c:pt idx="29">
                  <c:v>1</c:v>
                </c:pt>
                <c:pt idx="30">
                  <c:v>1</c:v>
                </c:pt>
              </c:numCache>
            </c:numRef>
          </c:val>
          <c:extLst>
            <c:ext xmlns:c16="http://schemas.microsoft.com/office/drawing/2014/chart" uri="{C3380CC4-5D6E-409C-BE32-E72D297353CC}">
              <c16:uniqueId val="{00000000-1A7D-5347-9334-B0F23F9AB84B}"/>
            </c:ext>
          </c:extLst>
        </c:ser>
        <c:dLbls>
          <c:showLegendKey val="0"/>
          <c:showVal val="0"/>
          <c:showCatName val="0"/>
          <c:showSerName val="0"/>
          <c:showPercent val="0"/>
          <c:showBubbleSize val="0"/>
        </c:dLbls>
        <c:gapWidth val="269"/>
        <c:overlap val="-20"/>
        <c:axId val="956728159"/>
        <c:axId val="649615039"/>
      </c:barChart>
      <c:catAx>
        <c:axId val="95672815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49615039"/>
        <c:crosses val="autoZero"/>
        <c:auto val="1"/>
        <c:lblAlgn val="ctr"/>
        <c:lblOffset val="100"/>
        <c:noMultiLvlLbl val="0"/>
      </c:catAx>
      <c:valAx>
        <c:axId val="64961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672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3FF2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Fast Forward</a:t>
            </a:r>
            <a:r>
              <a:rPr lang="en-US" baseline="0"/>
              <a:t> challenges by keywords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0-A4B5-4030-BEE4-474B867A189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1-A4B5-4030-BEE4-474B867A189B}"/>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2-A4B5-4030-BEE4-474B867A189B}"/>
              </c:ext>
            </c:extLst>
          </c:dPt>
          <c:dPt>
            <c:idx val="7"/>
            <c:invertIfNegative val="0"/>
            <c:bubble3D val="0"/>
            <c:spPr>
              <a:solidFill>
                <a:srgbClr val="D4A2FF"/>
              </a:solidFill>
              <a:ln>
                <a:noFill/>
              </a:ln>
              <a:effectLst/>
            </c:spPr>
            <c:extLst>
              <c:ext xmlns:c16="http://schemas.microsoft.com/office/drawing/2014/chart" uri="{C3380CC4-5D6E-409C-BE32-E72D297353CC}">
                <c16:uniqueId val="{00000003-A4B5-4030-BEE4-474B867A189B}"/>
              </c:ext>
            </c:extLst>
          </c:dPt>
          <c:dPt>
            <c:idx val="8"/>
            <c:invertIfNegative val="0"/>
            <c:bubble3D val="0"/>
            <c:spPr>
              <a:solidFill>
                <a:srgbClr val="FF00E6"/>
              </a:solidFill>
              <a:ln>
                <a:noFill/>
              </a:ln>
              <a:effectLst/>
            </c:spPr>
            <c:extLst>
              <c:ext xmlns:c16="http://schemas.microsoft.com/office/drawing/2014/chart" uri="{C3380CC4-5D6E-409C-BE32-E72D297353CC}">
                <c16:uniqueId val="{00000004-A4B5-4030-BEE4-474B867A189B}"/>
              </c:ext>
            </c:extLst>
          </c:dPt>
          <c:dPt>
            <c:idx val="10"/>
            <c:invertIfNegative val="0"/>
            <c:bubble3D val="0"/>
            <c:spPr>
              <a:solidFill>
                <a:srgbClr val="FFFF00"/>
              </a:solidFill>
              <a:ln>
                <a:noFill/>
              </a:ln>
              <a:effectLst/>
            </c:spPr>
            <c:extLst>
              <c:ext xmlns:c16="http://schemas.microsoft.com/office/drawing/2014/chart" uri="{C3380CC4-5D6E-409C-BE32-E72D297353CC}">
                <c16:uniqueId val="{00000005-A4B5-4030-BEE4-474B867A189B}"/>
              </c:ext>
            </c:extLst>
          </c:dPt>
          <c:dPt>
            <c:idx val="12"/>
            <c:invertIfNegative val="0"/>
            <c:bubble3D val="0"/>
            <c:spPr>
              <a:solidFill>
                <a:srgbClr val="7030A0"/>
              </a:solidFill>
              <a:ln>
                <a:noFill/>
              </a:ln>
              <a:effectLst/>
            </c:spPr>
            <c:extLst>
              <c:ext xmlns:c16="http://schemas.microsoft.com/office/drawing/2014/chart" uri="{C3380CC4-5D6E-409C-BE32-E72D297353CC}">
                <c16:uniqueId val="{00000006-A4B5-4030-BEE4-474B867A189B}"/>
              </c:ext>
            </c:extLst>
          </c:dPt>
          <c:dPt>
            <c:idx val="13"/>
            <c:invertIfNegative val="0"/>
            <c:bubble3D val="0"/>
            <c:spPr>
              <a:solidFill>
                <a:srgbClr val="FF0000"/>
              </a:solidFill>
              <a:ln>
                <a:noFill/>
              </a:ln>
              <a:effectLst/>
            </c:spPr>
            <c:extLst>
              <c:ext xmlns:c16="http://schemas.microsoft.com/office/drawing/2014/chart" uri="{C3380CC4-5D6E-409C-BE32-E72D297353CC}">
                <c16:uniqueId val="{00000007-A4B5-4030-BEE4-474B867A189B}"/>
              </c:ext>
            </c:extLst>
          </c:dPt>
          <c:dPt>
            <c:idx val="14"/>
            <c:invertIfNegative val="0"/>
            <c:bubble3D val="0"/>
            <c:spPr>
              <a:solidFill>
                <a:srgbClr val="FFB99A"/>
              </a:solidFill>
              <a:ln>
                <a:noFill/>
              </a:ln>
              <a:effectLst/>
            </c:spPr>
            <c:extLst>
              <c:ext xmlns:c16="http://schemas.microsoft.com/office/drawing/2014/chart" uri="{C3380CC4-5D6E-409C-BE32-E72D297353CC}">
                <c16:uniqueId val="{00000008-A4B5-4030-BEE4-474B867A189B}"/>
              </c:ext>
            </c:extLst>
          </c:dPt>
          <c:dPt>
            <c:idx val="18"/>
            <c:invertIfNegative val="0"/>
            <c:bubble3D val="0"/>
            <c:spPr>
              <a:solidFill>
                <a:srgbClr val="FF9300"/>
              </a:solidFill>
              <a:ln>
                <a:noFill/>
              </a:ln>
              <a:effectLst/>
            </c:spPr>
            <c:extLst>
              <c:ext xmlns:c16="http://schemas.microsoft.com/office/drawing/2014/chart" uri="{C3380CC4-5D6E-409C-BE32-E72D297353CC}">
                <c16:uniqueId val="{00000009-A4B5-4030-BEE4-474B867A189B}"/>
              </c:ext>
            </c:extLst>
          </c:dPt>
          <c:dPt>
            <c:idx val="19"/>
            <c:invertIfNegative val="0"/>
            <c:bubble3D val="0"/>
            <c:spPr>
              <a:solidFill>
                <a:srgbClr val="1FFFF0"/>
              </a:solidFill>
              <a:ln>
                <a:noFill/>
              </a:ln>
              <a:effectLst/>
            </c:spPr>
            <c:extLst>
              <c:ext xmlns:c16="http://schemas.microsoft.com/office/drawing/2014/chart" uri="{C3380CC4-5D6E-409C-BE32-E72D297353CC}">
                <c16:uniqueId val="{0000000A-A4B5-4030-BEE4-474B867A189B}"/>
              </c:ext>
            </c:extLst>
          </c:dPt>
          <c:dPt>
            <c:idx val="21"/>
            <c:invertIfNegative val="0"/>
            <c:bubble3D val="0"/>
            <c:spPr>
              <a:solidFill>
                <a:srgbClr val="63FF2E"/>
              </a:solidFill>
              <a:ln>
                <a:noFill/>
              </a:ln>
              <a:effectLst/>
            </c:spPr>
            <c:extLst>
              <c:ext xmlns:c16="http://schemas.microsoft.com/office/drawing/2014/chart" uri="{C3380CC4-5D6E-409C-BE32-E72D297353CC}">
                <c16:uniqueId val="{0000000B-A4B5-4030-BEE4-474B867A189B}"/>
              </c:ext>
            </c:extLst>
          </c:dPt>
          <c:dPt>
            <c:idx val="22"/>
            <c:invertIfNegative val="0"/>
            <c:bubble3D val="0"/>
            <c:spPr>
              <a:solidFill>
                <a:srgbClr val="C00000"/>
              </a:solidFill>
              <a:ln>
                <a:noFill/>
              </a:ln>
              <a:effectLst/>
            </c:spPr>
            <c:extLst>
              <c:ext xmlns:c16="http://schemas.microsoft.com/office/drawing/2014/chart" uri="{C3380CC4-5D6E-409C-BE32-E72D297353CC}">
                <c16:uniqueId val="{0000000C-A4B5-4030-BEE4-474B867A189B}"/>
              </c:ext>
            </c:extLst>
          </c:dPt>
          <c:dPt>
            <c:idx val="23"/>
            <c:invertIfNegative val="0"/>
            <c:bubble3D val="0"/>
            <c:spPr>
              <a:solidFill>
                <a:srgbClr val="FF87A1"/>
              </a:solidFill>
              <a:ln>
                <a:noFill/>
              </a:ln>
              <a:effectLst/>
            </c:spPr>
            <c:extLst>
              <c:ext xmlns:c16="http://schemas.microsoft.com/office/drawing/2014/chart" uri="{C3380CC4-5D6E-409C-BE32-E72D297353CC}">
                <c16:uniqueId val="{0000000D-A4B5-4030-BEE4-474B867A189B}"/>
              </c:ext>
            </c:extLst>
          </c:dPt>
          <c:dPt>
            <c:idx val="25"/>
            <c:invertIfNegative val="0"/>
            <c:bubble3D val="0"/>
            <c:spPr>
              <a:solidFill>
                <a:srgbClr val="FFFF00"/>
              </a:solidFill>
              <a:ln>
                <a:noFill/>
              </a:ln>
              <a:effectLst/>
            </c:spPr>
            <c:extLst>
              <c:ext xmlns:c16="http://schemas.microsoft.com/office/drawing/2014/chart" uri="{C3380CC4-5D6E-409C-BE32-E72D297353CC}">
                <c16:uniqueId val="{0000000E-A4B5-4030-BEE4-474B867A189B}"/>
              </c:ext>
            </c:extLst>
          </c:dPt>
          <c:dPt>
            <c:idx val="26"/>
            <c:invertIfNegative val="0"/>
            <c:bubble3D val="0"/>
            <c:spPr>
              <a:solidFill>
                <a:schemeClr val="accent5"/>
              </a:solidFill>
              <a:ln>
                <a:noFill/>
              </a:ln>
              <a:effectLst/>
            </c:spPr>
            <c:extLst>
              <c:ext xmlns:c16="http://schemas.microsoft.com/office/drawing/2014/chart" uri="{C3380CC4-5D6E-409C-BE32-E72D297353CC}">
                <c16:uniqueId val="{0000000F-A4B5-4030-BEE4-474B867A189B}"/>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'Fast Forward'!$Q$109:$Q$136</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'Fast Forward'!$AE$109:$AE$136</c:f>
              <c:numCache>
                <c:formatCode>General</c:formatCode>
                <c:ptCount val="28"/>
                <c:pt idx="0">
                  <c:v>2</c:v>
                </c:pt>
                <c:pt idx="1">
                  <c:v>0</c:v>
                </c:pt>
                <c:pt idx="2">
                  <c:v>3</c:v>
                </c:pt>
                <c:pt idx="3">
                  <c:v>0</c:v>
                </c:pt>
                <c:pt idx="4">
                  <c:v>0</c:v>
                </c:pt>
                <c:pt idx="5">
                  <c:v>0</c:v>
                </c:pt>
                <c:pt idx="6">
                  <c:v>2</c:v>
                </c:pt>
                <c:pt idx="7">
                  <c:v>1</c:v>
                </c:pt>
                <c:pt idx="8">
                  <c:v>8</c:v>
                </c:pt>
                <c:pt idx="9">
                  <c:v>0</c:v>
                </c:pt>
                <c:pt idx="10">
                  <c:v>8</c:v>
                </c:pt>
                <c:pt idx="11">
                  <c:v>0</c:v>
                </c:pt>
                <c:pt idx="12">
                  <c:v>2</c:v>
                </c:pt>
                <c:pt idx="13">
                  <c:v>8</c:v>
                </c:pt>
                <c:pt idx="14">
                  <c:v>1</c:v>
                </c:pt>
                <c:pt idx="15">
                  <c:v>0</c:v>
                </c:pt>
                <c:pt idx="16">
                  <c:v>0</c:v>
                </c:pt>
                <c:pt idx="17">
                  <c:v>0</c:v>
                </c:pt>
                <c:pt idx="18">
                  <c:v>1</c:v>
                </c:pt>
                <c:pt idx="19">
                  <c:v>6</c:v>
                </c:pt>
                <c:pt idx="20">
                  <c:v>0</c:v>
                </c:pt>
                <c:pt idx="21">
                  <c:v>11</c:v>
                </c:pt>
                <c:pt idx="22">
                  <c:v>8</c:v>
                </c:pt>
                <c:pt idx="23">
                  <c:v>15</c:v>
                </c:pt>
                <c:pt idx="24">
                  <c:v>0</c:v>
                </c:pt>
                <c:pt idx="25">
                  <c:v>1</c:v>
                </c:pt>
                <c:pt idx="26">
                  <c:v>4</c:v>
                </c:pt>
                <c:pt idx="27">
                  <c:v>0</c:v>
                </c:pt>
              </c:numCache>
            </c:numRef>
          </c:val>
          <c:extLst>
            <c:ext xmlns:c16="http://schemas.microsoft.com/office/drawing/2014/chart" uri="{C3380CC4-5D6E-409C-BE32-E72D297353CC}">
              <c16:uniqueId val="{00000000-A4B5-4030-BEE4-474B867A189B}"/>
            </c:ext>
          </c:extLst>
        </c:ser>
        <c:dLbls>
          <c:dLblPos val="outEnd"/>
          <c:showLegendKey val="0"/>
          <c:showVal val="1"/>
          <c:showCatName val="0"/>
          <c:showSerName val="0"/>
          <c:showPercent val="0"/>
          <c:showBubbleSize val="0"/>
        </c:dLbls>
        <c:gapWidth val="444"/>
        <c:overlap val="-90"/>
        <c:axId val="1892581407"/>
        <c:axId val="1892579487"/>
      </c:barChart>
      <c:catAx>
        <c:axId val="189258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92579487"/>
        <c:crosses val="autoZero"/>
        <c:auto val="1"/>
        <c:lblAlgn val="ctr"/>
        <c:lblOffset val="100"/>
        <c:noMultiLvlLbl val="0"/>
      </c:catAx>
      <c:valAx>
        <c:axId val="1892579487"/>
        <c:scaling>
          <c:orientation val="minMax"/>
        </c:scaling>
        <c:delete val="1"/>
        <c:axPos val="l"/>
        <c:numFmt formatCode="General" sourceLinked="1"/>
        <c:majorTickMark val="none"/>
        <c:minorTickMark val="none"/>
        <c:tickLblPos val="nextTo"/>
        <c:crossAx val="1892581407"/>
        <c:crosses val="autoZero"/>
        <c:crossBetween val="between"/>
      </c:valAx>
      <c:spPr>
        <a:noFill/>
        <a:ln>
          <a:noFill/>
        </a:ln>
        <a:effectLst/>
      </c:spPr>
    </c:plotArea>
    <c:plotVisOnly val="1"/>
    <c:dispBlanksAs val="gap"/>
    <c:showDLblsOverMax val="0"/>
  </c:chart>
  <c:spPr>
    <a:solidFill>
      <a:schemeClr val="lt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of Keywords per Fast Forward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63FF2E"/>
              </a:solidFill>
            </a:ln>
            <a:effectLst/>
          </c:spPr>
          <c:dPt>
            <c:idx val="0"/>
            <c:bubble3D val="0"/>
            <c:spPr>
              <a:solidFill>
                <a:schemeClr val="lt1"/>
              </a:solidFill>
              <a:ln w="19050">
                <a:solidFill>
                  <a:srgbClr val="63FF2E"/>
                </a:solidFill>
              </a:ln>
              <a:effectLst/>
            </c:spPr>
            <c:extLst>
              <c:ext xmlns:c16="http://schemas.microsoft.com/office/drawing/2014/chart" uri="{C3380CC4-5D6E-409C-BE32-E72D297353CC}">
                <c16:uniqueId val="{00000010-9865-4C25-B50C-E8120983B0F0}"/>
              </c:ext>
            </c:extLst>
          </c:dPt>
          <c:dPt>
            <c:idx val="1"/>
            <c:bubble3D val="0"/>
            <c:spPr>
              <a:solidFill>
                <a:schemeClr val="lt1"/>
              </a:solidFill>
              <a:ln w="19050">
                <a:solidFill>
                  <a:srgbClr val="63FF2E"/>
                </a:solidFill>
              </a:ln>
              <a:effectLst/>
            </c:spPr>
            <c:extLst>
              <c:ext xmlns:c16="http://schemas.microsoft.com/office/drawing/2014/chart" uri="{C3380CC4-5D6E-409C-BE32-E72D297353CC}">
                <c16:uniqueId val="{0000000E-9865-4C25-B50C-E8120983B0F0}"/>
              </c:ext>
            </c:extLst>
          </c:dPt>
          <c:dPt>
            <c:idx val="2"/>
            <c:bubble3D val="0"/>
            <c:spPr>
              <a:solidFill>
                <a:schemeClr val="lt1"/>
              </a:solidFill>
              <a:ln w="19050">
                <a:solidFill>
                  <a:srgbClr val="63FF2E"/>
                </a:solidFill>
              </a:ln>
              <a:effectLst/>
            </c:spPr>
            <c:extLst>
              <c:ext xmlns:c16="http://schemas.microsoft.com/office/drawing/2014/chart" uri="{C3380CC4-5D6E-409C-BE32-E72D297353CC}">
                <c16:uniqueId val="{0000000F-9865-4C25-B50C-E8120983B0F0}"/>
              </c:ext>
            </c:extLst>
          </c:dPt>
          <c:dPt>
            <c:idx val="3"/>
            <c:bubble3D val="0"/>
            <c:spPr>
              <a:solidFill>
                <a:schemeClr val="lt1"/>
              </a:solidFill>
              <a:ln w="19050">
                <a:solidFill>
                  <a:srgbClr val="63FF2E"/>
                </a:solidFill>
              </a:ln>
              <a:effectLst/>
            </c:spPr>
            <c:extLst>
              <c:ext xmlns:c16="http://schemas.microsoft.com/office/drawing/2014/chart" uri="{C3380CC4-5D6E-409C-BE32-E72D297353CC}">
                <c16:uniqueId val="{0000000C-9865-4C25-B50C-E8120983B0F0}"/>
              </c:ext>
            </c:extLst>
          </c:dPt>
          <c:dPt>
            <c:idx val="4"/>
            <c:bubble3D val="0"/>
            <c:spPr>
              <a:solidFill>
                <a:schemeClr val="lt1"/>
              </a:solidFill>
              <a:ln w="19050">
                <a:solidFill>
                  <a:srgbClr val="63FF2E"/>
                </a:solidFill>
              </a:ln>
              <a:effectLst/>
            </c:spPr>
            <c:extLst>
              <c:ext xmlns:c16="http://schemas.microsoft.com/office/drawing/2014/chart" uri="{C3380CC4-5D6E-409C-BE32-E72D297353CC}">
                <c16:uniqueId val="{0000000D-9865-4C25-B50C-E8120983B0F0}"/>
              </c:ext>
            </c:extLst>
          </c:dPt>
          <c:dPt>
            <c:idx val="5"/>
            <c:bubble3D val="0"/>
            <c:spPr>
              <a:solidFill>
                <a:schemeClr val="lt1"/>
              </a:solidFill>
              <a:ln w="19050">
                <a:solidFill>
                  <a:srgbClr val="63FF2E"/>
                </a:solidFill>
              </a:ln>
              <a:effectLst/>
            </c:spPr>
            <c:extLst>
              <c:ext xmlns:c16="http://schemas.microsoft.com/office/drawing/2014/chart" uri="{C3380CC4-5D6E-409C-BE32-E72D297353CC}">
                <c16:uniqueId val="{0000000B-9865-4C25-B50C-E8120983B0F0}"/>
              </c:ext>
            </c:extLst>
          </c:dPt>
          <c:dPt>
            <c:idx val="6"/>
            <c:bubble3D val="0"/>
            <c:spPr>
              <a:solidFill>
                <a:schemeClr val="lt1"/>
              </a:solidFill>
              <a:ln w="19050">
                <a:solidFill>
                  <a:srgbClr val="63FF2E"/>
                </a:solidFill>
              </a:ln>
              <a:effectLst/>
            </c:spPr>
            <c:extLst>
              <c:ext xmlns:c16="http://schemas.microsoft.com/office/drawing/2014/chart" uri="{C3380CC4-5D6E-409C-BE32-E72D297353CC}">
                <c16:uniqueId val="{0000000A-9865-4C25-B50C-E8120983B0F0}"/>
              </c:ext>
            </c:extLst>
          </c:dPt>
          <c:dPt>
            <c:idx val="7"/>
            <c:bubble3D val="0"/>
            <c:spPr>
              <a:solidFill>
                <a:schemeClr val="lt1"/>
              </a:solidFill>
              <a:ln w="19050">
                <a:solidFill>
                  <a:srgbClr val="63FF2E"/>
                </a:solidFill>
              </a:ln>
              <a:effectLst/>
            </c:spPr>
            <c:extLst>
              <c:ext xmlns:c16="http://schemas.microsoft.com/office/drawing/2014/chart" uri="{C3380CC4-5D6E-409C-BE32-E72D297353CC}">
                <c16:uniqueId val="{00000009-9865-4C25-B50C-E8120983B0F0}"/>
              </c:ext>
            </c:extLst>
          </c:dPt>
          <c:dPt>
            <c:idx val="8"/>
            <c:bubble3D val="0"/>
            <c:spPr>
              <a:solidFill>
                <a:schemeClr val="lt1"/>
              </a:solidFill>
              <a:ln w="19050">
                <a:solidFill>
                  <a:srgbClr val="63FF2E"/>
                </a:solidFill>
              </a:ln>
              <a:effectLst/>
            </c:spPr>
            <c:extLst>
              <c:ext xmlns:c16="http://schemas.microsoft.com/office/drawing/2014/chart" uri="{C3380CC4-5D6E-409C-BE32-E72D297353CC}">
                <c16:uniqueId val="{00000011-5663-4FF8-BBA1-FCED0055D17F}"/>
              </c:ext>
            </c:extLst>
          </c:dPt>
          <c:dPt>
            <c:idx val="9"/>
            <c:bubble3D val="0"/>
            <c:spPr>
              <a:solidFill>
                <a:schemeClr val="lt1"/>
              </a:solidFill>
              <a:ln w="19050">
                <a:solidFill>
                  <a:srgbClr val="63FF2E"/>
                </a:solidFill>
              </a:ln>
              <a:effectLst/>
            </c:spPr>
            <c:extLst>
              <c:ext xmlns:c16="http://schemas.microsoft.com/office/drawing/2014/chart" uri="{C3380CC4-5D6E-409C-BE32-E72D297353CC}">
                <c16:uniqueId val="{00000008-9865-4C25-B50C-E8120983B0F0}"/>
              </c:ext>
            </c:extLst>
          </c:dPt>
          <c:dPt>
            <c:idx val="10"/>
            <c:bubble3D val="0"/>
            <c:spPr>
              <a:solidFill>
                <a:schemeClr val="lt1"/>
              </a:solidFill>
              <a:ln w="19050">
                <a:solidFill>
                  <a:srgbClr val="63FF2E"/>
                </a:solidFill>
              </a:ln>
              <a:effectLst/>
            </c:spPr>
            <c:extLst>
              <c:ext xmlns:c16="http://schemas.microsoft.com/office/drawing/2014/chart" uri="{C3380CC4-5D6E-409C-BE32-E72D297353CC}">
                <c16:uniqueId val="{00000015-5663-4FF8-BBA1-FCED0055D17F}"/>
              </c:ext>
            </c:extLst>
          </c:dPt>
          <c:dPt>
            <c:idx val="11"/>
            <c:bubble3D val="0"/>
            <c:spPr>
              <a:solidFill>
                <a:schemeClr val="lt1"/>
              </a:solidFill>
              <a:ln w="19050">
                <a:solidFill>
                  <a:srgbClr val="63FF2E"/>
                </a:solidFill>
              </a:ln>
              <a:effectLst/>
            </c:spPr>
            <c:extLst>
              <c:ext xmlns:c16="http://schemas.microsoft.com/office/drawing/2014/chart" uri="{C3380CC4-5D6E-409C-BE32-E72D297353CC}">
                <c16:uniqueId val="{00000007-9865-4C25-B50C-E8120983B0F0}"/>
              </c:ext>
            </c:extLst>
          </c:dPt>
          <c:dPt>
            <c:idx val="12"/>
            <c:bubble3D val="0"/>
            <c:spPr>
              <a:solidFill>
                <a:schemeClr val="lt1"/>
              </a:solidFill>
              <a:ln w="19050">
                <a:solidFill>
                  <a:srgbClr val="63FF2E"/>
                </a:solidFill>
              </a:ln>
              <a:effectLst/>
            </c:spPr>
            <c:extLst>
              <c:ext xmlns:c16="http://schemas.microsoft.com/office/drawing/2014/chart" uri="{C3380CC4-5D6E-409C-BE32-E72D297353CC}">
                <c16:uniqueId val="{00000019-5663-4FF8-BBA1-FCED0055D17F}"/>
              </c:ext>
            </c:extLst>
          </c:dPt>
          <c:dPt>
            <c:idx val="13"/>
            <c:bubble3D val="0"/>
            <c:spPr>
              <a:solidFill>
                <a:schemeClr val="lt1"/>
              </a:solidFill>
              <a:ln w="19050">
                <a:solidFill>
                  <a:srgbClr val="63FF2E"/>
                </a:solidFill>
              </a:ln>
              <a:effectLst/>
            </c:spPr>
            <c:extLst>
              <c:ext xmlns:c16="http://schemas.microsoft.com/office/drawing/2014/chart" uri="{C3380CC4-5D6E-409C-BE32-E72D297353CC}">
                <c16:uniqueId val="{0000001B-5663-4FF8-BBA1-FCED0055D17F}"/>
              </c:ext>
            </c:extLst>
          </c:dPt>
          <c:dPt>
            <c:idx val="14"/>
            <c:bubble3D val="0"/>
            <c:spPr>
              <a:solidFill>
                <a:schemeClr val="lt1"/>
              </a:solidFill>
              <a:ln w="19050">
                <a:solidFill>
                  <a:srgbClr val="63FF2E"/>
                </a:solidFill>
              </a:ln>
              <a:effectLst/>
            </c:spPr>
            <c:extLst>
              <c:ext xmlns:c16="http://schemas.microsoft.com/office/drawing/2014/chart" uri="{C3380CC4-5D6E-409C-BE32-E72D297353CC}">
                <c16:uniqueId val="{00000004-9865-4C25-B50C-E8120983B0F0}"/>
              </c:ext>
            </c:extLst>
          </c:dPt>
          <c:dPt>
            <c:idx val="15"/>
            <c:bubble3D val="0"/>
            <c:spPr>
              <a:solidFill>
                <a:schemeClr val="lt1"/>
              </a:solidFill>
              <a:ln w="19050">
                <a:solidFill>
                  <a:srgbClr val="63FF2E"/>
                </a:solidFill>
              </a:ln>
              <a:effectLst/>
            </c:spPr>
            <c:extLst>
              <c:ext xmlns:c16="http://schemas.microsoft.com/office/drawing/2014/chart" uri="{C3380CC4-5D6E-409C-BE32-E72D297353CC}">
                <c16:uniqueId val="{00000005-9865-4C25-B50C-E8120983B0F0}"/>
              </c:ext>
            </c:extLst>
          </c:dPt>
          <c:dPt>
            <c:idx val="16"/>
            <c:bubble3D val="0"/>
            <c:spPr>
              <a:solidFill>
                <a:schemeClr val="lt1"/>
              </a:solidFill>
              <a:ln w="19050">
                <a:solidFill>
                  <a:srgbClr val="63FF2E"/>
                </a:solidFill>
              </a:ln>
              <a:effectLst/>
            </c:spPr>
            <c:extLst>
              <c:ext xmlns:c16="http://schemas.microsoft.com/office/drawing/2014/chart" uri="{C3380CC4-5D6E-409C-BE32-E72D297353CC}">
                <c16:uniqueId val="{00000006-9865-4C25-B50C-E8120983B0F0}"/>
              </c:ext>
            </c:extLst>
          </c:dPt>
          <c:dPt>
            <c:idx val="17"/>
            <c:bubble3D val="0"/>
            <c:spPr>
              <a:solidFill>
                <a:schemeClr val="lt1"/>
              </a:solidFill>
              <a:ln w="19050">
                <a:solidFill>
                  <a:srgbClr val="63FF2E"/>
                </a:solidFill>
              </a:ln>
              <a:effectLst/>
            </c:spPr>
            <c:extLst>
              <c:ext xmlns:c16="http://schemas.microsoft.com/office/drawing/2014/chart" uri="{C3380CC4-5D6E-409C-BE32-E72D297353CC}">
                <c16:uniqueId val="{00000003-9865-4C25-B50C-E8120983B0F0}"/>
              </c:ext>
            </c:extLst>
          </c:dPt>
          <c:dPt>
            <c:idx val="18"/>
            <c:bubble3D val="0"/>
            <c:spPr>
              <a:solidFill>
                <a:schemeClr val="lt1"/>
              </a:solidFill>
              <a:ln w="19050">
                <a:solidFill>
                  <a:srgbClr val="63FF2E"/>
                </a:solidFill>
              </a:ln>
              <a:effectLst/>
            </c:spPr>
            <c:extLst>
              <c:ext xmlns:c16="http://schemas.microsoft.com/office/drawing/2014/chart" uri="{C3380CC4-5D6E-409C-BE32-E72D297353CC}">
                <c16:uniqueId val="{00000002-9865-4C25-B50C-E8120983B0F0}"/>
              </c:ext>
            </c:extLst>
          </c:dPt>
          <c:dPt>
            <c:idx val="19"/>
            <c:bubble3D val="0"/>
            <c:spPr>
              <a:solidFill>
                <a:schemeClr val="lt1"/>
              </a:solidFill>
              <a:ln w="19050">
                <a:solidFill>
                  <a:srgbClr val="63FF2E"/>
                </a:solidFill>
              </a:ln>
              <a:effectLst/>
            </c:spPr>
            <c:extLst>
              <c:ext xmlns:c16="http://schemas.microsoft.com/office/drawing/2014/chart" uri="{C3380CC4-5D6E-409C-BE32-E72D297353CC}">
                <c16:uniqueId val="{00000027-5663-4FF8-BBA1-FCED0055D17F}"/>
              </c:ext>
            </c:extLst>
          </c:dPt>
          <c:dPt>
            <c:idx val="20"/>
            <c:bubble3D val="0"/>
            <c:spPr>
              <a:solidFill>
                <a:schemeClr val="lt1"/>
              </a:solidFill>
              <a:ln w="19050">
                <a:solidFill>
                  <a:srgbClr val="63FF2E"/>
                </a:solidFill>
              </a:ln>
              <a:effectLst/>
            </c:spPr>
            <c:extLst>
              <c:ext xmlns:c16="http://schemas.microsoft.com/office/drawing/2014/chart" uri="{C3380CC4-5D6E-409C-BE32-E72D297353CC}">
                <c16:uniqueId val="{00000001-9865-4C25-B50C-E8120983B0F0}"/>
              </c:ext>
            </c:extLst>
          </c:dPt>
          <c:dPt>
            <c:idx val="21"/>
            <c:bubble3D val="0"/>
            <c:spPr>
              <a:solidFill>
                <a:schemeClr val="lt1"/>
              </a:solidFill>
              <a:ln w="19050">
                <a:solidFill>
                  <a:srgbClr val="63FF2E"/>
                </a:solidFill>
              </a:ln>
              <a:effectLst/>
            </c:spPr>
            <c:extLst>
              <c:ext xmlns:c16="http://schemas.microsoft.com/office/drawing/2014/chart" uri="{C3380CC4-5D6E-409C-BE32-E72D297353CC}">
                <c16:uniqueId val="{0000002B-5663-4FF8-BBA1-FCED0055D17F}"/>
              </c:ext>
            </c:extLst>
          </c:dPt>
          <c:dPt>
            <c:idx val="22"/>
            <c:bubble3D val="0"/>
            <c:spPr>
              <a:solidFill>
                <a:schemeClr val="lt1"/>
              </a:solidFill>
              <a:ln w="19050">
                <a:solidFill>
                  <a:srgbClr val="63FF2E"/>
                </a:solidFill>
              </a:ln>
              <a:effectLst/>
            </c:spPr>
            <c:extLst>
              <c:ext xmlns:c16="http://schemas.microsoft.com/office/drawing/2014/chart" uri="{C3380CC4-5D6E-409C-BE32-E72D297353CC}">
                <c16:uniqueId val="{0000002D-5663-4FF8-BBA1-FCED0055D17F}"/>
              </c:ext>
            </c:extLst>
          </c:dPt>
          <c:dPt>
            <c:idx val="23"/>
            <c:bubble3D val="0"/>
            <c:spPr>
              <a:solidFill>
                <a:schemeClr val="lt1"/>
              </a:solidFill>
              <a:ln w="19050">
                <a:solidFill>
                  <a:srgbClr val="63FF2E"/>
                </a:solidFill>
              </a:ln>
              <a:effectLst/>
            </c:spPr>
            <c:extLst>
              <c:ext xmlns:c16="http://schemas.microsoft.com/office/drawing/2014/chart" uri="{C3380CC4-5D6E-409C-BE32-E72D297353CC}">
                <c16:uniqueId val="{0000002F-5663-4FF8-BBA1-FCED0055D17F}"/>
              </c:ext>
            </c:extLst>
          </c:dPt>
          <c:dPt>
            <c:idx val="24"/>
            <c:bubble3D val="0"/>
            <c:spPr>
              <a:solidFill>
                <a:schemeClr val="lt1"/>
              </a:solidFill>
              <a:ln w="19050">
                <a:solidFill>
                  <a:srgbClr val="63FF2E"/>
                </a:solidFill>
              </a:ln>
              <a:effectLst/>
            </c:spPr>
            <c:extLst>
              <c:ext xmlns:c16="http://schemas.microsoft.com/office/drawing/2014/chart" uri="{C3380CC4-5D6E-409C-BE32-E72D297353CC}">
                <c16:uniqueId val="{00000013-9865-4C25-B50C-E8120983B0F0}"/>
              </c:ext>
            </c:extLst>
          </c:dPt>
          <c:dPt>
            <c:idx val="25"/>
            <c:bubble3D val="0"/>
            <c:spPr>
              <a:solidFill>
                <a:schemeClr val="lt1"/>
              </a:solidFill>
              <a:ln w="19050">
                <a:solidFill>
                  <a:srgbClr val="63FF2E"/>
                </a:solidFill>
              </a:ln>
              <a:effectLst/>
            </c:spPr>
            <c:extLst>
              <c:ext xmlns:c16="http://schemas.microsoft.com/office/drawing/2014/chart" uri="{C3380CC4-5D6E-409C-BE32-E72D297353CC}">
                <c16:uniqueId val="{00000012-9865-4C25-B50C-E8120983B0F0}"/>
              </c:ext>
            </c:extLst>
          </c:dPt>
          <c:dPt>
            <c:idx val="26"/>
            <c:bubble3D val="0"/>
            <c:spPr>
              <a:solidFill>
                <a:schemeClr val="lt1"/>
              </a:solidFill>
              <a:ln w="19050">
                <a:solidFill>
                  <a:srgbClr val="63FF2E"/>
                </a:solidFill>
              </a:ln>
              <a:effectLst/>
            </c:spPr>
            <c:extLst>
              <c:ext xmlns:c16="http://schemas.microsoft.com/office/drawing/2014/chart" uri="{C3380CC4-5D6E-409C-BE32-E72D297353CC}">
                <c16:uniqueId val="{00000035-5663-4FF8-BBA1-FCED0055D17F}"/>
              </c:ext>
            </c:extLst>
          </c:dPt>
          <c:dPt>
            <c:idx val="27"/>
            <c:bubble3D val="0"/>
            <c:spPr>
              <a:solidFill>
                <a:schemeClr val="lt1"/>
              </a:solidFill>
              <a:ln w="19050">
                <a:solidFill>
                  <a:srgbClr val="63FF2E"/>
                </a:solidFill>
              </a:ln>
              <a:effectLst/>
            </c:spPr>
            <c:extLst>
              <c:ext xmlns:c16="http://schemas.microsoft.com/office/drawing/2014/chart" uri="{C3380CC4-5D6E-409C-BE32-E72D297353CC}">
                <c16:uniqueId val="{00000011-9865-4C25-B50C-E8120983B0F0}"/>
              </c:ext>
            </c:extLst>
          </c:dPt>
          <c:dLbls>
            <c:dLbl>
              <c:idx val="0"/>
              <c:layout>
                <c:manualLayout>
                  <c:x val="8.2835878700020862E-2"/>
                  <c:y val="3.85667009015177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9865-4C25-B50C-E8120983B0F0}"/>
                </c:ext>
              </c:extLst>
            </c:dLbl>
            <c:dLbl>
              <c:idx val="1"/>
              <c:delete val="1"/>
              <c:extLst>
                <c:ext xmlns:c15="http://schemas.microsoft.com/office/drawing/2012/chart" uri="{CE6537A1-D6FC-4f65-9D91-7224C49458BB}"/>
                <c:ext xmlns:c16="http://schemas.microsoft.com/office/drawing/2014/chart" uri="{C3380CC4-5D6E-409C-BE32-E72D297353CC}">
                  <c16:uniqueId val="{0000000E-9865-4C25-B50C-E8120983B0F0}"/>
                </c:ext>
              </c:extLst>
            </c:dLbl>
            <c:dLbl>
              <c:idx val="2"/>
              <c:layout>
                <c:manualLayout>
                  <c:x val="-3.95310641471548E-2"/>
                  <c:y val="0.11040916986825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9865-4C25-B50C-E8120983B0F0}"/>
                </c:ext>
              </c:extLst>
            </c:dLbl>
            <c:dLbl>
              <c:idx val="3"/>
              <c:delete val="1"/>
              <c:extLst>
                <c:ext xmlns:c15="http://schemas.microsoft.com/office/drawing/2012/chart" uri="{CE6537A1-D6FC-4f65-9D91-7224C49458BB}"/>
                <c:ext xmlns:c16="http://schemas.microsoft.com/office/drawing/2014/chart" uri="{C3380CC4-5D6E-409C-BE32-E72D297353CC}">
                  <c16:uniqueId val="{0000000C-9865-4C25-B50C-E8120983B0F0}"/>
                </c:ext>
              </c:extLst>
            </c:dLbl>
            <c:dLbl>
              <c:idx val="4"/>
              <c:delete val="1"/>
              <c:extLst>
                <c:ext xmlns:c15="http://schemas.microsoft.com/office/drawing/2012/chart" uri="{CE6537A1-D6FC-4f65-9D91-7224C49458BB}"/>
                <c:ext xmlns:c16="http://schemas.microsoft.com/office/drawing/2014/chart" uri="{C3380CC4-5D6E-409C-BE32-E72D297353CC}">
                  <c16:uniqueId val="{0000000D-9865-4C25-B50C-E8120983B0F0}"/>
                </c:ext>
              </c:extLst>
            </c:dLbl>
            <c:dLbl>
              <c:idx val="5"/>
              <c:delete val="1"/>
              <c:extLst>
                <c:ext xmlns:c15="http://schemas.microsoft.com/office/drawing/2012/chart" uri="{CE6537A1-D6FC-4f65-9D91-7224C49458BB}"/>
                <c:ext xmlns:c16="http://schemas.microsoft.com/office/drawing/2014/chart" uri="{C3380CC4-5D6E-409C-BE32-E72D297353CC}">
                  <c16:uniqueId val="{0000000B-9865-4C25-B50C-E8120983B0F0}"/>
                </c:ext>
              </c:extLst>
            </c:dLbl>
            <c:dLbl>
              <c:idx val="6"/>
              <c:layout>
                <c:manualLayout>
                  <c:x val="6.4079128386150784E-3"/>
                  <c:y val="3.071263435065785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9865-4C25-B50C-E8120983B0F0}"/>
                </c:ext>
              </c:extLst>
            </c:dLbl>
            <c:dLbl>
              <c:idx val="7"/>
              <c:layout>
                <c:manualLayout>
                  <c:x val="2.1513171460595497E-2"/>
                  <c:y val="4.58867037755546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865-4C25-B50C-E8120983B0F0}"/>
                </c:ext>
              </c:extLst>
            </c:dLbl>
            <c:dLbl>
              <c:idx val="9"/>
              <c:delete val="1"/>
              <c:extLst>
                <c:ext xmlns:c15="http://schemas.microsoft.com/office/drawing/2012/chart" uri="{CE6537A1-D6FC-4f65-9D91-7224C49458BB}"/>
                <c:ext xmlns:c16="http://schemas.microsoft.com/office/drawing/2014/chart" uri="{C3380CC4-5D6E-409C-BE32-E72D297353CC}">
                  <c16:uniqueId val="{00000008-9865-4C25-B50C-E8120983B0F0}"/>
                </c:ext>
              </c:extLst>
            </c:dLbl>
            <c:dLbl>
              <c:idx val="11"/>
              <c:delete val="1"/>
              <c:extLst>
                <c:ext xmlns:c15="http://schemas.microsoft.com/office/drawing/2012/chart" uri="{CE6537A1-D6FC-4f65-9D91-7224C49458BB}"/>
                <c:ext xmlns:c16="http://schemas.microsoft.com/office/drawing/2014/chart" uri="{C3380CC4-5D6E-409C-BE32-E72D297353CC}">
                  <c16:uniqueId val="{00000007-9865-4C25-B50C-E8120983B0F0}"/>
                </c:ext>
              </c:extLst>
            </c:dLbl>
            <c:dLbl>
              <c:idx val="14"/>
              <c:layout>
                <c:manualLayout>
                  <c:x val="0.13235985372811854"/>
                  <c:y val="-0.11015439495183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865-4C25-B50C-E8120983B0F0}"/>
                </c:ext>
              </c:extLst>
            </c:dLbl>
            <c:dLbl>
              <c:idx val="15"/>
              <c:layout>
                <c:manualLayout>
                  <c:x val="0.12032780426061597"/>
                  <c:y val="-5.72944323988486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65-4C25-B50C-E8120983B0F0}"/>
                </c:ext>
              </c:extLst>
            </c:dLbl>
            <c:dLbl>
              <c:idx val="16"/>
              <c:delete val="1"/>
              <c:extLst>
                <c:ext xmlns:c15="http://schemas.microsoft.com/office/drawing/2012/chart" uri="{CE6537A1-D6FC-4f65-9D91-7224C49458BB}"/>
                <c:ext xmlns:c16="http://schemas.microsoft.com/office/drawing/2014/chart" uri="{C3380CC4-5D6E-409C-BE32-E72D297353CC}">
                  <c16:uniqueId val="{00000006-9865-4C25-B50C-E8120983B0F0}"/>
                </c:ext>
              </c:extLst>
            </c:dLbl>
            <c:dLbl>
              <c:idx val="17"/>
              <c:delete val="1"/>
              <c:extLst>
                <c:ext xmlns:c15="http://schemas.microsoft.com/office/drawing/2012/chart" uri="{CE6537A1-D6FC-4f65-9D91-7224C49458BB}"/>
                <c:ext xmlns:c16="http://schemas.microsoft.com/office/drawing/2014/chart" uri="{C3380CC4-5D6E-409C-BE32-E72D297353CC}">
                  <c16:uniqueId val="{00000003-9865-4C25-B50C-E8120983B0F0}"/>
                </c:ext>
              </c:extLst>
            </c:dLbl>
            <c:dLbl>
              <c:idx val="18"/>
              <c:layout>
                <c:manualLayout>
                  <c:x val="4.0784893868943607E-2"/>
                  <c:y val="-1.41811742131267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865-4C25-B50C-E8120983B0F0}"/>
                </c:ext>
              </c:extLst>
            </c:dLbl>
            <c:dLbl>
              <c:idx val="20"/>
              <c:delete val="1"/>
              <c:extLst>
                <c:ext xmlns:c15="http://schemas.microsoft.com/office/drawing/2012/chart" uri="{CE6537A1-D6FC-4f65-9D91-7224C49458BB}"/>
                <c:ext xmlns:c16="http://schemas.microsoft.com/office/drawing/2014/chart" uri="{C3380CC4-5D6E-409C-BE32-E72D297353CC}">
                  <c16:uniqueId val="{00000001-9865-4C25-B50C-E8120983B0F0}"/>
                </c:ext>
              </c:extLst>
            </c:dLbl>
            <c:dLbl>
              <c:idx val="24"/>
              <c:delete val="1"/>
              <c:extLst>
                <c:ext xmlns:c15="http://schemas.microsoft.com/office/drawing/2012/chart" uri="{CE6537A1-D6FC-4f65-9D91-7224C49458BB}"/>
                <c:ext xmlns:c16="http://schemas.microsoft.com/office/drawing/2014/chart" uri="{C3380CC4-5D6E-409C-BE32-E72D297353CC}">
                  <c16:uniqueId val="{00000013-9865-4C25-B50C-E8120983B0F0}"/>
                </c:ext>
              </c:extLst>
            </c:dLbl>
            <c:dLbl>
              <c:idx val="25"/>
              <c:layout>
                <c:manualLayout>
                  <c:x val="-2.1619867830902931E-2"/>
                  <c:y val="1.51225058220379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9865-4C25-B50C-E8120983B0F0}"/>
                </c:ext>
              </c:extLst>
            </c:dLbl>
            <c:dLbl>
              <c:idx val="27"/>
              <c:delete val="1"/>
              <c:extLst>
                <c:ext xmlns:c15="http://schemas.microsoft.com/office/drawing/2012/chart" uri="{CE6537A1-D6FC-4f65-9D91-7224C49458BB}"/>
                <c:ext xmlns:c16="http://schemas.microsoft.com/office/drawing/2014/chart" uri="{C3380CC4-5D6E-409C-BE32-E72D297353CC}">
                  <c16:uniqueId val="{00000011-9865-4C25-B50C-E8120983B0F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3FF2E"/>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'Fast Forward'!$AF$141:$AF$168</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'Fast Forward'!$AG$141:$AG$168</c:f>
              <c:numCache>
                <c:formatCode>0%</c:formatCode>
                <c:ptCount val="28"/>
                <c:pt idx="0">
                  <c:v>2.6315789473684209E-2</c:v>
                </c:pt>
                <c:pt idx="1">
                  <c:v>0</c:v>
                </c:pt>
                <c:pt idx="2">
                  <c:v>3.9473684210526314E-2</c:v>
                </c:pt>
                <c:pt idx="3">
                  <c:v>0</c:v>
                </c:pt>
                <c:pt idx="4">
                  <c:v>0</c:v>
                </c:pt>
                <c:pt idx="5">
                  <c:v>0</c:v>
                </c:pt>
                <c:pt idx="6">
                  <c:v>2.6315789473684209E-2</c:v>
                </c:pt>
                <c:pt idx="7">
                  <c:v>1.3157894736842105E-2</c:v>
                </c:pt>
                <c:pt idx="8">
                  <c:v>0.10526315789473684</c:v>
                </c:pt>
                <c:pt idx="9">
                  <c:v>0</c:v>
                </c:pt>
                <c:pt idx="10">
                  <c:v>0.10526315789473684</c:v>
                </c:pt>
                <c:pt idx="11">
                  <c:v>0</c:v>
                </c:pt>
                <c:pt idx="12">
                  <c:v>2.6315789473684209E-2</c:v>
                </c:pt>
                <c:pt idx="13">
                  <c:v>0.10526315789473684</c:v>
                </c:pt>
                <c:pt idx="14">
                  <c:v>1.3157894736842105E-2</c:v>
                </c:pt>
                <c:pt idx="15">
                  <c:v>0</c:v>
                </c:pt>
                <c:pt idx="16">
                  <c:v>0</c:v>
                </c:pt>
                <c:pt idx="17">
                  <c:v>0</c:v>
                </c:pt>
                <c:pt idx="18">
                  <c:v>1.3157894736842105E-2</c:v>
                </c:pt>
                <c:pt idx="19">
                  <c:v>7.8947368421052627E-2</c:v>
                </c:pt>
                <c:pt idx="20">
                  <c:v>0</c:v>
                </c:pt>
                <c:pt idx="21">
                  <c:v>0.14473684210526316</c:v>
                </c:pt>
                <c:pt idx="22">
                  <c:v>0.10526315789473684</c:v>
                </c:pt>
                <c:pt idx="23">
                  <c:v>0.19736842105263158</c:v>
                </c:pt>
                <c:pt idx="24">
                  <c:v>0</c:v>
                </c:pt>
                <c:pt idx="25">
                  <c:v>1.3157894736842105E-2</c:v>
                </c:pt>
                <c:pt idx="26">
                  <c:v>5.2631578947368418E-2</c:v>
                </c:pt>
                <c:pt idx="27">
                  <c:v>0</c:v>
                </c:pt>
              </c:numCache>
            </c:numRef>
          </c:val>
          <c:extLst>
            <c:ext xmlns:c16="http://schemas.microsoft.com/office/drawing/2014/chart" uri="{C3380CC4-5D6E-409C-BE32-E72D297353CC}">
              <c16:uniqueId val="{00000000-9865-4C25-B50C-E8120983B0F0}"/>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3FF2E"/>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Number of Speed Bumps per Season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'Speed Bump'!$C$9</c:f>
              <c:strCache>
                <c:ptCount val="1"/>
                <c:pt idx="0">
                  <c:v>Speed Bump</c:v>
                </c:pt>
              </c:strCache>
            </c:strRef>
          </c:tx>
          <c:spPr>
            <a:solidFill>
              <a:schemeClr val="bg1"/>
            </a:solidFill>
            <a:ln>
              <a:solidFill>
                <a:srgbClr val="00B050"/>
              </a:solidFill>
            </a:ln>
            <a:effectLst/>
          </c:spPr>
          <c:invertIfNegative val="0"/>
          <c:cat>
            <c:strRef>
              <c:f>'Speed Bump'!$B$10:$B$31</c:f>
              <c:strCache>
                <c:ptCount val="22"/>
                <c:pt idx="0">
                  <c:v>Season 12</c:v>
                </c:pt>
                <c:pt idx="1">
                  <c:v>Season 13</c:v>
                </c:pt>
                <c:pt idx="2">
                  <c:v>Season 14</c:v>
                </c:pt>
                <c:pt idx="3">
                  <c:v>Season 15</c:v>
                </c:pt>
                <c:pt idx="4">
                  <c:v>Season 16</c:v>
                </c:pt>
                <c:pt idx="5">
                  <c:v>Season 17</c:v>
                </c:pt>
                <c:pt idx="6">
                  <c:v>Season 18</c:v>
                </c:pt>
                <c:pt idx="7">
                  <c:v>Season 19</c:v>
                </c:pt>
                <c:pt idx="8">
                  <c:v>Season 20</c:v>
                </c:pt>
                <c:pt idx="9">
                  <c:v>Season 21</c:v>
                </c:pt>
                <c:pt idx="10">
                  <c:v>Season 22</c:v>
                </c:pt>
                <c:pt idx="11">
                  <c:v>Season 23</c:v>
                </c:pt>
                <c:pt idx="12">
                  <c:v>Season 24</c:v>
                </c:pt>
                <c:pt idx="13">
                  <c:v>Season 25</c:v>
                </c:pt>
                <c:pt idx="14">
                  <c:v>Season 26</c:v>
                </c:pt>
                <c:pt idx="15">
                  <c:v>Season 27</c:v>
                </c:pt>
                <c:pt idx="16">
                  <c:v>Season 28</c:v>
                </c:pt>
                <c:pt idx="17">
                  <c:v>Season 29</c:v>
                </c:pt>
                <c:pt idx="18">
                  <c:v>Season 30</c:v>
                </c:pt>
                <c:pt idx="19">
                  <c:v>Season 31</c:v>
                </c:pt>
                <c:pt idx="20">
                  <c:v>Season 32</c:v>
                </c:pt>
                <c:pt idx="21">
                  <c:v>Season 33</c:v>
                </c:pt>
              </c:strCache>
            </c:strRef>
          </c:cat>
          <c:val>
            <c:numRef>
              <c:f>'Speed Bump'!$C$10:$C$31</c:f>
              <c:numCache>
                <c:formatCode>General</c:formatCode>
                <c:ptCount val="22"/>
                <c:pt idx="0">
                  <c:v>2</c:v>
                </c:pt>
                <c:pt idx="1">
                  <c:v>2</c:v>
                </c:pt>
                <c:pt idx="2">
                  <c:v>2</c:v>
                </c:pt>
                <c:pt idx="3">
                  <c:v>2</c:v>
                </c:pt>
                <c:pt idx="4">
                  <c:v>3</c:v>
                </c:pt>
                <c:pt idx="5">
                  <c:v>2</c:v>
                </c:pt>
                <c:pt idx="6">
                  <c:v>1</c:v>
                </c:pt>
                <c:pt idx="7">
                  <c:v>3</c:v>
                </c:pt>
                <c:pt idx="8">
                  <c:v>3</c:v>
                </c:pt>
                <c:pt idx="9">
                  <c:v>3</c:v>
                </c:pt>
                <c:pt idx="10">
                  <c:v>2</c:v>
                </c:pt>
                <c:pt idx="11">
                  <c:v>2</c:v>
                </c:pt>
                <c:pt idx="12">
                  <c:v>3</c:v>
                </c:pt>
                <c:pt idx="13">
                  <c:v>3</c:v>
                </c:pt>
                <c:pt idx="14">
                  <c:v>3</c:v>
                </c:pt>
                <c:pt idx="15">
                  <c:v>1</c:v>
                </c:pt>
                <c:pt idx="16">
                  <c:v>2</c:v>
                </c:pt>
                <c:pt idx="17">
                  <c:v>2</c:v>
                </c:pt>
                <c:pt idx="18">
                  <c:v>2</c:v>
                </c:pt>
                <c:pt idx="19">
                  <c:v>3</c:v>
                </c:pt>
                <c:pt idx="20">
                  <c:v>2</c:v>
                </c:pt>
                <c:pt idx="21">
                  <c:v>1</c:v>
                </c:pt>
              </c:numCache>
            </c:numRef>
          </c:val>
          <c:extLst>
            <c:ext xmlns:c16="http://schemas.microsoft.com/office/drawing/2014/chart" uri="{C3380CC4-5D6E-409C-BE32-E72D297353CC}">
              <c16:uniqueId val="{00000000-9314-3F45-B452-8E14C3947245}"/>
            </c:ext>
          </c:extLst>
        </c:ser>
        <c:dLbls>
          <c:showLegendKey val="0"/>
          <c:showVal val="0"/>
          <c:showCatName val="0"/>
          <c:showSerName val="0"/>
          <c:showPercent val="0"/>
          <c:showBubbleSize val="0"/>
        </c:dLbls>
        <c:gapWidth val="269"/>
        <c:overlap val="-20"/>
        <c:axId val="1597099808"/>
        <c:axId val="1830140992"/>
      </c:barChart>
      <c:catAx>
        <c:axId val="15970998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30140992"/>
        <c:crosses val="autoZero"/>
        <c:auto val="1"/>
        <c:lblAlgn val="ctr"/>
        <c:lblOffset val="100"/>
        <c:noMultiLvlLbl val="0"/>
      </c:catAx>
      <c:valAx>
        <c:axId val="1830140992"/>
        <c:scaling>
          <c:orientation val="minMax"/>
          <c:max val="3"/>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97099808"/>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of keywords per speed</a:t>
            </a:r>
            <a:r>
              <a:rPr lang="en-US" baseline="0"/>
              <a:t> bump</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'Speed Bump'!$AG$134</c:f>
              <c:strCache>
                <c:ptCount val="1"/>
                <c:pt idx="0">
                  <c:v>%</c:v>
                </c:pt>
              </c:strCache>
            </c:strRef>
          </c:tx>
          <c:spPr>
            <a:solidFill>
              <a:schemeClr val="lt1"/>
            </a:solidFill>
            <a:ln w="19050">
              <a:solidFill>
                <a:srgbClr val="92D050"/>
              </a:solidFill>
            </a:ln>
            <a:effectLst/>
          </c:spPr>
          <c:dPt>
            <c:idx val="0"/>
            <c:bubble3D val="0"/>
            <c:spPr>
              <a:solidFill>
                <a:schemeClr val="lt1"/>
              </a:solidFill>
              <a:ln w="19050">
                <a:solidFill>
                  <a:srgbClr val="92D050"/>
                </a:solidFill>
              </a:ln>
              <a:effectLst/>
            </c:spPr>
            <c:extLst>
              <c:ext xmlns:c16="http://schemas.microsoft.com/office/drawing/2014/chart" uri="{C3380CC4-5D6E-409C-BE32-E72D297353CC}">
                <c16:uniqueId val="{00000001-92D9-447B-97C2-E0573348A566}"/>
              </c:ext>
            </c:extLst>
          </c:dPt>
          <c:dPt>
            <c:idx val="1"/>
            <c:bubble3D val="0"/>
            <c:spPr>
              <a:solidFill>
                <a:schemeClr val="lt1"/>
              </a:solidFill>
              <a:ln w="19050">
                <a:solidFill>
                  <a:srgbClr val="92D050"/>
                </a:solidFill>
              </a:ln>
              <a:effectLst/>
            </c:spPr>
            <c:extLst>
              <c:ext xmlns:c16="http://schemas.microsoft.com/office/drawing/2014/chart" uri="{C3380CC4-5D6E-409C-BE32-E72D297353CC}">
                <c16:uniqueId val="{00000003-92D9-447B-97C2-E0573348A566}"/>
              </c:ext>
            </c:extLst>
          </c:dPt>
          <c:dPt>
            <c:idx val="2"/>
            <c:bubble3D val="0"/>
            <c:spPr>
              <a:solidFill>
                <a:schemeClr val="lt1"/>
              </a:solidFill>
              <a:ln w="19050">
                <a:solidFill>
                  <a:srgbClr val="92D050"/>
                </a:solidFill>
              </a:ln>
              <a:effectLst/>
            </c:spPr>
            <c:extLst>
              <c:ext xmlns:c16="http://schemas.microsoft.com/office/drawing/2014/chart" uri="{C3380CC4-5D6E-409C-BE32-E72D297353CC}">
                <c16:uniqueId val="{00000004-7AB2-4FBE-8386-6B987B10F8E9}"/>
              </c:ext>
            </c:extLst>
          </c:dPt>
          <c:dPt>
            <c:idx val="3"/>
            <c:bubble3D val="0"/>
            <c:spPr>
              <a:solidFill>
                <a:schemeClr val="lt1"/>
              </a:solidFill>
              <a:ln w="19050">
                <a:solidFill>
                  <a:srgbClr val="92D050"/>
                </a:solidFill>
              </a:ln>
              <a:effectLst/>
            </c:spPr>
            <c:extLst>
              <c:ext xmlns:c16="http://schemas.microsoft.com/office/drawing/2014/chart" uri="{C3380CC4-5D6E-409C-BE32-E72D297353CC}">
                <c16:uniqueId val="{00000005-7AB2-4FBE-8386-6B987B10F8E9}"/>
              </c:ext>
            </c:extLst>
          </c:dPt>
          <c:dPt>
            <c:idx val="4"/>
            <c:bubble3D val="0"/>
            <c:spPr>
              <a:solidFill>
                <a:schemeClr val="lt1"/>
              </a:solidFill>
              <a:ln w="19050">
                <a:solidFill>
                  <a:srgbClr val="92D050"/>
                </a:solidFill>
              </a:ln>
              <a:effectLst/>
            </c:spPr>
            <c:extLst>
              <c:ext xmlns:c16="http://schemas.microsoft.com/office/drawing/2014/chart" uri="{C3380CC4-5D6E-409C-BE32-E72D297353CC}">
                <c16:uniqueId val="{00000009-92D9-447B-97C2-E0573348A566}"/>
              </c:ext>
            </c:extLst>
          </c:dPt>
          <c:dPt>
            <c:idx val="5"/>
            <c:bubble3D val="0"/>
            <c:spPr>
              <a:solidFill>
                <a:schemeClr val="lt1"/>
              </a:solidFill>
              <a:ln w="19050">
                <a:solidFill>
                  <a:srgbClr val="92D050"/>
                </a:solidFill>
              </a:ln>
              <a:effectLst/>
            </c:spPr>
            <c:extLst>
              <c:ext xmlns:c16="http://schemas.microsoft.com/office/drawing/2014/chart" uri="{C3380CC4-5D6E-409C-BE32-E72D297353CC}">
                <c16:uniqueId val="{0000000B-92D9-447B-97C2-E0573348A566}"/>
              </c:ext>
            </c:extLst>
          </c:dPt>
          <c:dPt>
            <c:idx val="6"/>
            <c:bubble3D val="0"/>
            <c:spPr>
              <a:solidFill>
                <a:schemeClr val="lt1"/>
              </a:solidFill>
              <a:ln w="19050">
                <a:solidFill>
                  <a:srgbClr val="92D050"/>
                </a:solidFill>
              </a:ln>
              <a:effectLst/>
            </c:spPr>
            <c:extLst>
              <c:ext xmlns:c16="http://schemas.microsoft.com/office/drawing/2014/chart" uri="{C3380CC4-5D6E-409C-BE32-E72D297353CC}">
                <c16:uniqueId val="{00000006-7AB2-4FBE-8386-6B987B10F8E9}"/>
              </c:ext>
            </c:extLst>
          </c:dPt>
          <c:dPt>
            <c:idx val="7"/>
            <c:bubble3D val="0"/>
            <c:spPr>
              <a:solidFill>
                <a:schemeClr val="lt1"/>
              </a:solidFill>
              <a:ln w="19050">
                <a:solidFill>
                  <a:srgbClr val="92D050"/>
                </a:solidFill>
              </a:ln>
              <a:effectLst/>
            </c:spPr>
            <c:extLst>
              <c:ext xmlns:c16="http://schemas.microsoft.com/office/drawing/2014/chart" uri="{C3380CC4-5D6E-409C-BE32-E72D297353CC}">
                <c16:uniqueId val="{0000000F-92D9-447B-97C2-E0573348A566}"/>
              </c:ext>
            </c:extLst>
          </c:dPt>
          <c:dPt>
            <c:idx val="8"/>
            <c:bubble3D val="0"/>
            <c:spPr>
              <a:solidFill>
                <a:schemeClr val="lt1"/>
              </a:solidFill>
              <a:ln w="19050">
                <a:solidFill>
                  <a:srgbClr val="92D050"/>
                </a:solidFill>
              </a:ln>
              <a:effectLst/>
            </c:spPr>
            <c:extLst>
              <c:ext xmlns:c16="http://schemas.microsoft.com/office/drawing/2014/chart" uri="{C3380CC4-5D6E-409C-BE32-E72D297353CC}">
                <c16:uniqueId val="{00000008-7AB2-4FBE-8386-6B987B10F8E9}"/>
              </c:ext>
            </c:extLst>
          </c:dPt>
          <c:dPt>
            <c:idx val="9"/>
            <c:bubble3D val="0"/>
            <c:spPr>
              <a:solidFill>
                <a:schemeClr val="lt1"/>
              </a:solidFill>
              <a:ln w="19050">
                <a:solidFill>
                  <a:srgbClr val="92D050"/>
                </a:solidFill>
              </a:ln>
              <a:effectLst/>
            </c:spPr>
            <c:extLst>
              <c:ext xmlns:c16="http://schemas.microsoft.com/office/drawing/2014/chart" uri="{C3380CC4-5D6E-409C-BE32-E72D297353CC}">
                <c16:uniqueId val="{00000007-7AB2-4FBE-8386-6B987B10F8E9}"/>
              </c:ext>
            </c:extLst>
          </c:dPt>
          <c:dPt>
            <c:idx val="10"/>
            <c:bubble3D val="0"/>
            <c:spPr>
              <a:solidFill>
                <a:schemeClr val="lt1"/>
              </a:solidFill>
              <a:ln w="19050">
                <a:solidFill>
                  <a:srgbClr val="92D050"/>
                </a:solidFill>
              </a:ln>
              <a:effectLst/>
            </c:spPr>
            <c:extLst>
              <c:ext xmlns:c16="http://schemas.microsoft.com/office/drawing/2014/chart" uri="{C3380CC4-5D6E-409C-BE32-E72D297353CC}">
                <c16:uniqueId val="{00000015-92D9-447B-97C2-E0573348A566}"/>
              </c:ext>
            </c:extLst>
          </c:dPt>
          <c:dPt>
            <c:idx val="11"/>
            <c:bubble3D val="0"/>
            <c:spPr>
              <a:solidFill>
                <a:schemeClr val="lt1"/>
              </a:solidFill>
              <a:ln w="19050">
                <a:solidFill>
                  <a:srgbClr val="92D050"/>
                </a:solidFill>
              </a:ln>
              <a:effectLst/>
            </c:spPr>
            <c:extLst>
              <c:ext xmlns:c16="http://schemas.microsoft.com/office/drawing/2014/chart" uri="{C3380CC4-5D6E-409C-BE32-E72D297353CC}">
                <c16:uniqueId val="{00000009-7AB2-4FBE-8386-6B987B10F8E9}"/>
              </c:ext>
            </c:extLst>
          </c:dPt>
          <c:dPt>
            <c:idx val="12"/>
            <c:bubble3D val="0"/>
            <c:spPr>
              <a:solidFill>
                <a:schemeClr val="lt1"/>
              </a:solidFill>
              <a:ln w="19050">
                <a:solidFill>
                  <a:srgbClr val="92D050"/>
                </a:solidFill>
              </a:ln>
              <a:effectLst/>
            </c:spPr>
            <c:extLst>
              <c:ext xmlns:c16="http://schemas.microsoft.com/office/drawing/2014/chart" uri="{C3380CC4-5D6E-409C-BE32-E72D297353CC}">
                <c16:uniqueId val="{00000019-92D9-447B-97C2-E0573348A566}"/>
              </c:ext>
            </c:extLst>
          </c:dPt>
          <c:dPt>
            <c:idx val="13"/>
            <c:bubble3D val="0"/>
            <c:spPr>
              <a:solidFill>
                <a:schemeClr val="lt1"/>
              </a:solidFill>
              <a:ln w="19050">
                <a:solidFill>
                  <a:srgbClr val="92D050"/>
                </a:solidFill>
              </a:ln>
              <a:effectLst/>
            </c:spPr>
            <c:extLst>
              <c:ext xmlns:c16="http://schemas.microsoft.com/office/drawing/2014/chart" uri="{C3380CC4-5D6E-409C-BE32-E72D297353CC}">
                <c16:uniqueId val="{0000000D-7AB2-4FBE-8386-6B987B10F8E9}"/>
              </c:ext>
            </c:extLst>
          </c:dPt>
          <c:dPt>
            <c:idx val="14"/>
            <c:bubble3D val="0"/>
            <c:spPr>
              <a:solidFill>
                <a:schemeClr val="lt1"/>
              </a:solidFill>
              <a:ln w="19050">
                <a:solidFill>
                  <a:srgbClr val="92D050"/>
                </a:solidFill>
              </a:ln>
              <a:effectLst/>
            </c:spPr>
            <c:extLst>
              <c:ext xmlns:c16="http://schemas.microsoft.com/office/drawing/2014/chart" uri="{C3380CC4-5D6E-409C-BE32-E72D297353CC}">
                <c16:uniqueId val="{0000000B-7AB2-4FBE-8386-6B987B10F8E9}"/>
              </c:ext>
            </c:extLst>
          </c:dPt>
          <c:dPt>
            <c:idx val="15"/>
            <c:bubble3D val="0"/>
            <c:spPr>
              <a:solidFill>
                <a:schemeClr val="lt1"/>
              </a:solidFill>
              <a:ln w="19050">
                <a:solidFill>
                  <a:srgbClr val="92D050"/>
                </a:solidFill>
              </a:ln>
              <a:effectLst/>
            </c:spPr>
            <c:extLst>
              <c:ext xmlns:c16="http://schemas.microsoft.com/office/drawing/2014/chart" uri="{C3380CC4-5D6E-409C-BE32-E72D297353CC}">
                <c16:uniqueId val="{0000000F-7AB2-4FBE-8386-6B987B10F8E9}"/>
              </c:ext>
            </c:extLst>
          </c:dPt>
          <c:dPt>
            <c:idx val="16"/>
            <c:bubble3D val="0"/>
            <c:spPr>
              <a:solidFill>
                <a:schemeClr val="lt1"/>
              </a:solidFill>
              <a:ln w="19050">
                <a:solidFill>
                  <a:srgbClr val="92D050"/>
                </a:solidFill>
              </a:ln>
              <a:effectLst/>
            </c:spPr>
            <c:extLst>
              <c:ext xmlns:c16="http://schemas.microsoft.com/office/drawing/2014/chart" uri="{C3380CC4-5D6E-409C-BE32-E72D297353CC}">
                <c16:uniqueId val="{0000000E-7AB2-4FBE-8386-6B987B10F8E9}"/>
              </c:ext>
            </c:extLst>
          </c:dPt>
          <c:dPt>
            <c:idx val="17"/>
            <c:bubble3D val="0"/>
            <c:spPr>
              <a:solidFill>
                <a:schemeClr val="lt1"/>
              </a:solidFill>
              <a:ln w="19050">
                <a:solidFill>
                  <a:srgbClr val="92D050"/>
                </a:solidFill>
              </a:ln>
              <a:effectLst/>
            </c:spPr>
            <c:extLst>
              <c:ext xmlns:c16="http://schemas.microsoft.com/office/drawing/2014/chart" uri="{C3380CC4-5D6E-409C-BE32-E72D297353CC}">
                <c16:uniqueId val="{0000000C-7AB2-4FBE-8386-6B987B10F8E9}"/>
              </c:ext>
            </c:extLst>
          </c:dPt>
          <c:dPt>
            <c:idx val="18"/>
            <c:bubble3D val="0"/>
            <c:spPr>
              <a:solidFill>
                <a:schemeClr val="lt1"/>
              </a:solidFill>
              <a:ln w="19050">
                <a:solidFill>
                  <a:srgbClr val="92D050"/>
                </a:solidFill>
              </a:ln>
              <a:effectLst/>
            </c:spPr>
            <c:extLst>
              <c:ext xmlns:c16="http://schemas.microsoft.com/office/drawing/2014/chart" uri="{C3380CC4-5D6E-409C-BE32-E72D297353CC}">
                <c16:uniqueId val="{0000000A-7AB2-4FBE-8386-6B987B10F8E9}"/>
              </c:ext>
            </c:extLst>
          </c:dPt>
          <c:dPt>
            <c:idx val="19"/>
            <c:bubble3D val="0"/>
            <c:spPr>
              <a:solidFill>
                <a:schemeClr val="lt1"/>
              </a:solidFill>
              <a:ln w="19050">
                <a:solidFill>
                  <a:srgbClr val="92D050"/>
                </a:solidFill>
              </a:ln>
              <a:effectLst/>
            </c:spPr>
            <c:extLst>
              <c:ext xmlns:c16="http://schemas.microsoft.com/office/drawing/2014/chart" uri="{C3380CC4-5D6E-409C-BE32-E72D297353CC}">
                <c16:uniqueId val="{00000027-92D9-447B-97C2-E0573348A566}"/>
              </c:ext>
            </c:extLst>
          </c:dPt>
          <c:dPt>
            <c:idx val="20"/>
            <c:bubble3D val="0"/>
            <c:spPr>
              <a:solidFill>
                <a:schemeClr val="lt1"/>
              </a:solidFill>
              <a:ln w="19050">
                <a:solidFill>
                  <a:srgbClr val="92D050"/>
                </a:solidFill>
              </a:ln>
              <a:effectLst/>
            </c:spPr>
            <c:extLst>
              <c:ext xmlns:c16="http://schemas.microsoft.com/office/drawing/2014/chart" uri="{C3380CC4-5D6E-409C-BE32-E72D297353CC}">
                <c16:uniqueId val="{00000029-92D9-447B-97C2-E0573348A566}"/>
              </c:ext>
            </c:extLst>
          </c:dPt>
          <c:dPt>
            <c:idx val="21"/>
            <c:bubble3D val="0"/>
            <c:spPr>
              <a:solidFill>
                <a:schemeClr val="lt1"/>
              </a:solidFill>
              <a:ln w="19050">
                <a:solidFill>
                  <a:srgbClr val="92D050"/>
                </a:solidFill>
              </a:ln>
              <a:effectLst/>
            </c:spPr>
            <c:extLst>
              <c:ext xmlns:c16="http://schemas.microsoft.com/office/drawing/2014/chart" uri="{C3380CC4-5D6E-409C-BE32-E72D297353CC}">
                <c16:uniqueId val="{0000002B-92D9-447B-97C2-E0573348A566}"/>
              </c:ext>
            </c:extLst>
          </c:dPt>
          <c:dPt>
            <c:idx val="22"/>
            <c:bubble3D val="0"/>
            <c:spPr>
              <a:solidFill>
                <a:schemeClr val="lt1"/>
              </a:solidFill>
              <a:ln w="19050">
                <a:solidFill>
                  <a:srgbClr val="92D050"/>
                </a:solidFill>
              </a:ln>
              <a:effectLst/>
            </c:spPr>
            <c:extLst>
              <c:ext xmlns:c16="http://schemas.microsoft.com/office/drawing/2014/chart" uri="{C3380CC4-5D6E-409C-BE32-E72D297353CC}">
                <c16:uniqueId val="{0000002D-92D9-447B-97C2-E0573348A566}"/>
              </c:ext>
            </c:extLst>
          </c:dPt>
          <c:dPt>
            <c:idx val="23"/>
            <c:bubble3D val="0"/>
            <c:spPr>
              <a:solidFill>
                <a:schemeClr val="lt1"/>
              </a:solidFill>
              <a:ln w="19050">
                <a:solidFill>
                  <a:srgbClr val="92D050"/>
                </a:solidFill>
              </a:ln>
              <a:effectLst/>
            </c:spPr>
            <c:extLst>
              <c:ext xmlns:c16="http://schemas.microsoft.com/office/drawing/2014/chart" uri="{C3380CC4-5D6E-409C-BE32-E72D297353CC}">
                <c16:uniqueId val="{0000002F-92D9-447B-97C2-E0573348A566}"/>
              </c:ext>
            </c:extLst>
          </c:dPt>
          <c:dPt>
            <c:idx val="24"/>
            <c:bubble3D val="0"/>
            <c:spPr>
              <a:solidFill>
                <a:schemeClr val="lt1"/>
              </a:solidFill>
              <a:ln w="19050">
                <a:solidFill>
                  <a:srgbClr val="92D050"/>
                </a:solidFill>
              </a:ln>
              <a:effectLst/>
            </c:spPr>
            <c:extLst>
              <c:ext xmlns:c16="http://schemas.microsoft.com/office/drawing/2014/chart" uri="{C3380CC4-5D6E-409C-BE32-E72D297353CC}">
                <c16:uniqueId val="{00000031-92D9-447B-97C2-E0573348A566}"/>
              </c:ext>
            </c:extLst>
          </c:dPt>
          <c:dPt>
            <c:idx val="25"/>
            <c:bubble3D val="0"/>
            <c:spPr>
              <a:solidFill>
                <a:schemeClr val="lt1"/>
              </a:solidFill>
              <a:ln w="19050">
                <a:solidFill>
                  <a:srgbClr val="92D050"/>
                </a:solidFill>
              </a:ln>
              <a:effectLst/>
            </c:spPr>
            <c:extLst>
              <c:ext xmlns:c16="http://schemas.microsoft.com/office/drawing/2014/chart" uri="{C3380CC4-5D6E-409C-BE32-E72D297353CC}">
                <c16:uniqueId val="{00000001-7AB2-4FBE-8386-6B987B10F8E9}"/>
              </c:ext>
            </c:extLst>
          </c:dPt>
          <c:dPt>
            <c:idx val="26"/>
            <c:bubble3D val="0"/>
            <c:spPr>
              <a:solidFill>
                <a:schemeClr val="lt1"/>
              </a:solidFill>
              <a:ln w="19050">
                <a:solidFill>
                  <a:srgbClr val="92D050"/>
                </a:solidFill>
              </a:ln>
              <a:effectLst/>
            </c:spPr>
            <c:extLst>
              <c:ext xmlns:c16="http://schemas.microsoft.com/office/drawing/2014/chart" uri="{C3380CC4-5D6E-409C-BE32-E72D297353CC}">
                <c16:uniqueId val="{00000003-7AB2-4FBE-8386-6B987B10F8E9}"/>
              </c:ext>
            </c:extLst>
          </c:dPt>
          <c:dPt>
            <c:idx val="27"/>
            <c:bubble3D val="0"/>
            <c:spPr>
              <a:solidFill>
                <a:schemeClr val="lt1"/>
              </a:solidFill>
              <a:ln w="19050">
                <a:solidFill>
                  <a:srgbClr val="92D050"/>
                </a:solidFill>
              </a:ln>
              <a:effectLst/>
            </c:spPr>
            <c:extLst>
              <c:ext xmlns:c16="http://schemas.microsoft.com/office/drawing/2014/chart" uri="{C3380CC4-5D6E-409C-BE32-E72D297353CC}">
                <c16:uniqueId val="{00000002-7AB2-4FBE-8386-6B987B10F8E9}"/>
              </c:ext>
            </c:extLst>
          </c:dPt>
          <c:dLbls>
            <c:dLbl>
              <c:idx val="2"/>
              <c:delete val="1"/>
              <c:extLst>
                <c:ext xmlns:c15="http://schemas.microsoft.com/office/drawing/2012/chart" uri="{CE6537A1-D6FC-4f65-9D91-7224C49458BB}"/>
                <c:ext xmlns:c16="http://schemas.microsoft.com/office/drawing/2014/chart" uri="{C3380CC4-5D6E-409C-BE32-E72D297353CC}">
                  <c16:uniqueId val="{00000004-7AB2-4FBE-8386-6B987B10F8E9}"/>
                </c:ext>
              </c:extLst>
            </c:dLbl>
            <c:dLbl>
              <c:idx val="3"/>
              <c:delete val="1"/>
              <c:extLst>
                <c:ext xmlns:c15="http://schemas.microsoft.com/office/drawing/2012/chart" uri="{CE6537A1-D6FC-4f65-9D91-7224C49458BB}"/>
                <c:ext xmlns:c16="http://schemas.microsoft.com/office/drawing/2014/chart" uri="{C3380CC4-5D6E-409C-BE32-E72D297353CC}">
                  <c16:uniqueId val="{00000005-7AB2-4FBE-8386-6B987B10F8E9}"/>
                </c:ext>
              </c:extLst>
            </c:dLbl>
            <c:dLbl>
              <c:idx val="6"/>
              <c:delete val="1"/>
              <c:extLst>
                <c:ext xmlns:c15="http://schemas.microsoft.com/office/drawing/2012/chart" uri="{CE6537A1-D6FC-4f65-9D91-7224C49458BB}"/>
                <c:ext xmlns:c16="http://schemas.microsoft.com/office/drawing/2014/chart" uri="{C3380CC4-5D6E-409C-BE32-E72D297353CC}">
                  <c16:uniqueId val="{00000006-7AB2-4FBE-8386-6B987B10F8E9}"/>
                </c:ext>
              </c:extLst>
            </c:dLbl>
            <c:dLbl>
              <c:idx val="8"/>
              <c:delete val="1"/>
              <c:extLst>
                <c:ext xmlns:c15="http://schemas.microsoft.com/office/drawing/2012/chart" uri="{CE6537A1-D6FC-4f65-9D91-7224C49458BB}"/>
                <c:ext xmlns:c16="http://schemas.microsoft.com/office/drawing/2014/chart" uri="{C3380CC4-5D6E-409C-BE32-E72D297353CC}">
                  <c16:uniqueId val="{00000008-7AB2-4FBE-8386-6B987B10F8E9}"/>
                </c:ext>
              </c:extLst>
            </c:dLbl>
            <c:dLbl>
              <c:idx val="9"/>
              <c:delete val="1"/>
              <c:extLst>
                <c:ext xmlns:c15="http://schemas.microsoft.com/office/drawing/2012/chart" uri="{CE6537A1-D6FC-4f65-9D91-7224C49458BB}"/>
                <c:ext xmlns:c16="http://schemas.microsoft.com/office/drawing/2014/chart" uri="{C3380CC4-5D6E-409C-BE32-E72D297353CC}">
                  <c16:uniqueId val="{00000007-7AB2-4FBE-8386-6B987B10F8E9}"/>
                </c:ext>
              </c:extLst>
            </c:dLbl>
            <c:dLbl>
              <c:idx val="11"/>
              <c:delete val="1"/>
              <c:extLst>
                <c:ext xmlns:c15="http://schemas.microsoft.com/office/drawing/2012/chart" uri="{CE6537A1-D6FC-4f65-9D91-7224C49458BB}"/>
                <c:ext xmlns:c16="http://schemas.microsoft.com/office/drawing/2014/chart" uri="{C3380CC4-5D6E-409C-BE32-E72D297353CC}">
                  <c16:uniqueId val="{00000009-7AB2-4FBE-8386-6B987B10F8E9}"/>
                </c:ext>
              </c:extLst>
            </c:dLbl>
            <c:dLbl>
              <c:idx val="13"/>
              <c:delete val="1"/>
              <c:extLst>
                <c:ext xmlns:c15="http://schemas.microsoft.com/office/drawing/2012/chart" uri="{CE6537A1-D6FC-4f65-9D91-7224C49458BB}"/>
                <c:ext xmlns:c16="http://schemas.microsoft.com/office/drawing/2014/chart" uri="{C3380CC4-5D6E-409C-BE32-E72D297353CC}">
                  <c16:uniqueId val="{0000000D-7AB2-4FBE-8386-6B987B10F8E9}"/>
                </c:ext>
              </c:extLst>
            </c:dLbl>
            <c:dLbl>
              <c:idx val="14"/>
              <c:delete val="1"/>
              <c:extLst>
                <c:ext xmlns:c15="http://schemas.microsoft.com/office/drawing/2012/chart" uri="{CE6537A1-D6FC-4f65-9D91-7224C49458BB}"/>
                <c:ext xmlns:c16="http://schemas.microsoft.com/office/drawing/2014/chart" uri="{C3380CC4-5D6E-409C-BE32-E72D297353CC}">
                  <c16:uniqueId val="{0000000B-7AB2-4FBE-8386-6B987B10F8E9}"/>
                </c:ext>
              </c:extLst>
            </c:dLbl>
            <c:dLbl>
              <c:idx val="15"/>
              <c:layout>
                <c:manualLayout>
                  <c:x val="1.779217627690945E-2"/>
                  <c:y val="-3.43197887782602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AB2-4FBE-8386-6B987B10F8E9}"/>
                </c:ext>
              </c:extLst>
            </c:dLbl>
            <c:dLbl>
              <c:idx val="16"/>
              <c:delete val="1"/>
              <c:extLst>
                <c:ext xmlns:c15="http://schemas.microsoft.com/office/drawing/2012/chart" uri="{CE6537A1-D6FC-4f65-9D91-7224C49458BB}"/>
                <c:ext xmlns:c16="http://schemas.microsoft.com/office/drawing/2014/chart" uri="{C3380CC4-5D6E-409C-BE32-E72D297353CC}">
                  <c16:uniqueId val="{0000000E-7AB2-4FBE-8386-6B987B10F8E9}"/>
                </c:ext>
              </c:extLst>
            </c:dLbl>
            <c:dLbl>
              <c:idx val="17"/>
              <c:delete val="1"/>
              <c:extLst>
                <c:ext xmlns:c15="http://schemas.microsoft.com/office/drawing/2012/chart" uri="{CE6537A1-D6FC-4f65-9D91-7224C49458BB}"/>
                <c:ext xmlns:c16="http://schemas.microsoft.com/office/drawing/2014/chart" uri="{C3380CC4-5D6E-409C-BE32-E72D297353CC}">
                  <c16:uniqueId val="{0000000C-7AB2-4FBE-8386-6B987B10F8E9}"/>
                </c:ext>
              </c:extLst>
            </c:dLbl>
            <c:dLbl>
              <c:idx val="18"/>
              <c:delete val="1"/>
              <c:extLst>
                <c:ext xmlns:c15="http://schemas.microsoft.com/office/drawing/2012/chart" uri="{CE6537A1-D6FC-4f65-9D91-7224C49458BB}"/>
                <c:ext xmlns:c16="http://schemas.microsoft.com/office/drawing/2014/chart" uri="{C3380CC4-5D6E-409C-BE32-E72D297353CC}">
                  <c16:uniqueId val="{0000000A-7AB2-4FBE-8386-6B987B10F8E9}"/>
                </c:ext>
              </c:extLst>
            </c:dLbl>
            <c:dLbl>
              <c:idx val="25"/>
              <c:layout>
                <c:manualLayout>
                  <c:x val="-7.7157382813643469E-2"/>
                  <c:y val="4.2162916856789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B2-4FBE-8386-6B987B10F8E9}"/>
                </c:ext>
              </c:extLst>
            </c:dLbl>
            <c:dLbl>
              <c:idx val="26"/>
              <c:layout>
                <c:manualLayout>
                  <c:x val="0.16114263012234412"/>
                  <c:y val="3.662622409940213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B2-4FBE-8386-6B987B10F8E9}"/>
                </c:ext>
              </c:extLst>
            </c:dLbl>
            <c:dLbl>
              <c:idx val="27"/>
              <c:delete val="1"/>
              <c:extLst>
                <c:ext xmlns:c15="http://schemas.microsoft.com/office/drawing/2012/chart" uri="{CE6537A1-D6FC-4f65-9D91-7224C49458BB}"/>
                <c:ext xmlns:c16="http://schemas.microsoft.com/office/drawing/2014/chart" uri="{C3380CC4-5D6E-409C-BE32-E72D297353CC}">
                  <c16:uniqueId val="{00000002-7AB2-4FBE-8386-6B987B10F8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'Speed Bump'!$AF$135:$AF$162</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'Speed Bump'!$AG$135:$AG$162</c:f>
              <c:numCache>
                <c:formatCode>0%</c:formatCode>
                <c:ptCount val="28"/>
                <c:pt idx="0">
                  <c:v>4.0816326530612242E-2</c:v>
                </c:pt>
                <c:pt idx="1">
                  <c:v>0.32653061224489793</c:v>
                </c:pt>
                <c:pt idx="2">
                  <c:v>0</c:v>
                </c:pt>
                <c:pt idx="3">
                  <c:v>0</c:v>
                </c:pt>
                <c:pt idx="4">
                  <c:v>4.0816326530612242E-2</c:v>
                </c:pt>
                <c:pt idx="5">
                  <c:v>4.0816326530612242E-2</c:v>
                </c:pt>
                <c:pt idx="6">
                  <c:v>0</c:v>
                </c:pt>
                <c:pt idx="7">
                  <c:v>4.0816326530612242E-2</c:v>
                </c:pt>
                <c:pt idx="8">
                  <c:v>0</c:v>
                </c:pt>
                <c:pt idx="9">
                  <c:v>0</c:v>
                </c:pt>
                <c:pt idx="10">
                  <c:v>4.0816326530612242E-2</c:v>
                </c:pt>
                <c:pt idx="11">
                  <c:v>0</c:v>
                </c:pt>
                <c:pt idx="12">
                  <c:v>8.1632653061224483E-2</c:v>
                </c:pt>
                <c:pt idx="13">
                  <c:v>0</c:v>
                </c:pt>
                <c:pt idx="14">
                  <c:v>0</c:v>
                </c:pt>
                <c:pt idx="15">
                  <c:v>2.0408163265306121E-2</c:v>
                </c:pt>
                <c:pt idx="16">
                  <c:v>0</c:v>
                </c:pt>
                <c:pt idx="17">
                  <c:v>0</c:v>
                </c:pt>
                <c:pt idx="18">
                  <c:v>0</c:v>
                </c:pt>
                <c:pt idx="19">
                  <c:v>6.1224489795918366E-2</c:v>
                </c:pt>
                <c:pt idx="20">
                  <c:v>6.1224489795918366E-2</c:v>
                </c:pt>
                <c:pt idx="21">
                  <c:v>0.22448979591836735</c:v>
                </c:pt>
                <c:pt idx="22">
                  <c:v>8.1632653061224483E-2</c:v>
                </c:pt>
                <c:pt idx="23">
                  <c:v>4.0816326530612242E-2</c:v>
                </c:pt>
                <c:pt idx="24">
                  <c:v>4.0816326530612242E-2</c:v>
                </c:pt>
                <c:pt idx="25">
                  <c:v>2.0408163265306121E-2</c:v>
                </c:pt>
                <c:pt idx="26">
                  <c:v>2.0408163265306121E-2</c:v>
                </c:pt>
                <c:pt idx="27">
                  <c:v>0</c:v>
                </c:pt>
              </c:numCache>
            </c:numRef>
          </c:val>
          <c:extLst>
            <c:ext xmlns:c16="http://schemas.microsoft.com/office/drawing/2014/chart" uri="{C3380CC4-5D6E-409C-BE32-E72D297353CC}">
              <c16:uniqueId val="{00000000-7AB2-4FBE-8386-6B987B10F8E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solidFill>
                  <a:sysClr val="windowText" lastClr="000000"/>
                </a:solidFill>
              </a:rPr>
              <a:t>Speed bump</a:t>
            </a:r>
            <a:r>
              <a:rPr lang="en-US" baseline="0">
                <a:solidFill>
                  <a:sysClr val="windowText" lastClr="000000"/>
                </a:solidFill>
              </a:rPr>
              <a:t> challenges by keyword</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solidFill>
            <a:ln>
              <a:solidFill>
                <a:sysClr val="windowText" lastClr="000000"/>
              </a:solidFill>
            </a:ln>
            <a:effectLst/>
          </c:spPr>
          <c:invertIfNegative val="0"/>
          <c:dPt>
            <c:idx val="0"/>
            <c:invertIfNegative val="0"/>
            <c:bubble3D val="0"/>
            <c:spPr>
              <a:solidFill>
                <a:srgbClr val="0070C0"/>
              </a:solidFill>
              <a:ln>
                <a:solidFill>
                  <a:sysClr val="windowText" lastClr="000000"/>
                </a:solidFill>
              </a:ln>
              <a:effectLst/>
            </c:spPr>
            <c:extLst>
              <c:ext xmlns:c16="http://schemas.microsoft.com/office/drawing/2014/chart" uri="{C3380CC4-5D6E-409C-BE32-E72D297353CC}">
                <c16:uniqueId val="{00000001-E913-44FE-887A-ECB73A2DBC73}"/>
              </c:ext>
            </c:extLst>
          </c:dPt>
          <c:dPt>
            <c:idx val="1"/>
            <c:invertIfNegative val="0"/>
            <c:bubble3D val="0"/>
            <c:spPr>
              <a:solidFill>
                <a:srgbClr val="FFC000"/>
              </a:solidFill>
              <a:ln>
                <a:solidFill>
                  <a:sysClr val="windowText" lastClr="000000"/>
                </a:solidFill>
              </a:ln>
              <a:effectLst/>
            </c:spPr>
            <c:extLst>
              <c:ext xmlns:c16="http://schemas.microsoft.com/office/drawing/2014/chart" uri="{C3380CC4-5D6E-409C-BE32-E72D297353CC}">
                <c16:uniqueId val="{00000002-E913-44FE-887A-ECB73A2DBC73}"/>
              </c:ext>
            </c:extLst>
          </c:dPt>
          <c:dPt>
            <c:idx val="4"/>
            <c:invertIfNegative val="0"/>
            <c:bubble3D val="0"/>
            <c:spPr>
              <a:solidFill>
                <a:srgbClr val="9999FF"/>
              </a:solidFill>
              <a:ln>
                <a:solidFill>
                  <a:sysClr val="windowText" lastClr="000000"/>
                </a:solidFill>
              </a:ln>
              <a:effectLst/>
            </c:spPr>
            <c:extLst>
              <c:ext xmlns:c16="http://schemas.microsoft.com/office/drawing/2014/chart" uri="{C3380CC4-5D6E-409C-BE32-E72D297353CC}">
                <c16:uniqueId val="{00000003-E913-44FE-887A-ECB73A2DBC73}"/>
              </c:ext>
            </c:extLst>
          </c:dPt>
          <c:dPt>
            <c:idx val="5"/>
            <c:invertIfNegative val="0"/>
            <c:bubble3D val="0"/>
            <c:spPr>
              <a:solidFill>
                <a:schemeClr val="tx1"/>
              </a:solidFill>
              <a:ln>
                <a:solidFill>
                  <a:sysClr val="windowText" lastClr="000000"/>
                </a:solidFill>
              </a:ln>
              <a:effectLst/>
            </c:spPr>
            <c:extLst>
              <c:ext xmlns:c16="http://schemas.microsoft.com/office/drawing/2014/chart" uri="{C3380CC4-5D6E-409C-BE32-E72D297353CC}">
                <c16:uniqueId val="{00000004-E913-44FE-887A-ECB73A2DBC73}"/>
              </c:ext>
            </c:extLst>
          </c:dPt>
          <c:dPt>
            <c:idx val="7"/>
            <c:invertIfNegative val="0"/>
            <c:bubble3D val="0"/>
            <c:spPr>
              <a:solidFill>
                <a:srgbClr val="D4A2FF"/>
              </a:solidFill>
              <a:ln>
                <a:solidFill>
                  <a:sysClr val="windowText" lastClr="000000"/>
                </a:solidFill>
              </a:ln>
              <a:effectLst/>
            </c:spPr>
            <c:extLst>
              <c:ext xmlns:c16="http://schemas.microsoft.com/office/drawing/2014/chart" uri="{C3380CC4-5D6E-409C-BE32-E72D297353CC}">
                <c16:uniqueId val="{00000005-E913-44FE-887A-ECB73A2DBC73}"/>
              </c:ext>
            </c:extLst>
          </c:dPt>
          <c:dPt>
            <c:idx val="10"/>
            <c:invertIfNegative val="0"/>
            <c:bubble3D val="0"/>
            <c:spPr>
              <a:solidFill>
                <a:srgbClr val="FFFF00"/>
              </a:solidFill>
              <a:ln>
                <a:solidFill>
                  <a:sysClr val="windowText" lastClr="000000"/>
                </a:solidFill>
              </a:ln>
              <a:effectLst/>
            </c:spPr>
            <c:extLst>
              <c:ext xmlns:c16="http://schemas.microsoft.com/office/drawing/2014/chart" uri="{C3380CC4-5D6E-409C-BE32-E72D297353CC}">
                <c16:uniqueId val="{00000006-E913-44FE-887A-ECB73A2DBC73}"/>
              </c:ext>
            </c:extLst>
          </c:dPt>
          <c:dPt>
            <c:idx val="12"/>
            <c:invertIfNegative val="0"/>
            <c:bubble3D val="0"/>
            <c:spPr>
              <a:solidFill>
                <a:srgbClr val="7030A0"/>
              </a:solidFill>
              <a:ln>
                <a:solidFill>
                  <a:sysClr val="windowText" lastClr="000000"/>
                </a:solidFill>
              </a:ln>
              <a:effectLst/>
            </c:spPr>
            <c:extLst>
              <c:ext xmlns:c16="http://schemas.microsoft.com/office/drawing/2014/chart" uri="{C3380CC4-5D6E-409C-BE32-E72D297353CC}">
                <c16:uniqueId val="{00000007-E913-44FE-887A-ECB73A2DBC73}"/>
              </c:ext>
            </c:extLst>
          </c:dPt>
          <c:dPt>
            <c:idx val="15"/>
            <c:invertIfNegative val="0"/>
            <c:bubble3D val="0"/>
            <c:spPr>
              <a:solidFill>
                <a:srgbClr val="F24362"/>
              </a:solidFill>
              <a:ln>
                <a:solidFill>
                  <a:sysClr val="windowText" lastClr="000000"/>
                </a:solidFill>
              </a:ln>
              <a:effectLst/>
            </c:spPr>
            <c:extLst>
              <c:ext xmlns:c16="http://schemas.microsoft.com/office/drawing/2014/chart" uri="{C3380CC4-5D6E-409C-BE32-E72D297353CC}">
                <c16:uniqueId val="{00000008-E913-44FE-887A-ECB73A2DBC73}"/>
              </c:ext>
            </c:extLst>
          </c:dPt>
          <c:dPt>
            <c:idx val="19"/>
            <c:invertIfNegative val="0"/>
            <c:bubble3D val="0"/>
            <c:spPr>
              <a:solidFill>
                <a:srgbClr val="1FFFF0"/>
              </a:solidFill>
              <a:ln>
                <a:solidFill>
                  <a:sysClr val="windowText" lastClr="000000"/>
                </a:solidFill>
              </a:ln>
              <a:effectLst/>
            </c:spPr>
            <c:extLst>
              <c:ext xmlns:c16="http://schemas.microsoft.com/office/drawing/2014/chart" uri="{C3380CC4-5D6E-409C-BE32-E72D297353CC}">
                <c16:uniqueId val="{00000009-E913-44FE-887A-ECB73A2DBC73}"/>
              </c:ext>
            </c:extLst>
          </c:dPt>
          <c:dPt>
            <c:idx val="20"/>
            <c:invertIfNegative val="0"/>
            <c:bubble3D val="0"/>
            <c:spPr>
              <a:solidFill>
                <a:srgbClr val="FF00E6"/>
              </a:solidFill>
              <a:ln>
                <a:solidFill>
                  <a:sysClr val="windowText" lastClr="000000"/>
                </a:solidFill>
              </a:ln>
              <a:effectLst/>
            </c:spPr>
            <c:extLst>
              <c:ext xmlns:c16="http://schemas.microsoft.com/office/drawing/2014/chart" uri="{C3380CC4-5D6E-409C-BE32-E72D297353CC}">
                <c16:uniqueId val="{0000000A-E913-44FE-887A-ECB73A2DBC73}"/>
              </c:ext>
            </c:extLst>
          </c:dPt>
          <c:dPt>
            <c:idx val="21"/>
            <c:invertIfNegative val="0"/>
            <c:bubble3D val="0"/>
            <c:spPr>
              <a:solidFill>
                <a:srgbClr val="63FF2E"/>
              </a:solidFill>
              <a:ln>
                <a:solidFill>
                  <a:sysClr val="windowText" lastClr="000000"/>
                </a:solidFill>
              </a:ln>
              <a:effectLst/>
            </c:spPr>
            <c:extLst>
              <c:ext xmlns:c16="http://schemas.microsoft.com/office/drawing/2014/chart" uri="{C3380CC4-5D6E-409C-BE32-E72D297353CC}">
                <c16:uniqueId val="{0000000B-E913-44FE-887A-ECB73A2DBC73}"/>
              </c:ext>
            </c:extLst>
          </c:dPt>
          <c:dPt>
            <c:idx val="22"/>
            <c:invertIfNegative val="0"/>
            <c:bubble3D val="0"/>
            <c:spPr>
              <a:solidFill>
                <a:srgbClr val="C00000"/>
              </a:solidFill>
              <a:ln>
                <a:solidFill>
                  <a:sysClr val="windowText" lastClr="000000"/>
                </a:solidFill>
              </a:ln>
              <a:effectLst/>
            </c:spPr>
            <c:extLst>
              <c:ext xmlns:c16="http://schemas.microsoft.com/office/drawing/2014/chart" uri="{C3380CC4-5D6E-409C-BE32-E72D297353CC}">
                <c16:uniqueId val="{0000000C-E913-44FE-887A-ECB73A2DBC73}"/>
              </c:ext>
            </c:extLst>
          </c:dPt>
          <c:dPt>
            <c:idx val="23"/>
            <c:invertIfNegative val="0"/>
            <c:bubble3D val="0"/>
            <c:spPr>
              <a:solidFill>
                <a:srgbClr val="DC7488"/>
              </a:solidFill>
              <a:ln>
                <a:solidFill>
                  <a:sysClr val="windowText" lastClr="000000"/>
                </a:solidFill>
              </a:ln>
              <a:effectLst/>
            </c:spPr>
            <c:extLst>
              <c:ext xmlns:c16="http://schemas.microsoft.com/office/drawing/2014/chart" uri="{C3380CC4-5D6E-409C-BE32-E72D297353CC}">
                <c16:uniqueId val="{0000000D-E913-44FE-887A-ECB73A2DBC73}"/>
              </c:ext>
            </c:extLst>
          </c:dPt>
          <c:dPt>
            <c:idx val="24"/>
            <c:invertIfNegative val="0"/>
            <c:bubble3D val="0"/>
            <c:spPr>
              <a:solidFill>
                <a:srgbClr val="00B050"/>
              </a:solidFill>
              <a:ln>
                <a:solidFill>
                  <a:sysClr val="windowText" lastClr="000000"/>
                </a:solidFill>
              </a:ln>
              <a:effectLst/>
            </c:spPr>
            <c:extLst>
              <c:ext xmlns:c16="http://schemas.microsoft.com/office/drawing/2014/chart" uri="{C3380CC4-5D6E-409C-BE32-E72D297353CC}">
                <c16:uniqueId val="{0000000E-E913-44FE-887A-ECB73A2DBC73}"/>
              </c:ext>
            </c:extLst>
          </c:dPt>
          <c:dPt>
            <c:idx val="25"/>
            <c:invertIfNegative val="0"/>
            <c:bubble3D val="0"/>
            <c:spPr>
              <a:solidFill>
                <a:srgbClr val="FFFF00"/>
              </a:solidFill>
              <a:ln>
                <a:solidFill>
                  <a:sysClr val="windowText" lastClr="000000"/>
                </a:solidFill>
              </a:ln>
              <a:effectLst/>
            </c:spPr>
            <c:extLst>
              <c:ext xmlns:c16="http://schemas.microsoft.com/office/drawing/2014/chart" uri="{C3380CC4-5D6E-409C-BE32-E72D297353CC}">
                <c16:uniqueId val="{0000000F-E913-44FE-887A-ECB73A2DBC73}"/>
              </c:ext>
            </c:extLst>
          </c:dPt>
          <c:dPt>
            <c:idx val="26"/>
            <c:invertIfNegative val="0"/>
            <c:bubble3D val="0"/>
            <c:spPr>
              <a:solidFill>
                <a:schemeClr val="accent1"/>
              </a:solidFill>
              <a:ln>
                <a:solidFill>
                  <a:sysClr val="windowText" lastClr="000000"/>
                </a:solidFill>
              </a:ln>
              <a:effectLst/>
            </c:spPr>
            <c:extLst>
              <c:ext xmlns:c16="http://schemas.microsoft.com/office/drawing/2014/chart" uri="{C3380CC4-5D6E-409C-BE32-E72D297353CC}">
                <c16:uniqueId val="{00000010-E913-44FE-887A-ECB73A2DBC73}"/>
              </c:ext>
            </c:extLst>
          </c:dPt>
          <c:cat>
            <c:strRef>
              <c:f>'Speed Bump'!$Q$103:$Q$130</c:f>
              <c:strCache>
                <c:ptCount val="28"/>
                <c:pt idx="0">
                  <c:v>Animals</c:v>
                </c:pt>
                <c:pt idx="1">
                  <c:v>ATD</c:v>
                </c:pt>
                <c:pt idx="2">
                  <c:v>Balance</c:v>
                </c:pt>
                <c:pt idx="3">
                  <c:v>Biking</c:v>
                </c:pt>
                <c:pt idx="4">
                  <c:v>Building</c:v>
                </c:pt>
                <c:pt idx="5">
                  <c:v>Cooking</c:v>
                </c:pt>
                <c:pt idx="6">
                  <c:v>Counting</c:v>
                </c:pt>
                <c:pt idx="7">
                  <c:v>Dancing</c:v>
                </c:pt>
                <c:pt idx="8">
                  <c:v>Driving</c:v>
                </c:pt>
                <c:pt idx="9">
                  <c:v>Flags</c:v>
                </c:pt>
                <c:pt idx="10">
                  <c:v>Food</c:v>
                </c:pt>
                <c:pt idx="11">
                  <c:v>Geography</c:v>
                </c:pt>
                <c:pt idx="12">
                  <c:v>HEC</c:v>
                </c:pt>
                <c:pt idx="13">
                  <c:v>Heights</c:v>
                </c:pt>
                <c:pt idx="14">
                  <c:v>Language</c:v>
                </c:pt>
                <c:pt idx="15">
                  <c:v>Math</c:v>
                </c:pt>
                <c:pt idx="16">
                  <c:v>Memory</c:v>
                </c:pt>
                <c:pt idx="17">
                  <c:v>Music</c:v>
                </c:pt>
                <c:pt idx="18">
                  <c:v>Navigation</c:v>
                </c:pt>
                <c:pt idx="19">
                  <c:v>Pain</c:v>
                </c:pt>
                <c:pt idx="20">
                  <c:v>Painting</c:v>
                </c:pt>
                <c:pt idx="21">
                  <c:v>PS</c:v>
                </c:pt>
                <c:pt idx="22">
                  <c:v>Puzzle</c:v>
                </c:pt>
                <c:pt idx="23">
                  <c:v>Searching</c:v>
                </c:pt>
                <c:pt idx="24">
                  <c:v>Selling</c:v>
                </c:pt>
                <c:pt idx="25">
                  <c:v>Singing</c:v>
                </c:pt>
                <c:pt idx="26">
                  <c:v>Swimming</c:v>
                </c:pt>
                <c:pt idx="27">
                  <c:v>Travel Issues</c:v>
                </c:pt>
              </c:strCache>
            </c:strRef>
          </c:cat>
          <c:val>
            <c:numRef>
              <c:f>'Speed Bump'!$AE$103:$AE$130</c:f>
              <c:numCache>
                <c:formatCode>General</c:formatCode>
                <c:ptCount val="28"/>
                <c:pt idx="0">
                  <c:v>2</c:v>
                </c:pt>
                <c:pt idx="1">
                  <c:v>16</c:v>
                </c:pt>
                <c:pt idx="2">
                  <c:v>0</c:v>
                </c:pt>
                <c:pt idx="3">
                  <c:v>0</c:v>
                </c:pt>
                <c:pt idx="4">
                  <c:v>2</c:v>
                </c:pt>
                <c:pt idx="5">
                  <c:v>2</c:v>
                </c:pt>
                <c:pt idx="6">
                  <c:v>0</c:v>
                </c:pt>
                <c:pt idx="7">
                  <c:v>2</c:v>
                </c:pt>
                <c:pt idx="8">
                  <c:v>0</c:v>
                </c:pt>
                <c:pt idx="9">
                  <c:v>0</c:v>
                </c:pt>
                <c:pt idx="10">
                  <c:v>2</c:v>
                </c:pt>
                <c:pt idx="11">
                  <c:v>0</c:v>
                </c:pt>
                <c:pt idx="12">
                  <c:v>4</c:v>
                </c:pt>
                <c:pt idx="13">
                  <c:v>0</c:v>
                </c:pt>
                <c:pt idx="14">
                  <c:v>0</c:v>
                </c:pt>
                <c:pt idx="15">
                  <c:v>1</c:v>
                </c:pt>
                <c:pt idx="16">
                  <c:v>0</c:v>
                </c:pt>
                <c:pt idx="17">
                  <c:v>0</c:v>
                </c:pt>
                <c:pt idx="18">
                  <c:v>0</c:v>
                </c:pt>
                <c:pt idx="19">
                  <c:v>3</c:v>
                </c:pt>
                <c:pt idx="20">
                  <c:v>3</c:v>
                </c:pt>
                <c:pt idx="21">
                  <c:v>11</c:v>
                </c:pt>
                <c:pt idx="22">
                  <c:v>4</c:v>
                </c:pt>
                <c:pt idx="23">
                  <c:v>2</c:v>
                </c:pt>
                <c:pt idx="24">
                  <c:v>2</c:v>
                </c:pt>
                <c:pt idx="25">
                  <c:v>1</c:v>
                </c:pt>
                <c:pt idx="26">
                  <c:v>1</c:v>
                </c:pt>
                <c:pt idx="27">
                  <c:v>0</c:v>
                </c:pt>
              </c:numCache>
            </c:numRef>
          </c:val>
          <c:extLst>
            <c:ext xmlns:c16="http://schemas.microsoft.com/office/drawing/2014/chart" uri="{C3380CC4-5D6E-409C-BE32-E72D297353CC}">
              <c16:uniqueId val="{00000000-E913-44FE-887A-ECB73A2DBC73}"/>
            </c:ext>
          </c:extLst>
        </c:ser>
        <c:dLbls>
          <c:showLegendKey val="0"/>
          <c:showVal val="0"/>
          <c:showCatName val="0"/>
          <c:showSerName val="0"/>
          <c:showPercent val="0"/>
          <c:showBubbleSize val="0"/>
        </c:dLbls>
        <c:gapWidth val="269"/>
        <c:overlap val="-20"/>
        <c:axId val="1352600495"/>
        <c:axId val="1352600975"/>
      </c:barChart>
      <c:catAx>
        <c:axId val="1352600495"/>
        <c:scaling>
          <c:orientation val="minMax"/>
        </c:scaling>
        <c:delete val="0"/>
        <c:axPos val="b"/>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mn-lt"/>
                <a:ea typeface="+mn-ea"/>
                <a:cs typeface="+mn-cs"/>
              </a:defRPr>
            </a:pPr>
            <a:endParaRPr lang="en-US"/>
          </a:p>
        </c:txPr>
        <c:crossAx val="1352600975"/>
        <c:crosses val="autoZero"/>
        <c:auto val="1"/>
        <c:lblAlgn val="ctr"/>
        <c:lblOffset val="100"/>
        <c:noMultiLvlLbl val="0"/>
      </c:catAx>
      <c:valAx>
        <c:axId val="135260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52600495"/>
        <c:crosses val="autoZero"/>
        <c:crossBetween val="between"/>
      </c:valAx>
      <c:spPr>
        <a:noFill/>
        <a:ln>
          <a:solidFill>
            <a:sysClr val="windowText" lastClr="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Challenges by Leg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'Leg-by-Leg'!$C$10:$C$11</c:f>
              <c:strCache>
                <c:ptCount val="2"/>
                <c:pt idx="0">
                  <c:v>Route Info</c:v>
                </c:pt>
                <c:pt idx="1">
                  <c:v>Total #</c:v>
                </c:pt>
              </c:strCache>
            </c:strRef>
          </c:tx>
          <c:spPr>
            <a:solidFill>
              <a:srgbClr val="0070C0"/>
            </a:solidFill>
            <a:ln>
              <a:no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'Leg-by-Leg'!$C$12:$C$24</c:f>
              <c:numCache>
                <c:formatCode>General</c:formatCode>
                <c:ptCount val="13"/>
                <c:pt idx="0">
                  <c:v>177</c:v>
                </c:pt>
                <c:pt idx="1">
                  <c:v>140</c:v>
                </c:pt>
                <c:pt idx="2">
                  <c:v>147</c:v>
                </c:pt>
                <c:pt idx="3">
                  <c:v>158</c:v>
                </c:pt>
                <c:pt idx="4">
                  <c:v>146</c:v>
                </c:pt>
                <c:pt idx="5">
                  <c:v>151</c:v>
                </c:pt>
                <c:pt idx="6">
                  <c:v>148</c:v>
                </c:pt>
                <c:pt idx="7">
                  <c:v>163</c:v>
                </c:pt>
                <c:pt idx="8">
                  <c:v>186</c:v>
                </c:pt>
                <c:pt idx="9">
                  <c:v>165</c:v>
                </c:pt>
                <c:pt idx="10">
                  <c:v>140</c:v>
                </c:pt>
                <c:pt idx="11">
                  <c:v>39</c:v>
                </c:pt>
                <c:pt idx="12">
                  <c:v>256</c:v>
                </c:pt>
              </c:numCache>
            </c:numRef>
          </c:val>
          <c:extLst>
            <c:ext xmlns:c16="http://schemas.microsoft.com/office/drawing/2014/chart" uri="{C3380CC4-5D6E-409C-BE32-E72D297353CC}">
              <c16:uniqueId val="{00000000-84BC-6F46-A89C-BC817C199C51}"/>
            </c:ext>
          </c:extLst>
        </c:ser>
        <c:ser>
          <c:idx val="1"/>
          <c:order val="1"/>
          <c:tx>
            <c:strRef>
              <c:f>'Leg-by-Leg'!$E$10:$E$11</c:f>
              <c:strCache>
                <c:ptCount val="2"/>
                <c:pt idx="0">
                  <c:v>Road Block</c:v>
                </c:pt>
                <c:pt idx="1">
                  <c:v>Total # </c:v>
                </c:pt>
              </c:strCache>
            </c:strRef>
          </c:tx>
          <c:spPr>
            <a:solidFill>
              <a:srgbClr val="FF0000"/>
            </a:solidFill>
            <a:ln>
              <a:no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'Leg-by-Leg'!$E$12:$E$24</c:f>
              <c:numCache>
                <c:formatCode>General</c:formatCode>
                <c:ptCount val="13"/>
                <c:pt idx="0">
                  <c:v>27</c:v>
                </c:pt>
                <c:pt idx="1">
                  <c:v>36</c:v>
                </c:pt>
                <c:pt idx="2">
                  <c:v>36</c:v>
                </c:pt>
                <c:pt idx="3">
                  <c:v>38</c:v>
                </c:pt>
                <c:pt idx="4">
                  <c:v>38</c:v>
                </c:pt>
                <c:pt idx="5">
                  <c:v>42</c:v>
                </c:pt>
                <c:pt idx="6">
                  <c:v>35</c:v>
                </c:pt>
                <c:pt idx="7">
                  <c:v>40</c:v>
                </c:pt>
                <c:pt idx="8">
                  <c:v>40</c:v>
                </c:pt>
                <c:pt idx="9">
                  <c:v>37</c:v>
                </c:pt>
                <c:pt idx="10">
                  <c:v>35</c:v>
                </c:pt>
                <c:pt idx="11">
                  <c:v>8</c:v>
                </c:pt>
                <c:pt idx="12">
                  <c:v>42</c:v>
                </c:pt>
              </c:numCache>
            </c:numRef>
          </c:val>
          <c:extLst>
            <c:ext xmlns:c16="http://schemas.microsoft.com/office/drawing/2014/chart" uri="{C3380CC4-5D6E-409C-BE32-E72D297353CC}">
              <c16:uniqueId val="{00000001-84BC-6F46-A89C-BC817C199C51}"/>
            </c:ext>
          </c:extLst>
        </c:ser>
        <c:ser>
          <c:idx val="2"/>
          <c:order val="2"/>
          <c:tx>
            <c:strRef>
              <c:f>'Leg-by-Leg'!$G$10:$G$11</c:f>
              <c:strCache>
                <c:ptCount val="2"/>
                <c:pt idx="0">
                  <c:v>Detour</c:v>
                </c:pt>
                <c:pt idx="1">
                  <c:v>Total #  </c:v>
                </c:pt>
              </c:strCache>
            </c:strRef>
          </c:tx>
          <c:spPr>
            <a:solidFill>
              <a:srgbClr val="FFFF00"/>
            </a:solidFill>
            <a:ln>
              <a:no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'Leg-by-Leg'!$G$12:$G$24</c:f>
              <c:numCache>
                <c:formatCode>General</c:formatCode>
                <c:ptCount val="13"/>
                <c:pt idx="0">
                  <c:v>19</c:v>
                </c:pt>
                <c:pt idx="1">
                  <c:v>36</c:v>
                </c:pt>
                <c:pt idx="2">
                  <c:v>38</c:v>
                </c:pt>
                <c:pt idx="3">
                  <c:v>38</c:v>
                </c:pt>
                <c:pt idx="4">
                  <c:v>36</c:v>
                </c:pt>
                <c:pt idx="5">
                  <c:v>39</c:v>
                </c:pt>
                <c:pt idx="6">
                  <c:v>38</c:v>
                </c:pt>
                <c:pt idx="7">
                  <c:v>37</c:v>
                </c:pt>
                <c:pt idx="8">
                  <c:v>33</c:v>
                </c:pt>
                <c:pt idx="9">
                  <c:v>32</c:v>
                </c:pt>
                <c:pt idx="10">
                  <c:v>28</c:v>
                </c:pt>
                <c:pt idx="11">
                  <c:v>7</c:v>
                </c:pt>
                <c:pt idx="12">
                  <c:v>13</c:v>
                </c:pt>
              </c:numCache>
            </c:numRef>
          </c:val>
          <c:extLst>
            <c:ext xmlns:c16="http://schemas.microsoft.com/office/drawing/2014/chart" uri="{C3380CC4-5D6E-409C-BE32-E72D297353CC}">
              <c16:uniqueId val="{00000002-84BC-6F46-A89C-BC817C199C51}"/>
            </c:ext>
          </c:extLst>
        </c:ser>
        <c:ser>
          <c:idx val="3"/>
          <c:order val="3"/>
          <c:tx>
            <c:strRef>
              <c:f>'Leg-by-Leg'!$I$10:$I$11</c:f>
              <c:strCache>
                <c:ptCount val="2"/>
                <c:pt idx="0">
                  <c:v>Speed Bump</c:v>
                </c:pt>
                <c:pt idx="1">
                  <c:v>Total #   </c:v>
                </c:pt>
              </c:strCache>
            </c:strRef>
          </c:tx>
          <c:spPr>
            <a:solidFill>
              <a:srgbClr val="92D050"/>
            </a:solidFill>
            <a:ln>
              <a:no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'Leg-by-Leg'!$I$12:$I$24</c:f>
              <c:numCache>
                <c:formatCode>General</c:formatCode>
                <c:ptCount val="13"/>
                <c:pt idx="0">
                  <c:v>0</c:v>
                </c:pt>
                <c:pt idx="1">
                  <c:v>3</c:v>
                </c:pt>
                <c:pt idx="2">
                  <c:v>0</c:v>
                </c:pt>
                <c:pt idx="3">
                  <c:v>5</c:v>
                </c:pt>
                <c:pt idx="4">
                  <c:v>6</c:v>
                </c:pt>
                <c:pt idx="5">
                  <c:v>3</c:v>
                </c:pt>
                <c:pt idx="6">
                  <c:v>5</c:v>
                </c:pt>
                <c:pt idx="7">
                  <c:v>9</c:v>
                </c:pt>
                <c:pt idx="8">
                  <c:v>5</c:v>
                </c:pt>
                <c:pt idx="9">
                  <c:v>7</c:v>
                </c:pt>
                <c:pt idx="10">
                  <c:v>6</c:v>
                </c:pt>
                <c:pt idx="11">
                  <c:v>0</c:v>
                </c:pt>
                <c:pt idx="12">
                  <c:v>7</c:v>
                </c:pt>
              </c:numCache>
            </c:numRef>
          </c:val>
          <c:extLst>
            <c:ext xmlns:c16="http://schemas.microsoft.com/office/drawing/2014/chart" uri="{C3380CC4-5D6E-409C-BE32-E72D297353CC}">
              <c16:uniqueId val="{00000003-84BC-6F46-A89C-BC817C199C51}"/>
            </c:ext>
          </c:extLst>
        </c:ser>
        <c:ser>
          <c:idx val="4"/>
          <c:order val="4"/>
          <c:tx>
            <c:strRef>
              <c:f>'Leg-by-Leg'!$K$10:$K$11</c:f>
              <c:strCache>
                <c:ptCount val="2"/>
                <c:pt idx="0">
                  <c:v>Fast Forward (1-4)</c:v>
                </c:pt>
                <c:pt idx="1">
                  <c:v>Total #   2</c:v>
                </c:pt>
              </c:strCache>
            </c:strRef>
          </c:tx>
          <c:spPr>
            <a:solidFill>
              <a:srgbClr val="3CFF00"/>
            </a:solidFill>
            <a:ln>
              <a:no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'Leg-by-Leg'!$K$12:$K$24</c:f>
              <c:numCache>
                <c:formatCode>General</c:formatCode>
                <c:ptCount val="13"/>
                <c:pt idx="0">
                  <c:v>4</c:v>
                </c:pt>
                <c:pt idx="1">
                  <c:v>4</c:v>
                </c:pt>
                <c:pt idx="2">
                  <c:v>4</c:v>
                </c:pt>
                <c:pt idx="3">
                  <c:v>4</c:v>
                </c:pt>
                <c:pt idx="4">
                  <c:v>4</c:v>
                </c:pt>
                <c:pt idx="5">
                  <c:v>4</c:v>
                </c:pt>
                <c:pt idx="6">
                  <c:v>4</c:v>
                </c:pt>
                <c:pt idx="7">
                  <c:v>4</c:v>
                </c:pt>
                <c:pt idx="8">
                  <c:v>4</c:v>
                </c:pt>
                <c:pt idx="9">
                  <c:v>4</c:v>
                </c:pt>
                <c:pt idx="10">
                  <c:v>3</c:v>
                </c:pt>
                <c:pt idx="11">
                  <c:v>0</c:v>
                </c:pt>
                <c:pt idx="12">
                  <c:v>0</c:v>
                </c:pt>
              </c:numCache>
            </c:numRef>
          </c:val>
          <c:extLst>
            <c:ext xmlns:c16="http://schemas.microsoft.com/office/drawing/2014/chart" uri="{C3380CC4-5D6E-409C-BE32-E72D297353CC}">
              <c16:uniqueId val="{00000004-84BC-6F46-A89C-BC817C199C51}"/>
            </c:ext>
          </c:extLst>
        </c:ser>
        <c:ser>
          <c:idx val="5"/>
          <c:order val="5"/>
          <c:tx>
            <c:strRef>
              <c:f>'Leg-by-Leg'!$M$10:$M$11</c:f>
              <c:strCache>
                <c:ptCount val="2"/>
                <c:pt idx="0">
                  <c:v>Fast Forward (5-29)</c:v>
                </c:pt>
                <c:pt idx="1">
                  <c:v>   Total #   </c:v>
                </c:pt>
              </c:strCache>
            </c:strRef>
          </c:tx>
          <c:spPr>
            <a:solidFill>
              <a:srgbClr val="3CFF00"/>
            </a:solidFill>
            <a:ln>
              <a:solidFill>
                <a:schemeClr val="tx1"/>
              </a:solidFill>
            </a:ln>
            <a:effectLst/>
          </c:spPr>
          <c:invertIfNegative val="0"/>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'Leg-by-Leg'!$M$12:$M$24</c:f>
              <c:numCache>
                <c:formatCode>General</c:formatCode>
                <c:ptCount val="13"/>
                <c:pt idx="0">
                  <c:v>1</c:v>
                </c:pt>
                <c:pt idx="1">
                  <c:v>0</c:v>
                </c:pt>
                <c:pt idx="2">
                  <c:v>0</c:v>
                </c:pt>
                <c:pt idx="3">
                  <c:v>4</c:v>
                </c:pt>
                <c:pt idx="4">
                  <c:v>6</c:v>
                </c:pt>
                <c:pt idx="5">
                  <c:v>5</c:v>
                </c:pt>
                <c:pt idx="6">
                  <c:v>5</c:v>
                </c:pt>
                <c:pt idx="7">
                  <c:v>3</c:v>
                </c:pt>
                <c:pt idx="8">
                  <c:v>5</c:v>
                </c:pt>
                <c:pt idx="9">
                  <c:v>2</c:v>
                </c:pt>
                <c:pt idx="10">
                  <c:v>1</c:v>
                </c:pt>
                <c:pt idx="11">
                  <c:v>0</c:v>
                </c:pt>
                <c:pt idx="12">
                  <c:v>0</c:v>
                </c:pt>
              </c:numCache>
            </c:numRef>
          </c:val>
          <c:extLst>
            <c:ext xmlns:c16="http://schemas.microsoft.com/office/drawing/2014/chart" uri="{C3380CC4-5D6E-409C-BE32-E72D297353CC}">
              <c16:uniqueId val="{00000005-84BC-6F46-A89C-BC817C199C51}"/>
            </c:ext>
          </c:extLst>
        </c:ser>
        <c:dLbls>
          <c:showLegendKey val="0"/>
          <c:showVal val="0"/>
          <c:showCatName val="0"/>
          <c:showSerName val="0"/>
          <c:showPercent val="0"/>
          <c:showBubbleSize val="0"/>
        </c:dLbls>
        <c:gapWidth val="219"/>
        <c:overlap val="-27"/>
        <c:axId val="1737294736"/>
        <c:axId val="1664563904"/>
      </c:barChart>
      <c:catAx>
        <c:axId val="173729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63904"/>
        <c:crosses val="autoZero"/>
        <c:auto val="1"/>
        <c:lblAlgn val="ctr"/>
        <c:lblOffset val="100"/>
        <c:noMultiLvlLbl val="0"/>
      </c:catAx>
      <c:valAx>
        <c:axId val="166456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94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Route Infos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56D6-A846-AA12-752C23C95B17}"/>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56D6-A846-AA12-752C23C95B17}"/>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56D6-A846-AA12-752C23C95B17}"/>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56D6-A846-AA12-752C23C95B17}"/>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56D6-A846-AA12-752C23C95B17}"/>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56D6-A846-AA12-752C23C95B17}"/>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56D6-A846-AA12-752C23C95B17}"/>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56D6-A846-AA12-752C23C95B17}"/>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56D6-A846-AA12-752C23C95B17}"/>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13-56D6-A846-AA12-752C23C95B17}"/>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15-56D6-A846-AA12-752C23C95B17}"/>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17-56D6-A846-AA12-752C23C95B17}"/>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19-56D6-A846-AA12-752C23C95B17}"/>
              </c:ext>
            </c:extLst>
          </c:dPt>
          <c:dLbls>
            <c:dLbl>
              <c:idx val="11"/>
              <c:layout>
                <c:manualLayout>
                  <c:x val="1.6609380775345836E-3"/>
                  <c:y val="2.2247261470421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56D6-A846-AA12-752C23C95B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'Leg-by-Leg'!$C$12:$C$24</c:f>
              <c:numCache>
                <c:formatCode>General</c:formatCode>
                <c:ptCount val="13"/>
                <c:pt idx="0">
                  <c:v>177</c:v>
                </c:pt>
                <c:pt idx="1">
                  <c:v>140</c:v>
                </c:pt>
                <c:pt idx="2">
                  <c:v>147</c:v>
                </c:pt>
                <c:pt idx="3">
                  <c:v>158</c:v>
                </c:pt>
                <c:pt idx="4">
                  <c:v>146</c:v>
                </c:pt>
                <c:pt idx="5">
                  <c:v>151</c:v>
                </c:pt>
                <c:pt idx="6">
                  <c:v>148</c:v>
                </c:pt>
                <c:pt idx="7">
                  <c:v>163</c:v>
                </c:pt>
                <c:pt idx="8">
                  <c:v>186</c:v>
                </c:pt>
                <c:pt idx="9">
                  <c:v>165</c:v>
                </c:pt>
                <c:pt idx="10">
                  <c:v>140</c:v>
                </c:pt>
                <c:pt idx="11">
                  <c:v>39</c:v>
                </c:pt>
                <c:pt idx="12">
                  <c:v>256</c:v>
                </c:pt>
              </c:numCache>
            </c:numRef>
          </c:val>
          <c:extLst>
            <c:ext xmlns:c16="http://schemas.microsoft.com/office/drawing/2014/chart" uri="{C3380CC4-5D6E-409C-BE32-E72D297353CC}">
              <c16:uniqueId val="{00000000-F5E6-324C-89AE-3F87470A0351}"/>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Road Blocks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0000"/>
              </a:solidFill>
            </a:ln>
            <a:effectLst/>
          </c:spPr>
          <c:dPt>
            <c:idx val="0"/>
            <c:bubble3D val="0"/>
            <c:spPr>
              <a:solidFill>
                <a:schemeClr val="lt1"/>
              </a:solidFill>
              <a:ln w="19050">
                <a:solidFill>
                  <a:srgbClr val="FF0000"/>
                </a:solidFill>
              </a:ln>
              <a:effectLst/>
            </c:spPr>
            <c:extLst>
              <c:ext xmlns:c16="http://schemas.microsoft.com/office/drawing/2014/chart" uri="{C3380CC4-5D6E-409C-BE32-E72D297353CC}">
                <c16:uniqueId val="{00000001-A1D9-0B41-B91E-CAA1B2D440AF}"/>
              </c:ext>
            </c:extLst>
          </c:dPt>
          <c:dPt>
            <c:idx val="1"/>
            <c:bubble3D val="0"/>
            <c:spPr>
              <a:solidFill>
                <a:schemeClr val="lt1"/>
              </a:solidFill>
              <a:ln w="19050">
                <a:solidFill>
                  <a:srgbClr val="FF0000"/>
                </a:solidFill>
              </a:ln>
              <a:effectLst/>
            </c:spPr>
            <c:extLst>
              <c:ext xmlns:c16="http://schemas.microsoft.com/office/drawing/2014/chart" uri="{C3380CC4-5D6E-409C-BE32-E72D297353CC}">
                <c16:uniqueId val="{00000003-A1D9-0B41-B91E-CAA1B2D440AF}"/>
              </c:ext>
            </c:extLst>
          </c:dPt>
          <c:dPt>
            <c:idx val="2"/>
            <c:bubble3D val="0"/>
            <c:spPr>
              <a:solidFill>
                <a:schemeClr val="lt1"/>
              </a:solidFill>
              <a:ln w="19050">
                <a:solidFill>
                  <a:srgbClr val="FF0000"/>
                </a:solidFill>
              </a:ln>
              <a:effectLst/>
            </c:spPr>
            <c:extLst>
              <c:ext xmlns:c16="http://schemas.microsoft.com/office/drawing/2014/chart" uri="{C3380CC4-5D6E-409C-BE32-E72D297353CC}">
                <c16:uniqueId val="{00000005-A1D9-0B41-B91E-CAA1B2D440AF}"/>
              </c:ext>
            </c:extLst>
          </c:dPt>
          <c:dPt>
            <c:idx val="3"/>
            <c:bubble3D val="0"/>
            <c:spPr>
              <a:solidFill>
                <a:schemeClr val="lt1"/>
              </a:solidFill>
              <a:ln w="19050">
                <a:solidFill>
                  <a:srgbClr val="FF0000"/>
                </a:solidFill>
              </a:ln>
              <a:effectLst/>
            </c:spPr>
            <c:extLst>
              <c:ext xmlns:c16="http://schemas.microsoft.com/office/drawing/2014/chart" uri="{C3380CC4-5D6E-409C-BE32-E72D297353CC}">
                <c16:uniqueId val="{00000007-A1D9-0B41-B91E-CAA1B2D440AF}"/>
              </c:ext>
            </c:extLst>
          </c:dPt>
          <c:dPt>
            <c:idx val="4"/>
            <c:bubble3D val="0"/>
            <c:spPr>
              <a:solidFill>
                <a:schemeClr val="lt1"/>
              </a:solidFill>
              <a:ln w="19050">
                <a:solidFill>
                  <a:srgbClr val="FF0000"/>
                </a:solidFill>
              </a:ln>
              <a:effectLst/>
            </c:spPr>
            <c:extLst>
              <c:ext xmlns:c16="http://schemas.microsoft.com/office/drawing/2014/chart" uri="{C3380CC4-5D6E-409C-BE32-E72D297353CC}">
                <c16:uniqueId val="{00000009-A1D9-0B41-B91E-CAA1B2D440AF}"/>
              </c:ext>
            </c:extLst>
          </c:dPt>
          <c:dPt>
            <c:idx val="5"/>
            <c:bubble3D val="0"/>
            <c:spPr>
              <a:solidFill>
                <a:schemeClr val="lt1"/>
              </a:solidFill>
              <a:ln w="19050">
                <a:solidFill>
                  <a:srgbClr val="FF0000"/>
                </a:solidFill>
              </a:ln>
              <a:effectLst/>
            </c:spPr>
            <c:extLst>
              <c:ext xmlns:c16="http://schemas.microsoft.com/office/drawing/2014/chart" uri="{C3380CC4-5D6E-409C-BE32-E72D297353CC}">
                <c16:uniqueId val="{0000000B-A1D9-0B41-B91E-CAA1B2D440AF}"/>
              </c:ext>
            </c:extLst>
          </c:dPt>
          <c:dPt>
            <c:idx val="6"/>
            <c:bubble3D val="0"/>
            <c:spPr>
              <a:solidFill>
                <a:schemeClr val="lt1"/>
              </a:solidFill>
              <a:ln w="19050">
                <a:solidFill>
                  <a:srgbClr val="FF0000"/>
                </a:solidFill>
              </a:ln>
              <a:effectLst/>
            </c:spPr>
            <c:extLst>
              <c:ext xmlns:c16="http://schemas.microsoft.com/office/drawing/2014/chart" uri="{C3380CC4-5D6E-409C-BE32-E72D297353CC}">
                <c16:uniqueId val="{0000000D-A1D9-0B41-B91E-CAA1B2D440AF}"/>
              </c:ext>
            </c:extLst>
          </c:dPt>
          <c:dPt>
            <c:idx val="7"/>
            <c:bubble3D val="0"/>
            <c:spPr>
              <a:solidFill>
                <a:schemeClr val="lt1"/>
              </a:solidFill>
              <a:ln w="19050">
                <a:solidFill>
                  <a:srgbClr val="FF0000"/>
                </a:solidFill>
              </a:ln>
              <a:effectLst/>
            </c:spPr>
            <c:extLst>
              <c:ext xmlns:c16="http://schemas.microsoft.com/office/drawing/2014/chart" uri="{C3380CC4-5D6E-409C-BE32-E72D297353CC}">
                <c16:uniqueId val="{0000000F-A1D9-0B41-B91E-CAA1B2D440AF}"/>
              </c:ext>
            </c:extLst>
          </c:dPt>
          <c:dPt>
            <c:idx val="8"/>
            <c:bubble3D val="0"/>
            <c:spPr>
              <a:solidFill>
                <a:schemeClr val="lt1"/>
              </a:solidFill>
              <a:ln w="19050">
                <a:solidFill>
                  <a:srgbClr val="FF0000"/>
                </a:solidFill>
              </a:ln>
              <a:effectLst/>
            </c:spPr>
            <c:extLst>
              <c:ext xmlns:c16="http://schemas.microsoft.com/office/drawing/2014/chart" uri="{C3380CC4-5D6E-409C-BE32-E72D297353CC}">
                <c16:uniqueId val="{00000011-A1D9-0B41-B91E-CAA1B2D440AF}"/>
              </c:ext>
            </c:extLst>
          </c:dPt>
          <c:dPt>
            <c:idx val="9"/>
            <c:bubble3D val="0"/>
            <c:spPr>
              <a:solidFill>
                <a:schemeClr val="lt1"/>
              </a:solidFill>
              <a:ln w="19050">
                <a:solidFill>
                  <a:srgbClr val="FF0000"/>
                </a:solidFill>
              </a:ln>
              <a:effectLst/>
            </c:spPr>
            <c:extLst>
              <c:ext xmlns:c16="http://schemas.microsoft.com/office/drawing/2014/chart" uri="{C3380CC4-5D6E-409C-BE32-E72D297353CC}">
                <c16:uniqueId val="{00000013-A1D9-0B41-B91E-CAA1B2D440AF}"/>
              </c:ext>
            </c:extLst>
          </c:dPt>
          <c:dPt>
            <c:idx val="10"/>
            <c:bubble3D val="0"/>
            <c:spPr>
              <a:solidFill>
                <a:schemeClr val="lt1"/>
              </a:solidFill>
              <a:ln w="19050">
                <a:solidFill>
                  <a:srgbClr val="FF0000"/>
                </a:solidFill>
              </a:ln>
              <a:effectLst/>
            </c:spPr>
            <c:extLst>
              <c:ext xmlns:c16="http://schemas.microsoft.com/office/drawing/2014/chart" uri="{C3380CC4-5D6E-409C-BE32-E72D297353CC}">
                <c16:uniqueId val="{00000015-A1D9-0B41-B91E-CAA1B2D440AF}"/>
              </c:ext>
            </c:extLst>
          </c:dPt>
          <c:dPt>
            <c:idx val="11"/>
            <c:bubble3D val="0"/>
            <c:spPr>
              <a:solidFill>
                <a:schemeClr val="lt1"/>
              </a:solidFill>
              <a:ln w="19050">
                <a:solidFill>
                  <a:srgbClr val="FF0000"/>
                </a:solidFill>
              </a:ln>
              <a:effectLst/>
            </c:spPr>
            <c:extLst>
              <c:ext xmlns:c16="http://schemas.microsoft.com/office/drawing/2014/chart" uri="{C3380CC4-5D6E-409C-BE32-E72D297353CC}">
                <c16:uniqueId val="{00000017-A1D9-0B41-B91E-CAA1B2D440AF}"/>
              </c:ext>
            </c:extLst>
          </c:dPt>
          <c:dPt>
            <c:idx val="12"/>
            <c:bubble3D val="0"/>
            <c:spPr>
              <a:solidFill>
                <a:schemeClr val="lt1"/>
              </a:solidFill>
              <a:ln w="19050">
                <a:solidFill>
                  <a:srgbClr val="FF0000"/>
                </a:solidFill>
              </a:ln>
              <a:effectLst/>
            </c:spPr>
            <c:extLst>
              <c:ext xmlns:c16="http://schemas.microsoft.com/office/drawing/2014/chart" uri="{C3380CC4-5D6E-409C-BE32-E72D297353CC}">
                <c16:uniqueId val="{00000019-A1D9-0B41-B91E-CAA1B2D440AF}"/>
              </c:ext>
            </c:extLst>
          </c:dPt>
          <c:dLbls>
            <c:dLbl>
              <c:idx val="11"/>
              <c:layout>
                <c:manualLayout>
                  <c:x val="-3.8451211927110194E-3"/>
                  <c:y val="2.61087506319000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A1D9-0B41-B91E-CAA1B2D440A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'Leg-by-Leg'!$E$12:$E$24</c:f>
              <c:numCache>
                <c:formatCode>General</c:formatCode>
                <c:ptCount val="13"/>
                <c:pt idx="0">
                  <c:v>27</c:v>
                </c:pt>
                <c:pt idx="1">
                  <c:v>36</c:v>
                </c:pt>
                <c:pt idx="2">
                  <c:v>36</c:v>
                </c:pt>
                <c:pt idx="3">
                  <c:v>38</c:v>
                </c:pt>
                <c:pt idx="4">
                  <c:v>38</c:v>
                </c:pt>
                <c:pt idx="5">
                  <c:v>42</c:v>
                </c:pt>
                <c:pt idx="6">
                  <c:v>35</c:v>
                </c:pt>
                <c:pt idx="7">
                  <c:v>40</c:v>
                </c:pt>
                <c:pt idx="8">
                  <c:v>40</c:v>
                </c:pt>
                <c:pt idx="9">
                  <c:v>37</c:v>
                </c:pt>
                <c:pt idx="10">
                  <c:v>35</c:v>
                </c:pt>
                <c:pt idx="11">
                  <c:v>8</c:v>
                </c:pt>
                <c:pt idx="12">
                  <c:v>42</c:v>
                </c:pt>
              </c:numCache>
            </c:numRef>
          </c:val>
          <c:extLst>
            <c:ext xmlns:c16="http://schemas.microsoft.com/office/drawing/2014/chart" uri="{C3380CC4-5D6E-409C-BE32-E72D297353CC}">
              <c16:uniqueId val="{00000000-4C01-0E4C-BB14-366437B957C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Detours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C000"/>
              </a:solidFill>
            </a:ln>
            <a:effectLst/>
          </c:spPr>
          <c:dPt>
            <c:idx val="0"/>
            <c:bubble3D val="0"/>
            <c:spPr>
              <a:solidFill>
                <a:schemeClr val="lt1"/>
              </a:solidFill>
              <a:ln w="19050">
                <a:solidFill>
                  <a:srgbClr val="FFC000"/>
                </a:solidFill>
              </a:ln>
              <a:effectLst/>
            </c:spPr>
            <c:extLst>
              <c:ext xmlns:c16="http://schemas.microsoft.com/office/drawing/2014/chart" uri="{C3380CC4-5D6E-409C-BE32-E72D297353CC}">
                <c16:uniqueId val="{00000001-E462-1244-9324-5BE3C616B561}"/>
              </c:ext>
            </c:extLst>
          </c:dPt>
          <c:dPt>
            <c:idx val="1"/>
            <c:bubble3D val="0"/>
            <c:spPr>
              <a:solidFill>
                <a:schemeClr val="lt1"/>
              </a:solidFill>
              <a:ln w="19050">
                <a:solidFill>
                  <a:srgbClr val="FFC000"/>
                </a:solidFill>
              </a:ln>
              <a:effectLst/>
            </c:spPr>
            <c:extLst>
              <c:ext xmlns:c16="http://schemas.microsoft.com/office/drawing/2014/chart" uri="{C3380CC4-5D6E-409C-BE32-E72D297353CC}">
                <c16:uniqueId val="{00000003-E462-1244-9324-5BE3C616B561}"/>
              </c:ext>
            </c:extLst>
          </c:dPt>
          <c:dPt>
            <c:idx val="2"/>
            <c:bubble3D val="0"/>
            <c:spPr>
              <a:solidFill>
                <a:schemeClr val="lt1"/>
              </a:solidFill>
              <a:ln w="19050">
                <a:solidFill>
                  <a:srgbClr val="FFC000"/>
                </a:solidFill>
              </a:ln>
              <a:effectLst/>
            </c:spPr>
            <c:extLst>
              <c:ext xmlns:c16="http://schemas.microsoft.com/office/drawing/2014/chart" uri="{C3380CC4-5D6E-409C-BE32-E72D297353CC}">
                <c16:uniqueId val="{00000005-E462-1244-9324-5BE3C616B561}"/>
              </c:ext>
            </c:extLst>
          </c:dPt>
          <c:dPt>
            <c:idx val="3"/>
            <c:bubble3D val="0"/>
            <c:spPr>
              <a:solidFill>
                <a:schemeClr val="lt1"/>
              </a:solidFill>
              <a:ln w="19050">
                <a:solidFill>
                  <a:srgbClr val="FFC000"/>
                </a:solidFill>
              </a:ln>
              <a:effectLst/>
            </c:spPr>
            <c:extLst>
              <c:ext xmlns:c16="http://schemas.microsoft.com/office/drawing/2014/chart" uri="{C3380CC4-5D6E-409C-BE32-E72D297353CC}">
                <c16:uniqueId val="{00000007-E462-1244-9324-5BE3C616B561}"/>
              </c:ext>
            </c:extLst>
          </c:dPt>
          <c:dPt>
            <c:idx val="4"/>
            <c:bubble3D val="0"/>
            <c:spPr>
              <a:solidFill>
                <a:schemeClr val="lt1"/>
              </a:solidFill>
              <a:ln w="19050">
                <a:solidFill>
                  <a:srgbClr val="FFC000"/>
                </a:solidFill>
              </a:ln>
              <a:effectLst/>
            </c:spPr>
            <c:extLst>
              <c:ext xmlns:c16="http://schemas.microsoft.com/office/drawing/2014/chart" uri="{C3380CC4-5D6E-409C-BE32-E72D297353CC}">
                <c16:uniqueId val="{00000009-E462-1244-9324-5BE3C616B561}"/>
              </c:ext>
            </c:extLst>
          </c:dPt>
          <c:dPt>
            <c:idx val="5"/>
            <c:bubble3D val="0"/>
            <c:spPr>
              <a:solidFill>
                <a:schemeClr val="lt1"/>
              </a:solidFill>
              <a:ln w="19050">
                <a:solidFill>
                  <a:srgbClr val="FFC000"/>
                </a:solidFill>
              </a:ln>
              <a:effectLst/>
            </c:spPr>
            <c:extLst>
              <c:ext xmlns:c16="http://schemas.microsoft.com/office/drawing/2014/chart" uri="{C3380CC4-5D6E-409C-BE32-E72D297353CC}">
                <c16:uniqueId val="{0000000B-E462-1244-9324-5BE3C616B561}"/>
              </c:ext>
            </c:extLst>
          </c:dPt>
          <c:dPt>
            <c:idx val="6"/>
            <c:bubble3D val="0"/>
            <c:spPr>
              <a:solidFill>
                <a:schemeClr val="lt1"/>
              </a:solidFill>
              <a:ln w="19050">
                <a:solidFill>
                  <a:srgbClr val="FFC000"/>
                </a:solidFill>
              </a:ln>
              <a:effectLst/>
            </c:spPr>
            <c:extLst>
              <c:ext xmlns:c16="http://schemas.microsoft.com/office/drawing/2014/chart" uri="{C3380CC4-5D6E-409C-BE32-E72D297353CC}">
                <c16:uniqueId val="{0000000D-E462-1244-9324-5BE3C616B561}"/>
              </c:ext>
            </c:extLst>
          </c:dPt>
          <c:dPt>
            <c:idx val="7"/>
            <c:bubble3D val="0"/>
            <c:spPr>
              <a:solidFill>
                <a:schemeClr val="lt1"/>
              </a:solidFill>
              <a:ln w="19050">
                <a:solidFill>
                  <a:srgbClr val="FFC000"/>
                </a:solidFill>
              </a:ln>
              <a:effectLst/>
            </c:spPr>
            <c:extLst>
              <c:ext xmlns:c16="http://schemas.microsoft.com/office/drawing/2014/chart" uri="{C3380CC4-5D6E-409C-BE32-E72D297353CC}">
                <c16:uniqueId val="{0000000F-E462-1244-9324-5BE3C616B561}"/>
              </c:ext>
            </c:extLst>
          </c:dPt>
          <c:dPt>
            <c:idx val="8"/>
            <c:bubble3D val="0"/>
            <c:spPr>
              <a:solidFill>
                <a:schemeClr val="lt1"/>
              </a:solidFill>
              <a:ln w="19050">
                <a:solidFill>
                  <a:srgbClr val="FFC000"/>
                </a:solidFill>
              </a:ln>
              <a:effectLst/>
            </c:spPr>
            <c:extLst>
              <c:ext xmlns:c16="http://schemas.microsoft.com/office/drawing/2014/chart" uri="{C3380CC4-5D6E-409C-BE32-E72D297353CC}">
                <c16:uniqueId val="{00000011-E462-1244-9324-5BE3C616B561}"/>
              </c:ext>
            </c:extLst>
          </c:dPt>
          <c:dPt>
            <c:idx val="9"/>
            <c:bubble3D val="0"/>
            <c:spPr>
              <a:solidFill>
                <a:schemeClr val="lt1"/>
              </a:solidFill>
              <a:ln w="19050">
                <a:solidFill>
                  <a:srgbClr val="FFC000"/>
                </a:solidFill>
              </a:ln>
              <a:effectLst/>
            </c:spPr>
            <c:extLst>
              <c:ext xmlns:c16="http://schemas.microsoft.com/office/drawing/2014/chart" uri="{C3380CC4-5D6E-409C-BE32-E72D297353CC}">
                <c16:uniqueId val="{00000013-E462-1244-9324-5BE3C616B561}"/>
              </c:ext>
            </c:extLst>
          </c:dPt>
          <c:dPt>
            <c:idx val="10"/>
            <c:bubble3D val="0"/>
            <c:spPr>
              <a:solidFill>
                <a:schemeClr val="lt1"/>
              </a:solidFill>
              <a:ln w="19050">
                <a:solidFill>
                  <a:srgbClr val="FFC000"/>
                </a:solidFill>
              </a:ln>
              <a:effectLst/>
            </c:spPr>
            <c:extLst>
              <c:ext xmlns:c16="http://schemas.microsoft.com/office/drawing/2014/chart" uri="{C3380CC4-5D6E-409C-BE32-E72D297353CC}">
                <c16:uniqueId val="{00000015-E462-1244-9324-5BE3C616B561}"/>
              </c:ext>
            </c:extLst>
          </c:dPt>
          <c:dPt>
            <c:idx val="11"/>
            <c:bubble3D val="0"/>
            <c:spPr>
              <a:solidFill>
                <a:schemeClr val="lt1"/>
              </a:solidFill>
              <a:ln w="19050">
                <a:solidFill>
                  <a:srgbClr val="FFC000"/>
                </a:solidFill>
              </a:ln>
              <a:effectLst/>
            </c:spPr>
            <c:extLst>
              <c:ext xmlns:c16="http://schemas.microsoft.com/office/drawing/2014/chart" uri="{C3380CC4-5D6E-409C-BE32-E72D297353CC}">
                <c16:uniqueId val="{00000017-E462-1244-9324-5BE3C616B561}"/>
              </c:ext>
            </c:extLst>
          </c:dPt>
          <c:dPt>
            <c:idx val="12"/>
            <c:bubble3D val="0"/>
            <c:spPr>
              <a:solidFill>
                <a:schemeClr val="lt1"/>
              </a:solidFill>
              <a:ln w="19050">
                <a:solidFill>
                  <a:srgbClr val="FFC000"/>
                </a:solidFill>
              </a:ln>
              <a:effectLst/>
            </c:spPr>
            <c:extLst>
              <c:ext xmlns:c16="http://schemas.microsoft.com/office/drawing/2014/chart" uri="{C3380CC4-5D6E-409C-BE32-E72D297353CC}">
                <c16:uniqueId val="{00000019-E462-1244-9324-5BE3C616B561}"/>
              </c:ext>
            </c:extLst>
          </c:dPt>
          <c:dLbls>
            <c:dLbl>
              <c:idx val="11"/>
              <c:layout>
                <c:manualLayout>
                  <c:x val="-5.7439101472690213E-2"/>
                  <c:y val="4.0692067606912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E462-1244-9324-5BE3C616B561}"/>
                </c:ext>
              </c:extLst>
            </c:dLbl>
            <c:dLbl>
              <c:idx val="12"/>
              <c:layout>
                <c:manualLayout>
                  <c:x val="0.25930265703260946"/>
                  <c:y val="4.1614990232612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E462-1244-9324-5BE3C616B5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'Leg-by-Leg'!$G$12:$G$24</c:f>
              <c:numCache>
                <c:formatCode>General</c:formatCode>
                <c:ptCount val="13"/>
                <c:pt idx="0">
                  <c:v>19</c:v>
                </c:pt>
                <c:pt idx="1">
                  <c:v>36</c:v>
                </c:pt>
                <c:pt idx="2">
                  <c:v>38</c:v>
                </c:pt>
                <c:pt idx="3">
                  <c:v>38</c:v>
                </c:pt>
                <c:pt idx="4">
                  <c:v>36</c:v>
                </c:pt>
                <c:pt idx="5">
                  <c:v>39</c:v>
                </c:pt>
                <c:pt idx="6">
                  <c:v>38</c:v>
                </c:pt>
                <c:pt idx="7">
                  <c:v>37</c:v>
                </c:pt>
                <c:pt idx="8">
                  <c:v>33</c:v>
                </c:pt>
                <c:pt idx="9">
                  <c:v>32</c:v>
                </c:pt>
                <c:pt idx="10">
                  <c:v>28</c:v>
                </c:pt>
                <c:pt idx="11">
                  <c:v>7</c:v>
                </c:pt>
                <c:pt idx="12">
                  <c:v>13</c:v>
                </c:pt>
              </c:numCache>
            </c:numRef>
          </c:val>
          <c:extLst>
            <c:ext xmlns:c16="http://schemas.microsoft.com/office/drawing/2014/chart" uri="{C3380CC4-5D6E-409C-BE32-E72D297353CC}">
              <c16:uniqueId val="{00000000-5168-6349-A4C5-E8F0BA336730}"/>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Speed Bumps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6.4864503000392357E-2"/>
          <c:y val="0.12242856533282065"/>
          <c:w val="0.8050990574993947"/>
          <c:h val="0.84642705274583097"/>
        </c:manualLayout>
      </c:layout>
      <c:pieChart>
        <c:varyColors val="1"/>
        <c:ser>
          <c:idx val="0"/>
          <c:order val="0"/>
          <c:spPr>
            <a:solidFill>
              <a:schemeClr val="lt1"/>
            </a:solidFill>
            <a:ln w="19050">
              <a:solidFill>
                <a:srgbClr val="92D050"/>
              </a:solidFill>
            </a:ln>
            <a:effectLst/>
          </c:spPr>
          <c:dPt>
            <c:idx val="0"/>
            <c:bubble3D val="0"/>
            <c:spPr>
              <a:solidFill>
                <a:schemeClr val="lt1"/>
              </a:solidFill>
              <a:ln w="19050">
                <a:solidFill>
                  <a:srgbClr val="92D050"/>
                </a:solidFill>
              </a:ln>
              <a:effectLst/>
            </c:spPr>
            <c:extLst>
              <c:ext xmlns:c16="http://schemas.microsoft.com/office/drawing/2014/chart" uri="{C3380CC4-5D6E-409C-BE32-E72D297353CC}">
                <c16:uniqueId val="{00000003-5944-F346-820A-779F4E9B7682}"/>
              </c:ext>
            </c:extLst>
          </c:dPt>
          <c:dPt>
            <c:idx val="1"/>
            <c:bubble3D val="0"/>
            <c:spPr>
              <a:solidFill>
                <a:schemeClr val="lt1"/>
              </a:solidFill>
              <a:ln w="19050">
                <a:solidFill>
                  <a:srgbClr val="92D050"/>
                </a:solidFill>
              </a:ln>
              <a:effectLst/>
            </c:spPr>
            <c:extLst>
              <c:ext xmlns:c16="http://schemas.microsoft.com/office/drawing/2014/chart" uri="{C3380CC4-5D6E-409C-BE32-E72D297353CC}">
                <c16:uniqueId val="{00000003-6422-2047-A503-230C56B736A5}"/>
              </c:ext>
            </c:extLst>
          </c:dPt>
          <c:dPt>
            <c:idx val="2"/>
            <c:bubble3D val="0"/>
            <c:spPr>
              <a:solidFill>
                <a:schemeClr val="lt1"/>
              </a:solidFill>
              <a:ln w="19050">
                <a:solidFill>
                  <a:srgbClr val="92D050"/>
                </a:solidFill>
              </a:ln>
              <a:effectLst/>
            </c:spPr>
            <c:extLst>
              <c:ext xmlns:c16="http://schemas.microsoft.com/office/drawing/2014/chart" uri="{C3380CC4-5D6E-409C-BE32-E72D297353CC}">
                <c16:uniqueId val="{00000005-6422-2047-A503-230C56B736A5}"/>
              </c:ext>
            </c:extLst>
          </c:dPt>
          <c:dPt>
            <c:idx val="3"/>
            <c:bubble3D val="0"/>
            <c:spPr>
              <a:solidFill>
                <a:schemeClr val="lt1"/>
              </a:solidFill>
              <a:ln w="19050">
                <a:solidFill>
                  <a:srgbClr val="92D050"/>
                </a:solidFill>
              </a:ln>
              <a:effectLst/>
            </c:spPr>
            <c:extLst>
              <c:ext xmlns:c16="http://schemas.microsoft.com/office/drawing/2014/chart" uri="{C3380CC4-5D6E-409C-BE32-E72D297353CC}">
                <c16:uniqueId val="{00000007-6422-2047-A503-230C56B736A5}"/>
              </c:ext>
            </c:extLst>
          </c:dPt>
          <c:dPt>
            <c:idx val="4"/>
            <c:bubble3D val="0"/>
            <c:spPr>
              <a:solidFill>
                <a:schemeClr val="lt1"/>
              </a:solidFill>
              <a:ln w="19050">
                <a:solidFill>
                  <a:srgbClr val="92D050"/>
                </a:solidFill>
              </a:ln>
              <a:effectLst/>
            </c:spPr>
            <c:extLst>
              <c:ext xmlns:c16="http://schemas.microsoft.com/office/drawing/2014/chart" uri="{C3380CC4-5D6E-409C-BE32-E72D297353CC}">
                <c16:uniqueId val="{00000009-6422-2047-A503-230C56B736A5}"/>
              </c:ext>
            </c:extLst>
          </c:dPt>
          <c:dPt>
            <c:idx val="5"/>
            <c:bubble3D val="0"/>
            <c:spPr>
              <a:solidFill>
                <a:schemeClr val="lt1"/>
              </a:solidFill>
              <a:ln w="19050">
                <a:solidFill>
                  <a:srgbClr val="92D050"/>
                </a:solidFill>
              </a:ln>
              <a:effectLst/>
            </c:spPr>
            <c:extLst>
              <c:ext xmlns:c16="http://schemas.microsoft.com/office/drawing/2014/chart" uri="{C3380CC4-5D6E-409C-BE32-E72D297353CC}">
                <c16:uniqueId val="{0000000B-6422-2047-A503-230C56B736A5}"/>
              </c:ext>
            </c:extLst>
          </c:dPt>
          <c:dPt>
            <c:idx val="6"/>
            <c:bubble3D val="0"/>
            <c:spPr>
              <a:solidFill>
                <a:schemeClr val="lt1"/>
              </a:solidFill>
              <a:ln w="19050">
                <a:solidFill>
                  <a:srgbClr val="92D050"/>
                </a:solidFill>
              </a:ln>
              <a:effectLst/>
            </c:spPr>
            <c:extLst>
              <c:ext xmlns:c16="http://schemas.microsoft.com/office/drawing/2014/chart" uri="{C3380CC4-5D6E-409C-BE32-E72D297353CC}">
                <c16:uniqueId val="{0000000D-6422-2047-A503-230C56B736A5}"/>
              </c:ext>
            </c:extLst>
          </c:dPt>
          <c:dPt>
            <c:idx val="7"/>
            <c:bubble3D val="0"/>
            <c:spPr>
              <a:solidFill>
                <a:schemeClr val="lt1"/>
              </a:solidFill>
              <a:ln w="19050">
                <a:solidFill>
                  <a:srgbClr val="92D050"/>
                </a:solidFill>
              </a:ln>
              <a:effectLst/>
            </c:spPr>
            <c:extLst>
              <c:ext xmlns:c16="http://schemas.microsoft.com/office/drawing/2014/chart" uri="{C3380CC4-5D6E-409C-BE32-E72D297353CC}">
                <c16:uniqueId val="{0000000F-6422-2047-A503-230C56B736A5}"/>
              </c:ext>
            </c:extLst>
          </c:dPt>
          <c:dPt>
            <c:idx val="8"/>
            <c:bubble3D val="0"/>
            <c:spPr>
              <a:solidFill>
                <a:schemeClr val="lt1"/>
              </a:solidFill>
              <a:ln w="19050">
                <a:solidFill>
                  <a:srgbClr val="92D050"/>
                </a:solidFill>
              </a:ln>
              <a:effectLst/>
            </c:spPr>
            <c:extLst>
              <c:ext xmlns:c16="http://schemas.microsoft.com/office/drawing/2014/chart" uri="{C3380CC4-5D6E-409C-BE32-E72D297353CC}">
                <c16:uniqueId val="{00000011-6422-2047-A503-230C56B736A5}"/>
              </c:ext>
            </c:extLst>
          </c:dPt>
          <c:dPt>
            <c:idx val="9"/>
            <c:bubble3D val="0"/>
            <c:spPr>
              <a:solidFill>
                <a:schemeClr val="lt1"/>
              </a:solidFill>
              <a:ln w="19050">
                <a:solidFill>
                  <a:srgbClr val="92D050"/>
                </a:solidFill>
              </a:ln>
              <a:effectLst/>
            </c:spPr>
            <c:extLst>
              <c:ext xmlns:c16="http://schemas.microsoft.com/office/drawing/2014/chart" uri="{C3380CC4-5D6E-409C-BE32-E72D297353CC}">
                <c16:uniqueId val="{00000013-6422-2047-A503-230C56B736A5}"/>
              </c:ext>
            </c:extLst>
          </c:dPt>
          <c:dPt>
            <c:idx val="10"/>
            <c:bubble3D val="0"/>
            <c:spPr>
              <a:solidFill>
                <a:schemeClr val="lt1"/>
              </a:solidFill>
              <a:ln w="19050">
                <a:solidFill>
                  <a:srgbClr val="92D050"/>
                </a:solidFill>
              </a:ln>
              <a:effectLst/>
            </c:spPr>
            <c:extLst>
              <c:ext xmlns:c16="http://schemas.microsoft.com/office/drawing/2014/chart" uri="{C3380CC4-5D6E-409C-BE32-E72D297353CC}">
                <c16:uniqueId val="{00000015-6422-2047-A503-230C56B736A5}"/>
              </c:ext>
            </c:extLst>
          </c:dPt>
          <c:dPt>
            <c:idx val="11"/>
            <c:bubble3D val="0"/>
            <c:spPr>
              <a:solidFill>
                <a:schemeClr val="lt1"/>
              </a:solidFill>
              <a:ln w="19050">
                <a:solidFill>
                  <a:srgbClr val="92D050"/>
                </a:solidFill>
              </a:ln>
              <a:effectLst/>
            </c:spPr>
            <c:extLst>
              <c:ext xmlns:c16="http://schemas.microsoft.com/office/drawing/2014/chart" uri="{C3380CC4-5D6E-409C-BE32-E72D297353CC}">
                <c16:uniqueId val="{00000002-5944-F346-820A-779F4E9B7682}"/>
              </c:ext>
            </c:extLst>
          </c:dPt>
          <c:dPt>
            <c:idx val="12"/>
            <c:bubble3D val="0"/>
            <c:spPr>
              <a:solidFill>
                <a:schemeClr val="lt1"/>
              </a:solidFill>
              <a:ln w="19050">
                <a:solidFill>
                  <a:srgbClr val="92D050"/>
                </a:solidFill>
              </a:ln>
              <a:effectLst/>
            </c:spPr>
            <c:extLst>
              <c:ext xmlns:c16="http://schemas.microsoft.com/office/drawing/2014/chart" uri="{C3380CC4-5D6E-409C-BE32-E72D297353CC}">
                <c16:uniqueId val="{00000001-5944-F346-820A-779F4E9B7682}"/>
              </c:ext>
            </c:extLst>
          </c:dPt>
          <c:dLbls>
            <c:dLbl>
              <c:idx val="0"/>
              <c:delete val="1"/>
              <c:extLst>
                <c:ext xmlns:c15="http://schemas.microsoft.com/office/drawing/2012/chart" uri="{CE6537A1-D6FC-4f65-9D91-7224C49458BB}"/>
                <c:ext xmlns:c16="http://schemas.microsoft.com/office/drawing/2014/chart" uri="{C3380CC4-5D6E-409C-BE32-E72D297353CC}">
                  <c16:uniqueId val="{00000003-5944-F346-820A-779F4E9B7682}"/>
                </c:ext>
              </c:extLst>
            </c:dLbl>
            <c:dLbl>
              <c:idx val="2"/>
              <c:delete val="1"/>
              <c:extLst>
                <c:ext xmlns:c15="http://schemas.microsoft.com/office/drawing/2012/chart" uri="{CE6537A1-D6FC-4f65-9D91-7224C49458BB}"/>
                <c:ext xmlns:c16="http://schemas.microsoft.com/office/drawing/2014/chart" uri="{C3380CC4-5D6E-409C-BE32-E72D297353CC}">
                  <c16:uniqueId val="{00000005-6422-2047-A503-230C56B736A5}"/>
                </c:ext>
              </c:extLst>
            </c:dLbl>
            <c:dLbl>
              <c:idx val="11"/>
              <c:delete val="1"/>
              <c:extLst>
                <c:ext xmlns:c15="http://schemas.microsoft.com/office/drawing/2012/chart" uri="{CE6537A1-D6FC-4f65-9D91-7224C49458BB}"/>
                <c:ext xmlns:c16="http://schemas.microsoft.com/office/drawing/2014/chart" uri="{C3380CC4-5D6E-409C-BE32-E72D297353CC}">
                  <c16:uniqueId val="{00000002-5944-F346-820A-779F4E9B768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'Leg-by-Leg'!$I$12:$I$24</c:f>
              <c:numCache>
                <c:formatCode>General</c:formatCode>
                <c:ptCount val="13"/>
                <c:pt idx="0">
                  <c:v>0</c:v>
                </c:pt>
                <c:pt idx="1">
                  <c:v>3</c:v>
                </c:pt>
                <c:pt idx="2">
                  <c:v>0</c:v>
                </c:pt>
                <c:pt idx="3">
                  <c:v>5</c:v>
                </c:pt>
                <c:pt idx="4">
                  <c:v>6</c:v>
                </c:pt>
                <c:pt idx="5">
                  <c:v>3</c:v>
                </c:pt>
                <c:pt idx="6">
                  <c:v>5</c:v>
                </c:pt>
                <c:pt idx="7">
                  <c:v>9</c:v>
                </c:pt>
                <c:pt idx="8">
                  <c:v>5</c:v>
                </c:pt>
                <c:pt idx="9">
                  <c:v>7</c:v>
                </c:pt>
                <c:pt idx="10">
                  <c:v>6</c:v>
                </c:pt>
                <c:pt idx="11">
                  <c:v>0</c:v>
                </c:pt>
                <c:pt idx="12">
                  <c:v>7</c:v>
                </c:pt>
              </c:numCache>
            </c:numRef>
          </c:val>
          <c:extLst>
            <c:ext xmlns:c16="http://schemas.microsoft.com/office/drawing/2014/chart" uri="{C3380CC4-5D6E-409C-BE32-E72D297353CC}">
              <c16:uniqueId val="{00000000-5944-F346-820A-779F4E9B768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Fast</a:t>
            </a:r>
            <a:r>
              <a:rPr lang="en-US" baseline="0"/>
              <a:t> Forwards (1-4) by leg</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3CFF00"/>
              </a:solidFill>
            </a:ln>
            <a:effectLst/>
          </c:spPr>
          <c:dPt>
            <c:idx val="0"/>
            <c:bubble3D val="0"/>
            <c:spPr>
              <a:solidFill>
                <a:schemeClr val="lt1"/>
              </a:solidFill>
              <a:ln w="19050">
                <a:solidFill>
                  <a:srgbClr val="3CFF00"/>
                </a:solidFill>
              </a:ln>
              <a:effectLst/>
            </c:spPr>
            <c:extLst>
              <c:ext xmlns:c16="http://schemas.microsoft.com/office/drawing/2014/chart" uri="{C3380CC4-5D6E-409C-BE32-E72D297353CC}">
                <c16:uniqueId val="{00000001-1DBA-0F43-8978-8EBFC08F26BF}"/>
              </c:ext>
            </c:extLst>
          </c:dPt>
          <c:dPt>
            <c:idx val="1"/>
            <c:bubble3D val="0"/>
            <c:spPr>
              <a:solidFill>
                <a:schemeClr val="lt1"/>
              </a:solidFill>
              <a:ln w="19050">
                <a:solidFill>
                  <a:srgbClr val="3CFF00"/>
                </a:solidFill>
              </a:ln>
              <a:effectLst/>
            </c:spPr>
            <c:extLst>
              <c:ext xmlns:c16="http://schemas.microsoft.com/office/drawing/2014/chart" uri="{C3380CC4-5D6E-409C-BE32-E72D297353CC}">
                <c16:uniqueId val="{00000003-1DBA-0F43-8978-8EBFC08F26BF}"/>
              </c:ext>
            </c:extLst>
          </c:dPt>
          <c:dPt>
            <c:idx val="2"/>
            <c:bubble3D val="0"/>
            <c:spPr>
              <a:solidFill>
                <a:schemeClr val="lt1"/>
              </a:solidFill>
              <a:ln w="19050">
                <a:solidFill>
                  <a:srgbClr val="3CFF00"/>
                </a:solidFill>
              </a:ln>
              <a:effectLst/>
            </c:spPr>
            <c:extLst>
              <c:ext xmlns:c16="http://schemas.microsoft.com/office/drawing/2014/chart" uri="{C3380CC4-5D6E-409C-BE32-E72D297353CC}">
                <c16:uniqueId val="{00000005-1DBA-0F43-8978-8EBFC08F26BF}"/>
              </c:ext>
            </c:extLst>
          </c:dPt>
          <c:dPt>
            <c:idx val="3"/>
            <c:bubble3D val="0"/>
            <c:spPr>
              <a:solidFill>
                <a:schemeClr val="lt1"/>
              </a:solidFill>
              <a:ln w="19050">
                <a:solidFill>
                  <a:srgbClr val="3CFF00"/>
                </a:solidFill>
              </a:ln>
              <a:effectLst/>
            </c:spPr>
            <c:extLst>
              <c:ext xmlns:c16="http://schemas.microsoft.com/office/drawing/2014/chart" uri="{C3380CC4-5D6E-409C-BE32-E72D297353CC}">
                <c16:uniqueId val="{00000007-1DBA-0F43-8978-8EBFC08F26BF}"/>
              </c:ext>
            </c:extLst>
          </c:dPt>
          <c:dPt>
            <c:idx val="4"/>
            <c:bubble3D val="0"/>
            <c:spPr>
              <a:solidFill>
                <a:schemeClr val="lt1"/>
              </a:solidFill>
              <a:ln w="19050">
                <a:solidFill>
                  <a:srgbClr val="3CFF00"/>
                </a:solidFill>
              </a:ln>
              <a:effectLst/>
            </c:spPr>
            <c:extLst>
              <c:ext xmlns:c16="http://schemas.microsoft.com/office/drawing/2014/chart" uri="{C3380CC4-5D6E-409C-BE32-E72D297353CC}">
                <c16:uniqueId val="{00000009-1DBA-0F43-8978-8EBFC08F26BF}"/>
              </c:ext>
            </c:extLst>
          </c:dPt>
          <c:dPt>
            <c:idx val="5"/>
            <c:bubble3D val="0"/>
            <c:spPr>
              <a:solidFill>
                <a:schemeClr val="lt1"/>
              </a:solidFill>
              <a:ln w="19050">
                <a:solidFill>
                  <a:srgbClr val="3CFF00"/>
                </a:solidFill>
              </a:ln>
              <a:effectLst/>
            </c:spPr>
            <c:extLst>
              <c:ext xmlns:c16="http://schemas.microsoft.com/office/drawing/2014/chart" uri="{C3380CC4-5D6E-409C-BE32-E72D297353CC}">
                <c16:uniqueId val="{0000000B-1DBA-0F43-8978-8EBFC08F26BF}"/>
              </c:ext>
            </c:extLst>
          </c:dPt>
          <c:dPt>
            <c:idx val="6"/>
            <c:bubble3D val="0"/>
            <c:spPr>
              <a:solidFill>
                <a:schemeClr val="lt1"/>
              </a:solidFill>
              <a:ln w="19050">
                <a:solidFill>
                  <a:srgbClr val="3CFF00"/>
                </a:solidFill>
              </a:ln>
              <a:effectLst/>
            </c:spPr>
            <c:extLst>
              <c:ext xmlns:c16="http://schemas.microsoft.com/office/drawing/2014/chart" uri="{C3380CC4-5D6E-409C-BE32-E72D297353CC}">
                <c16:uniqueId val="{0000000D-1DBA-0F43-8978-8EBFC08F26BF}"/>
              </c:ext>
            </c:extLst>
          </c:dPt>
          <c:dPt>
            <c:idx val="7"/>
            <c:bubble3D val="0"/>
            <c:spPr>
              <a:solidFill>
                <a:schemeClr val="lt1"/>
              </a:solidFill>
              <a:ln w="19050">
                <a:solidFill>
                  <a:srgbClr val="3CFF00"/>
                </a:solidFill>
              </a:ln>
              <a:effectLst/>
            </c:spPr>
            <c:extLst>
              <c:ext xmlns:c16="http://schemas.microsoft.com/office/drawing/2014/chart" uri="{C3380CC4-5D6E-409C-BE32-E72D297353CC}">
                <c16:uniqueId val="{0000000F-1DBA-0F43-8978-8EBFC08F26BF}"/>
              </c:ext>
            </c:extLst>
          </c:dPt>
          <c:dPt>
            <c:idx val="8"/>
            <c:bubble3D val="0"/>
            <c:spPr>
              <a:solidFill>
                <a:schemeClr val="lt1"/>
              </a:solidFill>
              <a:ln w="19050">
                <a:solidFill>
                  <a:srgbClr val="3CFF00"/>
                </a:solidFill>
              </a:ln>
              <a:effectLst/>
            </c:spPr>
            <c:extLst>
              <c:ext xmlns:c16="http://schemas.microsoft.com/office/drawing/2014/chart" uri="{C3380CC4-5D6E-409C-BE32-E72D297353CC}">
                <c16:uniqueId val="{00000011-1DBA-0F43-8978-8EBFC08F26BF}"/>
              </c:ext>
            </c:extLst>
          </c:dPt>
          <c:dPt>
            <c:idx val="9"/>
            <c:bubble3D val="0"/>
            <c:spPr>
              <a:solidFill>
                <a:schemeClr val="lt1"/>
              </a:solidFill>
              <a:ln w="19050">
                <a:solidFill>
                  <a:srgbClr val="3CFF00"/>
                </a:solidFill>
              </a:ln>
              <a:effectLst/>
            </c:spPr>
            <c:extLst>
              <c:ext xmlns:c16="http://schemas.microsoft.com/office/drawing/2014/chart" uri="{C3380CC4-5D6E-409C-BE32-E72D297353CC}">
                <c16:uniqueId val="{00000013-1DBA-0F43-8978-8EBFC08F26BF}"/>
              </c:ext>
            </c:extLst>
          </c:dPt>
          <c:dPt>
            <c:idx val="10"/>
            <c:bubble3D val="0"/>
            <c:spPr>
              <a:solidFill>
                <a:schemeClr val="lt1"/>
              </a:solidFill>
              <a:ln w="19050">
                <a:solidFill>
                  <a:srgbClr val="3CFF00"/>
                </a:solidFill>
              </a:ln>
              <a:effectLst/>
            </c:spPr>
            <c:extLst>
              <c:ext xmlns:c16="http://schemas.microsoft.com/office/drawing/2014/chart" uri="{C3380CC4-5D6E-409C-BE32-E72D297353CC}">
                <c16:uniqueId val="{00000015-1DBA-0F43-8978-8EBFC08F26BF}"/>
              </c:ext>
            </c:extLst>
          </c:dPt>
          <c:dPt>
            <c:idx val="11"/>
            <c:bubble3D val="0"/>
            <c:spPr>
              <a:solidFill>
                <a:schemeClr val="lt1"/>
              </a:solidFill>
              <a:ln w="19050">
                <a:solidFill>
                  <a:srgbClr val="3CFF00"/>
                </a:solidFill>
              </a:ln>
              <a:effectLst/>
            </c:spPr>
            <c:extLst>
              <c:ext xmlns:c16="http://schemas.microsoft.com/office/drawing/2014/chart" uri="{C3380CC4-5D6E-409C-BE32-E72D297353CC}">
                <c16:uniqueId val="{00000002-2AE4-CA44-A5BA-5B50248EE4CD}"/>
              </c:ext>
            </c:extLst>
          </c:dPt>
          <c:dPt>
            <c:idx val="12"/>
            <c:bubble3D val="0"/>
            <c:spPr>
              <a:solidFill>
                <a:schemeClr val="lt1"/>
              </a:solidFill>
              <a:ln w="19050">
                <a:solidFill>
                  <a:srgbClr val="3CFF00"/>
                </a:solidFill>
              </a:ln>
              <a:effectLst/>
            </c:spPr>
            <c:extLst>
              <c:ext xmlns:c16="http://schemas.microsoft.com/office/drawing/2014/chart" uri="{C3380CC4-5D6E-409C-BE32-E72D297353CC}">
                <c16:uniqueId val="{00000001-2AE4-CA44-A5BA-5B50248EE4CD}"/>
              </c:ext>
            </c:extLst>
          </c:dPt>
          <c:dLbls>
            <c:dLbl>
              <c:idx val="11"/>
              <c:delete val="1"/>
              <c:extLst>
                <c:ext xmlns:c15="http://schemas.microsoft.com/office/drawing/2012/chart" uri="{CE6537A1-D6FC-4f65-9D91-7224C49458BB}"/>
                <c:ext xmlns:c16="http://schemas.microsoft.com/office/drawing/2014/chart" uri="{C3380CC4-5D6E-409C-BE32-E72D297353CC}">
                  <c16:uniqueId val="{00000002-2AE4-CA44-A5BA-5B50248EE4CD}"/>
                </c:ext>
              </c:extLst>
            </c:dLbl>
            <c:dLbl>
              <c:idx val="12"/>
              <c:delete val="1"/>
              <c:extLst>
                <c:ext xmlns:c15="http://schemas.microsoft.com/office/drawing/2012/chart" uri="{CE6537A1-D6FC-4f65-9D91-7224C49458BB}"/>
                <c:ext xmlns:c16="http://schemas.microsoft.com/office/drawing/2014/chart" uri="{C3380CC4-5D6E-409C-BE32-E72D297353CC}">
                  <c16:uniqueId val="{00000001-2AE4-CA44-A5BA-5B50248EE4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FF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'Leg-by-Leg'!$K$12:$K$24</c:f>
              <c:numCache>
                <c:formatCode>General</c:formatCode>
                <c:ptCount val="13"/>
                <c:pt idx="0">
                  <c:v>4</c:v>
                </c:pt>
                <c:pt idx="1">
                  <c:v>4</c:v>
                </c:pt>
                <c:pt idx="2">
                  <c:v>4</c:v>
                </c:pt>
                <c:pt idx="3">
                  <c:v>4</c:v>
                </c:pt>
                <c:pt idx="4">
                  <c:v>4</c:v>
                </c:pt>
                <c:pt idx="5">
                  <c:v>4</c:v>
                </c:pt>
                <c:pt idx="6">
                  <c:v>4</c:v>
                </c:pt>
                <c:pt idx="7">
                  <c:v>4</c:v>
                </c:pt>
                <c:pt idx="8">
                  <c:v>4</c:v>
                </c:pt>
                <c:pt idx="9">
                  <c:v>4</c:v>
                </c:pt>
                <c:pt idx="10">
                  <c:v>3</c:v>
                </c:pt>
                <c:pt idx="11">
                  <c:v>0</c:v>
                </c:pt>
                <c:pt idx="12">
                  <c:v>0</c:v>
                </c:pt>
              </c:numCache>
            </c:numRef>
          </c:val>
          <c:extLst>
            <c:ext xmlns:c16="http://schemas.microsoft.com/office/drawing/2014/chart" uri="{C3380CC4-5D6E-409C-BE32-E72D297353CC}">
              <c16:uniqueId val="{00000000-2AE4-CA44-A5BA-5B50248EE4CD}"/>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FF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Fast Forwards (5-29)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3CFF00"/>
              </a:solidFill>
            </a:ln>
            <a:effectLst/>
          </c:spPr>
          <c:dPt>
            <c:idx val="0"/>
            <c:bubble3D val="0"/>
            <c:spPr>
              <a:solidFill>
                <a:schemeClr val="lt1"/>
              </a:solidFill>
              <a:ln w="19050">
                <a:solidFill>
                  <a:srgbClr val="3CFF00"/>
                </a:solidFill>
              </a:ln>
              <a:effectLst/>
            </c:spPr>
            <c:extLst>
              <c:ext xmlns:c16="http://schemas.microsoft.com/office/drawing/2014/chart" uri="{C3380CC4-5D6E-409C-BE32-E72D297353CC}">
                <c16:uniqueId val="{00000001-7E53-5944-96DF-88686E83277F}"/>
              </c:ext>
            </c:extLst>
          </c:dPt>
          <c:dPt>
            <c:idx val="1"/>
            <c:bubble3D val="0"/>
            <c:spPr>
              <a:solidFill>
                <a:schemeClr val="lt1"/>
              </a:solidFill>
              <a:ln w="19050">
                <a:solidFill>
                  <a:srgbClr val="3CFF00"/>
                </a:solidFill>
              </a:ln>
              <a:effectLst/>
            </c:spPr>
            <c:extLst>
              <c:ext xmlns:c16="http://schemas.microsoft.com/office/drawing/2014/chart" uri="{C3380CC4-5D6E-409C-BE32-E72D297353CC}">
                <c16:uniqueId val="{00000004-7ACE-B54E-B733-4FA3861B6099}"/>
              </c:ext>
            </c:extLst>
          </c:dPt>
          <c:dPt>
            <c:idx val="2"/>
            <c:bubble3D val="0"/>
            <c:spPr>
              <a:solidFill>
                <a:schemeClr val="lt1"/>
              </a:solidFill>
              <a:ln w="19050">
                <a:solidFill>
                  <a:srgbClr val="3CFF00"/>
                </a:solidFill>
              </a:ln>
              <a:effectLst/>
            </c:spPr>
            <c:extLst>
              <c:ext xmlns:c16="http://schemas.microsoft.com/office/drawing/2014/chart" uri="{C3380CC4-5D6E-409C-BE32-E72D297353CC}">
                <c16:uniqueId val="{00000003-7ACE-B54E-B733-4FA3861B6099}"/>
              </c:ext>
            </c:extLst>
          </c:dPt>
          <c:dPt>
            <c:idx val="3"/>
            <c:bubble3D val="0"/>
            <c:spPr>
              <a:solidFill>
                <a:schemeClr val="lt1"/>
              </a:solidFill>
              <a:ln w="19050">
                <a:solidFill>
                  <a:srgbClr val="3CFF00"/>
                </a:solidFill>
              </a:ln>
              <a:effectLst/>
            </c:spPr>
            <c:extLst>
              <c:ext xmlns:c16="http://schemas.microsoft.com/office/drawing/2014/chart" uri="{C3380CC4-5D6E-409C-BE32-E72D297353CC}">
                <c16:uniqueId val="{00000007-7E53-5944-96DF-88686E83277F}"/>
              </c:ext>
            </c:extLst>
          </c:dPt>
          <c:dPt>
            <c:idx val="4"/>
            <c:bubble3D val="0"/>
            <c:spPr>
              <a:solidFill>
                <a:schemeClr val="lt1"/>
              </a:solidFill>
              <a:ln w="19050">
                <a:solidFill>
                  <a:srgbClr val="3CFF00"/>
                </a:solidFill>
              </a:ln>
              <a:effectLst/>
            </c:spPr>
            <c:extLst>
              <c:ext xmlns:c16="http://schemas.microsoft.com/office/drawing/2014/chart" uri="{C3380CC4-5D6E-409C-BE32-E72D297353CC}">
                <c16:uniqueId val="{00000009-7E53-5944-96DF-88686E83277F}"/>
              </c:ext>
            </c:extLst>
          </c:dPt>
          <c:dPt>
            <c:idx val="5"/>
            <c:bubble3D val="0"/>
            <c:spPr>
              <a:solidFill>
                <a:schemeClr val="lt1"/>
              </a:solidFill>
              <a:ln w="19050">
                <a:solidFill>
                  <a:srgbClr val="3CFF00"/>
                </a:solidFill>
              </a:ln>
              <a:effectLst/>
            </c:spPr>
            <c:extLst>
              <c:ext xmlns:c16="http://schemas.microsoft.com/office/drawing/2014/chart" uri="{C3380CC4-5D6E-409C-BE32-E72D297353CC}">
                <c16:uniqueId val="{0000000B-7E53-5944-96DF-88686E83277F}"/>
              </c:ext>
            </c:extLst>
          </c:dPt>
          <c:dPt>
            <c:idx val="6"/>
            <c:bubble3D val="0"/>
            <c:spPr>
              <a:solidFill>
                <a:schemeClr val="lt1"/>
              </a:solidFill>
              <a:ln w="19050">
                <a:solidFill>
                  <a:srgbClr val="3CFF00"/>
                </a:solidFill>
              </a:ln>
              <a:effectLst/>
            </c:spPr>
            <c:extLst>
              <c:ext xmlns:c16="http://schemas.microsoft.com/office/drawing/2014/chart" uri="{C3380CC4-5D6E-409C-BE32-E72D297353CC}">
                <c16:uniqueId val="{0000000D-7E53-5944-96DF-88686E83277F}"/>
              </c:ext>
            </c:extLst>
          </c:dPt>
          <c:dPt>
            <c:idx val="7"/>
            <c:bubble3D val="0"/>
            <c:spPr>
              <a:solidFill>
                <a:schemeClr val="lt1"/>
              </a:solidFill>
              <a:ln w="19050">
                <a:solidFill>
                  <a:srgbClr val="3CFF00"/>
                </a:solidFill>
              </a:ln>
              <a:effectLst/>
            </c:spPr>
            <c:extLst>
              <c:ext xmlns:c16="http://schemas.microsoft.com/office/drawing/2014/chart" uri="{C3380CC4-5D6E-409C-BE32-E72D297353CC}">
                <c16:uniqueId val="{0000000F-7E53-5944-96DF-88686E83277F}"/>
              </c:ext>
            </c:extLst>
          </c:dPt>
          <c:dPt>
            <c:idx val="8"/>
            <c:bubble3D val="0"/>
            <c:spPr>
              <a:solidFill>
                <a:schemeClr val="lt1"/>
              </a:solidFill>
              <a:ln w="19050">
                <a:solidFill>
                  <a:srgbClr val="3CFF00"/>
                </a:solidFill>
              </a:ln>
              <a:effectLst/>
            </c:spPr>
            <c:extLst>
              <c:ext xmlns:c16="http://schemas.microsoft.com/office/drawing/2014/chart" uri="{C3380CC4-5D6E-409C-BE32-E72D297353CC}">
                <c16:uniqueId val="{00000011-7E53-5944-96DF-88686E83277F}"/>
              </c:ext>
            </c:extLst>
          </c:dPt>
          <c:dPt>
            <c:idx val="9"/>
            <c:bubble3D val="0"/>
            <c:spPr>
              <a:solidFill>
                <a:schemeClr val="lt1"/>
              </a:solidFill>
              <a:ln w="19050">
                <a:solidFill>
                  <a:srgbClr val="3CFF00"/>
                </a:solidFill>
              </a:ln>
              <a:effectLst/>
            </c:spPr>
            <c:extLst>
              <c:ext xmlns:c16="http://schemas.microsoft.com/office/drawing/2014/chart" uri="{C3380CC4-5D6E-409C-BE32-E72D297353CC}">
                <c16:uniqueId val="{00000013-7E53-5944-96DF-88686E83277F}"/>
              </c:ext>
            </c:extLst>
          </c:dPt>
          <c:dPt>
            <c:idx val="10"/>
            <c:bubble3D val="0"/>
            <c:spPr>
              <a:solidFill>
                <a:schemeClr val="lt1"/>
              </a:solidFill>
              <a:ln w="19050">
                <a:solidFill>
                  <a:srgbClr val="3CFF00"/>
                </a:solidFill>
              </a:ln>
              <a:effectLst/>
            </c:spPr>
            <c:extLst>
              <c:ext xmlns:c16="http://schemas.microsoft.com/office/drawing/2014/chart" uri="{C3380CC4-5D6E-409C-BE32-E72D297353CC}">
                <c16:uniqueId val="{00000015-7E53-5944-96DF-88686E83277F}"/>
              </c:ext>
            </c:extLst>
          </c:dPt>
          <c:dPt>
            <c:idx val="11"/>
            <c:bubble3D val="0"/>
            <c:spPr>
              <a:solidFill>
                <a:schemeClr val="lt1"/>
              </a:solidFill>
              <a:ln w="19050">
                <a:solidFill>
                  <a:srgbClr val="3CFF00"/>
                </a:solidFill>
              </a:ln>
              <a:effectLst/>
            </c:spPr>
            <c:extLst>
              <c:ext xmlns:c16="http://schemas.microsoft.com/office/drawing/2014/chart" uri="{C3380CC4-5D6E-409C-BE32-E72D297353CC}">
                <c16:uniqueId val="{00000002-7ACE-B54E-B733-4FA3861B6099}"/>
              </c:ext>
            </c:extLst>
          </c:dPt>
          <c:dPt>
            <c:idx val="12"/>
            <c:bubble3D val="0"/>
            <c:spPr>
              <a:solidFill>
                <a:schemeClr val="lt1"/>
              </a:solidFill>
              <a:ln w="19050">
                <a:solidFill>
                  <a:srgbClr val="3CFF00"/>
                </a:solidFill>
              </a:ln>
              <a:effectLst/>
            </c:spPr>
            <c:extLst>
              <c:ext xmlns:c16="http://schemas.microsoft.com/office/drawing/2014/chart" uri="{C3380CC4-5D6E-409C-BE32-E72D297353CC}">
                <c16:uniqueId val="{00000001-7ACE-B54E-B733-4FA3861B6099}"/>
              </c:ext>
            </c:extLst>
          </c:dPt>
          <c:dLbls>
            <c:dLbl>
              <c:idx val="1"/>
              <c:delete val="1"/>
              <c:extLst>
                <c:ext xmlns:c15="http://schemas.microsoft.com/office/drawing/2012/chart" uri="{CE6537A1-D6FC-4f65-9D91-7224C49458BB}"/>
                <c:ext xmlns:c16="http://schemas.microsoft.com/office/drawing/2014/chart" uri="{C3380CC4-5D6E-409C-BE32-E72D297353CC}">
                  <c16:uniqueId val="{00000004-7ACE-B54E-B733-4FA3861B6099}"/>
                </c:ext>
              </c:extLst>
            </c:dLbl>
            <c:dLbl>
              <c:idx val="2"/>
              <c:delete val="1"/>
              <c:extLst>
                <c:ext xmlns:c15="http://schemas.microsoft.com/office/drawing/2012/chart" uri="{CE6537A1-D6FC-4f65-9D91-7224C49458BB}"/>
                <c:ext xmlns:c16="http://schemas.microsoft.com/office/drawing/2014/chart" uri="{C3380CC4-5D6E-409C-BE32-E72D297353CC}">
                  <c16:uniqueId val="{00000003-7ACE-B54E-B733-4FA3861B6099}"/>
                </c:ext>
              </c:extLst>
            </c:dLbl>
            <c:dLbl>
              <c:idx val="11"/>
              <c:delete val="1"/>
              <c:extLst>
                <c:ext xmlns:c15="http://schemas.microsoft.com/office/drawing/2012/chart" uri="{CE6537A1-D6FC-4f65-9D91-7224C49458BB}"/>
                <c:ext xmlns:c16="http://schemas.microsoft.com/office/drawing/2014/chart" uri="{C3380CC4-5D6E-409C-BE32-E72D297353CC}">
                  <c16:uniqueId val="{00000002-7ACE-B54E-B733-4FA3861B6099}"/>
                </c:ext>
              </c:extLst>
            </c:dLbl>
            <c:dLbl>
              <c:idx val="12"/>
              <c:delete val="1"/>
              <c:extLst>
                <c:ext xmlns:c15="http://schemas.microsoft.com/office/drawing/2012/chart" uri="{CE6537A1-D6FC-4f65-9D91-7224C49458BB}"/>
                <c:ext xmlns:c16="http://schemas.microsoft.com/office/drawing/2014/chart" uri="{C3380CC4-5D6E-409C-BE32-E72D297353CC}">
                  <c16:uniqueId val="{00000001-7ACE-B54E-B733-4FA3861B60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CFF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'Leg-by-Leg'!$B$12:$B$24</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Legs</c:v>
                </c:pt>
              </c:strCache>
            </c:strRef>
          </c:cat>
          <c:val>
            <c:numRef>
              <c:f>'Leg-by-Leg'!$M$12:$M$24</c:f>
              <c:numCache>
                <c:formatCode>General</c:formatCode>
                <c:ptCount val="13"/>
                <c:pt idx="0">
                  <c:v>1</c:v>
                </c:pt>
                <c:pt idx="1">
                  <c:v>0</c:v>
                </c:pt>
                <c:pt idx="2">
                  <c:v>0</c:v>
                </c:pt>
                <c:pt idx="3">
                  <c:v>4</c:v>
                </c:pt>
                <c:pt idx="4">
                  <c:v>6</c:v>
                </c:pt>
                <c:pt idx="5">
                  <c:v>5</c:v>
                </c:pt>
                <c:pt idx="6">
                  <c:v>5</c:v>
                </c:pt>
                <c:pt idx="7">
                  <c:v>3</c:v>
                </c:pt>
                <c:pt idx="8">
                  <c:v>5</c:v>
                </c:pt>
                <c:pt idx="9">
                  <c:v>2</c:v>
                </c:pt>
                <c:pt idx="10">
                  <c:v>1</c:v>
                </c:pt>
                <c:pt idx="11">
                  <c:v>0</c:v>
                </c:pt>
                <c:pt idx="12">
                  <c:v>0</c:v>
                </c:pt>
              </c:numCache>
            </c:numRef>
          </c:val>
          <c:extLst>
            <c:ext xmlns:c16="http://schemas.microsoft.com/office/drawing/2014/chart" uri="{C3380CC4-5D6E-409C-BE32-E72D297353CC}">
              <c16:uniqueId val="{00000000-7ACE-B54E-B733-4FA3861B609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CFF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Longest legs by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C000"/>
              </a:solidFill>
            </a:ln>
            <a:effectLst/>
          </c:spPr>
          <c:dPt>
            <c:idx val="0"/>
            <c:bubble3D val="0"/>
            <c:spPr>
              <a:solidFill>
                <a:schemeClr val="lt1"/>
              </a:solidFill>
              <a:ln w="19050">
                <a:solidFill>
                  <a:srgbClr val="FFC000"/>
                </a:solidFill>
              </a:ln>
              <a:effectLst/>
            </c:spPr>
            <c:extLst>
              <c:ext xmlns:c16="http://schemas.microsoft.com/office/drawing/2014/chart" uri="{C3380CC4-5D6E-409C-BE32-E72D297353CC}">
                <c16:uniqueId val="{00000001-143A-CA4B-B426-2057134BE391}"/>
              </c:ext>
            </c:extLst>
          </c:dPt>
          <c:dPt>
            <c:idx val="1"/>
            <c:bubble3D val="0"/>
            <c:spPr>
              <a:solidFill>
                <a:schemeClr val="lt1"/>
              </a:solidFill>
              <a:ln w="19050">
                <a:solidFill>
                  <a:srgbClr val="FFC000"/>
                </a:solidFill>
              </a:ln>
              <a:effectLst/>
            </c:spPr>
            <c:extLst>
              <c:ext xmlns:c16="http://schemas.microsoft.com/office/drawing/2014/chart" uri="{C3380CC4-5D6E-409C-BE32-E72D297353CC}">
                <c16:uniqueId val="{00000002-86F8-7541-BBB3-4B246D8D40F3}"/>
              </c:ext>
            </c:extLst>
          </c:dPt>
          <c:dPt>
            <c:idx val="2"/>
            <c:bubble3D val="0"/>
            <c:spPr>
              <a:solidFill>
                <a:schemeClr val="lt1"/>
              </a:solidFill>
              <a:ln w="19050">
                <a:solidFill>
                  <a:srgbClr val="FFC000"/>
                </a:solidFill>
              </a:ln>
              <a:effectLst/>
            </c:spPr>
            <c:extLst>
              <c:ext xmlns:c16="http://schemas.microsoft.com/office/drawing/2014/chart" uri="{C3380CC4-5D6E-409C-BE32-E72D297353CC}">
                <c16:uniqueId val="{00000001-86F8-7541-BBB3-4B246D8D40F3}"/>
              </c:ext>
            </c:extLst>
          </c:dPt>
          <c:dPt>
            <c:idx val="3"/>
            <c:bubble3D val="0"/>
            <c:spPr>
              <a:solidFill>
                <a:schemeClr val="lt1"/>
              </a:solidFill>
              <a:ln w="19050">
                <a:solidFill>
                  <a:srgbClr val="FFC000"/>
                </a:solidFill>
              </a:ln>
              <a:effectLst/>
            </c:spPr>
            <c:extLst>
              <c:ext xmlns:c16="http://schemas.microsoft.com/office/drawing/2014/chart" uri="{C3380CC4-5D6E-409C-BE32-E72D297353CC}">
                <c16:uniqueId val="{00000007-143A-CA4B-B426-2057134BE391}"/>
              </c:ext>
            </c:extLst>
          </c:dPt>
          <c:dPt>
            <c:idx val="4"/>
            <c:bubble3D val="0"/>
            <c:spPr>
              <a:solidFill>
                <a:schemeClr val="lt1"/>
              </a:solidFill>
              <a:ln w="19050">
                <a:solidFill>
                  <a:srgbClr val="FFC000"/>
                </a:solidFill>
              </a:ln>
              <a:effectLst/>
            </c:spPr>
            <c:extLst>
              <c:ext xmlns:c16="http://schemas.microsoft.com/office/drawing/2014/chart" uri="{C3380CC4-5D6E-409C-BE32-E72D297353CC}">
                <c16:uniqueId val="{00000003-86F8-7541-BBB3-4B246D8D40F3}"/>
              </c:ext>
            </c:extLst>
          </c:dPt>
          <c:dPt>
            <c:idx val="5"/>
            <c:bubble3D val="0"/>
            <c:spPr>
              <a:solidFill>
                <a:schemeClr val="lt1"/>
              </a:solidFill>
              <a:ln w="19050">
                <a:solidFill>
                  <a:srgbClr val="FFC000"/>
                </a:solidFill>
              </a:ln>
              <a:effectLst/>
            </c:spPr>
            <c:extLst>
              <c:ext xmlns:c16="http://schemas.microsoft.com/office/drawing/2014/chart" uri="{C3380CC4-5D6E-409C-BE32-E72D297353CC}">
                <c16:uniqueId val="{0000000B-143A-CA4B-B426-2057134BE391}"/>
              </c:ext>
            </c:extLst>
          </c:dPt>
          <c:dPt>
            <c:idx val="6"/>
            <c:bubble3D val="0"/>
            <c:spPr>
              <a:solidFill>
                <a:schemeClr val="lt1"/>
              </a:solidFill>
              <a:ln w="19050">
                <a:solidFill>
                  <a:srgbClr val="FFC000"/>
                </a:solidFill>
              </a:ln>
              <a:effectLst/>
            </c:spPr>
            <c:extLst>
              <c:ext xmlns:c16="http://schemas.microsoft.com/office/drawing/2014/chart" uri="{C3380CC4-5D6E-409C-BE32-E72D297353CC}">
                <c16:uniqueId val="{00000004-86F8-7541-BBB3-4B246D8D40F3}"/>
              </c:ext>
            </c:extLst>
          </c:dPt>
          <c:dPt>
            <c:idx val="7"/>
            <c:bubble3D val="0"/>
            <c:spPr>
              <a:solidFill>
                <a:schemeClr val="lt1"/>
              </a:solidFill>
              <a:ln w="19050">
                <a:solidFill>
                  <a:srgbClr val="FFC000"/>
                </a:solidFill>
              </a:ln>
              <a:effectLst/>
            </c:spPr>
            <c:extLst>
              <c:ext xmlns:c16="http://schemas.microsoft.com/office/drawing/2014/chart" uri="{C3380CC4-5D6E-409C-BE32-E72D297353CC}">
                <c16:uniqueId val="{0000000F-143A-CA4B-B426-2057134BE391}"/>
              </c:ext>
            </c:extLst>
          </c:dPt>
          <c:dPt>
            <c:idx val="8"/>
            <c:bubble3D val="0"/>
            <c:spPr>
              <a:solidFill>
                <a:schemeClr val="lt1"/>
              </a:solidFill>
              <a:ln w="19050">
                <a:solidFill>
                  <a:srgbClr val="FFC000"/>
                </a:solidFill>
              </a:ln>
              <a:effectLst/>
            </c:spPr>
            <c:extLst>
              <c:ext xmlns:c16="http://schemas.microsoft.com/office/drawing/2014/chart" uri="{C3380CC4-5D6E-409C-BE32-E72D297353CC}">
                <c16:uniqueId val="{00000011-143A-CA4B-B426-2057134BE391}"/>
              </c:ext>
            </c:extLst>
          </c:dPt>
          <c:dPt>
            <c:idx val="9"/>
            <c:bubble3D val="0"/>
            <c:spPr>
              <a:solidFill>
                <a:schemeClr val="lt1"/>
              </a:solidFill>
              <a:ln w="19050">
                <a:solidFill>
                  <a:srgbClr val="FFC000"/>
                </a:solidFill>
              </a:ln>
              <a:effectLst/>
            </c:spPr>
            <c:extLst>
              <c:ext xmlns:c16="http://schemas.microsoft.com/office/drawing/2014/chart" uri="{C3380CC4-5D6E-409C-BE32-E72D297353CC}">
                <c16:uniqueId val="{00000013-143A-CA4B-B426-2057134BE391}"/>
              </c:ext>
            </c:extLst>
          </c:dPt>
          <c:dPt>
            <c:idx val="10"/>
            <c:bubble3D val="0"/>
            <c:spPr>
              <a:solidFill>
                <a:schemeClr val="lt1"/>
              </a:solidFill>
              <a:ln w="19050">
                <a:solidFill>
                  <a:srgbClr val="FFC000"/>
                </a:solidFill>
              </a:ln>
              <a:effectLst/>
            </c:spPr>
            <c:extLst>
              <c:ext xmlns:c16="http://schemas.microsoft.com/office/drawing/2014/chart" uri="{C3380CC4-5D6E-409C-BE32-E72D297353CC}">
                <c16:uniqueId val="{00000015-143A-CA4B-B426-2057134BE391}"/>
              </c:ext>
            </c:extLst>
          </c:dPt>
          <c:dPt>
            <c:idx val="11"/>
            <c:bubble3D val="0"/>
            <c:spPr>
              <a:solidFill>
                <a:schemeClr val="lt1"/>
              </a:solidFill>
              <a:ln w="19050">
                <a:solidFill>
                  <a:srgbClr val="FFC000"/>
                </a:solidFill>
              </a:ln>
              <a:effectLst/>
            </c:spPr>
            <c:extLst>
              <c:ext xmlns:c16="http://schemas.microsoft.com/office/drawing/2014/chart" uri="{C3380CC4-5D6E-409C-BE32-E72D297353CC}">
                <c16:uniqueId val="{00000005-86F8-7541-BBB3-4B246D8D40F3}"/>
              </c:ext>
            </c:extLst>
          </c:dPt>
          <c:dPt>
            <c:idx val="12"/>
            <c:bubble3D val="0"/>
            <c:spPr>
              <a:solidFill>
                <a:schemeClr val="lt1"/>
              </a:solidFill>
              <a:ln w="19050">
                <a:solidFill>
                  <a:srgbClr val="FFC000"/>
                </a:solidFill>
              </a:ln>
              <a:effectLst/>
            </c:spPr>
            <c:extLst>
              <c:ext xmlns:c16="http://schemas.microsoft.com/office/drawing/2014/chart" uri="{C3380CC4-5D6E-409C-BE32-E72D297353CC}">
                <c16:uniqueId val="{00000019-143A-CA4B-B426-2057134BE391}"/>
              </c:ext>
            </c:extLst>
          </c:dPt>
          <c:dLbls>
            <c:dLbl>
              <c:idx val="1"/>
              <c:delete val="1"/>
              <c:extLst>
                <c:ext xmlns:c15="http://schemas.microsoft.com/office/drawing/2012/chart" uri="{CE6537A1-D6FC-4f65-9D91-7224C49458BB}"/>
                <c:ext xmlns:c16="http://schemas.microsoft.com/office/drawing/2014/chart" uri="{C3380CC4-5D6E-409C-BE32-E72D297353CC}">
                  <c16:uniqueId val="{00000002-86F8-7541-BBB3-4B246D8D40F3}"/>
                </c:ext>
              </c:extLst>
            </c:dLbl>
            <c:dLbl>
              <c:idx val="2"/>
              <c:delete val="1"/>
              <c:extLst>
                <c:ext xmlns:c15="http://schemas.microsoft.com/office/drawing/2012/chart" uri="{CE6537A1-D6FC-4f65-9D91-7224C49458BB}"/>
                <c:ext xmlns:c16="http://schemas.microsoft.com/office/drawing/2014/chart" uri="{C3380CC4-5D6E-409C-BE32-E72D297353CC}">
                  <c16:uniqueId val="{00000001-86F8-7541-BBB3-4B246D8D40F3}"/>
                </c:ext>
              </c:extLst>
            </c:dLbl>
            <c:dLbl>
              <c:idx val="4"/>
              <c:layout>
                <c:manualLayout>
                  <c:x val="3.3351493588830536E-2"/>
                  <c:y val="8.16946297251957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F8-7541-BBB3-4B246D8D40F3}"/>
                </c:ext>
              </c:extLst>
            </c:dLbl>
            <c:dLbl>
              <c:idx val="6"/>
              <c:delete val="1"/>
              <c:extLst>
                <c:ext xmlns:c15="http://schemas.microsoft.com/office/drawing/2012/chart" uri="{CE6537A1-D6FC-4f65-9D91-7224C49458BB}"/>
                <c:ext xmlns:c16="http://schemas.microsoft.com/office/drawing/2014/chart" uri="{C3380CC4-5D6E-409C-BE32-E72D297353CC}">
                  <c16:uniqueId val="{00000004-86F8-7541-BBB3-4B246D8D40F3}"/>
                </c:ext>
              </c:extLst>
            </c:dLbl>
            <c:dLbl>
              <c:idx val="11"/>
              <c:layout>
                <c:manualLayout>
                  <c:x val="-1.5765198958504738E-3"/>
                  <c:y val="-1.5036180723626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F8-7541-BBB3-4B246D8D40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'Leg-by-Leg'!$F$101:$F$113</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Final Leg</c:v>
                </c:pt>
              </c:strCache>
            </c:strRef>
          </c:cat>
          <c:val>
            <c:numRef>
              <c:f>'Leg-by-Leg'!$G$101:$G$113</c:f>
              <c:numCache>
                <c:formatCode>General</c:formatCode>
                <c:ptCount val="13"/>
                <c:pt idx="0">
                  <c:v>3</c:v>
                </c:pt>
                <c:pt idx="1">
                  <c:v>0</c:v>
                </c:pt>
                <c:pt idx="2">
                  <c:v>0</c:v>
                </c:pt>
                <c:pt idx="3">
                  <c:v>2</c:v>
                </c:pt>
                <c:pt idx="4">
                  <c:v>1</c:v>
                </c:pt>
                <c:pt idx="5">
                  <c:v>3</c:v>
                </c:pt>
                <c:pt idx="6">
                  <c:v>0</c:v>
                </c:pt>
                <c:pt idx="7">
                  <c:v>4</c:v>
                </c:pt>
                <c:pt idx="8">
                  <c:v>8</c:v>
                </c:pt>
                <c:pt idx="9">
                  <c:v>5</c:v>
                </c:pt>
                <c:pt idx="10">
                  <c:v>4</c:v>
                </c:pt>
                <c:pt idx="11">
                  <c:v>2</c:v>
                </c:pt>
                <c:pt idx="12">
                  <c:v>16</c:v>
                </c:pt>
              </c:numCache>
            </c:numRef>
          </c:val>
          <c:extLst>
            <c:ext xmlns:c16="http://schemas.microsoft.com/office/drawing/2014/chart" uri="{C3380CC4-5D6E-409C-BE32-E72D297353CC}">
              <c16:uniqueId val="{00000000-86F8-7541-BBB3-4B246D8D40F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Highest Number of Challenges per Season by Number of Seasons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'Leg-by-Leg'!$G$116</c:f>
              <c:strCache>
                <c:ptCount val="1"/>
                <c:pt idx="0">
                  <c:v># of Seasons</c:v>
                </c:pt>
              </c:strCache>
            </c:strRef>
          </c:tx>
          <c:spPr>
            <a:pattFill prst="ltUpDiag">
              <a:fgClr>
                <a:schemeClr val="accent1"/>
              </a:fgClr>
              <a:bgClr>
                <a:schemeClr val="lt1"/>
              </a:bgClr>
            </a:pattFill>
            <a:ln>
              <a:solidFill>
                <a:srgbClr val="FF0000"/>
              </a:solidFill>
            </a:ln>
            <a:effectLst/>
          </c:spPr>
          <c:invertIfNegative val="0"/>
          <c:cat>
            <c:numRef>
              <c:f>'Leg-by-Leg'!$F$117:$F$129</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'Leg-by-Leg'!$G$117:$G$129</c:f>
              <c:numCache>
                <c:formatCode>General</c:formatCode>
                <c:ptCount val="13"/>
                <c:pt idx="0">
                  <c:v>0</c:v>
                </c:pt>
                <c:pt idx="1">
                  <c:v>0</c:v>
                </c:pt>
                <c:pt idx="2">
                  <c:v>0</c:v>
                </c:pt>
                <c:pt idx="3">
                  <c:v>0</c:v>
                </c:pt>
                <c:pt idx="4">
                  <c:v>0</c:v>
                </c:pt>
                <c:pt idx="5">
                  <c:v>0</c:v>
                </c:pt>
                <c:pt idx="6">
                  <c:v>0</c:v>
                </c:pt>
                <c:pt idx="7">
                  <c:v>13</c:v>
                </c:pt>
                <c:pt idx="8">
                  <c:v>15</c:v>
                </c:pt>
                <c:pt idx="9">
                  <c:v>6</c:v>
                </c:pt>
                <c:pt idx="10">
                  <c:v>1</c:v>
                </c:pt>
                <c:pt idx="11">
                  <c:v>1</c:v>
                </c:pt>
                <c:pt idx="12">
                  <c:v>2</c:v>
                </c:pt>
              </c:numCache>
            </c:numRef>
          </c:val>
          <c:extLst>
            <c:ext xmlns:c16="http://schemas.microsoft.com/office/drawing/2014/chart" uri="{C3380CC4-5D6E-409C-BE32-E72D297353CC}">
              <c16:uniqueId val="{00000000-086F-3B4F-9CE3-C50A6D7A806F}"/>
            </c:ext>
          </c:extLst>
        </c:ser>
        <c:dLbls>
          <c:showLegendKey val="0"/>
          <c:showVal val="0"/>
          <c:showCatName val="0"/>
          <c:showSerName val="0"/>
          <c:showPercent val="0"/>
          <c:showBubbleSize val="0"/>
        </c:dLbls>
        <c:gapWidth val="269"/>
        <c:overlap val="-20"/>
        <c:axId val="751368175"/>
        <c:axId val="877648767"/>
      </c:barChart>
      <c:catAx>
        <c:axId val="75136817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77648767"/>
        <c:crosses val="autoZero"/>
        <c:auto val="1"/>
        <c:lblAlgn val="ctr"/>
        <c:lblOffset val="100"/>
        <c:noMultiLvlLbl val="0"/>
      </c:catAx>
      <c:valAx>
        <c:axId val="87764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1368175"/>
        <c:crosses val="autoZero"/>
        <c:crossBetween val="between"/>
      </c:valAx>
      <c:spPr>
        <a:noFill/>
        <a:ln>
          <a:noFill/>
        </a:ln>
        <a:effectLst/>
      </c:spPr>
    </c:plotArea>
    <c:plotVisOnly val="1"/>
    <c:dispBlanksAs val="gap"/>
    <c:showDLblsOverMax val="0"/>
  </c:chart>
  <c:spPr>
    <a:solidFill>
      <a:srgbClr val="FFC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Road Blocks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0000"/>
              </a:solidFill>
            </a:ln>
            <a:effectLst/>
          </c:spPr>
          <c:dPt>
            <c:idx val="0"/>
            <c:bubble3D val="0"/>
            <c:spPr>
              <a:solidFill>
                <a:schemeClr val="lt1"/>
              </a:solidFill>
              <a:ln w="19050">
                <a:solidFill>
                  <a:srgbClr val="FF0000"/>
                </a:solidFill>
              </a:ln>
              <a:effectLst/>
            </c:spPr>
            <c:extLst>
              <c:ext xmlns:c16="http://schemas.microsoft.com/office/drawing/2014/chart" uri="{C3380CC4-5D6E-409C-BE32-E72D297353CC}">
                <c16:uniqueId val="{00000007-ADE9-B248-AA7B-F11F29258076}"/>
              </c:ext>
            </c:extLst>
          </c:dPt>
          <c:dPt>
            <c:idx val="1"/>
            <c:bubble3D val="0"/>
            <c:spPr>
              <a:solidFill>
                <a:schemeClr val="lt1"/>
              </a:solidFill>
              <a:ln w="19050">
                <a:solidFill>
                  <a:srgbClr val="FF0000"/>
                </a:solidFill>
              </a:ln>
              <a:effectLst/>
            </c:spPr>
            <c:extLst>
              <c:ext xmlns:c16="http://schemas.microsoft.com/office/drawing/2014/chart" uri="{C3380CC4-5D6E-409C-BE32-E72D297353CC}">
                <c16:uniqueId val="{00000009-ADE9-B248-AA7B-F11F29258076}"/>
              </c:ext>
            </c:extLst>
          </c:dPt>
          <c:dPt>
            <c:idx val="2"/>
            <c:bubble3D val="0"/>
            <c:spPr>
              <a:solidFill>
                <a:schemeClr val="lt1"/>
              </a:solidFill>
              <a:ln w="19050">
                <a:solidFill>
                  <a:srgbClr val="FF0000"/>
                </a:solidFill>
              </a:ln>
              <a:effectLst/>
            </c:spPr>
            <c:extLst>
              <c:ext xmlns:c16="http://schemas.microsoft.com/office/drawing/2014/chart" uri="{C3380CC4-5D6E-409C-BE32-E72D297353CC}">
                <c16:uniqueId val="{00000005-BB7E-A34C-82AB-E7D2B711EDBF}"/>
              </c:ext>
            </c:extLst>
          </c:dPt>
          <c:dPt>
            <c:idx val="3"/>
            <c:bubble3D val="0"/>
            <c:spPr>
              <a:solidFill>
                <a:schemeClr val="lt1"/>
              </a:solidFill>
              <a:ln w="19050">
                <a:solidFill>
                  <a:srgbClr val="FF0000"/>
                </a:solidFill>
              </a:ln>
              <a:effectLst/>
            </c:spPr>
            <c:extLst>
              <c:ext xmlns:c16="http://schemas.microsoft.com/office/drawing/2014/chart" uri="{C3380CC4-5D6E-409C-BE32-E72D297353CC}">
                <c16:uniqueId val="{00000007-BB7E-A34C-82AB-E7D2B711EDBF}"/>
              </c:ext>
            </c:extLst>
          </c:dPt>
          <c:dPt>
            <c:idx val="4"/>
            <c:bubble3D val="0"/>
            <c:spPr>
              <a:solidFill>
                <a:schemeClr val="lt1"/>
              </a:solidFill>
              <a:ln w="19050">
                <a:solidFill>
                  <a:srgbClr val="FF0000"/>
                </a:solidFill>
              </a:ln>
              <a:effectLst/>
            </c:spPr>
            <c:extLst>
              <c:ext xmlns:c16="http://schemas.microsoft.com/office/drawing/2014/chart" uri="{C3380CC4-5D6E-409C-BE32-E72D297353CC}">
                <c16:uniqueId val="{00000009-BB7E-A34C-82AB-E7D2B711EDBF}"/>
              </c:ext>
            </c:extLst>
          </c:dPt>
          <c:dPt>
            <c:idx val="5"/>
            <c:bubble3D val="0"/>
            <c:spPr>
              <a:solidFill>
                <a:schemeClr val="lt1"/>
              </a:solidFill>
              <a:ln w="19050">
                <a:solidFill>
                  <a:srgbClr val="FF0000"/>
                </a:solidFill>
              </a:ln>
              <a:effectLst/>
            </c:spPr>
            <c:extLst>
              <c:ext xmlns:c16="http://schemas.microsoft.com/office/drawing/2014/chart" uri="{C3380CC4-5D6E-409C-BE32-E72D297353CC}">
                <c16:uniqueId val="{0000000B-BB7E-A34C-82AB-E7D2B711EDBF}"/>
              </c:ext>
            </c:extLst>
          </c:dPt>
          <c:dPt>
            <c:idx val="6"/>
            <c:bubble3D val="0"/>
            <c:spPr>
              <a:solidFill>
                <a:schemeClr val="lt1"/>
              </a:solidFill>
              <a:ln w="19050">
                <a:solidFill>
                  <a:srgbClr val="FF0000"/>
                </a:solidFill>
              </a:ln>
              <a:effectLst/>
            </c:spPr>
            <c:extLst>
              <c:ext xmlns:c16="http://schemas.microsoft.com/office/drawing/2014/chart" uri="{C3380CC4-5D6E-409C-BE32-E72D297353CC}">
                <c16:uniqueId val="{00000008-ADE9-B248-AA7B-F11F29258076}"/>
              </c:ext>
            </c:extLst>
          </c:dPt>
          <c:dPt>
            <c:idx val="7"/>
            <c:bubble3D val="0"/>
            <c:spPr>
              <a:solidFill>
                <a:schemeClr val="lt1"/>
              </a:solidFill>
              <a:ln w="19050">
                <a:solidFill>
                  <a:srgbClr val="FF0000"/>
                </a:solidFill>
              </a:ln>
              <a:effectLst/>
            </c:spPr>
            <c:extLst>
              <c:ext xmlns:c16="http://schemas.microsoft.com/office/drawing/2014/chart" uri="{C3380CC4-5D6E-409C-BE32-E72D297353CC}">
                <c16:uniqueId val="{00000001-ADE9-B248-AA7B-F11F29258076}"/>
              </c:ext>
            </c:extLst>
          </c:dPt>
          <c:dPt>
            <c:idx val="8"/>
            <c:bubble3D val="0"/>
            <c:spPr>
              <a:solidFill>
                <a:schemeClr val="lt1"/>
              </a:solidFill>
              <a:ln w="19050">
                <a:solidFill>
                  <a:srgbClr val="FF0000"/>
                </a:solidFill>
              </a:ln>
              <a:effectLst/>
            </c:spPr>
            <c:extLst>
              <c:ext xmlns:c16="http://schemas.microsoft.com/office/drawing/2014/chart" uri="{C3380CC4-5D6E-409C-BE32-E72D297353CC}">
                <c16:uniqueId val="{00000006-ADE9-B248-AA7B-F11F29258076}"/>
              </c:ext>
            </c:extLst>
          </c:dPt>
          <c:dPt>
            <c:idx val="9"/>
            <c:bubble3D val="0"/>
            <c:spPr>
              <a:solidFill>
                <a:schemeClr val="lt1"/>
              </a:solidFill>
              <a:ln w="19050">
                <a:solidFill>
                  <a:srgbClr val="FF0000"/>
                </a:solidFill>
              </a:ln>
              <a:effectLst/>
            </c:spPr>
            <c:extLst>
              <c:ext xmlns:c16="http://schemas.microsoft.com/office/drawing/2014/chart" uri="{C3380CC4-5D6E-409C-BE32-E72D297353CC}">
                <c16:uniqueId val="{00000005-ADE9-B248-AA7B-F11F29258076}"/>
              </c:ext>
            </c:extLst>
          </c:dPt>
          <c:dPt>
            <c:idx val="10"/>
            <c:bubble3D val="0"/>
            <c:spPr>
              <a:solidFill>
                <a:schemeClr val="lt1"/>
              </a:solidFill>
              <a:ln w="19050">
                <a:solidFill>
                  <a:srgbClr val="FF0000"/>
                </a:solidFill>
              </a:ln>
              <a:effectLst/>
            </c:spPr>
            <c:extLst>
              <c:ext xmlns:c16="http://schemas.microsoft.com/office/drawing/2014/chart" uri="{C3380CC4-5D6E-409C-BE32-E72D297353CC}">
                <c16:uniqueId val="{00000004-ADE9-B248-AA7B-F11F29258076}"/>
              </c:ext>
            </c:extLst>
          </c:dPt>
          <c:dPt>
            <c:idx val="11"/>
            <c:bubble3D val="0"/>
            <c:spPr>
              <a:solidFill>
                <a:schemeClr val="lt1"/>
              </a:solidFill>
              <a:ln w="19050">
                <a:solidFill>
                  <a:srgbClr val="FF0000"/>
                </a:solidFill>
              </a:ln>
              <a:effectLst/>
            </c:spPr>
            <c:extLst>
              <c:ext xmlns:c16="http://schemas.microsoft.com/office/drawing/2014/chart" uri="{C3380CC4-5D6E-409C-BE32-E72D297353CC}">
                <c16:uniqueId val="{00000003-ADE9-B248-AA7B-F11F29258076}"/>
              </c:ext>
            </c:extLst>
          </c:dPt>
          <c:dPt>
            <c:idx val="12"/>
            <c:bubble3D val="0"/>
            <c:spPr>
              <a:solidFill>
                <a:schemeClr val="lt1"/>
              </a:solidFill>
              <a:ln w="19050">
                <a:solidFill>
                  <a:srgbClr val="FF0000"/>
                </a:solidFill>
              </a:ln>
              <a:effectLst/>
            </c:spPr>
            <c:extLst>
              <c:ext xmlns:c16="http://schemas.microsoft.com/office/drawing/2014/chart" uri="{C3380CC4-5D6E-409C-BE32-E72D297353CC}">
                <c16:uniqueId val="{00000002-ADE9-B248-AA7B-F11F29258076}"/>
              </c:ext>
            </c:extLst>
          </c:dPt>
          <c:dLbls>
            <c:dLbl>
              <c:idx val="0"/>
              <c:delete val="1"/>
              <c:extLst>
                <c:ext xmlns:c15="http://schemas.microsoft.com/office/drawing/2012/chart" uri="{CE6537A1-D6FC-4f65-9D91-7224C49458BB}"/>
                <c:ext xmlns:c16="http://schemas.microsoft.com/office/drawing/2014/chart" uri="{C3380CC4-5D6E-409C-BE32-E72D297353CC}">
                  <c16:uniqueId val="{00000007-ADE9-B248-AA7B-F11F29258076}"/>
                </c:ext>
              </c:extLst>
            </c:dLbl>
            <c:dLbl>
              <c:idx val="1"/>
              <c:layout>
                <c:manualLayout>
                  <c:x val="-0.13481197569054931"/>
                  <c:y val="0.132784381436763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DE9-B248-AA7B-F11F29258076}"/>
                </c:ext>
              </c:extLst>
            </c:dLbl>
            <c:dLbl>
              <c:idx val="6"/>
              <c:layout>
                <c:manualLayout>
                  <c:x val="9.4479099386975782E-2"/>
                  <c:y val="0.133062971103982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DE9-B248-AA7B-F11F29258076}"/>
                </c:ext>
              </c:extLst>
            </c:dLbl>
            <c:dLbl>
              <c:idx val="7"/>
              <c:delete val="1"/>
              <c:extLst>
                <c:ext xmlns:c15="http://schemas.microsoft.com/office/drawing/2012/chart" uri="{CE6537A1-D6FC-4f65-9D91-7224C49458BB}"/>
                <c:ext xmlns:c16="http://schemas.microsoft.com/office/drawing/2014/chart" uri="{C3380CC4-5D6E-409C-BE32-E72D297353CC}">
                  <c16:uniqueId val="{00000001-ADE9-B248-AA7B-F11F29258076}"/>
                </c:ext>
              </c:extLst>
            </c:dLbl>
            <c:dLbl>
              <c:idx val="8"/>
              <c:delete val="1"/>
              <c:extLst>
                <c:ext xmlns:c15="http://schemas.microsoft.com/office/drawing/2012/chart" uri="{CE6537A1-D6FC-4f65-9D91-7224C49458BB}"/>
                <c:ext xmlns:c16="http://schemas.microsoft.com/office/drawing/2014/chart" uri="{C3380CC4-5D6E-409C-BE32-E72D297353CC}">
                  <c16:uniqueId val="{00000006-ADE9-B248-AA7B-F11F29258076}"/>
                </c:ext>
              </c:extLst>
            </c:dLbl>
            <c:dLbl>
              <c:idx val="9"/>
              <c:delete val="1"/>
              <c:extLst>
                <c:ext xmlns:c15="http://schemas.microsoft.com/office/drawing/2012/chart" uri="{CE6537A1-D6FC-4f65-9D91-7224C49458BB}"/>
                <c:ext xmlns:c16="http://schemas.microsoft.com/office/drawing/2014/chart" uri="{C3380CC4-5D6E-409C-BE32-E72D297353CC}">
                  <c16:uniqueId val="{00000005-ADE9-B248-AA7B-F11F29258076}"/>
                </c:ext>
              </c:extLst>
            </c:dLbl>
            <c:dLbl>
              <c:idx val="10"/>
              <c:delete val="1"/>
              <c:extLst>
                <c:ext xmlns:c15="http://schemas.microsoft.com/office/drawing/2012/chart" uri="{CE6537A1-D6FC-4f65-9D91-7224C49458BB}"/>
                <c:ext xmlns:c16="http://schemas.microsoft.com/office/drawing/2014/chart" uri="{C3380CC4-5D6E-409C-BE32-E72D297353CC}">
                  <c16:uniqueId val="{00000004-ADE9-B248-AA7B-F11F29258076}"/>
                </c:ext>
              </c:extLst>
            </c:dLbl>
            <c:dLbl>
              <c:idx val="11"/>
              <c:delete val="1"/>
              <c:extLst>
                <c:ext xmlns:c15="http://schemas.microsoft.com/office/drawing/2012/chart" uri="{CE6537A1-D6FC-4f65-9D91-7224C49458BB}"/>
                <c:ext xmlns:c16="http://schemas.microsoft.com/office/drawing/2014/chart" uri="{C3380CC4-5D6E-409C-BE32-E72D297353CC}">
                  <c16:uniqueId val="{00000003-ADE9-B248-AA7B-F11F29258076}"/>
                </c:ext>
              </c:extLst>
            </c:dLbl>
            <c:dLbl>
              <c:idx val="12"/>
              <c:delete val="1"/>
              <c:extLst>
                <c:ext xmlns:c15="http://schemas.microsoft.com/office/drawing/2012/chart" uri="{CE6537A1-D6FC-4f65-9D91-7224C49458BB}"/>
                <c:ext xmlns:c16="http://schemas.microsoft.com/office/drawing/2014/chart" uri="{C3380CC4-5D6E-409C-BE32-E72D297353CC}">
                  <c16:uniqueId val="{00000002-ADE9-B248-AA7B-F11F29258076}"/>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'Challenge-by-Challenge'!$B$12:$B$24</c:f>
              <c:strCache>
                <c:ptCount val="13"/>
                <c:pt idx="0">
                  <c:v>Challenge 1</c:v>
                </c:pt>
                <c:pt idx="1">
                  <c:v>Challenge 2</c:v>
                </c:pt>
                <c:pt idx="2">
                  <c:v>Challenge 3</c:v>
                </c:pt>
                <c:pt idx="3">
                  <c:v>Challenge 4</c:v>
                </c:pt>
                <c:pt idx="4">
                  <c:v>Challenge 5</c:v>
                </c:pt>
                <c:pt idx="5">
                  <c:v>Challenge 6</c:v>
                </c:pt>
                <c:pt idx="6">
                  <c:v>Challenge 7</c:v>
                </c:pt>
                <c:pt idx="7">
                  <c:v>Challenge 8</c:v>
                </c:pt>
                <c:pt idx="8">
                  <c:v>Challenge 9</c:v>
                </c:pt>
                <c:pt idx="9">
                  <c:v>Challenge 10</c:v>
                </c:pt>
                <c:pt idx="10">
                  <c:v>Challenge 11</c:v>
                </c:pt>
                <c:pt idx="11">
                  <c:v>Challenge 12</c:v>
                </c:pt>
                <c:pt idx="12">
                  <c:v>Challenge 13</c:v>
                </c:pt>
              </c:strCache>
            </c:strRef>
          </c:cat>
          <c:val>
            <c:numRef>
              <c:f>'Challenge-by-Challenge'!$G$12:$G$24</c:f>
              <c:numCache>
                <c:formatCode>0.0%</c:formatCode>
                <c:ptCount val="13"/>
                <c:pt idx="0">
                  <c:v>4.4052863436123352E-3</c:v>
                </c:pt>
                <c:pt idx="1">
                  <c:v>0.18061674008810572</c:v>
                </c:pt>
                <c:pt idx="2">
                  <c:v>0.19383259911894274</c:v>
                </c:pt>
                <c:pt idx="3">
                  <c:v>0.17180616740088106</c:v>
                </c:pt>
                <c:pt idx="4">
                  <c:v>0.20925110132158589</c:v>
                </c:pt>
                <c:pt idx="5">
                  <c:v>0.14317180616740088</c:v>
                </c:pt>
                <c:pt idx="6">
                  <c:v>6.1674008810572688E-2</c:v>
                </c:pt>
                <c:pt idx="7">
                  <c:v>1.9823788546255508E-2</c:v>
                </c:pt>
                <c:pt idx="8">
                  <c:v>6.6079295154185024E-3</c:v>
                </c:pt>
                <c:pt idx="9">
                  <c:v>4.4052863436123352E-3</c:v>
                </c:pt>
                <c:pt idx="10">
                  <c:v>0</c:v>
                </c:pt>
                <c:pt idx="11">
                  <c:v>4.4052863436123352E-3</c:v>
                </c:pt>
                <c:pt idx="12">
                  <c:v>0</c:v>
                </c:pt>
              </c:numCache>
            </c:numRef>
          </c:val>
          <c:extLst>
            <c:ext xmlns:c16="http://schemas.microsoft.com/office/drawing/2014/chart" uri="{C3380CC4-5D6E-409C-BE32-E72D297353CC}">
              <c16:uniqueId val="{00000000-ADE9-B248-AA7B-F11F29258076}"/>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Detours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C000"/>
              </a:solidFill>
            </a:ln>
            <a:effectLst/>
          </c:spPr>
          <c:dPt>
            <c:idx val="0"/>
            <c:bubble3D val="0"/>
            <c:spPr>
              <a:solidFill>
                <a:schemeClr val="lt1"/>
              </a:solidFill>
              <a:ln w="19050">
                <a:solidFill>
                  <a:srgbClr val="FFC000"/>
                </a:solidFill>
              </a:ln>
              <a:effectLst/>
            </c:spPr>
            <c:extLst>
              <c:ext xmlns:c16="http://schemas.microsoft.com/office/drawing/2014/chart" uri="{C3380CC4-5D6E-409C-BE32-E72D297353CC}">
                <c16:uniqueId val="{00000007-D595-DC4E-A35F-56727D56AD04}"/>
              </c:ext>
            </c:extLst>
          </c:dPt>
          <c:dPt>
            <c:idx val="1"/>
            <c:bubble3D val="0"/>
            <c:spPr>
              <a:solidFill>
                <a:schemeClr val="lt1"/>
              </a:solidFill>
              <a:ln w="19050">
                <a:solidFill>
                  <a:srgbClr val="FFC000"/>
                </a:solidFill>
              </a:ln>
              <a:effectLst/>
            </c:spPr>
            <c:extLst>
              <c:ext xmlns:c16="http://schemas.microsoft.com/office/drawing/2014/chart" uri="{C3380CC4-5D6E-409C-BE32-E72D297353CC}">
                <c16:uniqueId val="{00000009-D595-DC4E-A35F-56727D56AD04}"/>
              </c:ext>
            </c:extLst>
          </c:dPt>
          <c:dPt>
            <c:idx val="2"/>
            <c:bubble3D val="0"/>
            <c:spPr>
              <a:solidFill>
                <a:schemeClr val="lt1"/>
              </a:solidFill>
              <a:ln w="19050">
                <a:solidFill>
                  <a:srgbClr val="FFC000"/>
                </a:solidFill>
              </a:ln>
              <a:effectLst/>
            </c:spPr>
            <c:extLst>
              <c:ext xmlns:c16="http://schemas.microsoft.com/office/drawing/2014/chart" uri="{C3380CC4-5D6E-409C-BE32-E72D297353CC}">
                <c16:uniqueId val="{00000005-8BFB-8A48-9873-88B92593364C}"/>
              </c:ext>
            </c:extLst>
          </c:dPt>
          <c:dPt>
            <c:idx val="3"/>
            <c:bubble3D val="0"/>
            <c:spPr>
              <a:solidFill>
                <a:schemeClr val="lt1"/>
              </a:solidFill>
              <a:ln w="19050">
                <a:solidFill>
                  <a:srgbClr val="FFC000"/>
                </a:solidFill>
              </a:ln>
              <a:effectLst/>
            </c:spPr>
            <c:extLst>
              <c:ext xmlns:c16="http://schemas.microsoft.com/office/drawing/2014/chart" uri="{C3380CC4-5D6E-409C-BE32-E72D297353CC}">
                <c16:uniqueId val="{00000007-8BFB-8A48-9873-88B92593364C}"/>
              </c:ext>
            </c:extLst>
          </c:dPt>
          <c:dPt>
            <c:idx val="4"/>
            <c:bubble3D val="0"/>
            <c:spPr>
              <a:solidFill>
                <a:schemeClr val="lt1"/>
              </a:solidFill>
              <a:ln w="19050">
                <a:solidFill>
                  <a:srgbClr val="FFC000"/>
                </a:solidFill>
              </a:ln>
              <a:effectLst/>
            </c:spPr>
            <c:extLst>
              <c:ext xmlns:c16="http://schemas.microsoft.com/office/drawing/2014/chart" uri="{C3380CC4-5D6E-409C-BE32-E72D297353CC}">
                <c16:uniqueId val="{00000009-8BFB-8A48-9873-88B92593364C}"/>
              </c:ext>
            </c:extLst>
          </c:dPt>
          <c:dPt>
            <c:idx val="5"/>
            <c:bubble3D val="0"/>
            <c:spPr>
              <a:solidFill>
                <a:schemeClr val="lt1"/>
              </a:solidFill>
              <a:ln w="19050">
                <a:solidFill>
                  <a:srgbClr val="FFC000"/>
                </a:solidFill>
              </a:ln>
              <a:effectLst/>
            </c:spPr>
            <c:extLst>
              <c:ext xmlns:c16="http://schemas.microsoft.com/office/drawing/2014/chart" uri="{C3380CC4-5D6E-409C-BE32-E72D297353CC}">
                <c16:uniqueId val="{0000000B-8BFB-8A48-9873-88B92593364C}"/>
              </c:ext>
            </c:extLst>
          </c:dPt>
          <c:dPt>
            <c:idx val="6"/>
            <c:bubble3D val="0"/>
            <c:spPr>
              <a:solidFill>
                <a:schemeClr val="lt1"/>
              </a:solidFill>
              <a:ln w="19050">
                <a:solidFill>
                  <a:srgbClr val="FFC000"/>
                </a:solidFill>
              </a:ln>
              <a:effectLst/>
            </c:spPr>
            <c:extLst>
              <c:ext xmlns:c16="http://schemas.microsoft.com/office/drawing/2014/chart" uri="{C3380CC4-5D6E-409C-BE32-E72D297353CC}">
                <c16:uniqueId val="{00000008-D595-DC4E-A35F-56727D56AD04}"/>
              </c:ext>
            </c:extLst>
          </c:dPt>
          <c:dPt>
            <c:idx val="7"/>
            <c:bubble3D val="0"/>
            <c:spPr>
              <a:solidFill>
                <a:schemeClr val="lt1"/>
              </a:solidFill>
              <a:ln w="19050">
                <a:solidFill>
                  <a:srgbClr val="FFC000"/>
                </a:solidFill>
              </a:ln>
              <a:effectLst/>
            </c:spPr>
            <c:extLst>
              <c:ext xmlns:c16="http://schemas.microsoft.com/office/drawing/2014/chart" uri="{C3380CC4-5D6E-409C-BE32-E72D297353CC}">
                <c16:uniqueId val="{00000001-D595-DC4E-A35F-56727D56AD04}"/>
              </c:ext>
            </c:extLst>
          </c:dPt>
          <c:dPt>
            <c:idx val="8"/>
            <c:bubble3D val="0"/>
            <c:spPr>
              <a:solidFill>
                <a:schemeClr val="lt1"/>
              </a:solidFill>
              <a:ln w="19050">
                <a:solidFill>
                  <a:srgbClr val="FFC000"/>
                </a:solidFill>
              </a:ln>
              <a:effectLst/>
            </c:spPr>
            <c:extLst>
              <c:ext xmlns:c16="http://schemas.microsoft.com/office/drawing/2014/chart" uri="{C3380CC4-5D6E-409C-BE32-E72D297353CC}">
                <c16:uniqueId val="{00000006-D595-DC4E-A35F-56727D56AD04}"/>
              </c:ext>
            </c:extLst>
          </c:dPt>
          <c:dPt>
            <c:idx val="9"/>
            <c:bubble3D val="0"/>
            <c:spPr>
              <a:solidFill>
                <a:schemeClr val="lt1"/>
              </a:solidFill>
              <a:ln w="19050">
                <a:solidFill>
                  <a:srgbClr val="FFC000"/>
                </a:solidFill>
              </a:ln>
              <a:effectLst/>
            </c:spPr>
            <c:extLst>
              <c:ext xmlns:c16="http://schemas.microsoft.com/office/drawing/2014/chart" uri="{C3380CC4-5D6E-409C-BE32-E72D297353CC}">
                <c16:uniqueId val="{00000005-D595-DC4E-A35F-56727D56AD04}"/>
              </c:ext>
            </c:extLst>
          </c:dPt>
          <c:dPt>
            <c:idx val="10"/>
            <c:bubble3D val="0"/>
            <c:spPr>
              <a:solidFill>
                <a:schemeClr val="lt1"/>
              </a:solidFill>
              <a:ln w="19050">
                <a:solidFill>
                  <a:srgbClr val="FFC000"/>
                </a:solidFill>
              </a:ln>
              <a:effectLst/>
            </c:spPr>
            <c:extLst>
              <c:ext xmlns:c16="http://schemas.microsoft.com/office/drawing/2014/chart" uri="{C3380CC4-5D6E-409C-BE32-E72D297353CC}">
                <c16:uniqueId val="{00000004-D595-DC4E-A35F-56727D56AD04}"/>
              </c:ext>
            </c:extLst>
          </c:dPt>
          <c:dPt>
            <c:idx val="11"/>
            <c:bubble3D val="0"/>
            <c:spPr>
              <a:solidFill>
                <a:schemeClr val="lt1"/>
              </a:solidFill>
              <a:ln w="19050">
                <a:solidFill>
                  <a:srgbClr val="FFC000"/>
                </a:solidFill>
              </a:ln>
              <a:effectLst/>
            </c:spPr>
            <c:extLst>
              <c:ext xmlns:c16="http://schemas.microsoft.com/office/drawing/2014/chart" uri="{C3380CC4-5D6E-409C-BE32-E72D297353CC}">
                <c16:uniqueId val="{00000003-D595-DC4E-A35F-56727D56AD04}"/>
              </c:ext>
            </c:extLst>
          </c:dPt>
          <c:dPt>
            <c:idx val="12"/>
            <c:bubble3D val="0"/>
            <c:spPr>
              <a:solidFill>
                <a:schemeClr val="lt1"/>
              </a:solidFill>
              <a:ln w="19050">
                <a:solidFill>
                  <a:srgbClr val="FFC000"/>
                </a:solidFill>
              </a:ln>
              <a:effectLst/>
            </c:spPr>
            <c:extLst>
              <c:ext xmlns:c16="http://schemas.microsoft.com/office/drawing/2014/chart" uri="{C3380CC4-5D6E-409C-BE32-E72D297353CC}">
                <c16:uniqueId val="{00000002-D595-DC4E-A35F-56727D56AD04}"/>
              </c:ext>
            </c:extLst>
          </c:dPt>
          <c:dLbls>
            <c:dLbl>
              <c:idx val="0"/>
              <c:delete val="1"/>
              <c:extLst>
                <c:ext xmlns:c15="http://schemas.microsoft.com/office/drawing/2012/chart" uri="{CE6537A1-D6FC-4f65-9D91-7224C49458BB}"/>
                <c:ext xmlns:c16="http://schemas.microsoft.com/office/drawing/2014/chart" uri="{C3380CC4-5D6E-409C-BE32-E72D297353CC}">
                  <c16:uniqueId val="{00000007-D595-DC4E-A35F-56727D56AD04}"/>
                </c:ext>
              </c:extLst>
            </c:dLbl>
            <c:dLbl>
              <c:idx val="1"/>
              <c:layout>
                <c:manualLayout>
                  <c:x val="-0.14426001701596647"/>
                  <c:y val="0.1541278229168514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595-DC4E-A35F-56727D56AD04}"/>
                </c:ext>
              </c:extLst>
            </c:dLbl>
            <c:dLbl>
              <c:idx val="6"/>
              <c:delete val="1"/>
              <c:extLst>
                <c:ext xmlns:c15="http://schemas.microsoft.com/office/drawing/2012/chart" uri="{CE6537A1-D6FC-4f65-9D91-7224C49458BB}"/>
                <c:ext xmlns:c16="http://schemas.microsoft.com/office/drawing/2014/chart" uri="{C3380CC4-5D6E-409C-BE32-E72D297353CC}">
                  <c16:uniqueId val="{00000008-D595-DC4E-A35F-56727D56AD04}"/>
                </c:ext>
              </c:extLst>
            </c:dLbl>
            <c:dLbl>
              <c:idx val="7"/>
              <c:delete val="1"/>
              <c:extLst>
                <c:ext xmlns:c15="http://schemas.microsoft.com/office/drawing/2012/chart" uri="{CE6537A1-D6FC-4f65-9D91-7224C49458BB}"/>
                <c:ext xmlns:c16="http://schemas.microsoft.com/office/drawing/2014/chart" uri="{C3380CC4-5D6E-409C-BE32-E72D297353CC}">
                  <c16:uniqueId val="{00000001-D595-DC4E-A35F-56727D56AD04}"/>
                </c:ext>
              </c:extLst>
            </c:dLbl>
            <c:dLbl>
              <c:idx val="8"/>
              <c:delete val="1"/>
              <c:extLst>
                <c:ext xmlns:c15="http://schemas.microsoft.com/office/drawing/2012/chart" uri="{CE6537A1-D6FC-4f65-9D91-7224C49458BB}"/>
                <c:ext xmlns:c16="http://schemas.microsoft.com/office/drawing/2014/chart" uri="{C3380CC4-5D6E-409C-BE32-E72D297353CC}">
                  <c16:uniqueId val="{00000006-D595-DC4E-A35F-56727D56AD04}"/>
                </c:ext>
              </c:extLst>
            </c:dLbl>
            <c:dLbl>
              <c:idx val="9"/>
              <c:delete val="1"/>
              <c:extLst>
                <c:ext xmlns:c15="http://schemas.microsoft.com/office/drawing/2012/chart" uri="{CE6537A1-D6FC-4f65-9D91-7224C49458BB}"/>
                <c:ext xmlns:c16="http://schemas.microsoft.com/office/drawing/2014/chart" uri="{C3380CC4-5D6E-409C-BE32-E72D297353CC}">
                  <c16:uniqueId val="{00000005-D595-DC4E-A35F-56727D56AD04}"/>
                </c:ext>
              </c:extLst>
            </c:dLbl>
            <c:dLbl>
              <c:idx val="10"/>
              <c:delete val="1"/>
              <c:extLst>
                <c:ext xmlns:c15="http://schemas.microsoft.com/office/drawing/2012/chart" uri="{CE6537A1-D6FC-4f65-9D91-7224C49458BB}"/>
                <c:ext xmlns:c16="http://schemas.microsoft.com/office/drawing/2014/chart" uri="{C3380CC4-5D6E-409C-BE32-E72D297353CC}">
                  <c16:uniqueId val="{00000004-D595-DC4E-A35F-56727D56AD04}"/>
                </c:ext>
              </c:extLst>
            </c:dLbl>
            <c:dLbl>
              <c:idx val="11"/>
              <c:delete val="1"/>
              <c:extLst>
                <c:ext xmlns:c15="http://schemas.microsoft.com/office/drawing/2012/chart" uri="{CE6537A1-D6FC-4f65-9D91-7224C49458BB}"/>
                <c:ext xmlns:c16="http://schemas.microsoft.com/office/drawing/2014/chart" uri="{C3380CC4-5D6E-409C-BE32-E72D297353CC}">
                  <c16:uniqueId val="{00000003-D595-DC4E-A35F-56727D56AD04}"/>
                </c:ext>
              </c:extLst>
            </c:dLbl>
            <c:dLbl>
              <c:idx val="12"/>
              <c:delete val="1"/>
              <c:extLst>
                <c:ext xmlns:c15="http://schemas.microsoft.com/office/drawing/2012/chart" uri="{CE6537A1-D6FC-4f65-9D91-7224C49458BB}"/>
                <c:ext xmlns:c16="http://schemas.microsoft.com/office/drawing/2014/chart" uri="{C3380CC4-5D6E-409C-BE32-E72D297353CC}">
                  <c16:uniqueId val="{00000002-D595-DC4E-A35F-56727D56AD0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'Challenge-by-Challenge'!$B$12:$B$24</c:f>
              <c:strCache>
                <c:ptCount val="13"/>
                <c:pt idx="0">
                  <c:v>Challenge 1</c:v>
                </c:pt>
                <c:pt idx="1">
                  <c:v>Challenge 2</c:v>
                </c:pt>
                <c:pt idx="2">
                  <c:v>Challenge 3</c:v>
                </c:pt>
                <c:pt idx="3">
                  <c:v>Challenge 4</c:v>
                </c:pt>
                <c:pt idx="4">
                  <c:v>Challenge 5</c:v>
                </c:pt>
                <c:pt idx="5">
                  <c:v>Challenge 6</c:v>
                </c:pt>
                <c:pt idx="6">
                  <c:v>Challenge 7</c:v>
                </c:pt>
                <c:pt idx="7">
                  <c:v>Challenge 8</c:v>
                </c:pt>
                <c:pt idx="8">
                  <c:v>Challenge 9</c:v>
                </c:pt>
                <c:pt idx="9">
                  <c:v>Challenge 10</c:v>
                </c:pt>
                <c:pt idx="10">
                  <c:v>Challenge 11</c:v>
                </c:pt>
                <c:pt idx="11">
                  <c:v>Challenge 12</c:v>
                </c:pt>
                <c:pt idx="12">
                  <c:v>Challenge 13</c:v>
                </c:pt>
              </c:strCache>
            </c:strRef>
          </c:cat>
          <c:val>
            <c:numRef>
              <c:f>'Challenge-by-Challenge'!$I$12:$I$24</c:f>
              <c:numCache>
                <c:formatCode>General</c:formatCode>
                <c:ptCount val="13"/>
                <c:pt idx="0">
                  <c:v>0</c:v>
                </c:pt>
                <c:pt idx="1">
                  <c:v>64</c:v>
                </c:pt>
                <c:pt idx="2">
                  <c:v>83</c:v>
                </c:pt>
                <c:pt idx="3">
                  <c:v>101</c:v>
                </c:pt>
                <c:pt idx="4">
                  <c:v>79</c:v>
                </c:pt>
                <c:pt idx="5">
                  <c:v>41</c:v>
                </c:pt>
                <c:pt idx="6">
                  <c:v>15</c:v>
                </c:pt>
                <c:pt idx="7">
                  <c:v>7</c:v>
                </c:pt>
                <c:pt idx="8">
                  <c:v>2</c:v>
                </c:pt>
                <c:pt idx="9">
                  <c:v>1</c:v>
                </c:pt>
                <c:pt idx="10">
                  <c:v>0</c:v>
                </c:pt>
                <c:pt idx="11">
                  <c:v>1</c:v>
                </c:pt>
                <c:pt idx="12">
                  <c:v>0</c:v>
                </c:pt>
              </c:numCache>
            </c:numRef>
          </c:val>
          <c:extLst>
            <c:ext xmlns:c16="http://schemas.microsoft.com/office/drawing/2014/chart" uri="{C3380CC4-5D6E-409C-BE32-E72D297353CC}">
              <c16:uniqueId val="{00000000-D595-DC4E-A35F-56727D56AD04}"/>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Speed Bumps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92D050"/>
              </a:solidFill>
            </a:ln>
            <a:effectLst/>
          </c:spPr>
          <c:dPt>
            <c:idx val="0"/>
            <c:bubble3D val="0"/>
            <c:spPr>
              <a:solidFill>
                <a:schemeClr val="lt1"/>
              </a:solidFill>
              <a:ln w="19050">
                <a:solidFill>
                  <a:srgbClr val="92D050"/>
                </a:solidFill>
              </a:ln>
              <a:effectLst/>
            </c:spPr>
            <c:extLst>
              <c:ext xmlns:c16="http://schemas.microsoft.com/office/drawing/2014/chart" uri="{C3380CC4-5D6E-409C-BE32-E72D297353CC}">
                <c16:uniqueId val="{00000002-A445-FF4A-ACAF-4AD205D30A7F}"/>
              </c:ext>
            </c:extLst>
          </c:dPt>
          <c:dPt>
            <c:idx val="1"/>
            <c:bubble3D val="0"/>
            <c:spPr>
              <a:solidFill>
                <a:schemeClr val="lt1"/>
              </a:solidFill>
              <a:ln w="19050">
                <a:solidFill>
                  <a:srgbClr val="92D050"/>
                </a:solidFill>
              </a:ln>
              <a:effectLst/>
            </c:spPr>
            <c:extLst>
              <c:ext xmlns:c16="http://schemas.microsoft.com/office/drawing/2014/chart" uri="{C3380CC4-5D6E-409C-BE32-E72D297353CC}">
                <c16:uniqueId val="{00000003-B3C6-0642-AFE1-DF27649DEC45}"/>
              </c:ext>
            </c:extLst>
          </c:dPt>
          <c:dPt>
            <c:idx val="2"/>
            <c:bubble3D val="0"/>
            <c:spPr>
              <a:solidFill>
                <a:schemeClr val="lt1"/>
              </a:solidFill>
              <a:ln w="19050">
                <a:solidFill>
                  <a:srgbClr val="92D050"/>
                </a:solidFill>
              </a:ln>
              <a:effectLst/>
            </c:spPr>
            <c:extLst>
              <c:ext xmlns:c16="http://schemas.microsoft.com/office/drawing/2014/chart" uri="{C3380CC4-5D6E-409C-BE32-E72D297353CC}">
                <c16:uniqueId val="{00000005-B3C6-0642-AFE1-DF27649DEC45}"/>
              </c:ext>
            </c:extLst>
          </c:dPt>
          <c:dPt>
            <c:idx val="3"/>
            <c:bubble3D val="0"/>
            <c:spPr>
              <a:solidFill>
                <a:schemeClr val="lt1"/>
              </a:solidFill>
              <a:ln w="19050">
                <a:solidFill>
                  <a:srgbClr val="92D050"/>
                </a:solidFill>
              </a:ln>
              <a:effectLst/>
            </c:spPr>
            <c:extLst>
              <c:ext xmlns:c16="http://schemas.microsoft.com/office/drawing/2014/chart" uri="{C3380CC4-5D6E-409C-BE32-E72D297353CC}">
                <c16:uniqueId val="{00000007-B3C6-0642-AFE1-DF27649DEC45}"/>
              </c:ext>
            </c:extLst>
          </c:dPt>
          <c:dPt>
            <c:idx val="4"/>
            <c:bubble3D val="0"/>
            <c:spPr>
              <a:solidFill>
                <a:schemeClr val="lt1"/>
              </a:solidFill>
              <a:ln w="19050">
                <a:solidFill>
                  <a:srgbClr val="92D050"/>
                </a:solidFill>
              </a:ln>
              <a:effectLst/>
            </c:spPr>
            <c:extLst>
              <c:ext xmlns:c16="http://schemas.microsoft.com/office/drawing/2014/chart" uri="{C3380CC4-5D6E-409C-BE32-E72D297353CC}">
                <c16:uniqueId val="{00000009-B3C6-0642-AFE1-DF27649DEC45}"/>
              </c:ext>
            </c:extLst>
          </c:dPt>
          <c:dPt>
            <c:idx val="5"/>
            <c:bubble3D val="0"/>
            <c:spPr>
              <a:solidFill>
                <a:schemeClr val="lt1"/>
              </a:solidFill>
              <a:ln w="19050">
                <a:solidFill>
                  <a:srgbClr val="92D050"/>
                </a:solidFill>
              </a:ln>
              <a:effectLst/>
            </c:spPr>
            <c:extLst>
              <c:ext xmlns:c16="http://schemas.microsoft.com/office/drawing/2014/chart" uri="{C3380CC4-5D6E-409C-BE32-E72D297353CC}">
                <c16:uniqueId val="{00000001-A445-FF4A-ACAF-4AD205D30A7F}"/>
              </c:ext>
            </c:extLst>
          </c:dPt>
          <c:dLbls>
            <c:dLbl>
              <c:idx val="0"/>
              <c:delete val="1"/>
              <c:extLst>
                <c:ext xmlns:c15="http://schemas.microsoft.com/office/drawing/2012/chart" uri="{CE6537A1-D6FC-4f65-9D91-7224C49458BB}"/>
                <c:ext xmlns:c16="http://schemas.microsoft.com/office/drawing/2014/chart" uri="{C3380CC4-5D6E-409C-BE32-E72D297353CC}">
                  <c16:uniqueId val="{00000002-A445-FF4A-ACAF-4AD205D30A7F}"/>
                </c:ext>
              </c:extLst>
            </c:dLbl>
            <c:dLbl>
              <c:idx val="5"/>
              <c:layout>
                <c:manualLayout>
                  <c:x val="-0.22750403934502061"/>
                  <c:y val="2.16163664430901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45-FF4A-ACAF-4AD205D30A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'Challenge-by-Challenge'!$B$12:$B$17</c:f>
              <c:strCache>
                <c:ptCount val="6"/>
                <c:pt idx="0">
                  <c:v>Challenge 1</c:v>
                </c:pt>
                <c:pt idx="1">
                  <c:v>Challenge 2</c:v>
                </c:pt>
                <c:pt idx="2">
                  <c:v>Challenge 3</c:v>
                </c:pt>
                <c:pt idx="3">
                  <c:v>Challenge 4</c:v>
                </c:pt>
                <c:pt idx="4">
                  <c:v>Challenge 5</c:v>
                </c:pt>
                <c:pt idx="5">
                  <c:v>Challenge 6</c:v>
                </c:pt>
              </c:strCache>
            </c:strRef>
          </c:cat>
          <c:val>
            <c:numRef>
              <c:f>'Challenge-by-Challenge'!$L$12:$L$17</c:f>
              <c:numCache>
                <c:formatCode>General</c:formatCode>
                <c:ptCount val="6"/>
                <c:pt idx="0">
                  <c:v>0</c:v>
                </c:pt>
                <c:pt idx="1">
                  <c:v>22</c:v>
                </c:pt>
                <c:pt idx="2">
                  <c:v>10</c:v>
                </c:pt>
                <c:pt idx="3">
                  <c:v>9</c:v>
                </c:pt>
                <c:pt idx="4">
                  <c:v>6</c:v>
                </c:pt>
                <c:pt idx="5">
                  <c:v>2</c:v>
                </c:pt>
              </c:numCache>
            </c:numRef>
          </c:val>
          <c:extLst>
            <c:ext xmlns:c16="http://schemas.microsoft.com/office/drawing/2014/chart" uri="{C3380CC4-5D6E-409C-BE32-E72D297353CC}">
              <c16:uniqueId val="{00000000-A445-FF4A-ACAF-4AD205D30A7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Fast Forwards (1-4)</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2DFF00"/>
              </a:solidFill>
            </a:ln>
            <a:effectLst/>
          </c:spPr>
          <c:dPt>
            <c:idx val="0"/>
            <c:bubble3D val="0"/>
            <c:spPr>
              <a:solidFill>
                <a:schemeClr val="lt1"/>
              </a:solidFill>
              <a:ln w="19050">
                <a:solidFill>
                  <a:srgbClr val="2DFF00"/>
                </a:solidFill>
              </a:ln>
              <a:effectLst/>
            </c:spPr>
            <c:extLst>
              <c:ext xmlns:c16="http://schemas.microsoft.com/office/drawing/2014/chart" uri="{C3380CC4-5D6E-409C-BE32-E72D297353CC}">
                <c16:uniqueId val="{00000001-50CE-7845-A29E-6FCD46926CD6}"/>
              </c:ext>
            </c:extLst>
          </c:dPt>
          <c:dPt>
            <c:idx val="1"/>
            <c:bubble3D val="0"/>
            <c:spPr>
              <a:solidFill>
                <a:schemeClr val="lt1"/>
              </a:solidFill>
              <a:ln w="19050">
                <a:solidFill>
                  <a:srgbClr val="2DFF00"/>
                </a:solidFill>
              </a:ln>
              <a:effectLst/>
            </c:spPr>
            <c:extLst>
              <c:ext xmlns:c16="http://schemas.microsoft.com/office/drawing/2014/chart" uri="{C3380CC4-5D6E-409C-BE32-E72D297353CC}">
                <c16:uniqueId val="{00000003-50CE-7845-A29E-6FCD46926CD6}"/>
              </c:ext>
            </c:extLst>
          </c:dPt>
          <c:dPt>
            <c:idx val="2"/>
            <c:bubble3D val="0"/>
            <c:spPr>
              <a:solidFill>
                <a:schemeClr val="lt1"/>
              </a:solidFill>
              <a:ln w="19050">
                <a:solidFill>
                  <a:srgbClr val="2DFF00"/>
                </a:solidFill>
              </a:ln>
              <a:effectLst/>
            </c:spPr>
            <c:extLst>
              <c:ext xmlns:c16="http://schemas.microsoft.com/office/drawing/2014/chart" uri="{C3380CC4-5D6E-409C-BE32-E72D297353CC}">
                <c16:uniqueId val="{00000002-AE8C-6444-B490-31518746713E}"/>
              </c:ext>
            </c:extLst>
          </c:dPt>
          <c:dPt>
            <c:idx val="3"/>
            <c:bubble3D val="0"/>
            <c:spPr>
              <a:solidFill>
                <a:schemeClr val="lt1"/>
              </a:solidFill>
              <a:ln w="19050">
                <a:solidFill>
                  <a:srgbClr val="2DFF00"/>
                </a:solidFill>
              </a:ln>
              <a:effectLst/>
            </c:spPr>
            <c:extLst>
              <c:ext xmlns:c16="http://schemas.microsoft.com/office/drawing/2014/chart" uri="{C3380CC4-5D6E-409C-BE32-E72D297353CC}">
                <c16:uniqueId val="{00000001-AE8C-6444-B490-31518746713E}"/>
              </c:ext>
            </c:extLst>
          </c:dPt>
          <c:dLbls>
            <c:dLbl>
              <c:idx val="2"/>
              <c:layout>
                <c:manualLayout>
                  <c:x val="0.18010600375207769"/>
                  <c:y val="0.1524525797674329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8C-6444-B490-31518746713E}"/>
                </c:ext>
              </c:extLst>
            </c:dLbl>
            <c:dLbl>
              <c:idx val="3"/>
              <c:delete val="1"/>
              <c:extLst>
                <c:ext xmlns:c15="http://schemas.microsoft.com/office/drawing/2012/chart" uri="{CE6537A1-D6FC-4f65-9D91-7224C49458BB}"/>
                <c:ext xmlns:c16="http://schemas.microsoft.com/office/drawing/2014/chart" uri="{C3380CC4-5D6E-409C-BE32-E72D297353CC}">
                  <c16:uniqueId val="{00000001-AE8C-6444-B490-3151874671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DFF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'Challenge-by-Challenge'!$B$12:$B$15</c:f>
              <c:strCache>
                <c:ptCount val="4"/>
                <c:pt idx="0">
                  <c:v>Challenge 1</c:v>
                </c:pt>
                <c:pt idx="1">
                  <c:v>Challenge 2</c:v>
                </c:pt>
                <c:pt idx="2">
                  <c:v>Challenge 3</c:v>
                </c:pt>
                <c:pt idx="3">
                  <c:v>Challenge 4</c:v>
                </c:pt>
              </c:strCache>
            </c:strRef>
          </c:cat>
          <c:val>
            <c:numRef>
              <c:f>'Challenge-by-Challenge'!$P$12:$P$15</c:f>
              <c:numCache>
                <c:formatCode>0.0%</c:formatCode>
                <c:ptCount val="4"/>
                <c:pt idx="0">
                  <c:v>0.38636363636363635</c:v>
                </c:pt>
                <c:pt idx="1">
                  <c:v>0.40909090909090912</c:v>
                </c:pt>
                <c:pt idx="2">
                  <c:v>0.15909090909090909</c:v>
                </c:pt>
                <c:pt idx="3">
                  <c:v>2.2727272727272728E-2</c:v>
                </c:pt>
              </c:numCache>
            </c:numRef>
          </c:val>
          <c:extLst>
            <c:ext xmlns:c16="http://schemas.microsoft.com/office/drawing/2014/chart" uri="{C3380CC4-5D6E-409C-BE32-E72D297353CC}">
              <c16:uniqueId val="{00000000-AE8C-6444-B490-31518746713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FF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Fast</a:t>
            </a:r>
            <a:r>
              <a:rPr lang="en-US" baseline="0"/>
              <a:t> Forwards (5-29)</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2DFF00"/>
              </a:solidFill>
            </a:ln>
            <a:effectLst/>
          </c:spPr>
          <c:dPt>
            <c:idx val="0"/>
            <c:bubble3D val="0"/>
            <c:spPr>
              <a:solidFill>
                <a:schemeClr val="lt1"/>
              </a:solidFill>
              <a:ln w="19050">
                <a:solidFill>
                  <a:srgbClr val="2DFF00"/>
                </a:solidFill>
              </a:ln>
              <a:effectLst/>
            </c:spPr>
            <c:extLst>
              <c:ext xmlns:c16="http://schemas.microsoft.com/office/drawing/2014/chart" uri="{C3380CC4-5D6E-409C-BE32-E72D297353CC}">
                <c16:uniqueId val="{00000001-F8C9-9D4B-B981-335435CBEB32}"/>
              </c:ext>
            </c:extLst>
          </c:dPt>
          <c:dPt>
            <c:idx val="1"/>
            <c:bubble3D val="0"/>
            <c:spPr>
              <a:solidFill>
                <a:schemeClr val="lt1"/>
              </a:solidFill>
              <a:ln w="19050">
                <a:solidFill>
                  <a:srgbClr val="2DFF00"/>
                </a:solidFill>
              </a:ln>
              <a:effectLst/>
            </c:spPr>
            <c:extLst>
              <c:ext xmlns:c16="http://schemas.microsoft.com/office/drawing/2014/chart" uri="{C3380CC4-5D6E-409C-BE32-E72D297353CC}">
                <c16:uniqueId val="{00000003-7762-A747-BD51-9BA906B029F7}"/>
              </c:ext>
            </c:extLst>
          </c:dPt>
          <c:dPt>
            <c:idx val="2"/>
            <c:bubble3D val="0"/>
            <c:spPr>
              <a:solidFill>
                <a:schemeClr val="lt1"/>
              </a:solidFill>
              <a:ln w="19050">
                <a:solidFill>
                  <a:srgbClr val="2DFF00"/>
                </a:solidFill>
              </a:ln>
              <a:effectLst/>
            </c:spPr>
            <c:extLst>
              <c:ext xmlns:c16="http://schemas.microsoft.com/office/drawing/2014/chart" uri="{C3380CC4-5D6E-409C-BE32-E72D297353CC}">
                <c16:uniqueId val="{00000005-7762-A747-BD51-9BA906B029F7}"/>
              </c:ext>
            </c:extLst>
          </c:dPt>
          <c:dPt>
            <c:idx val="3"/>
            <c:bubble3D val="0"/>
            <c:spPr>
              <a:solidFill>
                <a:schemeClr val="lt1"/>
              </a:solidFill>
              <a:ln w="19050">
                <a:solidFill>
                  <a:srgbClr val="2DFF00"/>
                </a:solidFill>
              </a:ln>
              <a:effectLst/>
            </c:spPr>
            <c:extLst>
              <c:ext xmlns:c16="http://schemas.microsoft.com/office/drawing/2014/chart" uri="{C3380CC4-5D6E-409C-BE32-E72D297353CC}">
                <c16:uniqueId val="{00000002-F8C9-9D4B-B981-335435CBEB32}"/>
              </c:ext>
            </c:extLst>
          </c:dPt>
          <c:dLbls>
            <c:dLbl>
              <c:idx val="0"/>
              <c:delete val="1"/>
              <c:extLst>
                <c:ext xmlns:c15="http://schemas.microsoft.com/office/drawing/2012/chart" uri="{CE6537A1-D6FC-4f65-9D91-7224C49458BB}"/>
                <c:ext xmlns:c16="http://schemas.microsoft.com/office/drawing/2014/chart" uri="{C3380CC4-5D6E-409C-BE32-E72D297353CC}">
                  <c16:uniqueId val="{00000001-F8C9-9D4B-B981-335435CBEB32}"/>
                </c:ext>
              </c:extLst>
            </c:dLbl>
            <c:dLbl>
              <c:idx val="3"/>
              <c:layout>
                <c:manualLayout>
                  <c:x val="0.12716253627220594"/>
                  <c:y val="0.135475639157284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8C9-9D4B-B981-335435CBEB3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DFF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'Challenge-by-Challenge'!$B$12:$B$15</c:f>
              <c:strCache>
                <c:ptCount val="4"/>
                <c:pt idx="0">
                  <c:v>Challenge 1</c:v>
                </c:pt>
                <c:pt idx="1">
                  <c:v>Challenge 2</c:v>
                </c:pt>
                <c:pt idx="2">
                  <c:v>Challenge 3</c:v>
                </c:pt>
                <c:pt idx="3">
                  <c:v>Challenge 4</c:v>
                </c:pt>
              </c:strCache>
            </c:strRef>
          </c:cat>
          <c:val>
            <c:numRef>
              <c:f>'Challenge-by-Challenge'!$R$12:$R$15</c:f>
              <c:numCache>
                <c:formatCode>General</c:formatCode>
                <c:ptCount val="4"/>
                <c:pt idx="0">
                  <c:v>0</c:v>
                </c:pt>
                <c:pt idx="1">
                  <c:v>17</c:v>
                </c:pt>
                <c:pt idx="2">
                  <c:v>10</c:v>
                </c:pt>
                <c:pt idx="3">
                  <c:v>4</c:v>
                </c:pt>
              </c:numCache>
            </c:numRef>
          </c:val>
          <c:extLst>
            <c:ext xmlns:c16="http://schemas.microsoft.com/office/drawing/2014/chart" uri="{C3380CC4-5D6E-409C-BE32-E72D297353CC}">
              <c16:uniqueId val="{00000000-F8C9-9D4B-B981-335435CBEB3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DFF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Route Infos</a:t>
            </a:r>
          </a:p>
        </c:rich>
      </c:tx>
      <c:layout>
        <c:manualLayout>
          <c:xMode val="edge"/>
          <c:yMode val="edge"/>
          <c:x val="0.34999958007189169"/>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8BEF-A944-BE3A-FD0590DE824F}"/>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8BEF-A944-BE3A-FD0590DE824F}"/>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8BEF-A944-BE3A-FD0590DE824F}"/>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8BEF-A944-BE3A-FD0590DE824F}"/>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8BEF-A944-BE3A-FD0590DE824F}"/>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8BEF-A944-BE3A-FD0590DE824F}"/>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8BEF-A944-BE3A-FD0590DE824F}"/>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8BEF-A944-BE3A-FD0590DE824F}"/>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05-0AFC-3D4E-8D2C-31B16C13C369}"/>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04-0AFC-3D4E-8D2C-31B16C13C369}"/>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03-0AFC-3D4E-8D2C-31B16C13C369}"/>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02-0AFC-3D4E-8D2C-31B16C13C369}"/>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01-0AFC-3D4E-8D2C-31B16C13C369}"/>
              </c:ext>
            </c:extLst>
          </c:dPt>
          <c:dLbls>
            <c:dLbl>
              <c:idx val="0"/>
              <c:layout>
                <c:manualLayout>
                  <c:x val="-0.16144518200596294"/>
                  <c:y val="0.1562772153873424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BEF-A944-BE3A-FD0590DE824F}"/>
                </c:ext>
              </c:extLst>
            </c:dLbl>
            <c:dLbl>
              <c:idx val="7"/>
              <c:layout>
                <c:manualLayout>
                  <c:x val="-6.6166105457129865E-2"/>
                  <c:y val="4.7693118461829158E-2"/>
                </c:manualLayout>
              </c:layout>
              <c:tx>
                <c:rich>
                  <a:bodyPr/>
                  <a:lstStyle/>
                  <a:p>
                    <a:fld id="{B6100835-A1CC-8C43-9ABF-A0D534EB19B7}" type="CATEGORYNAME">
                      <a:rPr lang="en-US">
                        <a:solidFill>
                          <a:schemeClr val="bg1"/>
                        </a:solidFill>
                      </a:rPr>
                      <a:pPr/>
                      <a:t>[CATEGORY NAME]</a:t>
                    </a:fld>
                    <a:r>
                      <a:rPr lang="en-US" baseline="0">
                        <a:solidFill>
                          <a:schemeClr val="bg1"/>
                        </a:solidFill>
                      </a:rPr>
                      <a:t>
</a:t>
                    </a:r>
                    <a:fld id="{D9A9A182-7D2E-E84C-8FD0-CCDF676D5D57}"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8BEF-A944-BE3A-FD0590DE824F}"/>
                </c:ext>
              </c:extLst>
            </c:dLbl>
            <c:dLbl>
              <c:idx val="8"/>
              <c:delete val="1"/>
              <c:extLst>
                <c:ext xmlns:c15="http://schemas.microsoft.com/office/drawing/2012/chart" uri="{CE6537A1-D6FC-4f65-9D91-7224C49458BB}"/>
                <c:ext xmlns:c16="http://schemas.microsoft.com/office/drawing/2014/chart" uri="{C3380CC4-5D6E-409C-BE32-E72D297353CC}">
                  <c16:uniqueId val="{00000005-0AFC-3D4E-8D2C-31B16C13C369}"/>
                </c:ext>
              </c:extLst>
            </c:dLbl>
            <c:dLbl>
              <c:idx val="9"/>
              <c:delete val="1"/>
              <c:extLst>
                <c:ext xmlns:c15="http://schemas.microsoft.com/office/drawing/2012/chart" uri="{CE6537A1-D6FC-4f65-9D91-7224C49458BB}"/>
                <c:ext xmlns:c16="http://schemas.microsoft.com/office/drawing/2014/chart" uri="{C3380CC4-5D6E-409C-BE32-E72D297353CC}">
                  <c16:uniqueId val="{00000004-0AFC-3D4E-8D2C-31B16C13C369}"/>
                </c:ext>
              </c:extLst>
            </c:dLbl>
            <c:dLbl>
              <c:idx val="10"/>
              <c:delete val="1"/>
              <c:extLst>
                <c:ext xmlns:c15="http://schemas.microsoft.com/office/drawing/2012/chart" uri="{CE6537A1-D6FC-4f65-9D91-7224C49458BB}"/>
                <c:ext xmlns:c16="http://schemas.microsoft.com/office/drawing/2014/chart" uri="{C3380CC4-5D6E-409C-BE32-E72D297353CC}">
                  <c16:uniqueId val="{00000003-0AFC-3D4E-8D2C-31B16C13C369}"/>
                </c:ext>
              </c:extLst>
            </c:dLbl>
            <c:dLbl>
              <c:idx val="11"/>
              <c:delete val="1"/>
              <c:extLst>
                <c:ext xmlns:c15="http://schemas.microsoft.com/office/drawing/2012/chart" uri="{CE6537A1-D6FC-4f65-9D91-7224C49458BB}"/>
                <c:ext xmlns:c16="http://schemas.microsoft.com/office/drawing/2014/chart" uri="{C3380CC4-5D6E-409C-BE32-E72D297353CC}">
                  <c16:uniqueId val="{00000002-0AFC-3D4E-8D2C-31B16C13C369}"/>
                </c:ext>
              </c:extLst>
            </c:dLbl>
            <c:dLbl>
              <c:idx val="12"/>
              <c:delete val="1"/>
              <c:extLst>
                <c:ext xmlns:c15="http://schemas.microsoft.com/office/drawing/2012/chart" uri="{CE6537A1-D6FC-4f65-9D91-7224C49458BB}"/>
                <c:ext xmlns:c16="http://schemas.microsoft.com/office/drawing/2014/chart" uri="{C3380CC4-5D6E-409C-BE32-E72D297353CC}">
                  <c16:uniqueId val="{00000001-0AFC-3D4E-8D2C-31B16C13C36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'Challenge-by-Challenge'!$B$12:$B$24</c:f>
              <c:strCache>
                <c:ptCount val="13"/>
                <c:pt idx="0">
                  <c:v>Challenge 1</c:v>
                </c:pt>
                <c:pt idx="1">
                  <c:v>Challenge 2</c:v>
                </c:pt>
                <c:pt idx="2">
                  <c:v>Challenge 3</c:v>
                </c:pt>
                <c:pt idx="3">
                  <c:v>Challenge 4</c:v>
                </c:pt>
                <c:pt idx="4">
                  <c:v>Challenge 5</c:v>
                </c:pt>
                <c:pt idx="5">
                  <c:v>Challenge 6</c:v>
                </c:pt>
                <c:pt idx="6">
                  <c:v>Challenge 7</c:v>
                </c:pt>
                <c:pt idx="7">
                  <c:v>Challenge 8</c:v>
                </c:pt>
                <c:pt idx="8">
                  <c:v>Challenge 9</c:v>
                </c:pt>
                <c:pt idx="9">
                  <c:v>Challenge 10</c:v>
                </c:pt>
                <c:pt idx="10">
                  <c:v>Challenge 11</c:v>
                </c:pt>
                <c:pt idx="11">
                  <c:v>Challenge 12</c:v>
                </c:pt>
                <c:pt idx="12">
                  <c:v>Challenge 13</c:v>
                </c:pt>
              </c:strCache>
            </c:strRef>
          </c:cat>
          <c:val>
            <c:numRef>
              <c:f>'Challenge-by-Challenge'!$D$12:$D$24</c:f>
              <c:numCache>
                <c:formatCode>0.0%</c:formatCode>
                <c:ptCount val="13"/>
                <c:pt idx="0">
                  <c:v>0.21708892200695479</c:v>
                </c:pt>
                <c:pt idx="1">
                  <c:v>0.12568306010928962</c:v>
                </c:pt>
                <c:pt idx="2">
                  <c:v>0.12816691505216096</c:v>
                </c:pt>
                <c:pt idx="3">
                  <c:v>0.12916045702930948</c:v>
                </c:pt>
                <c:pt idx="4">
                  <c:v>0.13065076999503228</c:v>
                </c:pt>
                <c:pt idx="5">
                  <c:v>0.12220566318926974</c:v>
                </c:pt>
                <c:pt idx="6">
                  <c:v>8.2463984103328364E-2</c:v>
                </c:pt>
                <c:pt idx="7">
                  <c:v>4.0735221063089917E-2</c:v>
                </c:pt>
                <c:pt idx="8">
                  <c:v>1.6890213611525089E-2</c:v>
                </c:pt>
                <c:pt idx="9">
                  <c:v>3.9741679085941381E-3</c:v>
                </c:pt>
                <c:pt idx="10">
                  <c:v>1.987083954297069E-3</c:v>
                </c:pt>
                <c:pt idx="11">
                  <c:v>0</c:v>
                </c:pt>
                <c:pt idx="12">
                  <c:v>9.9354197714853452E-4</c:v>
                </c:pt>
              </c:numCache>
            </c:numRef>
          </c:val>
          <c:extLst>
            <c:ext xmlns:c16="http://schemas.microsoft.com/office/drawing/2014/chart" uri="{C3380CC4-5D6E-409C-BE32-E72D297353CC}">
              <c16:uniqueId val="{00000000-0AFC-3D4E-8D2C-31B16C13C369}"/>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Elimination</a:t>
            </a:r>
            <a:r>
              <a:rPr lang="en-US" b="1" baseline="0"/>
              <a:t> and </a:t>
            </a:r>
            <a:r>
              <a:rPr lang="en-US" b="1" baseline="0">
                <a:solidFill>
                  <a:srgbClr val="00B050"/>
                </a:solidFill>
              </a:rPr>
              <a:t>Non-Elimination</a:t>
            </a:r>
            <a:r>
              <a:rPr lang="en-US" b="1" baseline="0"/>
              <a:t> Legs per Season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'Leg Outcomes'!$C$9</c:f>
              <c:strCache>
                <c:ptCount val="1"/>
                <c:pt idx="0">
                  <c:v>Elim</c:v>
                </c:pt>
              </c:strCache>
            </c:strRef>
          </c:tx>
          <c:spPr>
            <a:solidFill>
              <a:srgbClr val="7030A0"/>
            </a:solidFill>
            <a:ln>
              <a:noFill/>
            </a:ln>
            <a:effectLst/>
          </c:spPr>
          <c:invertIfNegative val="0"/>
          <c:cat>
            <c:strRef>
              <c:f>'Leg Outcomes'!$B$10:$B$47</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'Leg Outcomes'!$C$10:$C$47</c:f>
              <c:numCache>
                <c:formatCode>General</c:formatCode>
                <c:ptCount val="38"/>
                <c:pt idx="0">
                  <c:v>8</c:v>
                </c:pt>
                <c:pt idx="1">
                  <c:v>8</c:v>
                </c:pt>
                <c:pt idx="2">
                  <c:v>9</c:v>
                </c:pt>
                <c:pt idx="3">
                  <c:v>9</c:v>
                </c:pt>
                <c:pt idx="4">
                  <c:v>8</c:v>
                </c:pt>
                <c:pt idx="5">
                  <c:v>8</c:v>
                </c:pt>
                <c:pt idx="6">
                  <c:v>8</c:v>
                </c:pt>
                <c:pt idx="7">
                  <c:v>7</c:v>
                </c:pt>
                <c:pt idx="8">
                  <c:v>8</c:v>
                </c:pt>
                <c:pt idx="9">
                  <c:v>8</c:v>
                </c:pt>
                <c:pt idx="10">
                  <c:v>8</c:v>
                </c:pt>
                <c:pt idx="11">
                  <c:v>8</c:v>
                </c:pt>
                <c:pt idx="12">
                  <c:v>8</c:v>
                </c:pt>
                <c:pt idx="13">
                  <c:v>8</c:v>
                </c:pt>
                <c:pt idx="14">
                  <c:v>9</c:v>
                </c:pt>
                <c:pt idx="15">
                  <c:v>8</c:v>
                </c:pt>
                <c:pt idx="16">
                  <c:v>8</c:v>
                </c:pt>
                <c:pt idx="17">
                  <c:v>8</c:v>
                </c:pt>
                <c:pt idx="18">
                  <c:v>7</c:v>
                </c:pt>
                <c:pt idx="19">
                  <c:v>8</c:v>
                </c:pt>
                <c:pt idx="20">
                  <c:v>8</c:v>
                </c:pt>
                <c:pt idx="21">
                  <c:v>8</c:v>
                </c:pt>
                <c:pt idx="22">
                  <c:v>8</c:v>
                </c:pt>
                <c:pt idx="23">
                  <c:v>8</c:v>
                </c:pt>
                <c:pt idx="24">
                  <c:v>7</c:v>
                </c:pt>
                <c:pt idx="25">
                  <c:v>7</c:v>
                </c:pt>
                <c:pt idx="26">
                  <c:v>8</c:v>
                </c:pt>
                <c:pt idx="27">
                  <c:v>8</c:v>
                </c:pt>
                <c:pt idx="28">
                  <c:v>8</c:v>
                </c:pt>
                <c:pt idx="29">
                  <c:v>8</c:v>
                </c:pt>
                <c:pt idx="30">
                  <c:v>8</c:v>
                </c:pt>
                <c:pt idx="31">
                  <c:v>8</c:v>
                </c:pt>
                <c:pt idx="32">
                  <c:v>6</c:v>
                </c:pt>
                <c:pt idx="33">
                  <c:v>9</c:v>
                </c:pt>
                <c:pt idx="34">
                  <c:v>10</c:v>
                </c:pt>
                <c:pt idx="35">
                  <c:v>10</c:v>
                </c:pt>
                <c:pt idx="36">
                  <c:v>10</c:v>
                </c:pt>
                <c:pt idx="37">
                  <c:v>10</c:v>
                </c:pt>
              </c:numCache>
            </c:numRef>
          </c:val>
          <c:extLst>
            <c:ext xmlns:c16="http://schemas.microsoft.com/office/drawing/2014/chart" uri="{C3380CC4-5D6E-409C-BE32-E72D297353CC}">
              <c16:uniqueId val="{00000000-4C96-0946-AFEC-E1F6A629AD00}"/>
            </c:ext>
          </c:extLst>
        </c:ser>
        <c:ser>
          <c:idx val="1"/>
          <c:order val="1"/>
          <c:tx>
            <c:strRef>
              <c:f>'Leg Outcomes'!$D$9</c:f>
              <c:strCache>
                <c:ptCount val="1"/>
                <c:pt idx="0">
                  <c:v>NonElim</c:v>
                </c:pt>
              </c:strCache>
            </c:strRef>
          </c:tx>
          <c:spPr>
            <a:solidFill>
              <a:srgbClr val="00B050"/>
            </a:solidFill>
            <a:ln>
              <a:noFill/>
            </a:ln>
            <a:effectLst/>
          </c:spPr>
          <c:invertIfNegative val="0"/>
          <c:cat>
            <c:strRef>
              <c:f>'Leg Outcomes'!$B$10:$B$47</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'Leg Outcomes'!$D$10:$D$47</c:f>
              <c:numCache>
                <c:formatCode>General</c:formatCode>
                <c:ptCount val="38"/>
                <c:pt idx="0">
                  <c:v>4</c:v>
                </c:pt>
                <c:pt idx="1">
                  <c:v>4</c:v>
                </c:pt>
                <c:pt idx="2">
                  <c:v>3</c:v>
                </c:pt>
                <c:pt idx="3">
                  <c:v>3</c:v>
                </c:pt>
                <c:pt idx="4">
                  <c:v>4</c:v>
                </c:pt>
                <c:pt idx="5">
                  <c:v>3</c:v>
                </c:pt>
                <c:pt idx="6">
                  <c:v>4</c:v>
                </c:pt>
                <c:pt idx="7">
                  <c:v>4</c:v>
                </c:pt>
                <c:pt idx="8">
                  <c:v>4</c:v>
                </c:pt>
                <c:pt idx="9">
                  <c:v>3</c:v>
                </c:pt>
                <c:pt idx="10">
                  <c:v>4</c:v>
                </c:pt>
                <c:pt idx="11">
                  <c:v>2</c:v>
                </c:pt>
                <c:pt idx="12">
                  <c:v>2</c:v>
                </c:pt>
                <c:pt idx="13">
                  <c:v>3</c:v>
                </c:pt>
                <c:pt idx="14">
                  <c:v>2</c:v>
                </c:pt>
                <c:pt idx="15">
                  <c:v>3</c:v>
                </c:pt>
                <c:pt idx="16">
                  <c:v>3</c:v>
                </c:pt>
                <c:pt idx="17">
                  <c:v>3</c:v>
                </c:pt>
                <c:pt idx="18">
                  <c:v>4</c:v>
                </c:pt>
                <c:pt idx="19">
                  <c:v>3</c:v>
                </c:pt>
                <c:pt idx="20">
                  <c:v>3</c:v>
                </c:pt>
                <c:pt idx="21">
                  <c:v>3</c:v>
                </c:pt>
                <c:pt idx="22">
                  <c:v>3</c:v>
                </c:pt>
                <c:pt idx="23">
                  <c:v>3</c:v>
                </c:pt>
                <c:pt idx="24">
                  <c:v>4</c:v>
                </c:pt>
                <c:pt idx="25">
                  <c:v>4</c:v>
                </c:pt>
                <c:pt idx="26">
                  <c:v>3</c:v>
                </c:pt>
                <c:pt idx="27">
                  <c:v>3</c:v>
                </c:pt>
                <c:pt idx="28">
                  <c:v>3</c:v>
                </c:pt>
                <c:pt idx="29">
                  <c:v>3</c:v>
                </c:pt>
                <c:pt idx="30">
                  <c:v>3</c:v>
                </c:pt>
                <c:pt idx="31">
                  <c:v>2</c:v>
                </c:pt>
                <c:pt idx="32">
                  <c:v>4</c:v>
                </c:pt>
                <c:pt idx="33">
                  <c:v>0</c:v>
                </c:pt>
                <c:pt idx="34">
                  <c:v>1</c:v>
                </c:pt>
                <c:pt idx="35">
                  <c:v>0</c:v>
                </c:pt>
                <c:pt idx="36">
                  <c:v>1</c:v>
                </c:pt>
                <c:pt idx="37">
                  <c:v>1</c:v>
                </c:pt>
              </c:numCache>
            </c:numRef>
          </c:val>
          <c:extLst>
            <c:ext xmlns:c16="http://schemas.microsoft.com/office/drawing/2014/chart" uri="{C3380CC4-5D6E-409C-BE32-E72D297353CC}">
              <c16:uniqueId val="{00000001-4C96-0946-AFEC-E1F6A629AD00}"/>
            </c:ext>
          </c:extLst>
        </c:ser>
        <c:dLbls>
          <c:showLegendKey val="0"/>
          <c:showVal val="0"/>
          <c:showCatName val="0"/>
          <c:showSerName val="0"/>
          <c:showPercent val="0"/>
          <c:showBubbleSize val="0"/>
        </c:dLbls>
        <c:gapWidth val="219"/>
        <c:overlap val="-27"/>
        <c:axId val="754174960"/>
        <c:axId val="922958144"/>
      </c:barChart>
      <c:catAx>
        <c:axId val="75417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958144"/>
        <c:crosses val="autoZero"/>
        <c:auto val="1"/>
        <c:lblAlgn val="ctr"/>
        <c:lblOffset val="100"/>
        <c:noMultiLvlLbl val="0"/>
      </c:catAx>
      <c:valAx>
        <c:axId val="922958144"/>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7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Elimination Legs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7030A0"/>
              </a:solidFill>
            </a:ln>
            <a:effectLst/>
          </c:spPr>
          <c:dPt>
            <c:idx val="0"/>
            <c:bubble3D val="0"/>
            <c:spPr>
              <a:solidFill>
                <a:schemeClr val="lt1"/>
              </a:solidFill>
              <a:ln w="19050">
                <a:solidFill>
                  <a:srgbClr val="7030A0"/>
                </a:solidFill>
              </a:ln>
              <a:effectLst/>
            </c:spPr>
            <c:extLst>
              <c:ext xmlns:c16="http://schemas.microsoft.com/office/drawing/2014/chart" uri="{C3380CC4-5D6E-409C-BE32-E72D297353CC}">
                <c16:uniqueId val="{00000001-5100-394C-8809-2BDA4CB9BE72}"/>
              </c:ext>
            </c:extLst>
          </c:dPt>
          <c:dPt>
            <c:idx val="1"/>
            <c:bubble3D val="0"/>
            <c:spPr>
              <a:solidFill>
                <a:schemeClr val="lt1"/>
              </a:solidFill>
              <a:ln w="19050">
                <a:solidFill>
                  <a:srgbClr val="7030A0"/>
                </a:solidFill>
              </a:ln>
              <a:effectLst/>
            </c:spPr>
            <c:extLst>
              <c:ext xmlns:c16="http://schemas.microsoft.com/office/drawing/2014/chart" uri="{C3380CC4-5D6E-409C-BE32-E72D297353CC}">
                <c16:uniqueId val="{00000003-5100-394C-8809-2BDA4CB9BE72}"/>
              </c:ext>
            </c:extLst>
          </c:dPt>
          <c:dPt>
            <c:idx val="2"/>
            <c:bubble3D val="0"/>
            <c:spPr>
              <a:solidFill>
                <a:schemeClr val="lt1"/>
              </a:solidFill>
              <a:ln w="19050">
                <a:solidFill>
                  <a:srgbClr val="7030A0"/>
                </a:solidFill>
              </a:ln>
              <a:effectLst/>
            </c:spPr>
            <c:extLst>
              <c:ext xmlns:c16="http://schemas.microsoft.com/office/drawing/2014/chart" uri="{C3380CC4-5D6E-409C-BE32-E72D297353CC}">
                <c16:uniqueId val="{00000005-5100-394C-8809-2BDA4CB9BE72}"/>
              </c:ext>
            </c:extLst>
          </c:dPt>
          <c:dPt>
            <c:idx val="3"/>
            <c:bubble3D val="0"/>
            <c:spPr>
              <a:solidFill>
                <a:schemeClr val="lt1"/>
              </a:solidFill>
              <a:ln w="19050">
                <a:solidFill>
                  <a:srgbClr val="7030A0"/>
                </a:solidFill>
              </a:ln>
              <a:effectLst/>
            </c:spPr>
            <c:extLst>
              <c:ext xmlns:c16="http://schemas.microsoft.com/office/drawing/2014/chart" uri="{C3380CC4-5D6E-409C-BE32-E72D297353CC}">
                <c16:uniqueId val="{00000007-5100-394C-8809-2BDA4CB9BE72}"/>
              </c:ext>
            </c:extLst>
          </c:dPt>
          <c:dPt>
            <c:idx val="4"/>
            <c:bubble3D val="0"/>
            <c:spPr>
              <a:solidFill>
                <a:schemeClr val="lt1"/>
              </a:solidFill>
              <a:ln w="19050">
                <a:solidFill>
                  <a:srgbClr val="7030A0"/>
                </a:solidFill>
              </a:ln>
              <a:effectLst/>
            </c:spPr>
            <c:extLst>
              <c:ext xmlns:c16="http://schemas.microsoft.com/office/drawing/2014/chart" uri="{C3380CC4-5D6E-409C-BE32-E72D297353CC}">
                <c16:uniqueId val="{00000009-5100-394C-8809-2BDA4CB9BE72}"/>
              </c:ext>
            </c:extLst>
          </c:dPt>
          <c:dPt>
            <c:idx val="5"/>
            <c:bubble3D val="0"/>
            <c:spPr>
              <a:solidFill>
                <a:schemeClr val="lt1"/>
              </a:solidFill>
              <a:ln w="19050">
                <a:solidFill>
                  <a:srgbClr val="7030A0"/>
                </a:solidFill>
              </a:ln>
              <a:effectLst/>
            </c:spPr>
            <c:extLst>
              <c:ext xmlns:c16="http://schemas.microsoft.com/office/drawing/2014/chart" uri="{C3380CC4-5D6E-409C-BE32-E72D297353CC}">
                <c16:uniqueId val="{0000000B-5100-394C-8809-2BDA4CB9BE72}"/>
              </c:ext>
            </c:extLst>
          </c:dPt>
          <c:dPt>
            <c:idx val="6"/>
            <c:bubble3D val="0"/>
            <c:spPr>
              <a:solidFill>
                <a:schemeClr val="lt1"/>
              </a:solidFill>
              <a:ln w="19050">
                <a:solidFill>
                  <a:srgbClr val="7030A0"/>
                </a:solidFill>
              </a:ln>
              <a:effectLst/>
            </c:spPr>
            <c:extLst>
              <c:ext xmlns:c16="http://schemas.microsoft.com/office/drawing/2014/chart" uri="{C3380CC4-5D6E-409C-BE32-E72D297353CC}">
                <c16:uniqueId val="{0000000D-5100-394C-8809-2BDA4CB9BE72}"/>
              </c:ext>
            </c:extLst>
          </c:dPt>
          <c:dPt>
            <c:idx val="7"/>
            <c:bubble3D val="0"/>
            <c:spPr>
              <a:solidFill>
                <a:schemeClr val="lt1"/>
              </a:solidFill>
              <a:ln w="19050">
                <a:solidFill>
                  <a:srgbClr val="7030A0"/>
                </a:solidFill>
              </a:ln>
              <a:effectLst/>
            </c:spPr>
            <c:extLst>
              <c:ext xmlns:c16="http://schemas.microsoft.com/office/drawing/2014/chart" uri="{C3380CC4-5D6E-409C-BE32-E72D297353CC}">
                <c16:uniqueId val="{0000000F-5100-394C-8809-2BDA4CB9BE72}"/>
              </c:ext>
            </c:extLst>
          </c:dPt>
          <c:dPt>
            <c:idx val="8"/>
            <c:bubble3D val="0"/>
            <c:spPr>
              <a:solidFill>
                <a:schemeClr val="lt1"/>
              </a:solidFill>
              <a:ln w="19050">
                <a:solidFill>
                  <a:srgbClr val="7030A0"/>
                </a:solidFill>
              </a:ln>
              <a:effectLst/>
            </c:spPr>
            <c:extLst>
              <c:ext xmlns:c16="http://schemas.microsoft.com/office/drawing/2014/chart" uri="{C3380CC4-5D6E-409C-BE32-E72D297353CC}">
                <c16:uniqueId val="{00000011-5100-394C-8809-2BDA4CB9BE72}"/>
              </c:ext>
            </c:extLst>
          </c:dPt>
          <c:dPt>
            <c:idx val="9"/>
            <c:bubble3D val="0"/>
            <c:spPr>
              <a:solidFill>
                <a:schemeClr val="lt1"/>
              </a:solidFill>
              <a:ln w="19050">
                <a:solidFill>
                  <a:srgbClr val="7030A0"/>
                </a:solidFill>
              </a:ln>
              <a:effectLst/>
            </c:spPr>
            <c:extLst>
              <c:ext xmlns:c16="http://schemas.microsoft.com/office/drawing/2014/chart" uri="{C3380CC4-5D6E-409C-BE32-E72D297353CC}">
                <c16:uniqueId val="{00000013-5100-394C-8809-2BDA4CB9BE72}"/>
              </c:ext>
            </c:extLst>
          </c:dPt>
          <c:dPt>
            <c:idx val="10"/>
            <c:bubble3D val="0"/>
            <c:spPr>
              <a:solidFill>
                <a:schemeClr val="lt1"/>
              </a:solidFill>
              <a:ln w="19050">
                <a:solidFill>
                  <a:srgbClr val="7030A0"/>
                </a:solidFill>
              </a:ln>
              <a:effectLst/>
            </c:spPr>
            <c:extLst>
              <c:ext xmlns:c16="http://schemas.microsoft.com/office/drawing/2014/chart" uri="{C3380CC4-5D6E-409C-BE32-E72D297353CC}">
                <c16:uniqueId val="{00000015-5100-394C-8809-2BDA4CB9BE72}"/>
              </c:ext>
            </c:extLst>
          </c:dPt>
          <c:dPt>
            <c:idx val="11"/>
            <c:bubble3D val="0"/>
            <c:spPr>
              <a:solidFill>
                <a:schemeClr val="lt1"/>
              </a:solidFill>
              <a:ln w="19050">
                <a:solidFill>
                  <a:srgbClr val="7030A0"/>
                </a:solidFill>
              </a:ln>
              <a:effectLst/>
            </c:spPr>
            <c:extLst>
              <c:ext xmlns:c16="http://schemas.microsoft.com/office/drawing/2014/chart" uri="{C3380CC4-5D6E-409C-BE32-E72D297353CC}">
                <c16:uniqueId val="{00000017-5100-394C-8809-2BDA4CB9BE72}"/>
              </c:ext>
            </c:extLst>
          </c:dPt>
          <c:dLbls>
            <c:dLbl>
              <c:idx val="11"/>
              <c:delete val="1"/>
              <c:extLst>
                <c:ext xmlns:c15="http://schemas.microsoft.com/office/drawing/2012/chart" uri="{CE6537A1-D6FC-4f65-9D91-7224C49458BB}"/>
                <c:ext xmlns:c16="http://schemas.microsoft.com/office/drawing/2014/chart" uri="{C3380CC4-5D6E-409C-BE32-E72D297353CC}">
                  <c16:uniqueId val="{00000017-5100-394C-8809-2BDA4CB9BE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 Outcomes'!$F$58:$F$69</c:f>
              <c:strCache>
                <c:ptCount val="12"/>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strCache>
            </c:strRef>
          </c:cat>
          <c:val>
            <c:numRef>
              <c:f>'Leg Outcomes'!$H$58:$H$69</c:f>
              <c:numCache>
                <c:formatCode>0%</c:formatCode>
                <c:ptCount val="12"/>
                <c:pt idx="0">
                  <c:v>0.11724137931034483</c:v>
                </c:pt>
                <c:pt idx="1">
                  <c:v>0.12758620689655173</c:v>
                </c:pt>
                <c:pt idx="2">
                  <c:v>0.10689655172413794</c:v>
                </c:pt>
                <c:pt idx="3">
                  <c:v>9.6551724137931033E-2</c:v>
                </c:pt>
                <c:pt idx="4">
                  <c:v>9.6551724137931033E-2</c:v>
                </c:pt>
                <c:pt idx="5">
                  <c:v>9.6551724137931033E-2</c:v>
                </c:pt>
                <c:pt idx="6">
                  <c:v>7.9310344827586213E-2</c:v>
                </c:pt>
                <c:pt idx="7">
                  <c:v>8.6206896551724144E-2</c:v>
                </c:pt>
                <c:pt idx="8">
                  <c:v>8.6206896551724144E-2</c:v>
                </c:pt>
                <c:pt idx="9">
                  <c:v>6.8965517241379309E-2</c:v>
                </c:pt>
                <c:pt idx="10">
                  <c:v>9.6551724137931033E-2</c:v>
                </c:pt>
                <c:pt idx="11">
                  <c:v>6.8965517241379309E-3</c:v>
                </c:pt>
              </c:numCache>
            </c:numRef>
          </c:val>
          <c:extLst>
            <c:ext xmlns:c16="http://schemas.microsoft.com/office/drawing/2014/chart" uri="{C3380CC4-5D6E-409C-BE32-E72D297353CC}">
              <c16:uniqueId val="{00000000-119E-514F-B561-6D102902581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Non-Elimination legs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00B050"/>
              </a:solidFill>
            </a:ln>
            <a:effectLst/>
          </c:spPr>
          <c:dPt>
            <c:idx val="0"/>
            <c:bubble3D val="0"/>
            <c:spPr>
              <a:solidFill>
                <a:schemeClr val="lt1"/>
              </a:solidFill>
              <a:ln w="19050">
                <a:solidFill>
                  <a:srgbClr val="00B050"/>
                </a:solidFill>
              </a:ln>
              <a:effectLst/>
            </c:spPr>
            <c:extLst>
              <c:ext xmlns:c16="http://schemas.microsoft.com/office/drawing/2014/chart" uri="{C3380CC4-5D6E-409C-BE32-E72D297353CC}">
                <c16:uniqueId val="{00000001-7B64-6742-BD65-E683423AD263}"/>
              </c:ext>
            </c:extLst>
          </c:dPt>
          <c:dPt>
            <c:idx val="1"/>
            <c:bubble3D val="0"/>
            <c:spPr>
              <a:solidFill>
                <a:schemeClr val="lt1"/>
              </a:solidFill>
              <a:ln w="19050">
                <a:solidFill>
                  <a:srgbClr val="00B050"/>
                </a:solidFill>
              </a:ln>
              <a:effectLst/>
            </c:spPr>
            <c:extLst>
              <c:ext xmlns:c16="http://schemas.microsoft.com/office/drawing/2014/chart" uri="{C3380CC4-5D6E-409C-BE32-E72D297353CC}">
                <c16:uniqueId val="{00000003-7B64-6742-BD65-E683423AD263}"/>
              </c:ext>
            </c:extLst>
          </c:dPt>
          <c:dPt>
            <c:idx val="2"/>
            <c:bubble3D val="0"/>
            <c:spPr>
              <a:solidFill>
                <a:schemeClr val="lt1"/>
              </a:solidFill>
              <a:ln w="19050">
                <a:solidFill>
                  <a:srgbClr val="00B050"/>
                </a:solidFill>
              </a:ln>
              <a:effectLst/>
            </c:spPr>
            <c:extLst>
              <c:ext xmlns:c16="http://schemas.microsoft.com/office/drawing/2014/chart" uri="{C3380CC4-5D6E-409C-BE32-E72D297353CC}">
                <c16:uniqueId val="{00000005-7B64-6742-BD65-E683423AD263}"/>
              </c:ext>
            </c:extLst>
          </c:dPt>
          <c:dPt>
            <c:idx val="3"/>
            <c:bubble3D val="0"/>
            <c:spPr>
              <a:solidFill>
                <a:schemeClr val="lt1"/>
              </a:solidFill>
              <a:ln w="19050">
                <a:solidFill>
                  <a:srgbClr val="00B050"/>
                </a:solidFill>
              </a:ln>
              <a:effectLst/>
            </c:spPr>
            <c:extLst>
              <c:ext xmlns:c16="http://schemas.microsoft.com/office/drawing/2014/chart" uri="{C3380CC4-5D6E-409C-BE32-E72D297353CC}">
                <c16:uniqueId val="{00000007-7B64-6742-BD65-E683423AD263}"/>
              </c:ext>
            </c:extLst>
          </c:dPt>
          <c:dPt>
            <c:idx val="4"/>
            <c:bubble3D val="0"/>
            <c:spPr>
              <a:solidFill>
                <a:schemeClr val="lt1"/>
              </a:solidFill>
              <a:ln w="19050">
                <a:solidFill>
                  <a:srgbClr val="00B050"/>
                </a:solidFill>
              </a:ln>
              <a:effectLst/>
            </c:spPr>
            <c:extLst>
              <c:ext xmlns:c16="http://schemas.microsoft.com/office/drawing/2014/chart" uri="{C3380CC4-5D6E-409C-BE32-E72D297353CC}">
                <c16:uniqueId val="{00000009-7B64-6742-BD65-E683423AD263}"/>
              </c:ext>
            </c:extLst>
          </c:dPt>
          <c:dPt>
            <c:idx val="5"/>
            <c:bubble3D val="0"/>
            <c:spPr>
              <a:solidFill>
                <a:schemeClr val="lt1"/>
              </a:solidFill>
              <a:ln w="19050">
                <a:solidFill>
                  <a:srgbClr val="00B050"/>
                </a:solidFill>
              </a:ln>
              <a:effectLst/>
            </c:spPr>
            <c:extLst>
              <c:ext xmlns:c16="http://schemas.microsoft.com/office/drawing/2014/chart" uri="{C3380CC4-5D6E-409C-BE32-E72D297353CC}">
                <c16:uniqueId val="{0000000B-7B64-6742-BD65-E683423AD263}"/>
              </c:ext>
            </c:extLst>
          </c:dPt>
          <c:dPt>
            <c:idx val="6"/>
            <c:bubble3D val="0"/>
            <c:spPr>
              <a:solidFill>
                <a:schemeClr val="lt1"/>
              </a:solidFill>
              <a:ln w="19050">
                <a:solidFill>
                  <a:srgbClr val="00B050"/>
                </a:solidFill>
              </a:ln>
              <a:effectLst/>
            </c:spPr>
            <c:extLst>
              <c:ext xmlns:c16="http://schemas.microsoft.com/office/drawing/2014/chart" uri="{C3380CC4-5D6E-409C-BE32-E72D297353CC}">
                <c16:uniqueId val="{0000000D-7B64-6742-BD65-E683423AD263}"/>
              </c:ext>
            </c:extLst>
          </c:dPt>
          <c:dPt>
            <c:idx val="7"/>
            <c:bubble3D val="0"/>
            <c:spPr>
              <a:solidFill>
                <a:schemeClr val="lt1"/>
              </a:solidFill>
              <a:ln w="19050">
                <a:solidFill>
                  <a:srgbClr val="00B050"/>
                </a:solidFill>
              </a:ln>
              <a:effectLst/>
            </c:spPr>
            <c:extLst>
              <c:ext xmlns:c16="http://schemas.microsoft.com/office/drawing/2014/chart" uri="{C3380CC4-5D6E-409C-BE32-E72D297353CC}">
                <c16:uniqueId val="{0000000F-7B64-6742-BD65-E683423AD263}"/>
              </c:ext>
            </c:extLst>
          </c:dPt>
          <c:dPt>
            <c:idx val="8"/>
            <c:bubble3D val="0"/>
            <c:spPr>
              <a:solidFill>
                <a:schemeClr val="lt1"/>
              </a:solidFill>
              <a:ln w="19050">
                <a:solidFill>
                  <a:srgbClr val="00B050"/>
                </a:solidFill>
              </a:ln>
              <a:effectLst/>
            </c:spPr>
            <c:extLst>
              <c:ext xmlns:c16="http://schemas.microsoft.com/office/drawing/2014/chart" uri="{C3380CC4-5D6E-409C-BE32-E72D297353CC}">
                <c16:uniqueId val="{00000011-7B64-6742-BD65-E683423AD263}"/>
              </c:ext>
            </c:extLst>
          </c:dPt>
          <c:dPt>
            <c:idx val="9"/>
            <c:bubble3D val="0"/>
            <c:spPr>
              <a:solidFill>
                <a:schemeClr val="lt1"/>
              </a:solidFill>
              <a:ln w="19050">
                <a:solidFill>
                  <a:srgbClr val="00B050"/>
                </a:solidFill>
              </a:ln>
              <a:effectLst/>
            </c:spPr>
            <c:extLst>
              <c:ext xmlns:c16="http://schemas.microsoft.com/office/drawing/2014/chart" uri="{C3380CC4-5D6E-409C-BE32-E72D297353CC}">
                <c16:uniqueId val="{00000013-7B64-6742-BD65-E683423AD263}"/>
              </c:ext>
            </c:extLst>
          </c:dPt>
          <c:dPt>
            <c:idx val="10"/>
            <c:bubble3D val="0"/>
            <c:spPr>
              <a:solidFill>
                <a:schemeClr val="lt1"/>
              </a:solidFill>
              <a:ln w="19050">
                <a:solidFill>
                  <a:srgbClr val="00B050"/>
                </a:solidFill>
              </a:ln>
              <a:effectLst/>
            </c:spPr>
            <c:extLst>
              <c:ext xmlns:c16="http://schemas.microsoft.com/office/drawing/2014/chart" uri="{C3380CC4-5D6E-409C-BE32-E72D297353CC}">
                <c16:uniqueId val="{00000015-7B64-6742-BD65-E683423AD263}"/>
              </c:ext>
            </c:extLst>
          </c:dPt>
          <c:dPt>
            <c:idx val="11"/>
            <c:bubble3D val="0"/>
            <c:spPr>
              <a:solidFill>
                <a:schemeClr val="lt1"/>
              </a:solidFill>
              <a:ln w="19050">
                <a:solidFill>
                  <a:srgbClr val="00B050"/>
                </a:solidFill>
              </a:ln>
              <a:effectLst/>
            </c:spPr>
            <c:extLst>
              <c:ext xmlns:c16="http://schemas.microsoft.com/office/drawing/2014/chart" uri="{C3380CC4-5D6E-409C-BE32-E72D297353CC}">
                <c16:uniqueId val="{00000017-7B64-6742-BD65-E683423AD263}"/>
              </c:ext>
            </c:extLst>
          </c:dPt>
          <c:dLbls>
            <c:dLbl>
              <c:idx val="1"/>
              <c:delete val="1"/>
              <c:extLst>
                <c:ext xmlns:c15="http://schemas.microsoft.com/office/drawing/2012/chart" uri="{CE6537A1-D6FC-4f65-9D91-7224C49458BB}"/>
                <c:ext xmlns:c16="http://schemas.microsoft.com/office/drawing/2014/chart" uri="{C3380CC4-5D6E-409C-BE32-E72D297353CC}">
                  <c16:uniqueId val="{00000003-7B64-6742-BD65-E683423AD26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'Leg Outcomes'!$F$58:$F$69</c:f>
              <c:strCache>
                <c:ptCount val="12"/>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strCache>
            </c:strRef>
          </c:cat>
          <c:val>
            <c:numRef>
              <c:f>'Leg Outcomes'!$K$58:$K$69</c:f>
              <c:numCache>
                <c:formatCode>0%</c:formatCode>
                <c:ptCount val="12"/>
                <c:pt idx="0">
                  <c:v>3.7383177570093455E-2</c:v>
                </c:pt>
                <c:pt idx="1">
                  <c:v>9.3457943925233638E-3</c:v>
                </c:pt>
                <c:pt idx="2">
                  <c:v>6.5420560747663545E-2</c:v>
                </c:pt>
                <c:pt idx="3">
                  <c:v>9.3457943925233641E-2</c:v>
                </c:pt>
                <c:pt idx="4">
                  <c:v>9.3457943925233641E-2</c:v>
                </c:pt>
                <c:pt idx="5">
                  <c:v>9.3457943925233641E-2</c:v>
                </c:pt>
                <c:pt idx="6">
                  <c:v>0.14018691588785046</c:v>
                </c:pt>
                <c:pt idx="7">
                  <c:v>0.12149532710280374</c:v>
                </c:pt>
                <c:pt idx="8">
                  <c:v>0.12149532710280374</c:v>
                </c:pt>
                <c:pt idx="9">
                  <c:v>0.15887850467289719</c:v>
                </c:pt>
                <c:pt idx="10">
                  <c:v>3.7383177570093455E-2</c:v>
                </c:pt>
                <c:pt idx="11">
                  <c:v>5.6074766355140186E-2</c:v>
                </c:pt>
              </c:numCache>
            </c:numRef>
          </c:val>
          <c:extLst>
            <c:ext xmlns:c16="http://schemas.microsoft.com/office/drawing/2014/chart" uri="{C3380CC4-5D6E-409C-BE32-E72D297353CC}">
              <c16:uniqueId val="{00000000-D69F-DC44-BD77-005A3B75961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First Leg of </a:t>
            </a:r>
            <a:r>
              <a:rPr lang="en-US" b="1">
                <a:solidFill>
                  <a:srgbClr val="00B050"/>
                </a:solidFill>
              </a:rPr>
              <a:t>Non-Elim</a:t>
            </a:r>
            <a:r>
              <a:rPr lang="en-US" b="1"/>
              <a:t> per Season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'Leg Outcomes'!$U$56</c:f>
              <c:strCache>
                <c:ptCount val="1"/>
                <c:pt idx="0">
                  <c:v>First Leg of Non-Elim per Season</c:v>
                </c:pt>
              </c:strCache>
            </c:strRef>
          </c:tx>
          <c:spPr>
            <a:ln w="28575" cap="rnd">
              <a:noFill/>
              <a:round/>
            </a:ln>
            <a:effectLst/>
          </c:spPr>
          <c:marker>
            <c:symbol val="circle"/>
            <c:size val="5"/>
            <c:spPr>
              <a:solidFill>
                <a:srgbClr val="00B050"/>
              </a:solidFill>
              <a:ln w="9525">
                <a:noFill/>
              </a:ln>
              <a:effectLst/>
            </c:spPr>
          </c:marker>
          <c:cat>
            <c:strRef>
              <c:f>'Leg Outcomes'!$U$59:$U$96</c:f>
              <c:strCache>
                <c:ptCount val="38"/>
                <c:pt idx="0">
                  <c:v>Season 1</c:v>
                </c:pt>
                <c:pt idx="1">
                  <c:v>Season 2</c:v>
                </c:pt>
                <c:pt idx="2">
                  <c:v>Season 3</c:v>
                </c:pt>
                <c:pt idx="3">
                  <c:v>Season 4</c:v>
                </c:pt>
                <c:pt idx="4">
                  <c:v>Season 5</c:v>
                </c:pt>
                <c:pt idx="5">
                  <c:v>Season 6</c:v>
                </c:pt>
                <c:pt idx="6">
                  <c:v>Season 7</c:v>
                </c:pt>
                <c:pt idx="7">
                  <c:v>Season 8</c:v>
                </c:pt>
                <c:pt idx="8">
                  <c:v>Season 9</c:v>
                </c:pt>
                <c:pt idx="9">
                  <c:v>Season 10</c:v>
                </c:pt>
                <c:pt idx="10">
                  <c:v>Season 11</c:v>
                </c:pt>
                <c:pt idx="11">
                  <c:v>Season 12</c:v>
                </c:pt>
                <c:pt idx="12">
                  <c:v>Season 13</c:v>
                </c:pt>
                <c:pt idx="13">
                  <c:v>Season 14</c:v>
                </c:pt>
                <c:pt idx="14">
                  <c:v>Season 15</c:v>
                </c:pt>
                <c:pt idx="15">
                  <c:v>Season 16</c:v>
                </c:pt>
                <c:pt idx="16">
                  <c:v>Season 17</c:v>
                </c:pt>
                <c:pt idx="17">
                  <c:v>Season 18</c:v>
                </c:pt>
                <c:pt idx="18">
                  <c:v>Season 19</c:v>
                </c:pt>
                <c:pt idx="19">
                  <c:v>Season 20</c:v>
                </c:pt>
                <c:pt idx="20">
                  <c:v>Season 21</c:v>
                </c:pt>
                <c:pt idx="21">
                  <c:v>Season 22</c:v>
                </c:pt>
                <c:pt idx="22">
                  <c:v>Season 23</c:v>
                </c:pt>
                <c:pt idx="23">
                  <c:v>Season 24</c:v>
                </c:pt>
                <c:pt idx="24">
                  <c:v>Season 25</c:v>
                </c:pt>
                <c:pt idx="25">
                  <c:v>Season 26</c:v>
                </c:pt>
                <c:pt idx="26">
                  <c:v>Season 27</c:v>
                </c:pt>
                <c:pt idx="27">
                  <c:v>Season 28</c:v>
                </c:pt>
                <c:pt idx="28">
                  <c:v>Season 29</c:v>
                </c:pt>
                <c:pt idx="29">
                  <c:v>Season 30</c:v>
                </c:pt>
                <c:pt idx="30">
                  <c:v>Season 31</c:v>
                </c:pt>
                <c:pt idx="31">
                  <c:v>Season 32</c:v>
                </c:pt>
                <c:pt idx="32">
                  <c:v>Season 33</c:v>
                </c:pt>
                <c:pt idx="33">
                  <c:v>Season 34</c:v>
                </c:pt>
                <c:pt idx="34">
                  <c:v>Season 35</c:v>
                </c:pt>
                <c:pt idx="35">
                  <c:v>Season 36</c:v>
                </c:pt>
                <c:pt idx="36">
                  <c:v>Season 37</c:v>
                </c:pt>
                <c:pt idx="37">
                  <c:v>Season 38</c:v>
                </c:pt>
              </c:strCache>
            </c:strRef>
          </c:cat>
          <c:val>
            <c:numRef>
              <c:f>'Leg Outcomes'!$V$59:$V$96</c:f>
              <c:numCache>
                <c:formatCode>General</c:formatCode>
                <c:ptCount val="38"/>
                <c:pt idx="0">
                  <c:v>6</c:v>
                </c:pt>
                <c:pt idx="1">
                  <c:v>6</c:v>
                </c:pt>
                <c:pt idx="2">
                  <c:v>8</c:v>
                </c:pt>
                <c:pt idx="3">
                  <c:v>8</c:v>
                </c:pt>
                <c:pt idx="4">
                  <c:v>5</c:v>
                </c:pt>
                <c:pt idx="5">
                  <c:v>4</c:v>
                </c:pt>
                <c:pt idx="6">
                  <c:v>5</c:v>
                </c:pt>
                <c:pt idx="7">
                  <c:v>5</c:v>
                </c:pt>
                <c:pt idx="8">
                  <c:v>3</c:v>
                </c:pt>
                <c:pt idx="9">
                  <c:v>5</c:v>
                </c:pt>
                <c:pt idx="10">
                  <c:v>5</c:v>
                </c:pt>
                <c:pt idx="11">
                  <c:v>7</c:v>
                </c:pt>
                <c:pt idx="12">
                  <c:v>6</c:v>
                </c:pt>
                <c:pt idx="13">
                  <c:v>5</c:v>
                </c:pt>
                <c:pt idx="14">
                  <c:v>8</c:v>
                </c:pt>
                <c:pt idx="15">
                  <c:v>4</c:v>
                </c:pt>
                <c:pt idx="16">
                  <c:v>3</c:v>
                </c:pt>
                <c:pt idx="17">
                  <c:v>1</c:v>
                </c:pt>
                <c:pt idx="18">
                  <c:v>1</c:v>
                </c:pt>
                <c:pt idx="19">
                  <c:v>4</c:v>
                </c:pt>
                <c:pt idx="20">
                  <c:v>5</c:v>
                </c:pt>
                <c:pt idx="21">
                  <c:v>3</c:v>
                </c:pt>
                <c:pt idx="22">
                  <c:v>4</c:v>
                </c:pt>
                <c:pt idx="23">
                  <c:v>4</c:v>
                </c:pt>
                <c:pt idx="24">
                  <c:v>4</c:v>
                </c:pt>
                <c:pt idx="25">
                  <c:v>3</c:v>
                </c:pt>
                <c:pt idx="26">
                  <c:v>4</c:v>
                </c:pt>
                <c:pt idx="27">
                  <c:v>1</c:v>
                </c:pt>
                <c:pt idx="28">
                  <c:v>5</c:v>
                </c:pt>
                <c:pt idx="29">
                  <c:v>3</c:v>
                </c:pt>
                <c:pt idx="30">
                  <c:v>3</c:v>
                </c:pt>
                <c:pt idx="31">
                  <c:v>4</c:v>
                </c:pt>
                <c:pt idx="32">
                  <c:v>2</c:v>
                </c:pt>
                <c:pt idx="33">
                  <c:v>0</c:v>
                </c:pt>
                <c:pt idx="34">
                  <c:v>3</c:v>
                </c:pt>
                <c:pt idx="35">
                  <c:v>0</c:v>
                </c:pt>
                <c:pt idx="36">
                  <c:v>9</c:v>
                </c:pt>
                <c:pt idx="37">
                  <c:v>8</c:v>
                </c:pt>
              </c:numCache>
            </c:numRef>
          </c:val>
          <c:smooth val="0"/>
          <c:extLst>
            <c:ext xmlns:c16="http://schemas.microsoft.com/office/drawing/2014/chart" uri="{C3380CC4-5D6E-409C-BE32-E72D297353CC}">
              <c16:uniqueId val="{00000000-3883-4B40-B146-90F61201981C}"/>
            </c:ext>
          </c:extLst>
        </c:ser>
        <c:dLbls>
          <c:showLegendKey val="0"/>
          <c:showVal val="0"/>
          <c:showCatName val="0"/>
          <c:showSerName val="0"/>
          <c:showPercent val="0"/>
          <c:showBubbleSize val="0"/>
        </c:dLbls>
        <c:marker val="1"/>
        <c:smooth val="0"/>
        <c:axId val="1310700064"/>
        <c:axId val="906457584"/>
      </c:lineChart>
      <c:catAx>
        <c:axId val="13107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57584"/>
        <c:crosses val="autoZero"/>
        <c:auto val="1"/>
        <c:lblAlgn val="ctr"/>
        <c:lblOffset val="100"/>
        <c:noMultiLvlLbl val="1"/>
      </c:catAx>
      <c:valAx>
        <c:axId val="906457584"/>
        <c:scaling>
          <c:orientation val="minMax"/>
          <c:max val="9"/>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00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600" b="1" i="0" u="none" strike="noStrike" kern="1200" cap="all" spc="100" normalizeH="0" baseline="0">
                <a:solidFill>
                  <a:schemeClr val="lt1"/>
                </a:solidFill>
                <a:latin typeface="+mn-lt"/>
                <a:ea typeface="+mn-ea"/>
                <a:cs typeface="+mn-cs"/>
              </a:defRPr>
            </a:pPr>
            <a:r>
              <a:rPr lang="en-US" sz="3600"/>
              <a:t>Most Common Issues</a:t>
            </a:r>
          </a:p>
        </c:rich>
      </c:tx>
      <c:overlay val="0"/>
      <c:spPr>
        <a:noFill/>
        <a:ln>
          <a:noFill/>
        </a:ln>
        <a:effectLst/>
      </c:spPr>
      <c:txPr>
        <a:bodyPr rot="0" spcFirstLastPara="1" vertOverflow="ellipsis" vert="horz" wrap="square" anchor="ctr" anchorCtr="1"/>
        <a:lstStyle/>
        <a:p>
          <a:pPr>
            <a:defRPr sz="36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9D00FF"/>
              </a:solidFill>
            </a:ln>
            <a:effectLst/>
          </c:spPr>
          <c:dPt>
            <c:idx val="0"/>
            <c:bubble3D val="0"/>
            <c:spPr>
              <a:solidFill>
                <a:schemeClr val="lt1"/>
              </a:solidFill>
              <a:ln w="19050">
                <a:solidFill>
                  <a:srgbClr val="9D00FF"/>
                </a:solidFill>
              </a:ln>
              <a:effectLst/>
            </c:spPr>
            <c:extLst>
              <c:ext xmlns:c16="http://schemas.microsoft.com/office/drawing/2014/chart" uri="{C3380CC4-5D6E-409C-BE32-E72D297353CC}">
                <c16:uniqueId val="{00000001-D0F8-B64D-BF66-33DE66F91245}"/>
              </c:ext>
            </c:extLst>
          </c:dPt>
          <c:dPt>
            <c:idx val="1"/>
            <c:bubble3D val="0"/>
            <c:spPr>
              <a:solidFill>
                <a:schemeClr val="lt1"/>
              </a:solidFill>
              <a:ln w="19050">
                <a:solidFill>
                  <a:srgbClr val="9D00FF"/>
                </a:solidFill>
              </a:ln>
              <a:effectLst/>
            </c:spPr>
            <c:extLst>
              <c:ext xmlns:c16="http://schemas.microsoft.com/office/drawing/2014/chart" uri="{C3380CC4-5D6E-409C-BE32-E72D297353CC}">
                <c16:uniqueId val="{00000003-D0F8-B64D-BF66-33DE66F91245}"/>
              </c:ext>
            </c:extLst>
          </c:dPt>
          <c:dPt>
            <c:idx val="2"/>
            <c:bubble3D val="0"/>
            <c:spPr>
              <a:solidFill>
                <a:schemeClr val="lt1"/>
              </a:solidFill>
              <a:ln w="19050">
                <a:solidFill>
                  <a:srgbClr val="9D00FF"/>
                </a:solidFill>
              </a:ln>
              <a:effectLst/>
            </c:spPr>
            <c:extLst>
              <c:ext xmlns:c16="http://schemas.microsoft.com/office/drawing/2014/chart" uri="{C3380CC4-5D6E-409C-BE32-E72D297353CC}">
                <c16:uniqueId val="{00000005-D0F8-B64D-BF66-33DE66F91245}"/>
              </c:ext>
            </c:extLst>
          </c:dPt>
          <c:dPt>
            <c:idx val="3"/>
            <c:bubble3D val="0"/>
            <c:spPr>
              <a:solidFill>
                <a:schemeClr val="lt1"/>
              </a:solidFill>
              <a:ln w="19050">
                <a:solidFill>
                  <a:srgbClr val="9D00FF"/>
                </a:solidFill>
              </a:ln>
              <a:effectLst/>
            </c:spPr>
            <c:extLst>
              <c:ext xmlns:c16="http://schemas.microsoft.com/office/drawing/2014/chart" uri="{C3380CC4-5D6E-409C-BE32-E72D297353CC}">
                <c16:uniqueId val="{00000007-D0F8-B64D-BF66-33DE66F91245}"/>
              </c:ext>
            </c:extLst>
          </c:dPt>
          <c:dPt>
            <c:idx val="4"/>
            <c:bubble3D val="0"/>
            <c:spPr>
              <a:solidFill>
                <a:schemeClr val="lt1"/>
              </a:solidFill>
              <a:ln w="19050">
                <a:solidFill>
                  <a:srgbClr val="9D00FF"/>
                </a:solidFill>
              </a:ln>
              <a:effectLst/>
            </c:spPr>
            <c:extLst>
              <c:ext xmlns:c16="http://schemas.microsoft.com/office/drawing/2014/chart" uri="{C3380CC4-5D6E-409C-BE32-E72D297353CC}">
                <c16:uniqueId val="{00000009-D0F8-B64D-BF66-33DE66F91245}"/>
              </c:ext>
            </c:extLst>
          </c:dPt>
          <c:dPt>
            <c:idx val="5"/>
            <c:bubble3D val="0"/>
            <c:spPr>
              <a:solidFill>
                <a:schemeClr val="lt1"/>
              </a:solidFill>
              <a:ln w="19050">
                <a:solidFill>
                  <a:srgbClr val="9D00FF"/>
                </a:solidFill>
              </a:ln>
              <a:effectLst/>
            </c:spPr>
            <c:extLst>
              <c:ext xmlns:c16="http://schemas.microsoft.com/office/drawing/2014/chart" uri="{C3380CC4-5D6E-409C-BE32-E72D297353CC}">
                <c16:uniqueId val="{00000009-4F75-B04E-B5E5-74B846B08DF8}"/>
              </c:ext>
            </c:extLst>
          </c:dPt>
          <c:dPt>
            <c:idx val="6"/>
            <c:bubble3D val="0"/>
            <c:spPr>
              <a:solidFill>
                <a:schemeClr val="lt1"/>
              </a:solidFill>
              <a:ln w="19050">
                <a:solidFill>
                  <a:srgbClr val="9D00FF"/>
                </a:solidFill>
              </a:ln>
              <a:effectLst/>
            </c:spPr>
            <c:extLst>
              <c:ext xmlns:c16="http://schemas.microsoft.com/office/drawing/2014/chart" uri="{C3380CC4-5D6E-409C-BE32-E72D297353CC}">
                <c16:uniqueId val="{00000002-4F75-B04E-B5E5-74B846B08DF8}"/>
              </c:ext>
            </c:extLst>
          </c:dPt>
          <c:dPt>
            <c:idx val="7"/>
            <c:bubble3D val="0"/>
            <c:spPr>
              <a:solidFill>
                <a:schemeClr val="lt1"/>
              </a:solidFill>
              <a:ln w="19050">
                <a:solidFill>
                  <a:srgbClr val="9D00FF"/>
                </a:solidFill>
              </a:ln>
              <a:effectLst/>
            </c:spPr>
            <c:extLst>
              <c:ext xmlns:c16="http://schemas.microsoft.com/office/drawing/2014/chart" uri="{C3380CC4-5D6E-409C-BE32-E72D297353CC}">
                <c16:uniqueId val="{00000008-4F75-B04E-B5E5-74B846B08DF8}"/>
              </c:ext>
            </c:extLst>
          </c:dPt>
          <c:dPt>
            <c:idx val="8"/>
            <c:bubble3D val="0"/>
            <c:spPr>
              <a:solidFill>
                <a:schemeClr val="lt1"/>
              </a:solidFill>
              <a:ln w="19050">
                <a:solidFill>
                  <a:srgbClr val="9D00FF"/>
                </a:solidFill>
              </a:ln>
              <a:effectLst/>
            </c:spPr>
            <c:extLst>
              <c:ext xmlns:c16="http://schemas.microsoft.com/office/drawing/2014/chart" uri="{C3380CC4-5D6E-409C-BE32-E72D297353CC}">
                <c16:uniqueId val="{00000006-4F75-B04E-B5E5-74B846B08DF8}"/>
              </c:ext>
            </c:extLst>
          </c:dPt>
          <c:dPt>
            <c:idx val="9"/>
            <c:bubble3D val="0"/>
            <c:spPr>
              <a:solidFill>
                <a:schemeClr val="lt1"/>
              </a:solidFill>
              <a:ln w="19050">
                <a:solidFill>
                  <a:srgbClr val="9D00FF"/>
                </a:solidFill>
              </a:ln>
              <a:effectLst/>
            </c:spPr>
            <c:extLst>
              <c:ext xmlns:c16="http://schemas.microsoft.com/office/drawing/2014/chart" uri="{C3380CC4-5D6E-409C-BE32-E72D297353CC}">
                <c16:uniqueId val="{00000005-4F75-B04E-B5E5-74B846B08DF8}"/>
              </c:ext>
            </c:extLst>
          </c:dPt>
          <c:dPt>
            <c:idx val="10"/>
            <c:bubble3D val="0"/>
            <c:spPr>
              <a:solidFill>
                <a:schemeClr val="lt1"/>
              </a:solidFill>
              <a:ln w="19050">
                <a:solidFill>
                  <a:srgbClr val="9D00FF"/>
                </a:solidFill>
              </a:ln>
              <a:effectLst/>
            </c:spPr>
            <c:extLst>
              <c:ext xmlns:c16="http://schemas.microsoft.com/office/drawing/2014/chart" uri="{C3380CC4-5D6E-409C-BE32-E72D297353CC}">
                <c16:uniqueId val="{00000003-4F75-B04E-B5E5-74B846B08DF8}"/>
              </c:ext>
            </c:extLst>
          </c:dPt>
          <c:dPt>
            <c:idx val="11"/>
            <c:bubble3D val="0"/>
            <c:spPr>
              <a:solidFill>
                <a:schemeClr val="lt1"/>
              </a:solidFill>
              <a:ln w="19050">
                <a:solidFill>
                  <a:srgbClr val="9D00FF"/>
                </a:solidFill>
              </a:ln>
              <a:effectLst/>
            </c:spPr>
            <c:extLst>
              <c:ext xmlns:c16="http://schemas.microsoft.com/office/drawing/2014/chart" uri="{C3380CC4-5D6E-409C-BE32-E72D297353CC}">
                <c16:uniqueId val="{00000007-4F75-B04E-B5E5-74B846B08DF8}"/>
              </c:ext>
            </c:extLst>
          </c:dPt>
          <c:dPt>
            <c:idx val="12"/>
            <c:bubble3D val="0"/>
            <c:spPr>
              <a:solidFill>
                <a:schemeClr val="lt1"/>
              </a:solidFill>
              <a:ln w="19050">
                <a:solidFill>
                  <a:srgbClr val="9D00FF"/>
                </a:solidFill>
              </a:ln>
              <a:effectLst/>
            </c:spPr>
            <c:extLst>
              <c:ext xmlns:c16="http://schemas.microsoft.com/office/drawing/2014/chart" uri="{C3380CC4-5D6E-409C-BE32-E72D297353CC}">
                <c16:uniqueId val="{00000004-4F75-B04E-B5E5-74B846B08DF8}"/>
              </c:ext>
            </c:extLst>
          </c:dPt>
          <c:dLbls>
            <c:dLbl>
              <c:idx val="0"/>
              <c:layout>
                <c:manualLayout>
                  <c:x val="-0.21408167685003332"/>
                  <c:y val="9.535923386922746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F8-B64D-BF66-33DE66F91245}"/>
                </c:ext>
              </c:extLst>
            </c:dLbl>
            <c:dLbl>
              <c:idx val="1"/>
              <c:layout>
                <c:manualLayout>
                  <c:x val="0.10092245435885967"/>
                  <c:y val="-0.1839320974834324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F8-B64D-BF66-33DE66F91245}"/>
                </c:ext>
              </c:extLst>
            </c:dLbl>
            <c:dLbl>
              <c:idx val="5"/>
              <c:layout>
                <c:manualLayout>
                  <c:x val="-2.166247126019501E-2"/>
                  <c:y val="5.371286410271075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F75-B04E-B5E5-74B846B08DF8}"/>
                </c:ext>
              </c:extLst>
            </c:dLbl>
            <c:dLbl>
              <c:idx val="6"/>
              <c:delete val="1"/>
              <c:extLst>
                <c:ext xmlns:c15="http://schemas.microsoft.com/office/drawing/2012/chart" uri="{CE6537A1-D6FC-4f65-9D91-7224C49458BB}"/>
                <c:ext xmlns:c16="http://schemas.microsoft.com/office/drawing/2014/chart" uri="{C3380CC4-5D6E-409C-BE32-E72D297353CC}">
                  <c16:uniqueId val="{00000002-4F75-B04E-B5E5-74B846B08DF8}"/>
                </c:ext>
              </c:extLst>
            </c:dLbl>
            <c:dLbl>
              <c:idx val="7"/>
              <c:delete val="1"/>
              <c:extLst>
                <c:ext xmlns:c15="http://schemas.microsoft.com/office/drawing/2012/chart" uri="{CE6537A1-D6FC-4f65-9D91-7224C49458BB}"/>
                <c:ext xmlns:c16="http://schemas.microsoft.com/office/drawing/2014/chart" uri="{C3380CC4-5D6E-409C-BE32-E72D297353CC}">
                  <c16:uniqueId val="{00000008-4F75-B04E-B5E5-74B846B08DF8}"/>
                </c:ext>
              </c:extLst>
            </c:dLbl>
            <c:dLbl>
              <c:idx val="8"/>
              <c:delete val="1"/>
              <c:extLst>
                <c:ext xmlns:c15="http://schemas.microsoft.com/office/drawing/2012/chart" uri="{CE6537A1-D6FC-4f65-9D91-7224C49458BB}"/>
                <c:ext xmlns:c16="http://schemas.microsoft.com/office/drawing/2014/chart" uri="{C3380CC4-5D6E-409C-BE32-E72D297353CC}">
                  <c16:uniqueId val="{00000006-4F75-B04E-B5E5-74B846B08DF8}"/>
                </c:ext>
              </c:extLst>
            </c:dLbl>
            <c:dLbl>
              <c:idx val="9"/>
              <c:delete val="1"/>
              <c:extLst>
                <c:ext xmlns:c15="http://schemas.microsoft.com/office/drawing/2012/chart" uri="{CE6537A1-D6FC-4f65-9D91-7224C49458BB}"/>
                <c:ext xmlns:c16="http://schemas.microsoft.com/office/drawing/2014/chart" uri="{C3380CC4-5D6E-409C-BE32-E72D297353CC}">
                  <c16:uniqueId val="{00000005-4F75-B04E-B5E5-74B846B08DF8}"/>
                </c:ext>
              </c:extLst>
            </c:dLbl>
            <c:dLbl>
              <c:idx val="10"/>
              <c:delete val="1"/>
              <c:extLst>
                <c:ext xmlns:c15="http://schemas.microsoft.com/office/drawing/2012/chart" uri="{CE6537A1-D6FC-4f65-9D91-7224C49458BB}"/>
                <c:ext xmlns:c16="http://schemas.microsoft.com/office/drawing/2014/chart" uri="{C3380CC4-5D6E-409C-BE32-E72D297353CC}">
                  <c16:uniqueId val="{00000003-4F75-B04E-B5E5-74B846B08DF8}"/>
                </c:ext>
              </c:extLst>
            </c:dLbl>
            <c:dLbl>
              <c:idx val="11"/>
              <c:delete val="1"/>
              <c:extLst>
                <c:ext xmlns:c15="http://schemas.microsoft.com/office/drawing/2012/chart" uri="{CE6537A1-D6FC-4f65-9D91-7224C49458BB}"/>
                <c:ext xmlns:c16="http://schemas.microsoft.com/office/drawing/2014/chart" uri="{C3380CC4-5D6E-409C-BE32-E72D297353CC}">
                  <c16:uniqueId val="{00000007-4F75-B04E-B5E5-74B846B08DF8}"/>
                </c:ext>
              </c:extLst>
            </c:dLbl>
            <c:dLbl>
              <c:idx val="12"/>
              <c:delete val="1"/>
              <c:extLst>
                <c:ext xmlns:c15="http://schemas.microsoft.com/office/drawing/2012/chart" uri="{CE6537A1-D6FC-4f65-9D91-7224C49458BB}"/>
                <c:ext xmlns:c16="http://schemas.microsoft.com/office/drawing/2014/chart" uri="{C3380CC4-5D6E-409C-BE32-E72D297353CC}">
                  <c16:uniqueId val="{00000004-4F75-B04E-B5E5-74B846B08DF8}"/>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9D00FF"/>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bg1"/>
                  </a:solidFill>
                </a:ln>
                <a:effectLst/>
              </c:spPr>
            </c:leaderLines>
            <c:extLst>
              <c:ext xmlns:c15="http://schemas.microsoft.com/office/drawing/2012/chart" uri="{CE6537A1-D6FC-4f65-9D91-7224C49458BB}"/>
            </c:extLst>
          </c:dLbls>
          <c:cat>
            <c:strRef>
              <c:f>'Leg Outcomes'!$F$108:$R$108</c:f>
              <c:strCache>
                <c:ptCount val="13"/>
                <c:pt idx="0">
                  <c:v>Bad on challenge</c:v>
                </c:pt>
                <c:pt idx="1">
                  <c:v>Travel Issues</c:v>
                </c:pt>
                <c:pt idx="2">
                  <c:v>Didn't do as good</c:v>
                </c:pt>
                <c:pt idx="3">
                  <c:v>U-Turned</c:v>
                </c:pt>
                <c:pt idx="4">
                  <c:v>Clue Issue</c:v>
                </c:pt>
                <c:pt idx="5">
                  <c:v>Outran</c:v>
                </c:pt>
                <c:pt idx="6">
                  <c:v>Money Issue</c:v>
                </c:pt>
                <c:pt idx="7">
                  <c:v>Injury</c:v>
                </c:pt>
                <c:pt idx="8">
                  <c:v>Bag Issue</c:v>
                </c:pt>
                <c:pt idx="9">
                  <c:v>Fast Forward</c:v>
                </c:pt>
                <c:pt idx="10">
                  <c:v>Speed Bump</c:v>
                </c:pt>
                <c:pt idx="11">
                  <c:v>Yielded</c:v>
                </c:pt>
                <c:pt idx="12">
                  <c:v>Passport Issue</c:v>
                </c:pt>
              </c:strCache>
            </c:strRef>
          </c:cat>
          <c:val>
            <c:numRef>
              <c:f>'Leg Outcomes'!$F$110:$R$110</c:f>
              <c:numCache>
                <c:formatCode>0%</c:formatCode>
                <c:ptCount val="13"/>
                <c:pt idx="0">
                  <c:v>0.38683127572016462</c:v>
                </c:pt>
                <c:pt idx="1">
                  <c:v>0.31275720164609055</c:v>
                </c:pt>
                <c:pt idx="2">
                  <c:v>9.8765432098765427E-2</c:v>
                </c:pt>
                <c:pt idx="3">
                  <c:v>5.7613168724279837E-2</c:v>
                </c:pt>
                <c:pt idx="4">
                  <c:v>4.1152263374485597E-2</c:v>
                </c:pt>
                <c:pt idx="5">
                  <c:v>3.4979423868312758E-2</c:v>
                </c:pt>
                <c:pt idx="6">
                  <c:v>1.0288065843621399E-2</c:v>
                </c:pt>
                <c:pt idx="7">
                  <c:v>1.0288065843621399E-2</c:v>
                </c:pt>
                <c:pt idx="8">
                  <c:v>1.0288065843621399E-2</c:v>
                </c:pt>
                <c:pt idx="9">
                  <c:v>1.0288065843621399E-2</c:v>
                </c:pt>
                <c:pt idx="10">
                  <c:v>1.0288065843621399E-2</c:v>
                </c:pt>
                <c:pt idx="11">
                  <c:v>8.23045267489712E-3</c:v>
                </c:pt>
                <c:pt idx="12">
                  <c:v>8.23045267489712E-3</c:v>
                </c:pt>
              </c:numCache>
            </c:numRef>
          </c:val>
          <c:extLst>
            <c:ext xmlns:c16="http://schemas.microsoft.com/office/drawing/2014/chart" uri="{C3380CC4-5D6E-409C-BE32-E72D297353CC}">
              <c16:uniqueId val="{00000000-4F75-B04E-B5E5-74B846B08DF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D00FF"/>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22A63C"/>
              </a:solidFill>
              <a:ln w="19050">
                <a:solidFill>
                  <a:schemeClr val="lt1"/>
                </a:solidFill>
              </a:ln>
              <a:effectLst/>
            </c:spPr>
            <c:extLst>
              <c:ext xmlns:c16="http://schemas.microsoft.com/office/drawing/2014/chart" uri="{C3380CC4-5D6E-409C-BE32-E72D297353CC}">
                <c16:uniqueId val="{00000001-5E82-0D4E-BF1E-7154DCD7CE76}"/>
              </c:ext>
            </c:extLst>
          </c:dPt>
          <c:dPt>
            <c:idx val="1"/>
            <c:bubble3D val="0"/>
            <c:spPr>
              <a:solidFill>
                <a:srgbClr val="FA7C88"/>
              </a:solidFill>
              <a:ln w="19050">
                <a:solidFill>
                  <a:schemeClr val="lt1"/>
                </a:solidFill>
              </a:ln>
              <a:effectLst/>
            </c:spPr>
            <c:extLst>
              <c:ext xmlns:c16="http://schemas.microsoft.com/office/drawing/2014/chart" uri="{C3380CC4-5D6E-409C-BE32-E72D297353CC}">
                <c16:uniqueId val="{00000002-5E82-0D4E-BF1E-7154DCD7CE76}"/>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3-5E82-0D4E-BF1E-7154DCD7CE76}"/>
              </c:ext>
            </c:extLst>
          </c:dPt>
          <c:cat>
            <c:strRef>
              <c:f>'Winner''s Corner'!$B$53:$B$55</c:f>
              <c:strCache>
                <c:ptCount val="3"/>
                <c:pt idx="0">
                  <c:v>Co-Ed</c:v>
                </c:pt>
                <c:pt idx="1">
                  <c:v>All Male</c:v>
                </c:pt>
                <c:pt idx="2">
                  <c:v>All Female</c:v>
                </c:pt>
              </c:strCache>
            </c:strRef>
          </c:cat>
          <c:val>
            <c:numRef>
              <c:f>'Winner''s Corner'!$C$53:$C$55</c:f>
              <c:numCache>
                <c:formatCode>General</c:formatCode>
                <c:ptCount val="3"/>
                <c:pt idx="0">
                  <c:v>21</c:v>
                </c:pt>
                <c:pt idx="1">
                  <c:v>14</c:v>
                </c:pt>
                <c:pt idx="2">
                  <c:v>3</c:v>
                </c:pt>
              </c:numCache>
            </c:numRef>
          </c:val>
          <c:extLst>
            <c:ext xmlns:c16="http://schemas.microsoft.com/office/drawing/2014/chart" uri="{C3380CC4-5D6E-409C-BE32-E72D297353CC}">
              <c16:uniqueId val="{00000000-5E82-0D4E-BF1E-7154DCD7CE7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'Winner''s Corner'!$E$52</c:f>
              <c:strCache>
                <c:ptCount val="1"/>
                <c:pt idx="0">
                  <c:v># </c:v>
                </c:pt>
              </c:strCache>
            </c:strRef>
          </c:tx>
          <c:dPt>
            <c:idx val="0"/>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01-1749-EB44-A843-AB08199EBC00}"/>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1749-EB44-A843-AB08199EBC00}"/>
              </c:ext>
            </c:extLst>
          </c:dPt>
          <c:dPt>
            <c:idx val="2"/>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05-1749-EB44-A843-AB08199EBC00}"/>
              </c:ext>
            </c:extLst>
          </c:dPt>
          <c:dPt>
            <c:idx val="3"/>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7-1749-EB44-A843-AB08199EBC00}"/>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1749-EB44-A843-AB08199EBC00}"/>
              </c:ext>
            </c:extLst>
          </c:dPt>
          <c:dPt>
            <c:idx val="5"/>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B-1749-EB44-A843-AB08199EBC00}"/>
              </c:ext>
            </c:extLst>
          </c:dPt>
          <c:dPt>
            <c:idx val="6"/>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00D-1749-EB44-A843-AB08199EBC00}"/>
              </c:ext>
            </c:extLst>
          </c:dPt>
          <c:dPt>
            <c:idx val="7"/>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F-1749-EB44-A843-AB08199EBC00}"/>
              </c:ext>
            </c:extLst>
          </c:dPt>
          <c:dPt>
            <c:idx val="8"/>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11-1749-EB44-A843-AB08199EBC00}"/>
              </c:ext>
            </c:extLst>
          </c:dPt>
          <c:cat>
            <c:strRef>
              <c:f>'Winner''s Corner'!$D$53:$D$61</c:f>
              <c:strCache>
                <c:ptCount val="9"/>
                <c:pt idx="0">
                  <c:v>Dating</c:v>
                </c:pt>
                <c:pt idx="1">
                  <c:v>Best Friends</c:v>
                </c:pt>
                <c:pt idx="2">
                  <c:v>Siblings</c:v>
                </c:pt>
                <c:pt idx="3">
                  <c:v>Married</c:v>
                </c:pt>
                <c:pt idx="4">
                  <c:v>Engaged</c:v>
                </c:pt>
                <c:pt idx="5">
                  <c:v>Life Partners</c:v>
                </c:pt>
                <c:pt idx="6">
                  <c:v>Blind Dating</c:v>
                </c:pt>
                <c:pt idx="7">
                  <c:v>Father &amp; Son</c:v>
                </c:pt>
                <c:pt idx="8">
                  <c:v>Strangers</c:v>
                </c:pt>
              </c:strCache>
            </c:strRef>
          </c:cat>
          <c:val>
            <c:numRef>
              <c:f>'Winner''s Corner'!$E$53:$E$61</c:f>
              <c:numCache>
                <c:formatCode>General</c:formatCode>
                <c:ptCount val="9"/>
                <c:pt idx="0">
                  <c:v>9</c:v>
                </c:pt>
                <c:pt idx="1">
                  <c:v>8</c:v>
                </c:pt>
                <c:pt idx="2">
                  <c:v>8</c:v>
                </c:pt>
                <c:pt idx="3">
                  <c:v>5</c:v>
                </c:pt>
                <c:pt idx="4">
                  <c:v>3</c:v>
                </c:pt>
                <c:pt idx="5">
                  <c:v>2</c:v>
                </c:pt>
                <c:pt idx="6">
                  <c:v>1</c:v>
                </c:pt>
                <c:pt idx="7">
                  <c:v>1</c:v>
                </c:pt>
                <c:pt idx="8">
                  <c:v>1</c:v>
                </c:pt>
              </c:numCache>
            </c:numRef>
          </c:val>
          <c:extLst>
            <c:ext xmlns:c16="http://schemas.microsoft.com/office/drawing/2014/chart" uri="{C3380CC4-5D6E-409C-BE32-E72D297353CC}">
              <c16:uniqueId val="{00000000-387C-E14F-9F82-795759F9605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'Winner''s Corner'!$I$52</c:f>
              <c:strCache>
                <c:ptCount val="1"/>
                <c:pt idx="0">
                  <c:v>#    </c:v>
                </c:pt>
              </c:strCache>
            </c:strRef>
          </c:tx>
          <c:dPt>
            <c:idx val="0"/>
            <c:bubble3D val="0"/>
            <c:spPr>
              <a:solidFill>
                <a:schemeClr val="accent2">
                  <a:tint val="41000"/>
                </a:schemeClr>
              </a:solidFill>
              <a:ln w="19050">
                <a:solidFill>
                  <a:schemeClr val="lt1"/>
                </a:solidFill>
              </a:ln>
              <a:effectLst/>
            </c:spPr>
            <c:extLst>
              <c:ext xmlns:c16="http://schemas.microsoft.com/office/drawing/2014/chart" uri="{C3380CC4-5D6E-409C-BE32-E72D297353CC}">
                <c16:uniqueId val="{00000001-69B7-054D-96EE-46DC48026BB3}"/>
              </c:ext>
            </c:extLst>
          </c:dPt>
          <c:dPt>
            <c:idx val="1"/>
            <c:bubble3D val="0"/>
            <c:spPr>
              <a:solidFill>
                <a:schemeClr val="accent2">
                  <a:tint val="52000"/>
                </a:schemeClr>
              </a:solidFill>
              <a:ln w="19050">
                <a:solidFill>
                  <a:schemeClr val="lt1"/>
                </a:solidFill>
              </a:ln>
              <a:effectLst/>
            </c:spPr>
            <c:extLst>
              <c:ext xmlns:c16="http://schemas.microsoft.com/office/drawing/2014/chart" uri="{C3380CC4-5D6E-409C-BE32-E72D297353CC}">
                <c16:uniqueId val="{00000003-69B7-054D-96EE-46DC48026BB3}"/>
              </c:ext>
            </c:extLst>
          </c:dPt>
          <c:dPt>
            <c:idx val="2"/>
            <c:bubble3D val="0"/>
            <c:spPr>
              <a:solidFill>
                <a:schemeClr val="accent2">
                  <a:tint val="63000"/>
                </a:schemeClr>
              </a:solidFill>
              <a:ln w="19050">
                <a:solidFill>
                  <a:schemeClr val="lt1"/>
                </a:solidFill>
              </a:ln>
              <a:effectLst/>
            </c:spPr>
            <c:extLst>
              <c:ext xmlns:c16="http://schemas.microsoft.com/office/drawing/2014/chart" uri="{C3380CC4-5D6E-409C-BE32-E72D297353CC}">
                <c16:uniqueId val="{00000005-69B7-054D-96EE-46DC48026BB3}"/>
              </c:ext>
            </c:extLst>
          </c:dPt>
          <c:dPt>
            <c:idx val="3"/>
            <c:bubble3D val="0"/>
            <c:spPr>
              <a:solidFill>
                <a:schemeClr val="accent2">
                  <a:tint val="74000"/>
                </a:schemeClr>
              </a:solidFill>
              <a:ln w="19050">
                <a:solidFill>
                  <a:schemeClr val="lt1"/>
                </a:solidFill>
              </a:ln>
              <a:effectLst/>
            </c:spPr>
            <c:extLst>
              <c:ext xmlns:c16="http://schemas.microsoft.com/office/drawing/2014/chart" uri="{C3380CC4-5D6E-409C-BE32-E72D297353CC}">
                <c16:uniqueId val="{00000007-69B7-054D-96EE-46DC48026BB3}"/>
              </c:ext>
            </c:extLst>
          </c:dPt>
          <c:dPt>
            <c:idx val="4"/>
            <c:bubble3D val="0"/>
            <c:spPr>
              <a:solidFill>
                <a:schemeClr val="accent2">
                  <a:tint val="84000"/>
                </a:schemeClr>
              </a:solidFill>
              <a:ln w="19050">
                <a:solidFill>
                  <a:schemeClr val="lt1"/>
                </a:solidFill>
              </a:ln>
              <a:effectLst/>
            </c:spPr>
            <c:extLst>
              <c:ext xmlns:c16="http://schemas.microsoft.com/office/drawing/2014/chart" uri="{C3380CC4-5D6E-409C-BE32-E72D297353CC}">
                <c16:uniqueId val="{00000009-69B7-054D-96EE-46DC48026BB3}"/>
              </c:ext>
            </c:extLst>
          </c:dPt>
          <c:dPt>
            <c:idx val="5"/>
            <c:bubble3D val="0"/>
            <c:spPr>
              <a:solidFill>
                <a:schemeClr val="accent2">
                  <a:tint val="95000"/>
                </a:schemeClr>
              </a:solidFill>
              <a:ln w="19050">
                <a:solidFill>
                  <a:schemeClr val="lt1"/>
                </a:solidFill>
              </a:ln>
              <a:effectLst/>
            </c:spPr>
            <c:extLst>
              <c:ext xmlns:c16="http://schemas.microsoft.com/office/drawing/2014/chart" uri="{C3380CC4-5D6E-409C-BE32-E72D297353CC}">
                <c16:uniqueId val="{0000000B-69B7-054D-96EE-46DC48026BB3}"/>
              </c:ext>
            </c:extLst>
          </c:dPt>
          <c:dPt>
            <c:idx val="6"/>
            <c:bubble3D val="0"/>
            <c:spPr>
              <a:solidFill>
                <a:schemeClr val="accent2">
                  <a:shade val="94000"/>
                </a:schemeClr>
              </a:solidFill>
              <a:ln w="19050">
                <a:solidFill>
                  <a:schemeClr val="lt1"/>
                </a:solidFill>
              </a:ln>
              <a:effectLst/>
            </c:spPr>
            <c:extLst>
              <c:ext xmlns:c16="http://schemas.microsoft.com/office/drawing/2014/chart" uri="{C3380CC4-5D6E-409C-BE32-E72D297353CC}">
                <c16:uniqueId val="{0000000D-69B7-054D-96EE-46DC48026BB3}"/>
              </c:ext>
            </c:extLst>
          </c:dPt>
          <c:dPt>
            <c:idx val="7"/>
            <c:bubble3D val="0"/>
            <c:spPr>
              <a:solidFill>
                <a:schemeClr val="accent2">
                  <a:shade val="83000"/>
                </a:schemeClr>
              </a:solidFill>
              <a:ln w="19050">
                <a:solidFill>
                  <a:schemeClr val="lt1"/>
                </a:solidFill>
              </a:ln>
              <a:effectLst/>
            </c:spPr>
            <c:extLst>
              <c:ext xmlns:c16="http://schemas.microsoft.com/office/drawing/2014/chart" uri="{C3380CC4-5D6E-409C-BE32-E72D297353CC}">
                <c16:uniqueId val="{0000000F-69B7-054D-96EE-46DC48026BB3}"/>
              </c:ext>
            </c:extLst>
          </c:dPt>
          <c:dPt>
            <c:idx val="8"/>
            <c:bubble3D val="0"/>
            <c:spPr>
              <a:solidFill>
                <a:schemeClr val="accent2">
                  <a:shade val="73000"/>
                </a:schemeClr>
              </a:solidFill>
              <a:ln w="19050">
                <a:solidFill>
                  <a:schemeClr val="lt1"/>
                </a:solidFill>
              </a:ln>
              <a:effectLst/>
            </c:spPr>
            <c:extLst>
              <c:ext xmlns:c16="http://schemas.microsoft.com/office/drawing/2014/chart" uri="{C3380CC4-5D6E-409C-BE32-E72D297353CC}">
                <c16:uniqueId val="{00000011-69B7-054D-96EE-46DC48026BB3}"/>
              </c:ext>
            </c:extLst>
          </c:dPt>
          <c:dPt>
            <c:idx val="9"/>
            <c:bubble3D val="0"/>
            <c:spPr>
              <a:solidFill>
                <a:schemeClr val="accent2">
                  <a:shade val="62000"/>
                </a:schemeClr>
              </a:solidFill>
              <a:ln w="19050">
                <a:solidFill>
                  <a:schemeClr val="lt1"/>
                </a:solidFill>
              </a:ln>
              <a:effectLst/>
            </c:spPr>
            <c:extLst>
              <c:ext xmlns:c16="http://schemas.microsoft.com/office/drawing/2014/chart" uri="{C3380CC4-5D6E-409C-BE32-E72D297353CC}">
                <c16:uniqueId val="{00000013-69B7-054D-96EE-46DC48026BB3}"/>
              </c:ext>
            </c:extLst>
          </c:dPt>
          <c:dPt>
            <c:idx val="10"/>
            <c:bubble3D val="0"/>
            <c:spPr>
              <a:solidFill>
                <a:schemeClr val="accent2">
                  <a:shade val="51000"/>
                </a:schemeClr>
              </a:solidFill>
              <a:ln w="19050">
                <a:solidFill>
                  <a:schemeClr val="lt1"/>
                </a:solidFill>
              </a:ln>
              <a:effectLst/>
            </c:spPr>
            <c:extLst>
              <c:ext xmlns:c16="http://schemas.microsoft.com/office/drawing/2014/chart" uri="{C3380CC4-5D6E-409C-BE32-E72D297353CC}">
                <c16:uniqueId val="{00000015-69B7-054D-96EE-46DC48026BB3}"/>
              </c:ext>
            </c:extLst>
          </c:dPt>
          <c:dPt>
            <c:idx val="11"/>
            <c:bubble3D val="0"/>
            <c:spPr>
              <a:solidFill>
                <a:schemeClr val="accent2">
                  <a:shade val="40000"/>
                </a:schemeClr>
              </a:solidFill>
              <a:ln w="19050">
                <a:solidFill>
                  <a:schemeClr val="lt1"/>
                </a:solidFill>
              </a:ln>
              <a:effectLst/>
            </c:spPr>
            <c:extLst>
              <c:ext xmlns:c16="http://schemas.microsoft.com/office/drawing/2014/chart" uri="{C3380CC4-5D6E-409C-BE32-E72D297353CC}">
                <c16:uniqueId val="{00000017-69B7-054D-96EE-46DC48026BB3}"/>
              </c:ext>
            </c:extLst>
          </c:dPt>
          <c:dPt>
            <c:idx val="12"/>
            <c:bubble3D val="0"/>
            <c:spPr>
              <a:solidFill>
                <a:schemeClr val="accent2">
                  <a:shade val="40000"/>
                </a:schemeClr>
              </a:solidFill>
              <a:ln w="19050">
                <a:solidFill>
                  <a:schemeClr val="lt1"/>
                </a:solidFill>
              </a:ln>
              <a:effectLst/>
            </c:spPr>
            <c:extLst>
              <c:ext xmlns:c16="http://schemas.microsoft.com/office/drawing/2014/chart" uri="{C3380CC4-5D6E-409C-BE32-E72D297353CC}">
                <c16:uniqueId val="{00000019-A8E4-264B-BAD7-809314387AFF}"/>
              </c:ext>
            </c:extLst>
          </c:dPt>
          <c:cat>
            <c:strRef>
              <c:f>'Winner''s Corner'!$H$53:$H$65</c:f>
              <c:strCache>
                <c:ptCount val="13"/>
                <c:pt idx="0">
                  <c:v>CA</c:v>
                </c:pt>
                <c:pt idx="1">
                  <c:v>NY</c:v>
                </c:pt>
                <c:pt idx="2">
                  <c:v>NC</c:v>
                </c:pt>
                <c:pt idx="3">
                  <c:v>TX</c:v>
                </c:pt>
                <c:pt idx="4">
                  <c:v>MA</c:v>
                </c:pt>
                <c:pt idx="5">
                  <c:v>RI</c:v>
                </c:pt>
                <c:pt idx="6">
                  <c:v>MI</c:v>
                </c:pt>
                <c:pt idx="7">
                  <c:v>FL</c:v>
                </c:pt>
                <c:pt idx="8">
                  <c:v>WI</c:v>
                </c:pt>
                <c:pt idx="9">
                  <c:v>MN</c:v>
                </c:pt>
                <c:pt idx="10">
                  <c:v>OH</c:v>
                </c:pt>
                <c:pt idx="11">
                  <c:v>KY</c:v>
                </c:pt>
                <c:pt idx="12">
                  <c:v>WA</c:v>
                </c:pt>
              </c:strCache>
            </c:strRef>
          </c:cat>
          <c:val>
            <c:numRef>
              <c:f>'Winner''s Corner'!$I$53:$I$65</c:f>
              <c:numCache>
                <c:formatCode>General</c:formatCode>
                <c:ptCount val="13"/>
                <c:pt idx="0">
                  <c:v>15</c:v>
                </c:pt>
                <c:pt idx="1">
                  <c:v>10</c:v>
                </c:pt>
                <c:pt idx="2">
                  <c:v>7</c:v>
                </c:pt>
                <c:pt idx="3">
                  <c:v>5</c:v>
                </c:pt>
                <c:pt idx="4">
                  <c:v>5</c:v>
                </c:pt>
                <c:pt idx="5">
                  <c:v>3</c:v>
                </c:pt>
                <c:pt idx="6">
                  <c:v>3</c:v>
                </c:pt>
                <c:pt idx="7">
                  <c:v>2</c:v>
                </c:pt>
                <c:pt idx="8">
                  <c:v>2</c:v>
                </c:pt>
                <c:pt idx="9">
                  <c:v>1</c:v>
                </c:pt>
                <c:pt idx="10">
                  <c:v>1</c:v>
                </c:pt>
                <c:pt idx="11">
                  <c:v>1</c:v>
                </c:pt>
                <c:pt idx="12">
                  <c:v>1</c:v>
                </c:pt>
              </c:numCache>
            </c:numRef>
          </c:val>
          <c:extLst>
            <c:ext xmlns:c16="http://schemas.microsoft.com/office/drawing/2014/chart" uri="{C3380CC4-5D6E-409C-BE32-E72D297353CC}">
              <c16:uniqueId val="{00000000-DC73-E844-8F2C-BA18B6C92EF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Colors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'Winner''s Corner'!$K$52</c:f>
              <c:strCache>
                <c:ptCount val="1"/>
                <c:pt idx="0">
                  <c:v>#'</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9-5160-4D42-9DC0-A4468E92B9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CA-44B4-8994-19AD7DD1154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5160-4D42-9DC0-A4468E92B92C}"/>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5-5160-4D42-9DC0-A4468E92B92C}"/>
              </c:ext>
            </c:extLst>
          </c:dPt>
          <c:dPt>
            <c:idx val="4"/>
            <c:bubble3D val="0"/>
            <c:spPr>
              <a:solidFill>
                <a:srgbClr val="0070C0"/>
              </a:solidFill>
              <a:ln w="19050">
                <a:solidFill>
                  <a:schemeClr val="lt1"/>
                </a:solidFill>
              </a:ln>
              <a:effectLst/>
            </c:spPr>
            <c:extLst>
              <c:ext xmlns:c16="http://schemas.microsoft.com/office/drawing/2014/chart" uri="{C3380CC4-5D6E-409C-BE32-E72D297353CC}">
                <c16:uniqueId val="{00000001-5160-4D42-9DC0-A4468E92B92C}"/>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2-5160-4D42-9DC0-A4468E92B92C}"/>
              </c:ext>
            </c:extLst>
          </c:dPt>
          <c:dPt>
            <c:idx val="6"/>
            <c:bubble3D val="0"/>
            <c:spPr>
              <a:solidFill>
                <a:srgbClr val="FF00E6"/>
              </a:solidFill>
              <a:ln w="19050">
                <a:solidFill>
                  <a:schemeClr val="lt1"/>
                </a:solidFill>
              </a:ln>
              <a:effectLst/>
            </c:spPr>
            <c:extLst>
              <c:ext xmlns:c16="http://schemas.microsoft.com/office/drawing/2014/chart" uri="{C3380CC4-5D6E-409C-BE32-E72D297353CC}">
                <c16:uniqueId val="{00000003-5160-4D42-9DC0-A4468E92B92C}"/>
              </c:ext>
            </c:extLst>
          </c:dPt>
          <c:dPt>
            <c:idx val="7"/>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5160-4D42-9DC0-A4468E92B92C}"/>
              </c:ext>
            </c:extLst>
          </c:dPt>
          <c:dPt>
            <c:idx val="8"/>
            <c:bubble3D val="0"/>
            <c:spPr>
              <a:solidFill>
                <a:schemeClr val="accent6"/>
              </a:solidFill>
              <a:ln w="19050">
                <a:solidFill>
                  <a:schemeClr val="lt1"/>
                </a:solidFill>
              </a:ln>
              <a:effectLst/>
            </c:spPr>
            <c:extLst>
              <c:ext xmlns:c16="http://schemas.microsoft.com/office/drawing/2014/chart" uri="{C3380CC4-5D6E-409C-BE32-E72D297353CC}">
                <c16:uniqueId val="{00000006-5160-4D42-9DC0-A4468E92B92C}"/>
              </c:ext>
            </c:extLst>
          </c:dPt>
          <c:dPt>
            <c:idx val="9"/>
            <c:bubble3D val="0"/>
            <c:spPr>
              <a:solidFill>
                <a:schemeClr val="tx1"/>
              </a:solidFill>
              <a:ln w="19050">
                <a:solidFill>
                  <a:schemeClr val="lt1"/>
                </a:solidFill>
              </a:ln>
              <a:effectLst/>
            </c:spPr>
            <c:extLst>
              <c:ext xmlns:c16="http://schemas.microsoft.com/office/drawing/2014/chart" uri="{C3380CC4-5D6E-409C-BE32-E72D297353CC}">
                <c16:uniqueId val="{00000008-5160-4D42-9DC0-A4468E92B92C}"/>
              </c:ext>
            </c:extLst>
          </c:dPt>
          <c:cat>
            <c:strRef>
              <c:f>'Winner''s Corner'!$J$53:$J$62</c:f>
              <c:strCache>
                <c:ptCount val="10"/>
                <c:pt idx="0">
                  <c:v>Red</c:v>
                </c:pt>
                <c:pt idx="1">
                  <c:v>Orange</c:v>
                </c:pt>
                <c:pt idx="2">
                  <c:v>Yellow</c:v>
                </c:pt>
                <c:pt idx="3">
                  <c:v>Green</c:v>
                </c:pt>
                <c:pt idx="4">
                  <c:v>Blue</c:v>
                </c:pt>
                <c:pt idx="5">
                  <c:v>Purple</c:v>
                </c:pt>
                <c:pt idx="6">
                  <c:v>Pink</c:v>
                </c:pt>
                <c:pt idx="7">
                  <c:v>Black/White</c:v>
                </c:pt>
                <c:pt idx="8">
                  <c:v>Camo</c:v>
                </c:pt>
                <c:pt idx="9">
                  <c:v>Multicolored</c:v>
                </c:pt>
              </c:strCache>
            </c:strRef>
          </c:cat>
          <c:val>
            <c:numRef>
              <c:f>'Winner''s Corner'!$K$53:$K$62</c:f>
              <c:numCache>
                <c:formatCode>General</c:formatCode>
                <c:ptCount val="10"/>
                <c:pt idx="0">
                  <c:v>1</c:v>
                </c:pt>
                <c:pt idx="1">
                  <c:v>1</c:v>
                </c:pt>
                <c:pt idx="2">
                  <c:v>4</c:v>
                </c:pt>
                <c:pt idx="3">
                  <c:v>2</c:v>
                </c:pt>
                <c:pt idx="4">
                  <c:v>11</c:v>
                </c:pt>
                <c:pt idx="5">
                  <c:v>2</c:v>
                </c:pt>
                <c:pt idx="6">
                  <c:v>1</c:v>
                </c:pt>
                <c:pt idx="7">
                  <c:v>2</c:v>
                </c:pt>
                <c:pt idx="8">
                  <c:v>1</c:v>
                </c:pt>
                <c:pt idx="9">
                  <c:v>2</c:v>
                </c:pt>
              </c:numCache>
            </c:numRef>
          </c:val>
          <c:extLst>
            <c:ext xmlns:c16="http://schemas.microsoft.com/office/drawing/2014/chart" uri="{C3380CC4-5D6E-409C-BE32-E72D297353CC}">
              <c16:uniqueId val="{00000000-5160-4D42-9DC0-A4468E92B92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States traveled to on the </a:t>
            </a:r>
            <a:r>
              <a:rPr lang="en-US">
                <a:solidFill>
                  <a:srgbClr val="FFC000"/>
                </a:solidFill>
              </a:rPr>
              <a:t>final leg</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383-A547-8E2B-EF2E7BD5F3A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383-A547-8E2B-EF2E7BD5F3A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383-A547-8E2B-EF2E7BD5F3A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383-A547-8E2B-EF2E7BD5F3A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383-A547-8E2B-EF2E7BD5F3A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383-A547-8E2B-EF2E7BD5F3A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1383-A547-8E2B-EF2E7BD5F3A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383-A547-8E2B-EF2E7BD5F3A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1383-A547-8E2B-EF2E7BD5F3A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383-A547-8E2B-EF2E7BD5F3A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1383-A547-8E2B-EF2E7BD5F3A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1383-A547-8E2B-EF2E7BD5F3A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1383-A547-8E2B-EF2E7BD5F3A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1383-A547-8E2B-EF2E7BD5F3A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1383-A547-8E2B-EF2E7BD5F3A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1383-A547-8E2B-EF2E7BD5F3A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1383-A547-8E2B-EF2E7BD5F3A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1383-A547-8E2B-EF2E7BD5F3A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1383-A547-8E2B-EF2E7BD5F3A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383-A547-8E2B-EF2E7BD5F3A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383-A547-8E2B-EF2E7BD5F3A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383-A547-8E2B-EF2E7BD5F3A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1383-A547-8E2B-EF2E7BD5F3A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383-A547-8E2B-EF2E7BD5F3A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1383-A547-8E2B-EF2E7BD5F3A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383-A547-8E2B-EF2E7BD5F3A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1383-A547-8E2B-EF2E7BD5F3A4}"/>
                </c:ext>
              </c:extLst>
            </c:dLbl>
            <c:dLbl>
              <c:idx val="9"/>
              <c:delete val="1"/>
              <c:extLst>
                <c:ext xmlns:c15="http://schemas.microsoft.com/office/drawing/2012/chart" uri="{CE6537A1-D6FC-4f65-9D91-7224C49458BB}"/>
                <c:ext xmlns:c16="http://schemas.microsoft.com/office/drawing/2014/chart" uri="{C3380CC4-5D6E-409C-BE32-E72D297353CC}">
                  <c16:uniqueId val="{0000000B-1383-A547-8E2B-EF2E7BD5F3A4}"/>
                </c:ext>
              </c:extLst>
            </c:dLbl>
            <c:dLbl>
              <c:idx val="10"/>
              <c:delete val="1"/>
              <c:extLst>
                <c:ext xmlns:c15="http://schemas.microsoft.com/office/drawing/2012/chart" uri="{CE6537A1-D6FC-4f65-9D91-7224C49458BB}"/>
                <c:ext xmlns:c16="http://schemas.microsoft.com/office/drawing/2014/chart" uri="{C3380CC4-5D6E-409C-BE32-E72D297353CC}">
                  <c16:uniqueId val="{0000000C-1383-A547-8E2B-EF2E7BD5F3A4}"/>
                </c:ext>
              </c:extLst>
            </c:dLbl>
            <c:dLbl>
              <c:idx val="11"/>
              <c:delete val="1"/>
              <c:extLst>
                <c:ext xmlns:c15="http://schemas.microsoft.com/office/drawing/2012/chart" uri="{CE6537A1-D6FC-4f65-9D91-7224C49458BB}"/>
                <c:ext xmlns:c16="http://schemas.microsoft.com/office/drawing/2014/chart" uri="{C3380CC4-5D6E-409C-BE32-E72D297353CC}">
                  <c16:uniqueId val="{0000000D-1383-A547-8E2B-EF2E7BD5F3A4}"/>
                </c:ext>
              </c:extLst>
            </c:dLbl>
            <c:dLbl>
              <c:idx val="12"/>
              <c:delete val="1"/>
              <c:extLst>
                <c:ext xmlns:c15="http://schemas.microsoft.com/office/drawing/2012/chart" uri="{CE6537A1-D6FC-4f65-9D91-7224C49458BB}"/>
                <c:ext xmlns:c16="http://schemas.microsoft.com/office/drawing/2014/chart" uri="{C3380CC4-5D6E-409C-BE32-E72D297353CC}">
                  <c16:uniqueId val="{0000000E-1383-A547-8E2B-EF2E7BD5F3A4}"/>
                </c:ext>
              </c:extLst>
            </c:dLbl>
            <c:dLbl>
              <c:idx val="13"/>
              <c:delete val="1"/>
              <c:extLst>
                <c:ext xmlns:c15="http://schemas.microsoft.com/office/drawing/2012/chart" uri="{CE6537A1-D6FC-4f65-9D91-7224C49458BB}"/>
                <c:ext xmlns:c16="http://schemas.microsoft.com/office/drawing/2014/chart" uri="{C3380CC4-5D6E-409C-BE32-E72D297353CC}">
                  <c16:uniqueId val="{0000000F-1383-A547-8E2B-EF2E7BD5F3A4}"/>
                </c:ext>
              </c:extLst>
            </c:dLbl>
            <c:dLbl>
              <c:idx val="14"/>
              <c:delete val="1"/>
              <c:extLst>
                <c:ext xmlns:c15="http://schemas.microsoft.com/office/drawing/2012/chart" uri="{CE6537A1-D6FC-4f65-9D91-7224C49458BB}"/>
                <c:ext xmlns:c16="http://schemas.microsoft.com/office/drawing/2014/chart" uri="{C3380CC4-5D6E-409C-BE32-E72D297353CC}">
                  <c16:uniqueId val="{00000010-1383-A547-8E2B-EF2E7BD5F3A4}"/>
                </c:ext>
              </c:extLst>
            </c:dLbl>
            <c:dLbl>
              <c:idx val="15"/>
              <c:delete val="1"/>
              <c:extLst>
                <c:ext xmlns:c15="http://schemas.microsoft.com/office/drawing/2012/chart" uri="{CE6537A1-D6FC-4f65-9D91-7224C49458BB}"/>
                <c:ext xmlns:c16="http://schemas.microsoft.com/office/drawing/2014/chart" uri="{C3380CC4-5D6E-409C-BE32-E72D297353CC}">
                  <c16:uniqueId val="{00000011-1383-A547-8E2B-EF2E7BD5F3A4}"/>
                </c:ext>
              </c:extLst>
            </c:dLbl>
            <c:dLbl>
              <c:idx val="16"/>
              <c:delete val="1"/>
              <c:extLst>
                <c:ext xmlns:c15="http://schemas.microsoft.com/office/drawing/2012/chart" uri="{CE6537A1-D6FC-4f65-9D91-7224C49458BB}"/>
                <c:ext xmlns:c16="http://schemas.microsoft.com/office/drawing/2014/chart" uri="{C3380CC4-5D6E-409C-BE32-E72D297353CC}">
                  <c16:uniqueId val="{00000012-1383-A547-8E2B-EF2E7BD5F3A4}"/>
                </c:ext>
              </c:extLst>
            </c:dLbl>
            <c:dLbl>
              <c:idx val="17"/>
              <c:delete val="1"/>
              <c:extLst>
                <c:ext xmlns:c15="http://schemas.microsoft.com/office/drawing/2012/chart" uri="{CE6537A1-D6FC-4f65-9D91-7224C49458BB}"/>
                <c:ext xmlns:c16="http://schemas.microsoft.com/office/drawing/2014/chart" uri="{C3380CC4-5D6E-409C-BE32-E72D297353CC}">
                  <c16:uniqueId val="{00000013-1383-A547-8E2B-EF2E7BD5F3A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Leg'!$L$22:$L$39</c:f>
              <c:strCache>
                <c:ptCount val="18"/>
                <c:pt idx="0">
                  <c:v>California</c:v>
                </c:pt>
                <c:pt idx="1">
                  <c:v>Hawaii</c:v>
                </c:pt>
                <c:pt idx="2">
                  <c:v>New York</c:v>
                </c:pt>
                <c:pt idx="3">
                  <c:v>Alaska</c:v>
                </c:pt>
                <c:pt idx="4">
                  <c:v>Florida</c:v>
                </c:pt>
                <c:pt idx="5">
                  <c:v>Florida</c:v>
                </c:pt>
                <c:pt idx="6">
                  <c:v>Illinois</c:v>
                </c:pt>
                <c:pt idx="7">
                  <c:v>Nevada</c:v>
                </c:pt>
                <c:pt idx="8">
                  <c:v>Texas</c:v>
                </c:pt>
                <c:pt idx="9">
                  <c:v>Arizona</c:v>
                </c:pt>
                <c:pt idx="10">
                  <c:v>Colorado</c:v>
                </c:pt>
                <c:pt idx="11">
                  <c:v>Georgia</c:v>
                </c:pt>
                <c:pt idx="12">
                  <c:v>Louisiana</c:v>
                </c:pt>
                <c:pt idx="13">
                  <c:v>Michigan</c:v>
                </c:pt>
                <c:pt idx="14">
                  <c:v>Oregon</c:v>
                </c:pt>
                <c:pt idx="15">
                  <c:v>Pennsylvania</c:v>
                </c:pt>
                <c:pt idx="16">
                  <c:v>Tennessee</c:v>
                </c:pt>
                <c:pt idx="17">
                  <c:v>Washington </c:v>
                </c:pt>
              </c:strCache>
            </c:strRef>
          </c:cat>
          <c:val>
            <c:numRef>
              <c:f>'Final Leg'!$M$22:$M$39</c:f>
              <c:numCache>
                <c:formatCode>General</c:formatCode>
                <c:ptCount val="18"/>
                <c:pt idx="0">
                  <c:v>8</c:v>
                </c:pt>
                <c:pt idx="1">
                  <c:v>7</c:v>
                </c:pt>
                <c:pt idx="2">
                  <c:v>6</c:v>
                </c:pt>
                <c:pt idx="3">
                  <c:v>5</c:v>
                </c:pt>
                <c:pt idx="4">
                  <c:v>3</c:v>
                </c:pt>
                <c:pt idx="5">
                  <c:v>3</c:v>
                </c:pt>
                <c:pt idx="6">
                  <c:v>2</c:v>
                </c:pt>
                <c:pt idx="7">
                  <c:v>2</c:v>
                </c:pt>
                <c:pt idx="8">
                  <c:v>2</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1383-A547-8E2B-EF2E7BD5F3A4}"/>
            </c:ext>
          </c:extLst>
        </c:ser>
        <c:ser>
          <c:idx val="1"/>
          <c:order val="1"/>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1383-A547-8E2B-EF2E7BD5F3A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1383-A547-8E2B-EF2E7BD5F3A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1383-A547-8E2B-EF2E7BD5F3A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1383-A547-8E2B-EF2E7BD5F3A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1383-A547-8E2B-EF2E7BD5F3A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1383-A547-8E2B-EF2E7BD5F3A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1383-A547-8E2B-EF2E7BD5F3A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1383-A547-8E2B-EF2E7BD5F3A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1383-A547-8E2B-EF2E7BD5F3A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1383-A547-8E2B-EF2E7BD5F3A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1383-A547-8E2B-EF2E7BD5F3A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1383-A547-8E2B-EF2E7BD5F3A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1383-A547-8E2B-EF2E7BD5F3A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1383-A547-8E2B-EF2E7BD5F3A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1383-A547-8E2B-EF2E7BD5F3A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1383-A547-8E2B-EF2E7BD5F3A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1383-A547-8E2B-EF2E7BD5F3A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1383-A547-8E2B-EF2E7BD5F3A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1383-A547-8E2B-EF2E7BD5F3A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5-1383-A547-8E2B-EF2E7BD5F3A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1383-A547-8E2B-EF2E7BD5F3A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7-1383-A547-8E2B-EF2E7BD5F3A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1383-A547-8E2B-EF2E7BD5F3A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9-1383-A547-8E2B-EF2E7BD5F3A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1383-A547-8E2B-EF2E7BD5F3A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B-1383-A547-8E2B-EF2E7BD5F3A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1383-A547-8E2B-EF2E7BD5F3A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D-1383-A547-8E2B-EF2E7BD5F3A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E-1383-A547-8E2B-EF2E7BD5F3A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F-1383-A547-8E2B-EF2E7BD5F3A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0-1383-A547-8E2B-EF2E7BD5F3A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1-1383-A547-8E2B-EF2E7BD5F3A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2-1383-A547-8E2B-EF2E7BD5F3A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3-1383-A547-8E2B-EF2E7BD5F3A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4-1383-A547-8E2B-EF2E7BD5F3A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5-1383-A547-8E2B-EF2E7BD5F3A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'Final Leg'!$L$22:$L$39</c:f>
              <c:strCache>
                <c:ptCount val="18"/>
                <c:pt idx="0">
                  <c:v>California</c:v>
                </c:pt>
                <c:pt idx="1">
                  <c:v>Hawaii</c:v>
                </c:pt>
                <c:pt idx="2">
                  <c:v>New York</c:v>
                </c:pt>
                <c:pt idx="3">
                  <c:v>Alaska</c:v>
                </c:pt>
                <c:pt idx="4">
                  <c:v>Florida</c:v>
                </c:pt>
                <c:pt idx="5">
                  <c:v>Florida</c:v>
                </c:pt>
                <c:pt idx="6">
                  <c:v>Illinois</c:v>
                </c:pt>
                <c:pt idx="7">
                  <c:v>Nevada</c:v>
                </c:pt>
                <c:pt idx="8">
                  <c:v>Texas</c:v>
                </c:pt>
                <c:pt idx="9">
                  <c:v>Arizona</c:v>
                </c:pt>
                <c:pt idx="10">
                  <c:v>Colorado</c:v>
                </c:pt>
                <c:pt idx="11">
                  <c:v>Georgia</c:v>
                </c:pt>
                <c:pt idx="12">
                  <c:v>Louisiana</c:v>
                </c:pt>
                <c:pt idx="13">
                  <c:v>Michigan</c:v>
                </c:pt>
                <c:pt idx="14">
                  <c:v>Oregon</c:v>
                </c:pt>
                <c:pt idx="15">
                  <c:v>Pennsylvania</c:v>
                </c:pt>
                <c:pt idx="16">
                  <c:v>Tennessee</c:v>
                </c:pt>
                <c:pt idx="17">
                  <c:v>Washington </c:v>
                </c:pt>
              </c:strCache>
            </c:strRef>
          </c:cat>
          <c:val>
            <c:numRef>
              <c:f>'Final Leg'!$N$22:$N$39</c:f>
              <c:numCache>
                <c:formatCode>0%</c:formatCode>
                <c:ptCount val="18"/>
                <c:pt idx="0">
                  <c:v>0.21621621621621623</c:v>
                </c:pt>
                <c:pt idx="1">
                  <c:v>0.1891891891891892</c:v>
                </c:pt>
                <c:pt idx="2">
                  <c:v>0.16216216216216217</c:v>
                </c:pt>
                <c:pt idx="3">
                  <c:v>0.13513513513513514</c:v>
                </c:pt>
                <c:pt idx="4">
                  <c:v>8.1081081081081086E-2</c:v>
                </c:pt>
                <c:pt idx="5">
                  <c:v>8.1081081081081086E-2</c:v>
                </c:pt>
                <c:pt idx="6">
                  <c:v>5.4054054054054057E-2</c:v>
                </c:pt>
                <c:pt idx="7">
                  <c:v>5.4054054054054057E-2</c:v>
                </c:pt>
                <c:pt idx="8">
                  <c:v>5.4054054054054057E-2</c:v>
                </c:pt>
                <c:pt idx="9">
                  <c:v>2.7027027027027029E-2</c:v>
                </c:pt>
                <c:pt idx="10">
                  <c:v>2.7027027027027029E-2</c:v>
                </c:pt>
                <c:pt idx="11">
                  <c:v>2.7027027027027029E-2</c:v>
                </c:pt>
                <c:pt idx="12">
                  <c:v>2.7027027027027029E-2</c:v>
                </c:pt>
                <c:pt idx="13">
                  <c:v>2.7027027027027029E-2</c:v>
                </c:pt>
                <c:pt idx="14">
                  <c:v>2.7027027027027029E-2</c:v>
                </c:pt>
                <c:pt idx="15">
                  <c:v>2.7027027027027029E-2</c:v>
                </c:pt>
                <c:pt idx="16">
                  <c:v>2.7027027027027029E-2</c:v>
                </c:pt>
                <c:pt idx="17">
                  <c:v>2.7027027027027029E-2</c:v>
                </c:pt>
              </c:numCache>
            </c:numRef>
          </c:val>
          <c:extLst>
            <c:ext xmlns:c16="http://schemas.microsoft.com/office/drawing/2014/chart" uri="{C3380CC4-5D6E-409C-BE32-E72D297353CC}">
              <c16:uniqueId val="{00000001-1383-A547-8E2B-EF2E7BD5F3A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Yields by leg</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accent3"/>
              </a:solidFill>
            </a:ln>
            <a:effectLst/>
          </c:spPr>
          <c:dPt>
            <c:idx val="0"/>
            <c:bubble3D val="0"/>
            <c:spPr>
              <a:solidFill>
                <a:schemeClr val="lt1"/>
              </a:solidFill>
              <a:ln w="19050">
                <a:solidFill>
                  <a:schemeClr val="accent3"/>
                </a:solidFill>
              </a:ln>
              <a:effectLst/>
            </c:spPr>
            <c:extLst>
              <c:ext xmlns:c16="http://schemas.microsoft.com/office/drawing/2014/chart" uri="{C3380CC4-5D6E-409C-BE32-E72D297353CC}">
                <c16:uniqueId val="{00000002-2379-A042-936F-53090CDC7588}"/>
              </c:ext>
            </c:extLst>
          </c:dPt>
          <c:dPt>
            <c:idx val="1"/>
            <c:bubble3D val="0"/>
            <c:spPr>
              <a:solidFill>
                <a:schemeClr val="lt1"/>
              </a:solidFill>
              <a:ln w="19050">
                <a:solidFill>
                  <a:schemeClr val="accent3"/>
                </a:solidFill>
              </a:ln>
              <a:effectLst/>
            </c:spPr>
            <c:extLst>
              <c:ext xmlns:c16="http://schemas.microsoft.com/office/drawing/2014/chart" uri="{C3380CC4-5D6E-409C-BE32-E72D297353CC}">
                <c16:uniqueId val="{00000003-E69A-C946-A304-CA1BEAAE4877}"/>
              </c:ext>
            </c:extLst>
          </c:dPt>
          <c:dPt>
            <c:idx val="2"/>
            <c:bubble3D val="0"/>
            <c:spPr>
              <a:solidFill>
                <a:schemeClr val="lt1"/>
              </a:solidFill>
              <a:ln w="19050">
                <a:solidFill>
                  <a:schemeClr val="accent3"/>
                </a:solidFill>
              </a:ln>
              <a:effectLst/>
            </c:spPr>
            <c:extLst>
              <c:ext xmlns:c16="http://schemas.microsoft.com/office/drawing/2014/chart" uri="{C3380CC4-5D6E-409C-BE32-E72D297353CC}">
                <c16:uniqueId val="{00000005-E69A-C946-A304-CA1BEAAE4877}"/>
              </c:ext>
            </c:extLst>
          </c:dPt>
          <c:dPt>
            <c:idx val="3"/>
            <c:bubble3D val="0"/>
            <c:spPr>
              <a:solidFill>
                <a:schemeClr val="lt1"/>
              </a:solidFill>
              <a:ln w="19050">
                <a:solidFill>
                  <a:schemeClr val="accent3"/>
                </a:solidFill>
              </a:ln>
              <a:effectLst/>
            </c:spPr>
            <c:extLst>
              <c:ext xmlns:c16="http://schemas.microsoft.com/office/drawing/2014/chart" uri="{C3380CC4-5D6E-409C-BE32-E72D297353CC}">
                <c16:uniqueId val="{00000007-E69A-C946-A304-CA1BEAAE4877}"/>
              </c:ext>
            </c:extLst>
          </c:dPt>
          <c:dPt>
            <c:idx val="4"/>
            <c:bubble3D val="0"/>
            <c:spPr>
              <a:solidFill>
                <a:schemeClr val="lt1"/>
              </a:solidFill>
              <a:ln w="19050">
                <a:solidFill>
                  <a:schemeClr val="accent3"/>
                </a:solidFill>
              </a:ln>
              <a:effectLst/>
            </c:spPr>
            <c:extLst>
              <c:ext xmlns:c16="http://schemas.microsoft.com/office/drawing/2014/chart" uri="{C3380CC4-5D6E-409C-BE32-E72D297353CC}">
                <c16:uniqueId val="{00000009-E69A-C946-A304-CA1BEAAE4877}"/>
              </c:ext>
            </c:extLst>
          </c:dPt>
          <c:dPt>
            <c:idx val="5"/>
            <c:bubble3D val="0"/>
            <c:spPr>
              <a:solidFill>
                <a:schemeClr val="lt1"/>
              </a:solidFill>
              <a:ln w="19050">
                <a:solidFill>
                  <a:schemeClr val="accent3"/>
                </a:solidFill>
              </a:ln>
              <a:effectLst/>
            </c:spPr>
            <c:extLst>
              <c:ext xmlns:c16="http://schemas.microsoft.com/office/drawing/2014/chart" uri="{C3380CC4-5D6E-409C-BE32-E72D297353CC}">
                <c16:uniqueId val="{0000000B-E69A-C946-A304-CA1BEAAE4877}"/>
              </c:ext>
            </c:extLst>
          </c:dPt>
          <c:dPt>
            <c:idx val="6"/>
            <c:bubble3D val="0"/>
            <c:spPr>
              <a:solidFill>
                <a:schemeClr val="lt1"/>
              </a:solidFill>
              <a:ln w="19050">
                <a:solidFill>
                  <a:schemeClr val="accent3"/>
                </a:solidFill>
              </a:ln>
              <a:effectLst/>
            </c:spPr>
            <c:extLst>
              <c:ext xmlns:c16="http://schemas.microsoft.com/office/drawing/2014/chart" uri="{C3380CC4-5D6E-409C-BE32-E72D297353CC}">
                <c16:uniqueId val="{0000000D-E69A-C946-A304-CA1BEAAE4877}"/>
              </c:ext>
            </c:extLst>
          </c:dPt>
          <c:dPt>
            <c:idx val="7"/>
            <c:bubble3D val="0"/>
            <c:spPr>
              <a:solidFill>
                <a:schemeClr val="lt1"/>
              </a:solidFill>
              <a:ln w="19050">
                <a:solidFill>
                  <a:schemeClr val="accent3"/>
                </a:solidFill>
              </a:ln>
              <a:effectLst/>
            </c:spPr>
            <c:extLst>
              <c:ext xmlns:c16="http://schemas.microsoft.com/office/drawing/2014/chart" uri="{C3380CC4-5D6E-409C-BE32-E72D297353CC}">
                <c16:uniqueId val="{0000000F-E69A-C946-A304-CA1BEAAE4877}"/>
              </c:ext>
            </c:extLst>
          </c:dPt>
          <c:dPt>
            <c:idx val="8"/>
            <c:bubble3D val="0"/>
            <c:spPr>
              <a:solidFill>
                <a:schemeClr val="lt1"/>
              </a:solidFill>
              <a:ln w="19050">
                <a:solidFill>
                  <a:schemeClr val="accent3"/>
                </a:solidFill>
              </a:ln>
              <a:effectLst/>
            </c:spPr>
            <c:extLst>
              <c:ext xmlns:c16="http://schemas.microsoft.com/office/drawing/2014/chart" uri="{C3380CC4-5D6E-409C-BE32-E72D297353CC}">
                <c16:uniqueId val="{00000011-E69A-C946-A304-CA1BEAAE4877}"/>
              </c:ext>
            </c:extLst>
          </c:dPt>
          <c:dPt>
            <c:idx val="9"/>
            <c:bubble3D val="0"/>
            <c:spPr>
              <a:solidFill>
                <a:schemeClr val="lt1"/>
              </a:solidFill>
              <a:ln w="19050">
                <a:solidFill>
                  <a:schemeClr val="accent3"/>
                </a:solidFill>
              </a:ln>
              <a:effectLst/>
            </c:spPr>
            <c:extLst>
              <c:ext xmlns:c16="http://schemas.microsoft.com/office/drawing/2014/chart" uri="{C3380CC4-5D6E-409C-BE32-E72D297353CC}">
                <c16:uniqueId val="{00000013-E69A-C946-A304-CA1BEAAE4877}"/>
              </c:ext>
            </c:extLst>
          </c:dPt>
          <c:dPt>
            <c:idx val="10"/>
            <c:bubble3D val="0"/>
            <c:spPr>
              <a:solidFill>
                <a:schemeClr val="lt1"/>
              </a:solidFill>
              <a:ln w="19050">
                <a:solidFill>
                  <a:schemeClr val="accent3"/>
                </a:solidFill>
              </a:ln>
              <a:effectLst/>
            </c:spPr>
            <c:extLst>
              <c:ext xmlns:c16="http://schemas.microsoft.com/office/drawing/2014/chart" uri="{C3380CC4-5D6E-409C-BE32-E72D297353CC}">
                <c16:uniqueId val="{00000015-E69A-C946-A304-CA1BEAAE4877}"/>
              </c:ext>
            </c:extLst>
          </c:dPt>
          <c:dPt>
            <c:idx val="11"/>
            <c:bubble3D val="0"/>
            <c:spPr>
              <a:solidFill>
                <a:schemeClr val="lt1"/>
              </a:solidFill>
              <a:ln w="19050">
                <a:solidFill>
                  <a:schemeClr val="accent3"/>
                </a:solidFill>
              </a:ln>
              <a:effectLst/>
            </c:spPr>
            <c:extLst>
              <c:ext xmlns:c16="http://schemas.microsoft.com/office/drawing/2014/chart" uri="{C3380CC4-5D6E-409C-BE32-E72D297353CC}">
                <c16:uniqueId val="{00000003-2379-A042-936F-53090CDC7588}"/>
              </c:ext>
            </c:extLst>
          </c:dPt>
          <c:dPt>
            <c:idx val="12"/>
            <c:bubble3D val="0"/>
            <c:spPr>
              <a:solidFill>
                <a:schemeClr val="lt1"/>
              </a:solidFill>
              <a:ln w="19050">
                <a:solidFill>
                  <a:schemeClr val="accent3"/>
                </a:solidFill>
              </a:ln>
              <a:effectLst/>
            </c:spPr>
            <c:extLst>
              <c:ext xmlns:c16="http://schemas.microsoft.com/office/drawing/2014/chart" uri="{C3380CC4-5D6E-409C-BE32-E72D297353CC}">
                <c16:uniqueId val="{00000001-2379-A042-936F-53090CDC7588}"/>
              </c:ext>
            </c:extLst>
          </c:dPt>
          <c:dLbls>
            <c:dLbl>
              <c:idx val="0"/>
              <c:layout>
                <c:manualLayout>
                  <c:x val="0.10221189161772817"/>
                  <c:y val="5.20832672677751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379-A042-936F-53090CDC7588}"/>
                </c:ext>
              </c:extLst>
            </c:dLbl>
            <c:dLbl>
              <c:idx val="11"/>
              <c:layout>
                <c:manualLayout>
                  <c:x val="-0.13358505940842322"/>
                  <c:y val="6.10329482151728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79-A042-936F-53090CDC7588}"/>
                </c:ext>
              </c:extLst>
            </c:dLbl>
            <c:dLbl>
              <c:idx val="12"/>
              <c:layout>
                <c:manualLayout>
                  <c:x val="0.18141066958447397"/>
                  <c:y val="0.110432015898015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79-A042-936F-53090CDC758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Twists!$C$55:$O$55</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Leg 13</c:v>
                </c:pt>
              </c:strCache>
            </c:strRef>
          </c:cat>
          <c:val>
            <c:numRef>
              <c:f>Twists!$C$65:$O$65</c:f>
              <c:numCache>
                <c:formatCode>General</c:formatCode>
                <c:ptCount val="13"/>
                <c:pt idx="0">
                  <c:v>1</c:v>
                </c:pt>
                <c:pt idx="1">
                  <c:v>2</c:v>
                </c:pt>
                <c:pt idx="2">
                  <c:v>3</c:v>
                </c:pt>
                <c:pt idx="3">
                  <c:v>2</c:v>
                </c:pt>
                <c:pt idx="4">
                  <c:v>3</c:v>
                </c:pt>
                <c:pt idx="5">
                  <c:v>3</c:v>
                </c:pt>
                <c:pt idx="6">
                  <c:v>2</c:v>
                </c:pt>
                <c:pt idx="7">
                  <c:v>4</c:v>
                </c:pt>
                <c:pt idx="8">
                  <c:v>3</c:v>
                </c:pt>
                <c:pt idx="9">
                  <c:v>3</c:v>
                </c:pt>
                <c:pt idx="10">
                  <c:v>2</c:v>
                </c:pt>
                <c:pt idx="11">
                  <c:v>1</c:v>
                </c:pt>
                <c:pt idx="12">
                  <c:v>0</c:v>
                </c:pt>
              </c:numCache>
            </c:numRef>
          </c:val>
          <c:extLst>
            <c:ext xmlns:c16="http://schemas.microsoft.com/office/drawing/2014/chart" uri="{C3380CC4-5D6E-409C-BE32-E72D297353CC}">
              <c16:uniqueId val="{00000000-2379-A042-936F-53090CDC758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Double</a:t>
            </a:r>
            <a:r>
              <a:rPr lang="en-US" baseline="0"/>
              <a:t> u-Turn By leg</a:t>
            </a:r>
            <a:endParaRPr lang="en-US"/>
          </a:p>
        </c:rich>
      </c:tx>
      <c:layout>
        <c:manualLayout>
          <c:xMode val="edge"/>
          <c:yMode val="edge"/>
          <c:x val="0.26470382789940566"/>
          <c:y val="1.783783859705633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chemeClr val="tx1"/>
              </a:solidFill>
            </a:ln>
            <a:effectLst/>
          </c:spPr>
          <c:dPt>
            <c:idx val="0"/>
            <c:bubble3D val="0"/>
            <c:spPr>
              <a:solidFill>
                <a:schemeClr val="lt1"/>
              </a:solidFill>
              <a:ln w="19050">
                <a:solidFill>
                  <a:schemeClr val="tx1"/>
                </a:solidFill>
              </a:ln>
              <a:effectLst/>
            </c:spPr>
            <c:extLst>
              <c:ext xmlns:c16="http://schemas.microsoft.com/office/drawing/2014/chart" uri="{C3380CC4-5D6E-409C-BE32-E72D297353CC}">
                <c16:uniqueId val="{00000001-3936-BE4D-9833-123BA2BE7F22}"/>
              </c:ext>
            </c:extLst>
          </c:dPt>
          <c:dPt>
            <c:idx val="1"/>
            <c:bubble3D val="0"/>
            <c:spPr>
              <a:solidFill>
                <a:schemeClr val="lt1"/>
              </a:solidFill>
              <a:ln w="19050">
                <a:solidFill>
                  <a:schemeClr val="tx1"/>
                </a:solidFill>
              </a:ln>
              <a:effectLst/>
            </c:spPr>
            <c:extLst>
              <c:ext xmlns:c16="http://schemas.microsoft.com/office/drawing/2014/chart" uri="{C3380CC4-5D6E-409C-BE32-E72D297353CC}">
                <c16:uniqueId val="{00000002-3936-BE4D-9833-123BA2BE7F22}"/>
              </c:ext>
            </c:extLst>
          </c:dPt>
          <c:dPt>
            <c:idx val="2"/>
            <c:bubble3D val="0"/>
            <c:spPr>
              <a:solidFill>
                <a:schemeClr val="lt1"/>
              </a:solidFill>
              <a:ln w="19050">
                <a:solidFill>
                  <a:schemeClr val="tx1"/>
                </a:solidFill>
              </a:ln>
              <a:effectLst/>
            </c:spPr>
            <c:extLst>
              <c:ext xmlns:c16="http://schemas.microsoft.com/office/drawing/2014/chart" uri="{C3380CC4-5D6E-409C-BE32-E72D297353CC}">
                <c16:uniqueId val="{00000005-1C26-C74F-8E8C-7D336D270E4C}"/>
              </c:ext>
            </c:extLst>
          </c:dPt>
          <c:dPt>
            <c:idx val="3"/>
            <c:bubble3D val="0"/>
            <c:spPr>
              <a:solidFill>
                <a:schemeClr val="lt1"/>
              </a:solidFill>
              <a:ln w="19050">
                <a:solidFill>
                  <a:schemeClr val="tx1"/>
                </a:solidFill>
              </a:ln>
              <a:effectLst/>
            </c:spPr>
            <c:extLst>
              <c:ext xmlns:c16="http://schemas.microsoft.com/office/drawing/2014/chart" uri="{C3380CC4-5D6E-409C-BE32-E72D297353CC}">
                <c16:uniqueId val="{00000007-1C26-C74F-8E8C-7D336D270E4C}"/>
              </c:ext>
            </c:extLst>
          </c:dPt>
          <c:dPt>
            <c:idx val="4"/>
            <c:bubble3D val="0"/>
            <c:spPr>
              <a:solidFill>
                <a:schemeClr val="lt1"/>
              </a:solidFill>
              <a:ln w="19050">
                <a:solidFill>
                  <a:schemeClr val="tx1"/>
                </a:solidFill>
              </a:ln>
              <a:effectLst/>
            </c:spPr>
            <c:extLst>
              <c:ext xmlns:c16="http://schemas.microsoft.com/office/drawing/2014/chart" uri="{C3380CC4-5D6E-409C-BE32-E72D297353CC}">
                <c16:uniqueId val="{00000009-1C26-C74F-8E8C-7D336D270E4C}"/>
              </c:ext>
            </c:extLst>
          </c:dPt>
          <c:dPt>
            <c:idx val="5"/>
            <c:bubble3D val="0"/>
            <c:spPr>
              <a:solidFill>
                <a:schemeClr val="lt1"/>
              </a:solidFill>
              <a:ln w="19050">
                <a:solidFill>
                  <a:schemeClr val="tx1"/>
                </a:solidFill>
              </a:ln>
              <a:effectLst/>
            </c:spPr>
            <c:extLst>
              <c:ext xmlns:c16="http://schemas.microsoft.com/office/drawing/2014/chart" uri="{C3380CC4-5D6E-409C-BE32-E72D297353CC}">
                <c16:uniqueId val="{0000000B-1C26-C74F-8E8C-7D336D270E4C}"/>
              </c:ext>
            </c:extLst>
          </c:dPt>
          <c:dPt>
            <c:idx val="6"/>
            <c:bubble3D val="0"/>
            <c:spPr>
              <a:solidFill>
                <a:schemeClr val="lt1"/>
              </a:solidFill>
              <a:ln w="19050">
                <a:solidFill>
                  <a:schemeClr val="tx1"/>
                </a:solidFill>
              </a:ln>
              <a:effectLst/>
            </c:spPr>
            <c:extLst>
              <c:ext xmlns:c16="http://schemas.microsoft.com/office/drawing/2014/chart" uri="{C3380CC4-5D6E-409C-BE32-E72D297353CC}">
                <c16:uniqueId val="{0000000D-1C26-C74F-8E8C-7D336D270E4C}"/>
              </c:ext>
            </c:extLst>
          </c:dPt>
          <c:dPt>
            <c:idx val="7"/>
            <c:bubble3D val="0"/>
            <c:spPr>
              <a:solidFill>
                <a:schemeClr val="lt1"/>
              </a:solidFill>
              <a:ln w="19050">
                <a:solidFill>
                  <a:schemeClr val="tx1"/>
                </a:solidFill>
              </a:ln>
              <a:effectLst/>
            </c:spPr>
            <c:extLst>
              <c:ext xmlns:c16="http://schemas.microsoft.com/office/drawing/2014/chart" uri="{C3380CC4-5D6E-409C-BE32-E72D297353CC}">
                <c16:uniqueId val="{0000000F-1C26-C74F-8E8C-7D336D270E4C}"/>
              </c:ext>
            </c:extLst>
          </c:dPt>
          <c:dPt>
            <c:idx val="8"/>
            <c:bubble3D val="0"/>
            <c:spPr>
              <a:solidFill>
                <a:schemeClr val="lt1"/>
              </a:solidFill>
              <a:ln w="19050">
                <a:solidFill>
                  <a:schemeClr val="tx1"/>
                </a:solidFill>
              </a:ln>
              <a:effectLst/>
            </c:spPr>
            <c:extLst>
              <c:ext xmlns:c16="http://schemas.microsoft.com/office/drawing/2014/chart" uri="{C3380CC4-5D6E-409C-BE32-E72D297353CC}">
                <c16:uniqueId val="{00000011-1C26-C74F-8E8C-7D336D270E4C}"/>
              </c:ext>
            </c:extLst>
          </c:dPt>
          <c:dPt>
            <c:idx val="9"/>
            <c:bubble3D val="0"/>
            <c:spPr>
              <a:solidFill>
                <a:schemeClr val="lt1"/>
              </a:solidFill>
              <a:ln w="19050">
                <a:solidFill>
                  <a:schemeClr val="tx1"/>
                </a:solidFill>
              </a:ln>
              <a:effectLst/>
            </c:spPr>
            <c:extLst>
              <c:ext xmlns:c16="http://schemas.microsoft.com/office/drawing/2014/chart" uri="{C3380CC4-5D6E-409C-BE32-E72D297353CC}">
                <c16:uniqueId val="{00000013-1C26-C74F-8E8C-7D336D270E4C}"/>
              </c:ext>
            </c:extLst>
          </c:dPt>
          <c:dPt>
            <c:idx val="10"/>
            <c:bubble3D val="0"/>
            <c:spPr>
              <a:solidFill>
                <a:schemeClr val="lt1"/>
              </a:solidFill>
              <a:ln w="19050">
                <a:solidFill>
                  <a:schemeClr val="tx1"/>
                </a:solidFill>
              </a:ln>
              <a:effectLst/>
            </c:spPr>
            <c:extLst>
              <c:ext xmlns:c16="http://schemas.microsoft.com/office/drawing/2014/chart" uri="{C3380CC4-5D6E-409C-BE32-E72D297353CC}">
                <c16:uniqueId val="{00000005-3936-BE4D-9833-123BA2BE7F22}"/>
              </c:ext>
            </c:extLst>
          </c:dPt>
          <c:dPt>
            <c:idx val="11"/>
            <c:bubble3D val="0"/>
            <c:spPr>
              <a:solidFill>
                <a:schemeClr val="lt1"/>
              </a:solidFill>
              <a:ln w="19050">
                <a:solidFill>
                  <a:schemeClr val="tx1"/>
                </a:solidFill>
              </a:ln>
              <a:effectLst/>
            </c:spPr>
            <c:extLst>
              <c:ext xmlns:c16="http://schemas.microsoft.com/office/drawing/2014/chart" uri="{C3380CC4-5D6E-409C-BE32-E72D297353CC}">
                <c16:uniqueId val="{00000004-3936-BE4D-9833-123BA2BE7F22}"/>
              </c:ext>
            </c:extLst>
          </c:dPt>
          <c:dPt>
            <c:idx val="12"/>
            <c:bubble3D val="0"/>
            <c:spPr>
              <a:solidFill>
                <a:schemeClr val="lt1"/>
              </a:solidFill>
              <a:ln w="19050">
                <a:solidFill>
                  <a:schemeClr val="tx1"/>
                </a:solidFill>
              </a:ln>
              <a:effectLst/>
            </c:spPr>
            <c:extLst>
              <c:ext xmlns:c16="http://schemas.microsoft.com/office/drawing/2014/chart" uri="{C3380CC4-5D6E-409C-BE32-E72D297353CC}">
                <c16:uniqueId val="{00000003-3936-BE4D-9833-123BA2BE7F22}"/>
              </c:ext>
            </c:extLst>
          </c:dPt>
          <c:dLbls>
            <c:dLbl>
              <c:idx val="0"/>
              <c:layout>
                <c:manualLayout>
                  <c:x val="0.13218383396982669"/>
                  <c:y val="4.5209791241106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36-BE4D-9833-123BA2BE7F22}"/>
                </c:ext>
              </c:extLst>
            </c:dLbl>
            <c:dLbl>
              <c:idx val="1"/>
              <c:layout>
                <c:manualLayout>
                  <c:x val="0.14488390319757341"/>
                  <c:y val="7.57539295915696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936-BE4D-9833-123BA2BE7F22}"/>
                </c:ext>
              </c:extLst>
            </c:dLbl>
            <c:dLbl>
              <c:idx val="5"/>
              <c:layout>
                <c:manualLayout>
                  <c:x val="-6.9025088528355177E-2"/>
                  <c:y val="-8.80365528051459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C26-C74F-8E8C-7D336D270E4C}"/>
                </c:ext>
              </c:extLst>
            </c:dLbl>
            <c:dLbl>
              <c:idx val="10"/>
              <c:delete val="1"/>
              <c:extLst>
                <c:ext xmlns:c15="http://schemas.microsoft.com/office/drawing/2012/chart" uri="{CE6537A1-D6FC-4f65-9D91-7224C49458BB}"/>
                <c:ext xmlns:c16="http://schemas.microsoft.com/office/drawing/2014/chart" uri="{C3380CC4-5D6E-409C-BE32-E72D297353CC}">
                  <c16:uniqueId val="{00000005-3936-BE4D-9833-123BA2BE7F22}"/>
                </c:ext>
              </c:extLst>
            </c:dLbl>
            <c:dLbl>
              <c:idx val="11"/>
              <c:delete val="1"/>
              <c:extLst>
                <c:ext xmlns:c15="http://schemas.microsoft.com/office/drawing/2012/chart" uri="{CE6537A1-D6FC-4f65-9D91-7224C49458BB}"/>
                <c:ext xmlns:c16="http://schemas.microsoft.com/office/drawing/2014/chart" uri="{C3380CC4-5D6E-409C-BE32-E72D297353CC}">
                  <c16:uniqueId val="{00000004-3936-BE4D-9833-123BA2BE7F22}"/>
                </c:ext>
              </c:extLst>
            </c:dLbl>
            <c:dLbl>
              <c:idx val="12"/>
              <c:delete val="1"/>
              <c:extLst>
                <c:ext xmlns:c15="http://schemas.microsoft.com/office/drawing/2012/chart" uri="{CE6537A1-D6FC-4f65-9D91-7224C49458BB}"/>
                <c:ext xmlns:c16="http://schemas.microsoft.com/office/drawing/2014/chart" uri="{C3380CC4-5D6E-409C-BE32-E72D297353CC}">
                  <c16:uniqueId val="{00000003-3936-BE4D-9833-123BA2BE7F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Twists!$C$28:$O$28</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Leg 13</c:v>
                </c:pt>
              </c:strCache>
            </c:strRef>
          </c:cat>
          <c:val>
            <c:numRef>
              <c:f>Twists!$C$48:$O$48</c:f>
              <c:numCache>
                <c:formatCode>General</c:formatCode>
                <c:ptCount val="13"/>
                <c:pt idx="0">
                  <c:v>1</c:v>
                </c:pt>
                <c:pt idx="1">
                  <c:v>1</c:v>
                </c:pt>
                <c:pt idx="2">
                  <c:v>3</c:v>
                </c:pt>
                <c:pt idx="3">
                  <c:v>1</c:v>
                </c:pt>
                <c:pt idx="4">
                  <c:v>7</c:v>
                </c:pt>
                <c:pt idx="5">
                  <c:v>1</c:v>
                </c:pt>
                <c:pt idx="6">
                  <c:v>2</c:v>
                </c:pt>
                <c:pt idx="7">
                  <c:v>7</c:v>
                </c:pt>
                <c:pt idx="8">
                  <c:v>6</c:v>
                </c:pt>
                <c:pt idx="9">
                  <c:v>4</c:v>
                </c:pt>
                <c:pt idx="10">
                  <c:v>0</c:v>
                </c:pt>
                <c:pt idx="11">
                  <c:v>0</c:v>
                </c:pt>
                <c:pt idx="12">
                  <c:v>0</c:v>
                </c:pt>
              </c:numCache>
            </c:numRef>
          </c:val>
          <c:extLst>
            <c:ext xmlns:c16="http://schemas.microsoft.com/office/drawing/2014/chart" uri="{C3380CC4-5D6E-409C-BE32-E72D297353CC}">
              <c16:uniqueId val="{00000000-3936-BE4D-9833-123BA2BE7F22}"/>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U-Turn</a:t>
            </a:r>
            <a:r>
              <a:rPr lang="en-US" baseline="0"/>
              <a:t> by leg</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tx>
            <c:strRef>
              <c:f>Twists!$C$21:$D$21</c:f>
              <c:strCache>
                <c:ptCount val="2"/>
                <c:pt idx="0">
                  <c:v>Leg 1</c:v>
                </c:pt>
                <c:pt idx="1">
                  <c:v>Leg 2</c:v>
                </c:pt>
              </c:strCache>
            </c:strRef>
          </c:tx>
          <c:spPr>
            <a:solidFill>
              <a:schemeClr val="lt1"/>
            </a:solidFill>
            <a:ln w="19050">
              <a:solidFill>
                <a:schemeClr val="dk1">
                  <a:tint val="88500"/>
                </a:schemeClr>
              </a:solidFill>
            </a:ln>
            <a:effectLst/>
          </c:spPr>
          <c:dPt>
            <c:idx val="0"/>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1-1CF9-9848-9985-A7B5771A9B23}"/>
              </c:ext>
            </c:extLst>
          </c:dPt>
          <c:dPt>
            <c:idx val="1"/>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3-1CF9-9848-9985-A7B5771A9B23}"/>
              </c:ext>
            </c:extLst>
          </c:dPt>
          <c:dPt>
            <c:idx val="2"/>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5-1CF9-9848-9985-A7B5771A9B23}"/>
              </c:ext>
            </c:extLst>
          </c:dPt>
          <c:dPt>
            <c:idx val="3"/>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7-1CF9-9848-9985-A7B5771A9B23}"/>
              </c:ext>
            </c:extLst>
          </c:dPt>
          <c:dPt>
            <c:idx val="4"/>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3-CC6F-9B46-A26A-2C461110316B}"/>
              </c:ext>
            </c:extLst>
          </c:dPt>
          <c:dPt>
            <c:idx val="5"/>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B-1CF9-9848-9985-A7B5771A9B23}"/>
              </c:ext>
            </c:extLst>
          </c:dPt>
          <c:dPt>
            <c:idx val="6"/>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D-1CF9-9848-9985-A7B5771A9B23}"/>
              </c:ext>
            </c:extLst>
          </c:dPt>
          <c:dPt>
            <c:idx val="7"/>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F-1CF9-9848-9985-A7B5771A9B23}"/>
              </c:ext>
            </c:extLst>
          </c:dPt>
          <c:dPt>
            <c:idx val="8"/>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11-1CF9-9848-9985-A7B5771A9B23}"/>
              </c:ext>
            </c:extLst>
          </c:dPt>
          <c:dPt>
            <c:idx val="9"/>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2-CC6F-9B46-A26A-2C461110316B}"/>
              </c:ext>
            </c:extLst>
          </c:dPt>
          <c:dPt>
            <c:idx val="10"/>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1-CC6F-9B46-A26A-2C461110316B}"/>
              </c:ext>
            </c:extLst>
          </c:dPt>
          <c:dLbls>
            <c:dLbl>
              <c:idx val="4"/>
              <c:delete val="1"/>
              <c:extLst>
                <c:ext xmlns:c15="http://schemas.microsoft.com/office/drawing/2012/chart" uri="{CE6537A1-D6FC-4f65-9D91-7224C49458BB}"/>
                <c:ext xmlns:c16="http://schemas.microsoft.com/office/drawing/2014/chart" uri="{C3380CC4-5D6E-409C-BE32-E72D297353CC}">
                  <c16:uniqueId val="{00000003-CC6F-9B46-A26A-2C461110316B}"/>
                </c:ext>
              </c:extLst>
            </c:dLbl>
            <c:dLbl>
              <c:idx val="9"/>
              <c:delete val="1"/>
              <c:extLst>
                <c:ext xmlns:c15="http://schemas.microsoft.com/office/drawing/2012/chart" uri="{CE6537A1-D6FC-4f65-9D91-7224C49458BB}"/>
                <c:ext xmlns:c16="http://schemas.microsoft.com/office/drawing/2014/chart" uri="{C3380CC4-5D6E-409C-BE32-E72D297353CC}">
                  <c16:uniqueId val="{00000002-CC6F-9B46-A26A-2C461110316B}"/>
                </c:ext>
              </c:extLst>
            </c:dLbl>
            <c:dLbl>
              <c:idx val="10"/>
              <c:delete val="1"/>
              <c:extLst>
                <c:ext xmlns:c15="http://schemas.microsoft.com/office/drawing/2012/chart" uri="{CE6537A1-D6FC-4f65-9D91-7224C49458BB}"/>
                <c:ext xmlns:c16="http://schemas.microsoft.com/office/drawing/2014/chart" uri="{C3380CC4-5D6E-409C-BE32-E72D297353CC}">
                  <c16:uniqueId val="{00000001-CC6F-9B46-A26A-2C46111031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Twists!$E$11:$O$11</c:f>
              <c:strCache>
                <c:ptCount val="11"/>
                <c:pt idx="0">
                  <c:v>Leg 3</c:v>
                </c:pt>
                <c:pt idx="1">
                  <c:v>Leg 4</c:v>
                </c:pt>
                <c:pt idx="2">
                  <c:v>Leg 5</c:v>
                </c:pt>
                <c:pt idx="3">
                  <c:v>Leg 6</c:v>
                </c:pt>
                <c:pt idx="4">
                  <c:v>Leg 7</c:v>
                </c:pt>
                <c:pt idx="5">
                  <c:v>Leg 8</c:v>
                </c:pt>
                <c:pt idx="6">
                  <c:v>Leg 9</c:v>
                </c:pt>
                <c:pt idx="7">
                  <c:v>Leg 10</c:v>
                </c:pt>
                <c:pt idx="8">
                  <c:v>Leg 11</c:v>
                </c:pt>
                <c:pt idx="9">
                  <c:v>Leg 12</c:v>
                </c:pt>
                <c:pt idx="10">
                  <c:v>Leg 13</c:v>
                </c:pt>
              </c:strCache>
            </c:strRef>
          </c:cat>
          <c:val>
            <c:numRef>
              <c:f>Twists!$E$21:$O$21</c:f>
              <c:numCache>
                <c:formatCode>General</c:formatCode>
                <c:ptCount val="11"/>
                <c:pt idx="0">
                  <c:v>2</c:v>
                </c:pt>
                <c:pt idx="1">
                  <c:v>2</c:v>
                </c:pt>
                <c:pt idx="2">
                  <c:v>1</c:v>
                </c:pt>
                <c:pt idx="3">
                  <c:v>1</c:v>
                </c:pt>
                <c:pt idx="4">
                  <c:v>0</c:v>
                </c:pt>
                <c:pt idx="5">
                  <c:v>2</c:v>
                </c:pt>
                <c:pt idx="6">
                  <c:v>2</c:v>
                </c:pt>
                <c:pt idx="7">
                  <c:v>2</c:v>
                </c:pt>
                <c:pt idx="8">
                  <c:v>1</c:v>
                </c:pt>
                <c:pt idx="9">
                  <c:v>0</c:v>
                </c:pt>
                <c:pt idx="10">
                  <c:v>0</c:v>
                </c:pt>
              </c:numCache>
            </c:numRef>
          </c:val>
          <c:extLst>
            <c:ext xmlns:c16="http://schemas.microsoft.com/office/drawing/2014/chart" uri="{C3380CC4-5D6E-409C-BE32-E72D297353CC}">
              <c16:uniqueId val="{00000000-CC6F-9B46-A26A-2C461110316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Express pass by leg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pieChart>
        <c:varyColors val="1"/>
        <c:ser>
          <c:idx val="0"/>
          <c:order val="0"/>
          <c:spPr>
            <a:solidFill>
              <a:schemeClr val="lt1"/>
            </a:solidFill>
            <a:ln w="19050">
              <a:solidFill>
                <a:srgbClr val="FF0000"/>
              </a:solidFill>
            </a:ln>
            <a:effectLst/>
          </c:spPr>
          <c:dPt>
            <c:idx val="0"/>
            <c:bubble3D val="0"/>
            <c:spPr>
              <a:solidFill>
                <a:schemeClr val="lt1"/>
              </a:solidFill>
              <a:ln w="19050">
                <a:solidFill>
                  <a:srgbClr val="FF0000"/>
                </a:solidFill>
              </a:ln>
              <a:effectLst/>
            </c:spPr>
            <c:extLst>
              <c:ext xmlns:c16="http://schemas.microsoft.com/office/drawing/2014/chart" uri="{C3380CC4-5D6E-409C-BE32-E72D297353CC}">
                <c16:uniqueId val="{00000001-DABF-094F-9C78-4666E0242D82}"/>
              </c:ext>
            </c:extLst>
          </c:dPt>
          <c:dPt>
            <c:idx val="1"/>
            <c:bubble3D val="0"/>
            <c:spPr>
              <a:solidFill>
                <a:schemeClr val="lt1"/>
              </a:solidFill>
              <a:ln w="19050">
                <a:solidFill>
                  <a:srgbClr val="FF0000"/>
                </a:solidFill>
              </a:ln>
              <a:effectLst/>
            </c:spPr>
            <c:extLst>
              <c:ext xmlns:c16="http://schemas.microsoft.com/office/drawing/2014/chart" uri="{C3380CC4-5D6E-409C-BE32-E72D297353CC}">
                <c16:uniqueId val="{00000003-DABF-094F-9C78-4666E0242D82}"/>
              </c:ext>
            </c:extLst>
          </c:dPt>
          <c:dPt>
            <c:idx val="2"/>
            <c:bubble3D val="0"/>
            <c:spPr>
              <a:solidFill>
                <a:schemeClr val="lt1"/>
              </a:solidFill>
              <a:ln w="19050">
                <a:solidFill>
                  <a:srgbClr val="FF0000"/>
                </a:solidFill>
              </a:ln>
              <a:effectLst/>
            </c:spPr>
            <c:extLst>
              <c:ext xmlns:c16="http://schemas.microsoft.com/office/drawing/2014/chart" uri="{C3380CC4-5D6E-409C-BE32-E72D297353CC}">
                <c16:uniqueId val="{00000005-DABF-094F-9C78-4666E0242D82}"/>
              </c:ext>
            </c:extLst>
          </c:dPt>
          <c:dPt>
            <c:idx val="3"/>
            <c:bubble3D val="0"/>
            <c:spPr>
              <a:solidFill>
                <a:schemeClr val="lt1"/>
              </a:solidFill>
              <a:ln w="19050">
                <a:solidFill>
                  <a:srgbClr val="FF0000"/>
                </a:solidFill>
              </a:ln>
              <a:effectLst/>
            </c:spPr>
            <c:extLst>
              <c:ext xmlns:c16="http://schemas.microsoft.com/office/drawing/2014/chart" uri="{C3380CC4-5D6E-409C-BE32-E72D297353CC}">
                <c16:uniqueId val="{00000008-AF72-8643-9C34-8DE903D8107B}"/>
              </c:ext>
            </c:extLst>
          </c:dPt>
          <c:dPt>
            <c:idx val="4"/>
            <c:bubble3D val="0"/>
            <c:spPr>
              <a:solidFill>
                <a:schemeClr val="lt1"/>
              </a:solidFill>
              <a:ln w="19050">
                <a:solidFill>
                  <a:srgbClr val="FF0000"/>
                </a:solidFill>
              </a:ln>
              <a:effectLst/>
            </c:spPr>
            <c:extLst>
              <c:ext xmlns:c16="http://schemas.microsoft.com/office/drawing/2014/chart" uri="{C3380CC4-5D6E-409C-BE32-E72D297353CC}">
                <c16:uniqueId val="{00000007-AF72-8643-9C34-8DE903D8107B}"/>
              </c:ext>
            </c:extLst>
          </c:dPt>
          <c:dPt>
            <c:idx val="5"/>
            <c:bubble3D val="0"/>
            <c:spPr>
              <a:solidFill>
                <a:schemeClr val="lt1"/>
              </a:solidFill>
              <a:ln w="19050">
                <a:solidFill>
                  <a:srgbClr val="FF0000"/>
                </a:solidFill>
              </a:ln>
              <a:effectLst/>
            </c:spPr>
            <c:extLst>
              <c:ext xmlns:c16="http://schemas.microsoft.com/office/drawing/2014/chart" uri="{C3380CC4-5D6E-409C-BE32-E72D297353CC}">
                <c16:uniqueId val="{0000000B-DABF-094F-9C78-4666E0242D82}"/>
              </c:ext>
            </c:extLst>
          </c:dPt>
          <c:dPt>
            <c:idx val="6"/>
            <c:bubble3D val="0"/>
            <c:spPr>
              <a:solidFill>
                <a:schemeClr val="lt1"/>
              </a:solidFill>
              <a:ln w="19050">
                <a:solidFill>
                  <a:srgbClr val="FF0000"/>
                </a:solidFill>
              </a:ln>
              <a:effectLst/>
            </c:spPr>
            <c:extLst>
              <c:ext xmlns:c16="http://schemas.microsoft.com/office/drawing/2014/chart" uri="{C3380CC4-5D6E-409C-BE32-E72D297353CC}">
                <c16:uniqueId val="{00000006-AF72-8643-9C34-8DE903D8107B}"/>
              </c:ext>
            </c:extLst>
          </c:dPt>
          <c:dPt>
            <c:idx val="7"/>
            <c:bubble3D val="0"/>
            <c:spPr>
              <a:solidFill>
                <a:schemeClr val="lt1"/>
              </a:solidFill>
              <a:ln w="19050">
                <a:solidFill>
                  <a:srgbClr val="FF0000"/>
                </a:solidFill>
              </a:ln>
              <a:effectLst/>
            </c:spPr>
            <c:extLst>
              <c:ext xmlns:c16="http://schemas.microsoft.com/office/drawing/2014/chart" uri="{C3380CC4-5D6E-409C-BE32-E72D297353CC}">
                <c16:uniqueId val="{0000000F-DABF-094F-9C78-4666E0242D82}"/>
              </c:ext>
            </c:extLst>
          </c:dPt>
          <c:dPt>
            <c:idx val="8"/>
            <c:bubble3D val="0"/>
            <c:spPr>
              <a:solidFill>
                <a:schemeClr val="lt1"/>
              </a:solidFill>
              <a:ln w="19050">
                <a:solidFill>
                  <a:srgbClr val="FF0000"/>
                </a:solidFill>
              </a:ln>
              <a:effectLst/>
            </c:spPr>
            <c:extLst>
              <c:ext xmlns:c16="http://schemas.microsoft.com/office/drawing/2014/chart" uri="{C3380CC4-5D6E-409C-BE32-E72D297353CC}">
                <c16:uniqueId val="{00000005-AF72-8643-9C34-8DE903D8107B}"/>
              </c:ext>
            </c:extLst>
          </c:dPt>
          <c:dPt>
            <c:idx val="9"/>
            <c:bubble3D val="0"/>
            <c:spPr>
              <a:solidFill>
                <a:schemeClr val="lt1"/>
              </a:solidFill>
              <a:ln w="19050">
                <a:solidFill>
                  <a:srgbClr val="FF0000"/>
                </a:solidFill>
              </a:ln>
              <a:effectLst/>
            </c:spPr>
            <c:extLst>
              <c:ext xmlns:c16="http://schemas.microsoft.com/office/drawing/2014/chart" uri="{C3380CC4-5D6E-409C-BE32-E72D297353CC}">
                <c16:uniqueId val="{00000004-AF72-8643-9C34-8DE903D8107B}"/>
              </c:ext>
            </c:extLst>
          </c:dPt>
          <c:dPt>
            <c:idx val="10"/>
            <c:bubble3D val="0"/>
            <c:spPr>
              <a:solidFill>
                <a:schemeClr val="lt1"/>
              </a:solidFill>
              <a:ln w="19050">
                <a:solidFill>
                  <a:srgbClr val="FF0000"/>
                </a:solidFill>
              </a:ln>
              <a:effectLst/>
            </c:spPr>
            <c:extLst>
              <c:ext xmlns:c16="http://schemas.microsoft.com/office/drawing/2014/chart" uri="{C3380CC4-5D6E-409C-BE32-E72D297353CC}">
                <c16:uniqueId val="{00000003-AF72-8643-9C34-8DE903D8107B}"/>
              </c:ext>
            </c:extLst>
          </c:dPt>
          <c:dPt>
            <c:idx val="11"/>
            <c:bubble3D val="0"/>
            <c:spPr>
              <a:solidFill>
                <a:schemeClr val="lt1"/>
              </a:solidFill>
              <a:ln w="19050">
                <a:solidFill>
                  <a:srgbClr val="FF0000"/>
                </a:solidFill>
              </a:ln>
              <a:effectLst/>
            </c:spPr>
            <c:extLst>
              <c:ext xmlns:c16="http://schemas.microsoft.com/office/drawing/2014/chart" uri="{C3380CC4-5D6E-409C-BE32-E72D297353CC}">
                <c16:uniqueId val="{00000002-AF72-8643-9C34-8DE903D8107B}"/>
              </c:ext>
            </c:extLst>
          </c:dPt>
          <c:dPt>
            <c:idx val="12"/>
            <c:bubble3D val="0"/>
            <c:spPr>
              <a:solidFill>
                <a:schemeClr val="lt1"/>
              </a:solidFill>
              <a:ln w="19050">
                <a:solidFill>
                  <a:srgbClr val="FF0000"/>
                </a:solidFill>
              </a:ln>
              <a:effectLst/>
            </c:spPr>
            <c:extLst>
              <c:ext xmlns:c16="http://schemas.microsoft.com/office/drawing/2014/chart" uri="{C3380CC4-5D6E-409C-BE32-E72D297353CC}">
                <c16:uniqueId val="{00000001-AF72-8643-9C34-8DE903D8107B}"/>
              </c:ext>
            </c:extLst>
          </c:dPt>
          <c:dLbls>
            <c:dLbl>
              <c:idx val="3"/>
              <c:delete val="1"/>
              <c:extLst>
                <c:ext xmlns:c15="http://schemas.microsoft.com/office/drawing/2012/chart" uri="{CE6537A1-D6FC-4f65-9D91-7224C49458BB}"/>
                <c:ext xmlns:c16="http://schemas.microsoft.com/office/drawing/2014/chart" uri="{C3380CC4-5D6E-409C-BE32-E72D297353CC}">
                  <c16:uniqueId val="{00000008-AF72-8643-9C34-8DE903D8107B}"/>
                </c:ext>
              </c:extLst>
            </c:dLbl>
            <c:dLbl>
              <c:idx val="4"/>
              <c:delete val="1"/>
              <c:extLst>
                <c:ext xmlns:c15="http://schemas.microsoft.com/office/drawing/2012/chart" uri="{CE6537A1-D6FC-4f65-9D91-7224C49458BB}"/>
                <c:ext xmlns:c16="http://schemas.microsoft.com/office/drawing/2014/chart" uri="{C3380CC4-5D6E-409C-BE32-E72D297353CC}">
                  <c16:uniqueId val="{00000007-AF72-8643-9C34-8DE903D8107B}"/>
                </c:ext>
              </c:extLst>
            </c:dLbl>
            <c:dLbl>
              <c:idx val="6"/>
              <c:delete val="1"/>
              <c:extLst>
                <c:ext xmlns:c15="http://schemas.microsoft.com/office/drawing/2012/chart" uri="{CE6537A1-D6FC-4f65-9D91-7224C49458BB}"/>
                <c:ext xmlns:c16="http://schemas.microsoft.com/office/drawing/2014/chart" uri="{C3380CC4-5D6E-409C-BE32-E72D297353CC}">
                  <c16:uniqueId val="{00000006-AF72-8643-9C34-8DE903D8107B}"/>
                </c:ext>
              </c:extLst>
            </c:dLbl>
            <c:dLbl>
              <c:idx val="8"/>
              <c:delete val="1"/>
              <c:extLst>
                <c:ext xmlns:c15="http://schemas.microsoft.com/office/drawing/2012/chart" uri="{CE6537A1-D6FC-4f65-9D91-7224C49458BB}"/>
                <c:ext xmlns:c16="http://schemas.microsoft.com/office/drawing/2014/chart" uri="{C3380CC4-5D6E-409C-BE32-E72D297353CC}">
                  <c16:uniqueId val="{00000005-AF72-8643-9C34-8DE903D8107B}"/>
                </c:ext>
              </c:extLst>
            </c:dLbl>
            <c:dLbl>
              <c:idx val="9"/>
              <c:delete val="1"/>
              <c:extLst>
                <c:ext xmlns:c15="http://schemas.microsoft.com/office/drawing/2012/chart" uri="{CE6537A1-D6FC-4f65-9D91-7224C49458BB}"/>
                <c:ext xmlns:c16="http://schemas.microsoft.com/office/drawing/2014/chart" uri="{C3380CC4-5D6E-409C-BE32-E72D297353CC}">
                  <c16:uniqueId val="{00000004-AF72-8643-9C34-8DE903D8107B}"/>
                </c:ext>
              </c:extLst>
            </c:dLbl>
            <c:dLbl>
              <c:idx val="10"/>
              <c:delete val="1"/>
              <c:extLst>
                <c:ext xmlns:c15="http://schemas.microsoft.com/office/drawing/2012/chart" uri="{CE6537A1-D6FC-4f65-9D91-7224C49458BB}"/>
                <c:ext xmlns:c16="http://schemas.microsoft.com/office/drawing/2014/chart" uri="{C3380CC4-5D6E-409C-BE32-E72D297353CC}">
                  <c16:uniqueId val="{00000003-AF72-8643-9C34-8DE903D8107B}"/>
                </c:ext>
              </c:extLst>
            </c:dLbl>
            <c:dLbl>
              <c:idx val="11"/>
              <c:delete val="1"/>
              <c:extLst>
                <c:ext xmlns:c15="http://schemas.microsoft.com/office/drawing/2012/chart" uri="{CE6537A1-D6FC-4f65-9D91-7224C49458BB}"/>
                <c:ext xmlns:c16="http://schemas.microsoft.com/office/drawing/2014/chart" uri="{C3380CC4-5D6E-409C-BE32-E72D297353CC}">
                  <c16:uniqueId val="{00000002-AF72-8643-9C34-8DE903D8107B}"/>
                </c:ext>
              </c:extLst>
            </c:dLbl>
            <c:dLbl>
              <c:idx val="12"/>
              <c:delete val="1"/>
              <c:extLst>
                <c:ext xmlns:c15="http://schemas.microsoft.com/office/drawing/2012/chart" uri="{CE6537A1-D6FC-4f65-9D91-7224C49458BB}"/>
                <c:ext xmlns:c16="http://schemas.microsoft.com/office/drawing/2014/chart" uri="{C3380CC4-5D6E-409C-BE32-E72D297353CC}">
                  <c16:uniqueId val="{00000001-AF72-8643-9C34-8DE903D810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Twists!$C$73:$O$73</c:f>
              <c:strCache>
                <c:ptCount val="13"/>
                <c:pt idx="0">
                  <c:v>Leg 1</c:v>
                </c:pt>
                <c:pt idx="1">
                  <c:v>Leg 2</c:v>
                </c:pt>
                <c:pt idx="2">
                  <c:v>Leg 3</c:v>
                </c:pt>
                <c:pt idx="3">
                  <c:v>Leg 4</c:v>
                </c:pt>
                <c:pt idx="4">
                  <c:v>Leg 5</c:v>
                </c:pt>
                <c:pt idx="5">
                  <c:v>Leg 6</c:v>
                </c:pt>
                <c:pt idx="6">
                  <c:v>Leg 7</c:v>
                </c:pt>
                <c:pt idx="7">
                  <c:v>Leg 8</c:v>
                </c:pt>
                <c:pt idx="8">
                  <c:v>Leg 9</c:v>
                </c:pt>
                <c:pt idx="9">
                  <c:v>Leg 10</c:v>
                </c:pt>
                <c:pt idx="10">
                  <c:v>Leg 11</c:v>
                </c:pt>
                <c:pt idx="11">
                  <c:v>Leg 12</c:v>
                </c:pt>
                <c:pt idx="12">
                  <c:v>Leg 13</c:v>
                </c:pt>
              </c:strCache>
            </c:strRef>
          </c:cat>
          <c:val>
            <c:numRef>
              <c:f>Twists!$C$90:$O$90</c:f>
              <c:numCache>
                <c:formatCode>General</c:formatCode>
                <c:ptCount val="13"/>
                <c:pt idx="0">
                  <c:v>11</c:v>
                </c:pt>
                <c:pt idx="1">
                  <c:v>2</c:v>
                </c:pt>
                <c:pt idx="2">
                  <c:v>1</c:v>
                </c:pt>
                <c:pt idx="3">
                  <c:v>0</c:v>
                </c:pt>
                <c:pt idx="4">
                  <c:v>0</c:v>
                </c:pt>
                <c:pt idx="5">
                  <c:v>1</c:v>
                </c:pt>
                <c:pt idx="6">
                  <c:v>0</c:v>
                </c:pt>
                <c:pt idx="7">
                  <c:v>2</c:v>
                </c:pt>
                <c:pt idx="8">
                  <c:v>0</c:v>
                </c:pt>
                <c:pt idx="9">
                  <c:v>0</c:v>
                </c:pt>
                <c:pt idx="10">
                  <c:v>0</c:v>
                </c:pt>
                <c:pt idx="11">
                  <c:v>0</c:v>
                </c:pt>
                <c:pt idx="12">
                  <c:v>0</c:v>
                </c:pt>
              </c:numCache>
            </c:numRef>
          </c:val>
          <c:extLst>
            <c:ext xmlns:c16="http://schemas.microsoft.com/office/drawing/2014/chart" uri="{C3380CC4-5D6E-409C-BE32-E72D297353CC}">
              <c16:uniqueId val="{00000000-AF72-8643-9C34-8DE903D8107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Percentages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FA-D84E-A4D1-1863D767C43A}"/>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FCFA-D84E-A4D1-1863D767C43A}"/>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FA-D84E-A4D1-1863D767C43A}"/>
              </c:ext>
            </c:extLst>
          </c:dPt>
          <c:dPt>
            <c:idx val="3"/>
            <c:bubble3D val="0"/>
            <c:spPr>
              <a:solidFill>
                <a:srgbClr val="58FF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FCFA-D84E-A4D1-1863D767C43A}"/>
              </c:ext>
            </c:extLst>
          </c:dPt>
          <c:dPt>
            <c:idx val="4"/>
            <c:bubble3D val="0"/>
            <c:spPr>
              <a:solidFill>
                <a:schemeClr val="tx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FA-D84E-A4D1-1863D767C43A}"/>
              </c:ext>
            </c:extLst>
          </c:dPt>
          <c:dLbls>
            <c:dLbl>
              <c:idx val="0"/>
              <c:layout>
                <c:manualLayout>
                  <c:x val="-0.16528841624309554"/>
                  <c:y val="-0.1113153161244060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CFA-D84E-A4D1-1863D767C43A}"/>
                </c:ext>
              </c:extLst>
            </c:dLbl>
            <c:dLbl>
              <c:idx val="3"/>
              <c:delete val="1"/>
              <c:extLst>
                <c:ext xmlns:c15="http://schemas.microsoft.com/office/drawing/2012/chart" uri="{CE6537A1-D6FC-4f65-9D91-7224C49458BB}"/>
                <c:ext xmlns:c16="http://schemas.microsoft.com/office/drawing/2014/chart" uri="{C3380CC4-5D6E-409C-BE32-E72D297353CC}">
                  <c16:uniqueId val="{00000004-FCFA-D84E-A4D1-1863D767C43A}"/>
                </c:ext>
              </c:extLst>
            </c:dLbl>
            <c:dLbl>
              <c:idx val="4"/>
              <c:delete val="1"/>
              <c:extLst>
                <c:ext xmlns:c15="http://schemas.microsoft.com/office/drawing/2012/chart" uri="{CE6537A1-D6FC-4f65-9D91-7224C49458BB}"/>
                <c:ext xmlns:c16="http://schemas.microsoft.com/office/drawing/2014/chart" uri="{C3380CC4-5D6E-409C-BE32-E72D297353CC}">
                  <c16:uniqueId val="{00000005-FCFA-D84E-A4D1-1863D767C43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Presentation!$E$5:$F$9</c:f>
              <c:strCache>
                <c:ptCount val="5"/>
                <c:pt idx="0">
                  <c:v>Route Info</c:v>
                </c:pt>
                <c:pt idx="1">
                  <c:v>Road Block</c:v>
                </c:pt>
                <c:pt idx="2">
                  <c:v>Detour</c:v>
                </c:pt>
                <c:pt idx="3">
                  <c:v>Fast Forward</c:v>
                </c:pt>
                <c:pt idx="4">
                  <c:v>Hazard</c:v>
                </c:pt>
              </c:strCache>
            </c:strRef>
          </c:cat>
          <c:val>
            <c:numRef>
              <c:f>Presentation!$G$5:$G$9</c:f>
              <c:numCache>
                <c:formatCode>General</c:formatCode>
                <c:ptCount val="5"/>
                <c:pt idx="0">
                  <c:v>64</c:v>
                </c:pt>
                <c:pt idx="1">
                  <c:v>13</c:v>
                </c:pt>
                <c:pt idx="2">
                  <c:v>7</c:v>
                </c:pt>
                <c:pt idx="3">
                  <c:v>1</c:v>
                </c:pt>
                <c:pt idx="4">
                  <c:v>1</c:v>
                </c:pt>
              </c:numCache>
            </c:numRef>
          </c:val>
          <c:extLst>
            <c:ext xmlns:c16="http://schemas.microsoft.com/office/drawing/2014/chart" uri="{C3380CC4-5D6E-409C-BE32-E72D297353CC}">
              <c16:uniqueId val="{00000000-FCFA-D84E-A4D1-1863D767C4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withinLinear" id="14">
  <a:schemeClr val="accent1"/>
</cs:colorStyle>
</file>

<file path=xl/charts/colors65.xml><?xml version="1.0" encoding="utf-8"?>
<cs:colorStyle xmlns:cs="http://schemas.microsoft.com/office/drawing/2012/chartStyle" xmlns:a="http://schemas.openxmlformats.org/drawingml/2006/main" meth="withinLinear" id="15">
  <a:schemeClr val="accent2"/>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withinLinear" id="14">
  <a:schemeClr val="accent1"/>
</cs:colorStyle>
</file>

<file path=xl/charts/colors85.xml><?xml version="1.0" encoding="utf-8"?>
<cs:colorStyle xmlns:cs="http://schemas.microsoft.com/office/drawing/2012/chartStyle" xmlns:a="http://schemas.openxmlformats.org/drawingml/2006/main" meth="withinLinearReversed" id="22">
  <a:schemeClr val="accent2"/>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withinLinear" id="16">
  <a:schemeClr val="accent3"/>
</cs:colorStyle>
</file>

<file path=xl/charts/colors8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7.png"/><Relationship Id="rId18" Type="http://schemas.openxmlformats.org/officeDocument/2006/relationships/image" Target="../media/image22.png"/><Relationship Id="rId26" Type="http://schemas.openxmlformats.org/officeDocument/2006/relationships/image" Target="../media/image30.png"/><Relationship Id="rId39" Type="http://schemas.openxmlformats.org/officeDocument/2006/relationships/chart" Target="../charts/chart35.xml"/><Relationship Id="rId21" Type="http://schemas.openxmlformats.org/officeDocument/2006/relationships/image" Target="../media/image25.png"/><Relationship Id="rId34" Type="http://schemas.openxmlformats.org/officeDocument/2006/relationships/image" Target="../media/image38.png"/><Relationship Id="rId42" Type="http://schemas.openxmlformats.org/officeDocument/2006/relationships/chart" Target="../charts/chart38.xml"/><Relationship Id="rId47" Type="http://schemas.openxmlformats.org/officeDocument/2006/relationships/chart" Target="../charts/chart43.xml"/><Relationship Id="rId50" Type="http://schemas.openxmlformats.org/officeDocument/2006/relationships/image" Target="../media/image41.png"/><Relationship Id="rId7" Type="http://schemas.openxmlformats.org/officeDocument/2006/relationships/image" Target="../media/image11.png"/><Relationship Id="rId2" Type="http://schemas.openxmlformats.org/officeDocument/2006/relationships/image" Target="../media/image6.png"/><Relationship Id="rId16" Type="http://schemas.openxmlformats.org/officeDocument/2006/relationships/image" Target="../media/image20.png"/><Relationship Id="rId29" Type="http://schemas.openxmlformats.org/officeDocument/2006/relationships/image" Target="../media/image33.png"/><Relationship Id="rId11" Type="http://schemas.openxmlformats.org/officeDocument/2006/relationships/image" Target="../media/image15.png"/><Relationship Id="rId24" Type="http://schemas.openxmlformats.org/officeDocument/2006/relationships/image" Target="../media/image28.png"/><Relationship Id="rId32" Type="http://schemas.openxmlformats.org/officeDocument/2006/relationships/image" Target="../media/image36.jpeg"/><Relationship Id="rId37" Type="http://schemas.openxmlformats.org/officeDocument/2006/relationships/chart" Target="../charts/chart33.xml"/><Relationship Id="rId40" Type="http://schemas.openxmlformats.org/officeDocument/2006/relationships/chart" Target="../charts/chart36.xml"/><Relationship Id="rId45" Type="http://schemas.openxmlformats.org/officeDocument/2006/relationships/chart" Target="../charts/chart41.xml"/><Relationship Id="rId5" Type="http://schemas.openxmlformats.org/officeDocument/2006/relationships/image" Target="../media/image9.png"/><Relationship Id="rId15" Type="http://schemas.openxmlformats.org/officeDocument/2006/relationships/image" Target="../media/image19.png"/><Relationship Id="rId23" Type="http://schemas.openxmlformats.org/officeDocument/2006/relationships/image" Target="../media/image27.png"/><Relationship Id="rId28" Type="http://schemas.openxmlformats.org/officeDocument/2006/relationships/image" Target="../media/image32.png"/><Relationship Id="rId36" Type="http://schemas.openxmlformats.org/officeDocument/2006/relationships/chart" Target="../charts/chart32.xml"/><Relationship Id="rId49" Type="http://schemas.openxmlformats.org/officeDocument/2006/relationships/image" Target="../media/image40.png"/><Relationship Id="rId10" Type="http://schemas.openxmlformats.org/officeDocument/2006/relationships/image" Target="../media/image14.png"/><Relationship Id="rId19" Type="http://schemas.openxmlformats.org/officeDocument/2006/relationships/image" Target="../media/image23.png"/><Relationship Id="rId31" Type="http://schemas.openxmlformats.org/officeDocument/2006/relationships/image" Target="../media/image35.png"/><Relationship Id="rId44" Type="http://schemas.openxmlformats.org/officeDocument/2006/relationships/chart" Target="../charts/chart40.xml"/><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 Id="rId22" Type="http://schemas.openxmlformats.org/officeDocument/2006/relationships/image" Target="../media/image26.png"/><Relationship Id="rId27" Type="http://schemas.openxmlformats.org/officeDocument/2006/relationships/image" Target="../media/image31.png"/><Relationship Id="rId30" Type="http://schemas.openxmlformats.org/officeDocument/2006/relationships/image" Target="../media/image34.png"/><Relationship Id="rId35" Type="http://schemas.openxmlformats.org/officeDocument/2006/relationships/chart" Target="../charts/chart31.xml"/><Relationship Id="rId43" Type="http://schemas.openxmlformats.org/officeDocument/2006/relationships/chart" Target="../charts/chart39.xml"/><Relationship Id="rId48" Type="http://schemas.openxmlformats.org/officeDocument/2006/relationships/image" Target="../media/image39.png"/><Relationship Id="rId8" Type="http://schemas.openxmlformats.org/officeDocument/2006/relationships/image" Target="../media/image12.png"/><Relationship Id="rId3" Type="http://schemas.openxmlformats.org/officeDocument/2006/relationships/image" Target="../media/image7.png"/><Relationship Id="rId12" Type="http://schemas.openxmlformats.org/officeDocument/2006/relationships/image" Target="../media/image16.png"/><Relationship Id="rId17" Type="http://schemas.openxmlformats.org/officeDocument/2006/relationships/image" Target="../media/image21.png"/><Relationship Id="rId25" Type="http://schemas.openxmlformats.org/officeDocument/2006/relationships/image" Target="../media/image29.png"/><Relationship Id="rId33" Type="http://schemas.openxmlformats.org/officeDocument/2006/relationships/image" Target="../media/image37.png"/><Relationship Id="rId38" Type="http://schemas.openxmlformats.org/officeDocument/2006/relationships/chart" Target="../charts/chart34.xml"/><Relationship Id="rId46" Type="http://schemas.openxmlformats.org/officeDocument/2006/relationships/chart" Target="../charts/chart42.xml"/><Relationship Id="rId20" Type="http://schemas.openxmlformats.org/officeDocument/2006/relationships/image" Target="../media/image24.png"/><Relationship Id="rId41" Type="http://schemas.openxmlformats.org/officeDocument/2006/relationships/chart" Target="../charts/chart37.xml"/><Relationship Id="rId1" Type="http://schemas.openxmlformats.org/officeDocument/2006/relationships/image" Target="../media/image5.png"/><Relationship Id="rId6"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4" Type="http://schemas.openxmlformats.org/officeDocument/2006/relationships/chart" Target="../charts/chart4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image" Target="../media/image42.jpeg"/><Relationship Id="rId4" Type="http://schemas.openxmlformats.org/officeDocument/2006/relationships/chart" Target="../charts/chart5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2.xml"/><Relationship Id="rId2" Type="http://schemas.openxmlformats.org/officeDocument/2006/relationships/chart" Target="../charts/chart51.xml"/><Relationship Id="rId1" Type="http://schemas.openxmlformats.org/officeDocument/2006/relationships/image" Target="../media/image43.png"/><Relationship Id="rId4" Type="http://schemas.openxmlformats.org/officeDocument/2006/relationships/chart" Target="../charts/chart5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image" Target="../media/image44.png"/><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image" Target="../media/image45.png"/><Relationship Id="rId4" Type="http://schemas.openxmlformats.org/officeDocument/2006/relationships/chart" Target="../charts/chart5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61.xml"/><Relationship Id="rId2" Type="http://schemas.openxmlformats.org/officeDocument/2006/relationships/image" Target="../media/image46.png"/><Relationship Id="rId1" Type="http://schemas.openxmlformats.org/officeDocument/2006/relationships/chart" Target="../charts/chart60.xml"/><Relationship Id="rId4" Type="http://schemas.openxmlformats.org/officeDocument/2006/relationships/chart" Target="../charts/chart6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70.xml"/><Relationship Id="rId3" Type="http://schemas.openxmlformats.org/officeDocument/2006/relationships/chart" Target="../charts/chart65.xml"/><Relationship Id="rId7" Type="http://schemas.openxmlformats.org/officeDocument/2006/relationships/chart" Target="../charts/chart69.xml"/><Relationship Id="rId2" Type="http://schemas.openxmlformats.org/officeDocument/2006/relationships/chart" Target="../charts/chart64.xml"/><Relationship Id="rId1" Type="http://schemas.openxmlformats.org/officeDocument/2006/relationships/chart" Target="../charts/chart63.xml"/><Relationship Id="rId6" Type="http://schemas.openxmlformats.org/officeDocument/2006/relationships/chart" Target="../charts/chart68.xml"/><Relationship Id="rId5" Type="http://schemas.openxmlformats.org/officeDocument/2006/relationships/chart" Target="../charts/chart67.xml"/><Relationship Id="rId4" Type="http://schemas.openxmlformats.org/officeDocument/2006/relationships/chart" Target="../charts/chart66.xml"/><Relationship Id="rId9" Type="http://schemas.openxmlformats.org/officeDocument/2006/relationships/chart" Target="../charts/chart7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4.xml"/><Relationship Id="rId2" Type="http://schemas.openxmlformats.org/officeDocument/2006/relationships/chart" Target="../charts/chart73.xml"/><Relationship Id="rId1" Type="http://schemas.openxmlformats.org/officeDocument/2006/relationships/chart" Target="../charts/chart72.xml"/><Relationship Id="rId6" Type="http://schemas.openxmlformats.org/officeDocument/2006/relationships/chart" Target="../charts/chart77.xml"/><Relationship Id="rId5" Type="http://schemas.openxmlformats.org/officeDocument/2006/relationships/chart" Target="../charts/chart76.xml"/><Relationship Id="rId4" Type="http://schemas.openxmlformats.org/officeDocument/2006/relationships/chart" Target="../charts/chart7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80.xml"/><Relationship Id="rId2" Type="http://schemas.openxmlformats.org/officeDocument/2006/relationships/chart" Target="../charts/chart79.xml"/><Relationship Id="rId1" Type="http://schemas.openxmlformats.org/officeDocument/2006/relationships/chart" Target="../charts/chart78.xml"/><Relationship Id="rId5" Type="http://schemas.openxmlformats.org/officeDocument/2006/relationships/chart" Target="../charts/chart82.xml"/><Relationship Id="rId4" Type="http://schemas.openxmlformats.org/officeDocument/2006/relationships/chart" Target="../charts/chart81.xml"/></Relationships>
</file>

<file path=xl/drawings/_rels/drawing13.xml.rels><?xml version="1.0" encoding="UTF-8" standalone="yes"?>
<Relationships xmlns="http://schemas.openxmlformats.org/package/2006/relationships"><Relationship Id="rId13" Type="http://schemas.openxmlformats.org/officeDocument/2006/relationships/image" Target="../media/image59.jpeg"/><Relationship Id="rId18" Type="http://schemas.openxmlformats.org/officeDocument/2006/relationships/image" Target="../media/image64.jpeg"/><Relationship Id="rId26" Type="http://schemas.openxmlformats.org/officeDocument/2006/relationships/image" Target="../media/image72.jpeg"/><Relationship Id="rId39" Type="http://schemas.openxmlformats.org/officeDocument/2006/relationships/chart" Target="../charts/chart85.xml"/><Relationship Id="rId21" Type="http://schemas.openxmlformats.org/officeDocument/2006/relationships/image" Target="../media/image67.jpeg"/><Relationship Id="rId34" Type="http://schemas.openxmlformats.org/officeDocument/2006/relationships/image" Target="../media/image80.jpeg"/><Relationship Id="rId42" Type="http://schemas.openxmlformats.org/officeDocument/2006/relationships/chart" Target="../charts/chart86.xml"/><Relationship Id="rId7" Type="http://schemas.openxmlformats.org/officeDocument/2006/relationships/image" Target="../media/image53.jpeg"/><Relationship Id="rId2" Type="http://schemas.openxmlformats.org/officeDocument/2006/relationships/image" Target="../media/image48.jpeg"/><Relationship Id="rId16" Type="http://schemas.openxmlformats.org/officeDocument/2006/relationships/image" Target="../media/image62.jpeg"/><Relationship Id="rId20" Type="http://schemas.openxmlformats.org/officeDocument/2006/relationships/image" Target="../media/image66.jpeg"/><Relationship Id="rId29" Type="http://schemas.openxmlformats.org/officeDocument/2006/relationships/image" Target="../media/image75.jpeg"/><Relationship Id="rId41" Type="http://schemas.openxmlformats.org/officeDocument/2006/relationships/image" Target="../media/image84.jpeg"/><Relationship Id="rId1" Type="http://schemas.openxmlformats.org/officeDocument/2006/relationships/image" Target="../media/image47.jpeg"/><Relationship Id="rId6" Type="http://schemas.openxmlformats.org/officeDocument/2006/relationships/image" Target="../media/image52.jpeg"/><Relationship Id="rId11" Type="http://schemas.openxmlformats.org/officeDocument/2006/relationships/image" Target="../media/image57.jpeg"/><Relationship Id="rId24" Type="http://schemas.openxmlformats.org/officeDocument/2006/relationships/image" Target="../media/image70.jpeg"/><Relationship Id="rId32" Type="http://schemas.openxmlformats.org/officeDocument/2006/relationships/image" Target="../media/image78.jpeg"/><Relationship Id="rId37" Type="http://schemas.openxmlformats.org/officeDocument/2006/relationships/chart" Target="../charts/chart83.xml"/><Relationship Id="rId40" Type="http://schemas.openxmlformats.org/officeDocument/2006/relationships/image" Target="../media/image83.jpeg"/><Relationship Id="rId5" Type="http://schemas.openxmlformats.org/officeDocument/2006/relationships/image" Target="../media/image51.jpeg"/><Relationship Id="rId15" Type="http://schemas.openxmlformats.org/officeDocument/2006/relationships/image" Target="../media/image61.jpeg"/><Relationship Id="rId23" Type="http://schemas.openxmlformats.org/officeDocument/2006/relationships/image" Target="../media/image69.jpeg"/><Relationship Id="rId28" Type="http://schemas.openxmlformats.org/officeDocument/2006/relationships/image" Target="../media/image74.jpeg"/><Relationship Id="rId36" Type="http://schemas.openxmlformats.org/officeDocument/2006/relationships/image" Target="../media/image82.jpeg"/><Relationship Id="rId10" Type="http://schemas.openxmlformats.org/officeDocument/2006/relationships/image" Target="../media/image56.jpeg"/><Relationship Id="rId19" Type="http://schemas.openxmlformats.org/officeDocument/2006/relationships/image" Target="../media/image65.jpeg"/><Relationship Id="rId31" Type="http://schemas.openxmlformats.org/officeDocument/2006/relationships/image" Target="../media/image77.jpeg"/><Relationship Id="rId4" Type="http://schemas.openxmlformats.org/officeDocument/2006/relationships/image" Target="../media/image50.jpeg"/><Relationship Id="rId9" Type="http://schemas.openxmlformats.org/officeDocument/2006/relationships/image" Target="../media/image55.jpeg"/><Relationship Id="rId14" Type="http://schemas.openxmlformats.org/officeDocument/2006/relationships/image" Target="../media/image60.jpeg"/><Relationship Id="rId22" Type="http://schemas.openxmlformats.org/officeDocument/2006/relationships/image" Target="../media/image68.jpeg"/><Relationship Id="rId27" Type="http://schemas.openxmlformats.org/officeDocument/2006/relationships/image" Target="../media/image73.jpeg"/><Relationship Id="rId30" Type="http://schemas.openxmlformats.org/officeDocument/2006/relationships/image" Target="../media/image76.jpeg"/><Relationship Id="rId35" Type="http://schemas.openxmlformats.org/officeDocument/2006/relationships/image" Target="../media/image81.jpeg"/><Relationship Id="rId8" Type="http://schemas.openxmlformats.org/officeDocument/2006/relationships/image" Target="../media/image54.jpeg"/><Relationship Id="rId3" Type="http://schemas.openxmlformats.org/officeDocument/2006/relationships/image" Target="../media/image49.jpeg"/><Relationship Id="rId12" Type="http://schemas.openxmlformats.org/officeDocument/2006/relationships/image" Target="../media/image58.jpeg"/><Relationship Id="rId17" Type="http://schemas.openxmlformats.org/officeDocument/2006/relationships/image" Target="../media/image63.jpeg"/><Relationship Id="rId25" Type="http://schemas.openxmlformats.org/officeDocument/2006/relationships/image" Target="../media/image71.jpeg"/><Relationship Id="rId33" Type="http://schemas.openxmlformats.org/officeDocument/2006/relationships/image" Target="../media/image79.jpeg"/><Relationship Id="rId38" Type="http://schemas.openxmlformats.org/officeDocument/2006/relationships/chart" Target="../charts/chart8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88.xml"/><Relationship Id="rId3" Type="http://schemas.openxmlformats.org/officeDocument/2006/relationships/image" Target="../media/image87.png"/><Relationship Id="rId7" Type="http://schemas.openxmlformats.org/officeDocument/2006/relationships/image" Target="../media/image91.png"/><Relationship Id="rId2" Type="http://schemas.openxmlformats.org/officeDocument/2006/relationships/image" Target="../media/image86.png"/><Relationship Id="rId1" Type="http://schemas.openxmlformats.org/officeDocument/2006/relationships/image" Target="../media/image85.png"/><Relationship Id="rId6" Type="http://schemas.openxmlformats.org/officeDocument/2006/relationships/image" Target="../media/image90.png"/><Relationship Id="rId11" Type="http://schemas.openxmlformats.org/officeDocument/2006/relationships/chart" Target="../charts/chart91.xml"/><Relationship Id="rId5" Type="http://schemas.openxmlformats.org/officeDocument/2006/relationships/image" Target="../media/image89.png"/><Relationship Id="rId10" Type="http://schemas.openxmlformats.org/officeDocument/2006/relationships/chart" Target="../charts/chart90.xml"/><Relationship Id="rId4" Type="http://schemas.openxmlformats.org/officeDocument/2006/relationships/image" Target="../media/image88.png"/><Relationship Id="rId9" Type="http://schemas.openxmlformats.org/officeDocument/2006/relationships/chart" Target="../charts/chart89.xml"/></Relationships>
</file>

<file path=xl/drawings/_rels/drawing16.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84.jpeg"/><Relationship Id="rId1" Type="http://schemas.openxmlformats.org/officeDocument/2006/relationships/image" Target="../media/image92.jpeg"/></Relationships>
</file>

<file path=xl/drawings/_rels/drawing17.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xml.rels><?xml version="1.0" encoding="UTF-8" standalone="yes"?>
<Relationships xmlns="http://schemas.openxmlformats.org/package/2006/relationships"><Relationship Id="rId1" Type="http://schemas.openxmlformats.org/officeDocument/2006/relationships/image" Target="../media/image93.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95.png"/><Relationship Id="rId1" Type="http://schemas.openxmlformats.org/officeDocument/2006/relationships/image" Target="../media/image94.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98.jpeg"/><Relationship Id="rId2" Type="http://schemas.openxmlformats.org/officeDocument/2006/relationships/image" Target="../media/image97.jpeg"/><Relationship Id="rId1" Type="http://schemas.openxmlformats.org/officeDocument/2006/relationships/image" Target="../media/image96.png"/></Relationships>
</file>

<file path=xl/drawings/drawing1.xml><?xml version="1.0" encoding="utf-8"?>
<xdr:wsDr xmlns:xdr="http://schemas.openxmlformats.org/drawingml/2006/spreadsheetDrawing" xmlns:a="http://schemas.openxmlformats.org/drawingml/2006/main">
  <xdr:twoCellAnchor editAs="oneCell">
    <xdr:from>
      <xdr:col>0</xdr:col>
      <xdr:colOff>581073</xdr:colOff>
      <xdr:row>21</xdr:row>
      <xdr:rowOff>63499</xdr:rowOff>
    </xdr:from>
    <xdr:to>
      <xdr:col>4</xdr:col>
      <xdr:colOff>720188</xdr:colOff>
      <xdr:row>44</xdr:row>
      <xdr:rowOff>56787</xdr:rowOff>
    </xdr:to>
    <xdr:pic>
      <xdr:nvPicPr>
        <xdr:cNvPr id="2" name="Picture 1">
          <a:extLst>
            <a:ext uri="{FF2B5EF4-FFF2-40B4-BE49-F238E27FC236}">
              <a16:creationId xmlns:a16="http://schemas.microsoft.com/office/drawing/2014/main" id="{CD4D46C4-ECC8-3977-0166-B3B84641B6A9}"/>
            </a:ext>
          </a:extLst>
        </xdr:cNvPr>
        <xdr:cNvPicPr>
          <a:picLocks noChangeAspect="1"/>
        </xdr:cNvPicPr>
      </xdr:nvPicPr>
      <xdr:blipFill>
        <a:blip xmlns:r="http://schemas.openxmlformats.org/officeDocument/2006/relationships" r:embed="rId1"/>
        <a:stretch>
          <a:fillRect/>
        </a:stretch>
      </xdr:blipFill>
      <xdr:spPr>
        <a:xfrm>
          <a:off x="581073" y="5295899"/>
          <a:ext cx="3441115" cy="4666888"/>
        </a:xfrm>
        <a:prstGeom prst="rect">
          <a:avLst/>
        </a:prstGeom>
      </xdr:spPr>
    </xdr:pic>
    <xdr:clientData/>
  </xdr:twoCellAnchor>
  <xdr:twoCellAnchor editAs="oneCell">
    <xdr:from>
      <xdr:col>5</xdr:col>
      <xdr:colOff>893</xdr:colOff>
      <xdr:row>21</xdr:row>
      <xdr:rowOff>50799</xdr:rowOff>
    </xdr:from>
    <xdr:to>
      <xdr:col>9</xdr:col>
      <xdr:colOff>145844</xdr:colOff>
      <xdr:row>44</xdr:row>
      <xdr:rowOff>44087</xdr:rowOff>
    </xdr:to>
    <xdr:pic>
      <xdr:nvPicPr>
        <xdr:cNvPr id="3" name="Picture 2">
          <a:extLst>
            <a:ext uri="{FF2B5EF4-FFF2-40B4-BE49-F238E27FC236}">
              <a16:creationId xmlns:a16="http://schemas.microsoft.com/office/drawing/2014/main" id="{8380BB20-F72D-45D5-264A-C60E5D918B3D}"/>
            </a:ext>
          </a:extLst>
        </xdr:cNvPr>
        <xdr:cNvPicPr>
          <a:picLocks noChangeAspect="1"/>
        </xdr:cNvPicPr>
      </xdr:nvPicPr>
      <xdr:blipFill>
        <a:blip xmlns:r="http://schemas.openxmlformats.org/officeDocument/2006/relationships" r:embed="rId2"/>
        <a:stretch>
          <a:fillRect/>
        </a:stretch>
      </xdr:blipFill>
      <xdr:spPr>
        <a:xfrm>
          <a:off x="4128393" y="5283199"/>
          <a:ext cx="3446951" cy="4666888"/>
        </a:xfrm>
        <a:prstGeom prst="rect">
          <a:avLst/>
        </a:prstGeom>
      </xdr:spPr>
    </xdr:pic>
    <xdr:clientData/>
  </xdr:twoCellAnchor>
  <xdr:twoCellAnchor editAs="oneCell">
    <xdr:from>
      <xdr:col>9</xdr:col>
      <xdr:colOff>231979</xdr:colOff>
      <xdr:row>21</xdr:row>
      <xdr:rowOff>63498</xdr:rowOff>
    </xdr:from>
    <xdr:to>
      <xdr:col>13</xdr:col>
      <xdr:colOff>492363</xdr:colOff>
      <xdr:row>44</xdr:row>
      <xdr:rowOff>56785</xdr:rowOff>
    </xdr:to>
    <xdr:pic>
      <xdr:nvPicPr>
        <xdr:cNvPr id="4" name="Picture 3">
          <a:extLst>
            <a:ext uri="{FF2B5EF4-FFF2-40B4-BE49-F238E27FC236}">
              <a16:creationId xmlns:a16="http://schemas.microsoft.com/office/drawing/2014/main" id="{2058AF93-5289-AA47-ADBC-F2FCF60945CD}"/>
            </a:ext>
          </a:extLst>
        </xdr:cNvPr>
        <xdr:cNvPicPr>
          <a:picLocks noChangeAspect="1"/>
        </xdr:cNvPicPr>
      </xdr:nvPicPr>
      <xdr:blipFill>
        <a:blip xmlns:r="http://schemas.openxmlformats.org/officeDocument/2006/relationships" r:embed="rId3"/>
        <a:stretch>
          <a:fillRect/>
        </a:stretch>
      </xdr:blipFill>
      <xdr:spPr>
        <a:xfrm>
          <a:off x="7661479" y="5295898"/>
          <a:ext cx="3562384" cy="4666887"/>
        </a:xfrm>
        <a:prstGeom prst="rect">
          <a:avLst/>
        </a:prstGeom>
      </xdr:spPr>
    </xdr:pic>
    <xdr:clientData/>
  </xdr:twoCellAnchor>
  <xdr:twoCellAnchor editAs="oneCell">
    <xdr:from>
      <xdr:col>13</xdr:col>
      <xdr:colOff>576500</xdr:colOff>
      <xdr:row>21</xdr:row>
      <xdr:rowOff>88898</xdr:rowOff>
    </xdr:from>
    <xdr:to>
      <xdr:col>17</xdr:col>
      <xdr:colOff>766234</xdr:colOff>
      <xdr:row>44</xdr:row>
      <xdr:rowOff>82185</xdr:rowOff>
    </xdr:to>
    <xdr:pic>
      <xdr:nvPicPr>
        <xdr:cNvPr id="5" name="Picture 4">
          <a:extLst>
            <a:ext uri="{FF2B5EF4-FFF2-40B4-BE49-F238E27FC236}">
              <a16:creationId xmlns:a16="http://schemas.microsoft.com/office/drawing/2014/main" id="{3357C2D3-4838-0EF8-437D-90C1AEA33474}"/>
            </a:ext>
          </a:extLst>
        </xdr:cNvPr>
        <xdr:cNvPicPr>
          <a:picLocks noChangeAspect="1"/>
        </xdr:cNvPicPr>
      </xdr:nvPicPr>
      <xdr:blipFill>
        <a:blip xmlns:r="http://schemas.openxmlformats.org/officeDocument/2006/relationships" r:embed="rId4"/>
        <a:stretch>
          <a:fillRect/>
        </a:stretch>
      </xdr:blipFill>
      <xdr:spPr>
        <a:xfrm>
          <a:off x="11308000" y="5321298"/>
          <a:ext cx="3491734" cy="46668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684933</xdr:colOff>
      <xdr:row>84</xdr:row>
      <xdr:rowOff>20484</xdr:rowOff>
    </xdr:from>
    <xdr:to>
      <xdr:col>40</xdr:col>
      <xdr:colOff>28410</xdr:colOff>
      <xdr:row>112</xdr:row>
      <xdr:rowOff>75983</xdr:rowOff>
    </xdr:to>
    <xdr:graphicFrame macro="">
      <xdr:nvGraphicFramePr>
        <xdr:cNvPr id="5" name="Chart 4">
          <a:extLst>
            <a:ext uri="{FF2B5EF4-FFF2-40B4-BE49-F238E27FC236}">
              <a16:creationId xmlns:a16="http://schemas.microsoft.com/office/drawing/2014/main" id="{E89FEF7B-E4C4-3CDB-8379-E56FFF40D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17719</xdr:colOff>
      <xdr:row>114</xdr:row>
      <xdr:rowOff>23924</xdr:rowOff>
    </xdr:from>
    <xdr:to>
      <xdr:col>10</xdr:col>
      <xdr:colOff>324883</xdr:colOff>
      <xdr:row>131</xdr:row>
      <xdr:rowOff>88605</xdr:rowOff>
    </xdr:to>
    <xdr:graphicFrame macro="">
      <xdr:nvGraphicFramePr>
        <xdr:cNvPr id="6" name="Chart 5">
          <a:extLst>
            <a:ext uri="{FF2B5EF4-FFF2-40B4-BE49-F238E27FC236}">
              <a16:creationId xmlns:a16="http://schemas.microsoft.com/office/drawing/2014/main" id="{FABA97E8-EFA5-F639-2FCB-176883491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17720</xdr:colOff>
      <xdr:row>113</xdr:row>
      <xdr:rowOff>201133</xdr:rowOff>
    </xdr:from>
    <xdr:to>
      <xdr:col>22</xdr:col>
      <xdr:colOff>206745</xdr:colOff>
      <xdr:row>131</xdr:row>
      <xdr:rowOff>103372</xdr:rowOff>
    </xdr:to>
    <xdr:graphicFrame macro="">
      <xdr:nvGraphicFramePr>
        <xdr:cNvPr id="9" name="Chart 8">
          <a:extLst>
            <a:ext uri="{FF2B5EF4-FFF2-40B4-BE49-F238E27FC236}">
              <a16:creationId xmlns:a16="http://schemas.microsoft.com/office/drawing/2014/main" id="{53C79BFD-455E-EAE9-D06A-8291ABE4D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564115</xdr:colOff>
      <xdr:row>113</xdr:row>
      <xdr:rowOff>201132</xdr:rowOff>
    </xdr:from>
    <xdr:to>
      <xdr:col>31</xdr:col>
      <xdr:colOff>649768</xdr:colOff>
      <xdr:row>131</xdr:row>
      <xdr:rowOff>118139</xdr:rowOff>
    </xdr:to>
    <xdr:graphicFrame macro="">
      <xdr:nvGraphicFramePr>
        <xdr:cNvPr id="10" name="Chart 9">
          <a:extLst>
            <a:ext uri="{FF2B5EF4-FFF2-40B4-BE49-F238E27FC236}">
              <a16:creationId xmlns:a16="http://schemas.microsoft.com/office/drawing/2014/main" id="{8A8718DE-A3C0-871E-FE11-27A2D899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106326</xdr:colOff>
      <xdr:row>115</xdr:row>
      <xdr:rowOff>40967</xdr:rowOff>
    </xdr:from>
    <xdr:to>
      <xdr:col>40</xdr:col>
      <xdr:colOff>502093</xdr:colOff>
      <xdr:row>131</xdr:row>
      <xdr:rowOff>118138</xdr:rowOff>
    </xdr:to>
    <xdr:graphicFrame macro="">
      <xdr:nvGraphicFramePr>
        <xdr:cNvPr id="11" name="Chart 10">
          <a:extLst>
            <a:ext uri="{FF2B5EF4-FFF2-40B4-BE49-F238E27FC236}">
              <a16:creationId xmlns:a16="http://schemas.microsoft.com/office/drawing/2014/main" id="{B4FEEEE2-A2D1-7788-F3BA-177EAFCF7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60476</xdr:colOff>
      <xdr:row>132</xdr:row>
      <xdr:rowOff>29536</xdr:rowOff>
    </xdr:from>
    <xdr:to>
      <xdr:col>21</xdr:col>
      <xdr:colOff>68210</xdr:colOff>
      <xdr:row>148</xdr:row>
      <xdr:rowOff>29535</xdr:rowOff>
    </xdr:to>
    <xdr:graphicFrame macro="">
      <xdr:nvGraphicFramePr>
        <xdr:cNvPr id="12" name="Chart 11">
          <a:extLst>
            <a:ext uri="{FF2B5EF4-FFF2-40B4-BE49-F238E27FC236}">
              <a16:creationId xmlns:a16="http://schemas.microsoft.com/office/drawing/2014/main" id="{9E8D132B-9190-089F-77CD-2E8B1B994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582165</xdr:colOff>
      <xdr:row>132</xdr:row>
      <xdr:rowOff>64241</xdr:rowOff>
    </xdr:from>
    <xdr:to>
      <xdr:col>31</xdr:col>
      <xdr:colOff>443492</xdr:colOff>
      <xdr:row>148</xdr:row>
      <xdr:rowOff>158458</xdr:rowOff>
    </xdr:to>
    <xdr:graphicFrame macro="">
      <xdr:nvGraphicFramePr>
        <xdr:cNvPr id="13" name="Chart 12">
          <a:extLst>
            <a:ext uri="{FF2B5EF4-FFF2-40B4-BE49-F238E27FC236}">
              <a16:creationId xmlns:a16="http://schemas.microsoft.com/office/drawing/2014/main" id="{7D755501-67F5-92CC-CC64-ED530E0D4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101231</xdr:colOff>
      <xdr:row>132</xdr:row>
      <xdr:rowOff>36110</xdr:rowOff>
    </xdr:from>
    <xdr:to>
      <xdr:col>40</xdr:col>
      <xdr:colOff>799063</xdr:colOff>
      <xdr:row>148</xdr:row>
      <xdr:rowOff>153012</xdr:rowOff>
    </xdr:to>
    <xdr:graphicFrame macro="">
      <xdr:nvGraphicFramePr>
        <xdr:cNvPr id="14" name="Chart 13">
          <a:extLst>
            <a:ext uri="{FF2B5EF4-FFF2-40B4-BE49-F238E27FC236}">
              <a16:creationId xmlns:a16="http://schemas.microsoft.com/office/drawing/2014/main" id="{91BE02BD-A6EA-6D13-A49C-FF61FAF8C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131591</xdr:colOff>
      <xdr:row>149</xdr:row>
      <xdr:rowOff>71570</xdr:rowOff>
    </xdr:from>
    <xdr:to>
      <xdr:col>9</xdr:col>
      <xdr:colOff>646052</xdr:colOff>
      <xdr:row>165</xdr:row>
      <xdr:rowOff>157869</xdr:rowOff>
    </xdr:to>
    <xdr:graphicFrame macro="">
      <xdr:nvGraphicFramePr>
        <xdr:cNvPr id="15" name="Chart 14">
          <a:extLst>
            <a:ext uri="{FF2B5EF4-FFF2-40B4-BE49-F238E27FC236}">
              <a16:creationId xmlns:a16="http://schemas.microsoft.com/office/drawing/2014/main" id="{3F88F2A9-2F09-BD87-2173-5A41F75E6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39783</xdr:colOff>
      <xdr:row>149</xdr:row>
      <xdr:rowOff>20808</xdr:rowOff>
    </xdr:from>
    <xdr:to>
      <xdr:col>22</xdr:col>
      <xdr:colOff>122410</xdr:colOff>
      <xdr:row>165</xdr:row>
      <xdr:rowOff>76506</xdr:rowOff>
    </xdr:to>
    <xdr:graphicFrame macro="">
      <xdr:nvGraphicFramePr>
        <xdr:cNvPr id="17" name="Chart 16">
          <a:extLst>
            <a:ext uri="{FF2B5EF4-FFF2-40B4-BE49-F238E27FC236}">
              <a16:creationId xmlns:a16="http://schemas.microsoft.com/office/drawing/2014/main" id="{211581A7-D275-E2EB-5E78-9C44A6EC6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529420</xdr:colOff>
      <xdr:row>149</xdr:row>
      <xdr:rowOff>82012</xdr:rowOff>
    </xdr:from>
    <xdr:to>
      <xdr:col>31</xdr:col>
      <xdr:colOff>627348</xdr:colOff>
      <xdr:row>165</xdr:row>
      <xdr:rowOff>122409</xdr:rowOff>
    </xdr:to>
    <xdr:graphicFrame macro="">
      <xdr:nvGraphicFramePr>
        <xdr:cNvPr id="18" name="Chart 17">
          <a:extLst>
            <a:ext uri="{FF2B5EF4-FFF2-40B4-BE49-F238E27FC236}">
              <a16:creationId xmlns:a16="http://schemas.microsoft.com/office/drawing/2014/main" id="{22FF2714-5A1C-2717-D762-E8F36F2B3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116288</xdr:colOff>
      <xdr:row>149</xdr:row>
      <xdr:rowOff>66712</xdr:rowOff>
    </xdr:from>
    <xdr:to>
      <xdr:col>40</xdr:col>
      <xdr:colOff>474337</xdr:colOff>
      <xdr:row>165</xdr:row>
      <xdr:rowOff>91807</xdr:rowOff>
    </xdr:to>
    <xdr:graphicFrame macro="">
      <xdr:nvGraphicFramePr>
        <xdr:cNvPr id="19" name="Chart 18">
          <a:extLst>
            <a:ext uri="{FF2B5EF4-FFF2-40B4-BE49-F238E27FC236}">
              <a16:creationId xmlns:a16="http://schemas.microsoft.com/office/drawing/2014/main" id="{29377065-B6A9-427D-BA4D-7AA15BE1F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100988</xdr:colOff>
      <xdr:row>166</xdr:row>
      <xdr:rowOff>97314</xdr:rowOff>
    </xdr:from>
    <xdr:to>
      <xdr:col>10</xdr:col>
      <xdr:colOff>351927</xdr:colOff>
      <xdr:row>185</xdr:row>
      <xdr:rowOff>137709</xdr:rowOff>
    </xdr:to>
    <xdr:graphicFrame macro="">
      <xdr:nvGraphicFramePr>
        <xdr:cNvPr id="20" name="Chart 19">
          <a:extLst>
            <a:ext uri="{FF2B5EF4-FFF2-40B4-BE49-F238E27FC236}">
              <a16:creationId xmlns:a16="http://schemas.microsoft.com/office/drawing/2014/main" id="{544C1EB4-6E87-B7CE-17EF-B68453E5F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55084</xdr:colOff>
      <xdr:row>166</xdr:row>
      <xdr:rowOff>66713</xdr:rowOff>
    </xdr:from>
    <xdr:to>
      <xdr:col>22</xdr:col>
      <xdr:colOff>61204</xdr:colOff>
      <xdr:row>185</xdr:row>
      <xdr:rowOff>107108</xdr:rowOff>
    </xdr:to>
    <xdr:graphicFrame macro="">
      <xdr:nvGraphicFramePr>
        <xdr:cNvPr id="21" name="Chart 20">
          <a:extLst>
            <a:ext uri="{FF2B5EF4-FFF2-40B4-BE49-F238E27FC236}">
              <a16:creationId xmlns:a16="http://schemas.microsoft.com/office/drawing/2014/main" id="{42C66795-C2BC-85B2-EABA-3EC7A09D6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514122</xdr:colOff>
      <xdr:row>166</xdr:row>
      <xdr:rowOff>66713</xdr:rowOff>
    </xdr:from>
    <xdr:to>
      <xdr:col>31</xdr:col>
      <xdr:colOff>520241</xdr:colOff>
      <xdr:row>185</xdr:row>
      <xdr:rowOff>122409</xdr:rowOff>
    </xdr:to>
    <xdr:graphicFrame macro="">
      <xdr:nvGraphicFramePr>
        <xdr:cNvPr id="22" name="Chart 21">
          <a:extLst>
            <a:ext uri="{FF2B5EF4-FFF2-40B4-BE49-F238E27FC236}">
              <a16:creationId xmlns:a16="http://schemas.microsoft.com/office/drawing/2014/main" id="{DE85D4C5-10CD-E848-BE4C-02B6048ED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131589</xdr:colOff>
      <xdr:row>166</xdr:row>
      <xdr:rowOff>20808</xdr:rowOff>
    </xdr:from>
    <xdr:to>
      <xdr:col>40</xdr:col>
      <xdr:colOff>443734</xdr:colOff>
      <xdr:row>185</xdr:row>
      <xdr:rowOff>76505</xdr:rowOff>
    </xdr:to>
    <xdr:graphicFrame macro="">
      <xdr:nvGraphicFramePr>
        <xdr:cNvPr id="23" name="Chart 22">
          <a:extLst>
            <a:ext uri="{FF2B5EF4-FFF2-40B4-BE49-F238E27FC236}">
              <a16:creationId xmlns:a16="http://schemas.microsoft.com/office/drawing/2014/main" id="{6409B99C-3320-5DFE-D784-884E2BCC6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100988</xdr:colOff>
      <xdr:row>186</xdr:row>
      <xdr:rowOff>66714</xdr:rowOff>
    </xdr:from>
    <xdr:to>
      <xdr:col>10</xdr:col>
      <xdr:colOff>290722</xdr:colOff>
      <xdr:row>204</xdr:row>
      <xdr:rowOff>122410</xdr:rowOff>
    </xdr:to>
    <xdr:graphicFrame macro="">
      <xdr:nvGraphicFramePr>
        <xdr:cNvPr id="24" name="Chart 23">
          <a:extLst>
            <a:ext uri="{FF2B5EF4-FFF2-40B4-BE49-F238E27FC236}">
              <a16:creationId xmlns:a16="http://schemas.microsoft.com/office/drawing/2014/main" id="{06107B5F-4BC3-1EF9-34D6-0E2B94819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70387</xdr:colOff>
      <xdr:row>186</xdr:row>
      <xdr:rowOff>97315</xdr:rowOff>
    </xdr:from>
    <xdr:to>
      <xdr:col>22</xdr:col>
      <xdr:colOff>15302</xdr:colOff>
      <xdr:row>204</xdr:row>
      <xdr:rowOff>91807</xdr:rowOff>
    </xdr:to>
    <xdr:graphicFrame macro="">
      <xdr:nvGraphicFramePr>
        <xdr:cNvPr id="25" name="Chart 24">
          <a:extLst>
            <a:ext uri="{FF2B5EF4-FFF2-40B4-BE49-F238E27FC236}">
              <a16:creationId xmlns:a16="http://schemas.microsoft.com/office/drawing/2014/main" id="{26931AEB-2E59-5B51-565C-53607D819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514120</xdr:colOff>
      <xdr:row>186</xdr:row>
      <xdr:rowOff>82013</xdr:rowOff>
    </xdr:from>
    <xdr:to>
      <xdr:col>31</xdr:col>
      <xdr:colOff>550843</xdr:colOff>
      <xdr:row>204</xdr:row>
      <xdr:rowOff>137710</xdr:rowOff>
    </xdr:to>
    <xdr:graphicFrame macro="">
      <xdr:nvGraphicFramePr>
        <xdr:cNvPr id="26" name="Chart 25">
          <a:extLst>
            <a:ext uri="{FF2B5EF4-FFF2-40B4-BE49-F238E27FC236}">
              <a16:creationId xmlns:a16="http://schemas.microsoft.com/office/drawing/2014/main" id="{E1BCC64B-EEF0-86A4-CEF4-81EE79F05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32</xdr:col>
      <xdr:colOff>131591</xdr:colOff>
      <xdr:row>186</xdr:row>
      <xdr:rowOff>51412</xdr:rowOff>
    </xdr:from>
    <xdr:to>
      <xdr:col>40</xdr:col>
      <xdr:colOff>413133</xdr:colOff>
      <xdr:row>204</xdr:row>
      <xdr:rowOff>122410</xdr:rowOff>
    </xdr:to>
    <xdr:graphicFrame macro="">
      <xdr:nvGraphicFramePr>
        <xdr:cNvPr id="27" name="Chart 26">
          <a:extLst>
            <a:ext uri="{FF2B5EF4-FFF2-40B4-BE49-F238E27FC236}">
              <a16:creationId xmlns:a16="http://schemas.microsoft.com/office/drawing/2014/main" id="{2135D6EA-0D93-71A0-C908-9FDE6BA8A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158306</xdr:colOff>
      <xdr:row>205</xdr:row>
      <xdr:rowOff>86870</xdr:rowOff>
    </xdr:from>
    <xdr:to>
      <xdr:col>10</xdr:col>
      <xdr:colOff>181428</xdr:colOff>
      <xdr:row>223</xdr:row>
      <xdr:rowOff>120952</xdr:rowOff>
    </xdr:to>
    <xdr:graphicFrame macro="">
      <xdr:nvGraphicFramePr>
        <xdr:cNvPr id="28" name="Chart 27">
          <a:extLst>
            <a:ext uri="{FF2B5EF4-FFF2-40B4-BE49-F238E27FC236}">
              <a16:creationId xmlns:a16="http://schemas.microsoft.com/office/drawing/2014/main" id="{1345AEA2-5A47-C56C-DE99-41806C6A7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102809</xdr:colOff>
      <xdr:row>205</xdr:row>
      <xdr:rowOff>120146</xdr:rowOff>
    </xdr:from>
    <xdr:to>
      <xdr:col>21</xdr:col>
      <xdr:colOff>564443</xdr:colOff>
      <xdr:row>223</xdr:row>
      <xdr:rowOff>120952</xdr:rowOff>
    </xdr:to>
    <xdr:graphicFrame macro="">
      <xdr:nvGraphicFramePr>
        <xdr:cNvPr id="29" name="Chart 28">
          <a:extLst>
            <a:ext uri="{FF2B5EF4-FFF2-40B4-BE49-F238E27FC236}">
              <a16:creationId xmlns:a16="http://schemas.microsoft.com/office/drawing/2014/main" id="{33FE8FCE-B3C1-D777-3344-A05C3012F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526142</xdr:colOff>
      <xdr:row>205</xdr:row>
      <xdr:rowOff>120147</xdr:rowOff>
    </xdr:from>
    <xdr:to>
      <xdr:col>31</xdr:col>
      <xdr:colOff>524126</xdr:colOff>
      <xdr:row>223</xdr:row>
      <xdr:rowOff>100793</xdr:rowOff>
    </xdr:to>
    <xdr:graphicFrame macro="">
      <xdr:nvGraphicFramePr>
        <xdr:cNvPr id="30" name="Chart 29">
          <a:extLst>
            <a:ext uri="{FF2B5EF4-FFF2-40B4-BE49-F238E27FC236}">
              <a16:creationId xmlns:a16="http://schemas.microsoft.com/office/drawing/2014/main" id="{2230DA13-70CF-32A4-6EF2-4EDEEA834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32</xdr:col>
      <xdr:colOff>143128</xdr:colOff>
      <xdr:row>205</xdr:row>
      <xdr:rowOff>99989</xdr:rowOff>
    </xdr:from>
    <xdr:to>
      <xdr:col>40</xdr:col>
      <xdr:colOff>463651</xdr:colOff>
      <xdr:row>223</xdr:row>
      <xdr:rowOff>100792</xdr:rowOff>
    </xdr:to>
    <xdr:graphicFrame macro="">
      <xdr:nvGraphicFramePr>
        <xdr:cNvPr id="31" name="Chart 30">
          <a:extLst>
            <a:ext uri="{FF2B5EF4-FFF2-40B4-BE49-F238E27FC236}">
              <a16:creationId xmlns:a16="http://schemas.microsoft.com/office/drawing/2014/main" id="{DD4AC205-8567-B778-3EB4-BCB013A10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183444</xdr:colOff>
      <xdr:row>224</xdr:row>
      <xdr:rowOff>59670</xdr:rowOff>
    </xdr:from>
    <xdr:to>
      <xdr:col>10</xdr:col>
      <xdr:colOff>201586</xdr:colOff>
      <xdr:row>243</xdr:row>
      <xdr:rowOff>100792</xdr:rowOff>
    </xdr:to>
    <xdr:graphicFrame macro="">
      <xdr:nvGraphicFramePr>
        <xdr:cNvPr id="32" name="Chart 31">
          <a:extLst>
            <a:ext uri="{FF2B5EF4-FFF2-40B4-BE49-F238E27FC236}">
              <a16:creationId xmlns:a16="http://schemas.microsoft.com/office/drawing/2014/main" id="{2451EB89-2685-2666-D0BD-707505380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11</xdr:col>
      <xdr:colOff>122968</xdr:colOff>
      <xdr:row>224</xdr:row>
      <xdr:rowOff>99987</xdr:rowOff>
    </xdr:from>
    <xdr:to>
      <xdr:col>21</xdr:col>
      <xdr:colOff>544285</xdr:colOff>
      <xdr:row>243</xdr:row>
      <xdr:rowOff>120952</xdr:rowOff>
    </xdr:to>
    <xdr:graphicFrame macro="">
      <xdr:nvGraphicFramePr>
        <xdr:cNvPr id="33" name="Chart 32">
          <a:extLst>
            <a:ext uri="{FF2B5EF4-FFF2-40B4-BE49-F238E27FC236}">
              <a16:creationId xmlns:a16="http://schemas.microsoft.com/office/drawing/2014/main" id="{2DB6BCE6-0396-59DE-EE68-5EB21ED91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22</xdr:col>
      <xdr:colOff>526145</xdr:colOff>
      <xdr:row>224</xdr:row>
      <xdr:rowOff>79828</xdr:rowOff>
    </xdr:from>
    <xdr:to>
      <xdr:col>31</xdr:col>
      <xdr:colOff>443492</xdr:colOff>
      <xdr:row>243</xdr:row>
      <xdr:rowOff>141110</xdr:rowOff>
    </xdr:to>
    <xdr:graphicFrame macro="">
      <xdr:nvGraphicFramePr>
        <xdr:cNvPr id="34" name="Chart 33">
          <a:extLst>
            <a:ext uri="{FF2B5EF4-FFF2-40B4-BE49-F238E27FC236}">
              <a16:creationId xmlns:a16="http://schemas.microsoft.com/office/drawing/2014/main" id="{3B2F1FB2-D9F1-4488-9291-2BB167F04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32</xdr:col>
      <xdr:colOff>203602</xdr:colOff>
      <xdr:row>224</xdr:row>
      <xdr:rowOff>59670</xdr:rowOff>
    </xdr:from>
    <xdr:to>
      <xdr:col>40</xdr:col>
      <xdr:colOff>342699</xdr:colOff>
      <xdr:row>243</xdr:row>
      <xdr:rowOff>141111</xdr:rowOff>
    </xdr:to>
    <xdr:graphicFrame macro="">
      <xdr:nvGraphicFramePr>
        <xdr:cNvPr id="35" name="Chart 34">
          <a:extLst>
            <a:ext uri="{FF2B5EF4-FFF2-40B4-BE49-F238E27FC236}">
              <a16:creationId xmlns:a16="http://schemas.microsoft.com/office/drawing/2014/main" id="{E341AA39-A924-ECCF-2F4B-8E6E23BD5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270933</xdr:colOff>
      <xdr:row>84</xdr:row>
      <xdr:rowOff>93383</xdr:rowOff>
    </xdr:from>
    <xdr:to>
      <xdr:col>27</xdr:col>
      <xdr:colOff>372534</xdr:colOff>
      <xdr:row>111</xdr:row>
      <xdr:rowOff>0</xdr:rowOff>
    </xdr:to>
    <xdr:graphicFrame macro="">
      <xdr:nvGraphicFramePr>
        <xdr:cNvPr id="2" name="Chart 1">
          <a:extLst>
            <a:ext uri="{FF2B5EF4-FFF2-40B4-BE49-F238E27FC236}">
              <a16:creationId xmlns:a16="http://schemas.microsoft.com/office/drawing/2014/main" id="{5ED7D327-2D39-1F4D-2C21-919436C5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62492</xdr:colOff>
      <xdr:row>132</xdr:row>
      <xdr:rowOff>64033</xdr:rowOff>
    </xdr:from>
    <xdr:to>
      <xdr:col>10</xdr:col>
      <xdr:colOff>362857</xdr:colOff>
      <xdr:row>147</xdr:row>
      <xdr:rowOff>201586</xdr:rowOff>
    </xdr:to>
    <xdr:graphicFrame macro="">
      <xdr:nvGraphicFramePr>
        <xdr:cNvPr id="3" name="Chart 2">
          <a:extLst>
            <a:ext uri="{FF2B5EF4-FFF2-40B4-BE49-F238E27FC236}">
              <a16:creationId xmlns:a16="http://schemas.microsoft.com/office/drawing/2014/main" id="{E42EF127-4722-7577-8459-614836EFC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788276</xdr:colOff>
      <xdr:row>196</xdr:row>
      <xdr:rowOff>198603</xdr:rowOff>
    </xdr:from>
    <xdr:to>
      <xdr:col>7</xdr:col>
      <xdr:colOff>2221</xdr:colOff>
      <xdr:row>211</xdr:row>
      <xdr:rowOff>1569</xdr:rowOff>
    </xdr:to>
    <xdr:pic>
      <xdr:nvPicPr>
        <xdr:cNvPr id="6" name="Picture 5" descr="undefined">
          <a:extLst>
            <a:ext uri="{FF2B5EF4-FFF2-40B4-BE49-F238E27FC236}">
              <a16:creationId xmlns:a16="http://schemas.microsoft.com/office/drawing/2014/main" id="{FD1CA2D2-466C-7DB1-9FD1-D2C137691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8009" y="11205270"/>
          <a:ext cx="6896607" cy="288832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297792</xdr:colOff>
      <xdr:row>199</xdr:row>
      <xdr:rowOff>119382</xdr:rowOff>
    </xdr:from>
    <xdr:to>
      <xdr:col>19</xdr:col>
      <xdr:colOff>1249802</xdr:colOff>
      <xdr:row>213</xdr:row>
      <xdr:rowOff>69986</xdr:rowOff>
    </xdr:to>
    <xdr:pic>
      <xdr:nvPicPr>
        <xdr:cNvPr id="5" name="Picture 4" descr="undefined">
          <a:extLst>
            <a:ext uri="{FF2B5EF4-FFF2-40B4-BE49-F238E27FC236}">
              <a16:creationId xmlns:a16="http://schemas.microsoft.com/office/drawing/2014/main" id="{DD611635-7F20-8E99-85E9-89DB5D0433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239592" y="25112982"/>
          <a:ext cx="6692920" cy="279540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452529</xdr:colOff>
      <xdr:row>199</xdr:row>
      <xdr:rowOff>25962</xdr:rowOff>
    </xdr:from>
    <xdr:to>
      <xdr:col>13</xdr:col>
      <xdr:colOff>554441</xdr:colOff>
      <xdr:row>213</xdr:row>
      <xdr:rowOff>2693</xdr:rowOff>
    </xdr:to>
    <xdr:pic>
      <xdr:nvPicPr>
        <xdr:cNvPr id="7" name="Picture 6" descr="undefined">
          <a:extLst>
            <a:ext uri="{FF2B5EF4-FFF2-40B4-BE49-F238E27FC236}">
              <a16:creationId xmlns:a16="http://schemas.microsoft.com/office/drawing/2014/main" id="{DF18379C-D461-C8D2-01EF-EA32D2A5CF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14828" y="1733893"/>
          <a:ext cx="6722241" cy="283328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200169</xdr:colOff>
      <xdr:row>198</xdr:row>
      <xdr:rowOff>168073</xdr:rowOff>
    </xdr:from>
    <xdr:to>
      <xdr:col>26</xdr:col>
      <xdr:colOff>528683</xdr:colOff>
      <xdr:row>213</xdr:row>
      <xdr:rowOff>166174</xdr:rowOff>
    </xdr:to>
    <xdr:pic>
      <xdr:nvPicPr>
        <xdr:cNvPr id="8" name="Picture 7" descr="undefined">
          <a:extLst>
            <a:ext uri="{FF2B5EF4-FFF2-40B4-BE49-F238E27FC236}">
              <a16:creationId xmlns:a16="http://schemas.microsoft.com/office/drawing/2014/main" id="{D88E5334-34AB-2869-80E6-87A8FF93E46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579633" y="40377180"/>
          <a:ext cx="7259860" cy="305971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41830</xdr:colOff>
      <xdr:row>215</xdr:row>
      <xdr:rowOff>66932</xdr:rowOff>
    </xdr:from>
    <xdr:to>
      <xdr:col>7</xdr:col>
      <xdr:colOff>189040</xdr:colOff>
      <xdr:row>229</xdr:row>
      <xdr:rowOff>156883</xdr:rowOff>
    </xdr:to>
    <xdr:pic>
      <xdr:nvPicPr>
        <xdr:cNvPr id="9" name="Picture 8" descr="undefined">
          <a:extLst>
            <a:ext uri="{FF2B5EF4-FFF2-40B4-BE49-F238E27FC236}">
              <a16:creationId xmlns:a16="http://schemas.microsoft.com/office/drawing/2014/main" id="{C1D2A281-6E70-5F21-04C9-0751D863B52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705968" y="5044748"/>
          <a:ext cx="6994261" cy="295110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569310</xdr:colOff>
      <xdr:row>216</xdr:row>
      <xdr:rowOff>11971</xdr:rowOff>
    </xdr:from>
    <xdr:to>
      <xdr:col>13</xdr:col>
      <xdr:colOff>674287</xdr:colOff>
      <xdr:row>230</xdr:row>
      <xdr:rowOff>3004</xdr:rowOff>
    </xdr:to>
    <xdr:pic>
      <xdr:nvPicPr>
        <xdr:cNvPr id="10" name="Picture 9" descr="undefined">
          <a:extLst>
            <a:ext uri="{FF2B5EF4-FFF2-40B4-BE49-F238E27FC236}">
              <a16:creationId xmlns:a16="http://schemas.microsoft.com/office/drawing/2014/main" id="{EB075B94-0B7A-7D74-C20B-327B3FE1C19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831609" y="5194155"/>
          <a:ext cx="6725306" cy="283458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315733</xdr:colOff>
      <xdr:row>215</xdr:row>
      <xdr:rowOff>156196</xdr:rowOff>
    </xdr:from>
    <xdr:to>
      <xdr:col>19</xdr:col>
      <xdr:colOff>1147176</xdr:colOff>
      <xdr:row>229</xdr:row>
      <xdr:rowOff>62262</xdr:rowOff>
    </xdr:to>
    <xdr:pic>
      <xdr:nvPicPr>
        <xdr:cNvPr id="11" name="Picture 10" descr="undefined">
          <a:extLst>
            <a:ext uri="{FF2B5EF4-FFF2-40B4-BE49-F238E27FC236}">
              <a16:creationId xmlns:a16="http://schemas.microsoft.com/office/drawing/2014/main" id="{3786E395-0192-3362-6199-79DFF914AC1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257533" y="28400996"/>
          <a:ext cx="6580823" cy="275086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93873</xdr:colOff>
      <xdr:row>215</xdr:row>
      <xdr:rowOff>52458</xdr:rowOff>
    </xdr:from>
    <xdr:to>
      <xdr:col>24</xdr:col>
      <xdr:colOff>1170208</xdr:colOff>
      <xdr:row>230</xdr:row>
      <xdr:rowOff>124284</xdr:rowOff>
    </xdr:to>
    <xdr:pic>
      <xdr:nvPicPr>
        <xdr:cNvPr id="13" name="Picture 12" descr="undefined">
          <a:extLst>
            <a:ext uri="{FF2B5EF4-FFF2-40B4-BE49-F238E27FC236}">
              <a16:creationId xmlns:a16="http://schemas.microsoft.com/office/drawing/2014/main" id="{93FB270F-BC69-5484-ECC8-DFE8DA2E8A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834052" y="43731387"/>
          <a:ext cx="3863034" cy="313343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152961</xdr:colOff>
      <xdr:row>231</xdr:row>
      <xdr:rowOff>116780</xdr:rowOff>
    </xdr:from>
    <xdr:to>
      <xdr:col>7</xdr:col>
      <xdr:colOff>28466</xdr:colOff>
      <xdr:row>248</xdr:row>
      <xdr:rowOff>90347</xdr:rowOff>
    </xdr:to>
    <xdr:pic>
      <xdr:nvPicPr>
        <xdr:cNvPr id="15" name="Picture 14" descr="undefined">
          <a:extLst>
            <a:ext uri="{FF2B5EF4-FFF2-40B4-BE49-F238E27FC236}">
              <a16:creationId xmlns:a16="http://schemas.microsoft.com/office/drawing/2014/main" id="{686A4415-9CA6-1722-727D-66FAAB399E8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817099" y="8364481"/>
          <a:ext cx="6722556" cy="344781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613103</xdr:colOff>
      <xdr:row>231</xdr:row>
      <xdr:rowOff>14597</xdr:rowOff>
    </xdr:from>
    <xdr:to>
      <xdr:col>13</xdr:col>
      <xdr:colOff>415763</xdr:colOff>
      <xdr:row>247</xdr:row>
      <xdr:rowOff>36282</xdr:rowOff>
    </xdr:to>
    <xdr:pic>
      <xdr:nvPicPr>
        <xdr:cNvPr id="16" name="Picture 15" descr="undefined">
          <a:extLst>
            <a:ext uri="{FF2B5EF4-FFF2-40B4-BE49-F238E27FC236}">
              <a16:creationId xmlns:a16="http://schemas.microsoft.com/office/drawing/2014/main" id="{5C6B111D-2FC9-201C-3558-30BB252D48E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875402" y="8262298"/>
          <a:ext cx="6422989" cy="329156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294441</xdr:colOff>
      <xdr:row>231</xdr:row>
      <xdr:rowOff>25400</xdr:rowOff>
    </xdr:from>
    <xdr:to>
      <xdr:col>19</xdr:col>
      <xdr:colOff>1202564</xdr:colOff>
      <xdr:row>247</xdr:row>
      <xdr:rowOff>153534</xdr:rowOff>
    </xdr:to>
    <xdr:pic>
      <xdr:nvPicPr>
        <xdr:cNvPr id="17" name="Picture 16" descr="undefined">
          <a:extLst>
            <a:ext uri="{FF2B5EF4-FFF2-40B4-BE49-F238E27FC236}">
              <a16:creationId xmlns:a16="http://schemas.microsoft.com/office/drawing/2014/main" id="{92B87BCB-FA7E-84A3-FBD0-8D4ECC9BE50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7236241" y="31521400"/>
          <a:ext cx="6652479" cy="337933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1103595</xdr:colOff>
      <xdr:row>231</xdr:row>
      <xdr:rowOff>138547</xdr:rowOff>
    </xdr:from>
    <xdr:to>
      <xdr:col>25</xdr:col>
      <xdr:colOff>555855</xdr:colOff>
      <xdr:row>248</xdr:row>
      <xdr:rowOff>65641</xdr:rowOff>
    </xdr:to>
    <xdr:pic>
      <xdr:nvPicPr>
        <xdr:cNvPr id="19" name="Picture 18" descr="undefined">
          <a:extLst>
            <a:ext uri="{FF2B5EF4-FFF2-40B4-BE49-F238E27FC236}">
              <a16:creationId xmlns:a16="http://schemas.microsoft.com/office/drawing/2014/main" id="{BCF0B66A-2D27-39BF-DD77-E925DD1004F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4258416" y="47083190"/>
          <a:ext cx="6592138" cy="339691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128427</xdr:colOff>
      <xdr:row>250</xdr:row>
      <xdr:rowOff>42809</xdr:rowOff>
    </xdr:from>
    <xdr:to>
      <xdr:col>6</xdr:col>
      <xdr:colOff>1297775</xdr:colOff>
      <xdr:row>266</xdr:row>
      <xdr:rowOff>171238</xdr:rowOff>
    </xdr:to>
    <xdr:pic>
      <xdr:nvPicPr>
        <xdr:cNvPr id="20" name="Picture 19">
          <a:extLst>
            <a:ext uri="{FF2B5EF4-FFF2-40B4-BE49-F238E27FC236}">
              <a16:creationId xmlns:a16="http://schemas.microsoft.com/office/drawing/2014/main" id="{59478E87-6421-A177-A617-A385C7F45E0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783708" y="11900899"/>
          <a:ext cx="6593199" cy="332483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610500</xdr:colOff>
      <xdr:row>249</xdr:row>
      <xdr:rowOff>171236</xdr:rowOff>
    </xdr:from>
    <xdr:to>
      <xdr:col>13</xdr:col>
      <xdr:colOff>578470</xdr:colOff>
      <xdr:row>266</xdr:row>
      <xdr:rowOff>78024</xdr:rowOff>
    </xdr:to>
    <xdr:pic>
      <xdr:nvPicPr>
        <xdr:cNvPr id="21" name="Picture 20">
          <a:extLst>
            <a:ext uri="{FF2B5EF4-FFF2-40B4-BE49-F238E27FC236}">
              <a16:creationId xmlns:a16="http://schemas.microsoft.com/office/drawing/2014/main" id="{5A09922B-3E75-EE85-90DD-6BDDA756CAE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844096" y="11829551"/>
          <a:ext cx="6552870" cy="330296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1058992</xdr:colOff>
      <xdr:row>249</xdr:row>
      <xdr:rowOff>82478</xdr:rowOff>
    </xdr:from>
    <xdr:to>
      <xdr:col>19</xdr:col>
      <xdr:colOff>533223</xdr:colOff>
      <xdr:row>266</xdr:row>
      <xdr:rowOff>39274</xdr:rowOff>
    </xdr:to>
    <xdr:pic>
      <xdr:nvPicPr>
        <xdr:cNvPr id="22" name="Picture 21" descr="undefined">
          <a:extLst>
            <a:ext uri="{FF2B5EF4-FFF2-40B4-BE49-F238E27FC236}">
              <a16:creationId xmlns:a16="http://schemas.microsoft.com/office/drawing/2014/main" id="{7ACA779B-DBA1-9256-557D-6BF2334852B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6756192" y="35236078"/>
          <a:ext cx="6716016" cy="341119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365036</xdr:colOff>
      <xdr:row>249</xdr:row>
      <xdr:rowOff>195626</xdr:rowOff>
    </xdr:from>
    <xdr:to>
      <xdr:col>25</xdr:col>
      <xdr:colOff>836855</xdr:colOff>
      <xdr:row>265</xdr:row>
      <xdr:rowOff>64095</xdr:rowOff>
    </xdr:to>
    <xdr:pic>
      <xdr:nvPicPr>
        <xdr:cNvPr id="24" name="Picture 23" descr="undefined">
          <a:extLst>
            <a:ext uri="{FF2B5EF4-FFF2-40B4-BE49-F238E27FC236}">
              <a16:creationId xmlns:a16="http://schemas.microsoft.com/office/drawing/2014/main" id="{1BF5FCE7-98EA-8E83-CCB5-3F49579C3B2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744500" y="50814197"/>
          <a:ext cx="6108273" cy="313418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268</xdr:row>
      <xdr:rowOff>199774</xdr:rowOff>
    </xdr:from>
    <xdr:to>
      <xdr:col>6</xdr:col>
      <xdr:colOff>1236452</xdr:colOff>
      <xdr:row>285</xdr:row>
      <xdr:rowOff>164093</xdr:rowOff>
    </xdr:to>
    <xdr:pic>
      <xdr:nvPicPr>
        <xdr:cNvPr id="25" name="Picture 24">
          <a:extLst>
            <a:ext uri="{FF2B5EF4-FFF2-40B4-BE49-F238E27FC236}">
              <a16:creationId xmlns:a16="http://schemas.microsoft.com/office/drawing/2014/main" id="{8C5284F0-3E61-D84E-10E2-154FBA709F7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5281" y="15653819"/>
          <a:ext cx="6663932" cy="336050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371010</xdr:colOff>
      <xdr:row>268</xdr:row>
      <xdr:rowOff>129976</xdr:rowOff>
    </xdr:from>
    <xdr:to>
      <xdr:col>13</xdr:col>
      <xdr:colOff>507122</xdr:colOff>
      <xdr:row>285</xdr:row>
      <xdr:rowOff>118480</xdr:rowOff>
    </xdr:to>
    <xdr:pic>
      <xdr:nvPicPr>
        <xdr:cNvPr id="26" name="Picture 25" descr="undefined">
          <a:extLst>
            <a:ext uri="{FF2B5EF4-FFF2-40B4-BE49-F238E27FC236}">
              <a16:creationId xmlns:a16="http://schemas.microsoft.com/office/drawing/2014/main" id="{E23090D8-B8AA-28C2-BC9E-BB1B0BBED09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604606" y="15584021"/>
          <a:ext cx="6721012" cy="3384686"/>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877158</xdr:colOff>
      <xdr:row>268</xdr:row>
      <xdr:rowOff>21974</xdr:rowOff>
    </xdr:from>
    <xdr:to>
      <xdr:col>19</xdr:col>
      <xdr:colOff>654512</xdr:colOff>
      <xdr:row>285</xdr:row>
      <xdr:rowOff>134844</xdr:rowOff>
    </xdr:to>
    <xdr:pic>
      <xdr:nvPicPr>
        <xdr:cNvPr id="27" name="Picture 26" descr="undefined">
          <a:extLst>
            <a:ext uri="{FF2B5EF4-FFF2-40B4-BE49-F238E27FC236}">
              <a16:creationId xmlns:a16="http://schemas.microsoft.com/office/drawing/2014/main" id="{74AAFAB3-2091-9DED-7E2E-DB347ACAEAE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6574358" y="39036374"/>
          <a:ext cx="7019139" cy="356727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938638</xdr:colOff>
      <xdr:row>268</xdr:row>
      <xdr:rowOff>126545</xdr:rowOff>
    </xdr:from>
    <xdr:to>
      <xdr:col>25</xdr:col>
      <xdr:colOff>389692</xdr:colOff>
      <xdr:row>285</xdr:row>
      <xdr:rowOff>49506</xdr:rowOff>
    </xdr:to>
    <xdr:pic>
      <xdr:nvPicPr>
        <xdr:cNvPr id="29" name="Picture 28" descr="undefined">
          <a:extLst>
            <a:ext uri="{FF2B5EF4-FFF2-40B4-BE49-F238E27FC236}">
              <a16:creationId xmlns:a16="http://schemas.microsoft.com/office/drawing/2014/main" id="{278266CA-E5A4-C59D-2CCD-D9C0EE9ABE4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4093459" y="54623152"/>
          <a:ext cx="6590932" cy="339278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799102</xdr:colOff>
      <xdr:row>286</xdr:row>
      <xdr:rowOff>5755</xdr:rowOff>
    </xdr:from>
    <xdr:to>
      <xdr:col>6</xdr:col>
      <xdr:colOff>1222183</xdr:colOff>
      <xdr:row>302</xdr:row>
      <xdr:rowOff>173097</xdr:rowOff>
    </xdr:to>
    <xdr:pic>
      <xdr:nvPicPr>
        <xdr:cNvPr id="30" name="Picture 29" descr="undefined">
          <a:extLst>
            <a:ext uri="{FF2B5EF4-FFF2-40B4-BE49-F238E27FC236}">
              <a16:creationId xmlns:a16="http://schemas.microsoft.com/office/drawing/2014/main" id="{3EFBF899-A066-9B74-0A77-982C57BCF2D2}"/>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626742" y="19455306"/>
          <a:ext cx="6678202" cy="336374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407622</xdr:colOff>
      <xdr:row>288</xdr:row>
      <xdr:rowOff>37353</xdr:rowOff>
    </xdr:from>
    <xdr:to>
      <xdr:col>13</xdr:col>
      <xdr:colOff>559163</xdr:colOff>
      <xdr:row>305</xdr:row>
      <xdr:rowOff>33046</xdr:rowOff>
    </xdr:to>
    <xdr:pic>
      <xdr:nvPicPr>
        <xdr:cNvPr id="31" name="Picture 30" descr="undefined">
          <a:extLst>
            <a:ext uri="{FF2B5EF4-FFF2-40B4-BE49-F238E27FC236}">
              <a16:creationId xmlns:a16="http://schemas.microsoft.com/office/drawing/2014/main" id="{83D0783F-69FE-9FC7-4C6D-D74743AC017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606593" y="20021177"/>
          <a:ext cx="6689435" cy="348819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978884</xdr:colOff>
      <xdr:row>288</xdr:row>
      <xdr:rowOff>25399</xdr:rowOff>
    </xdr:from>
    <xdr:to>
      <xdr:col>19</xdr:col>
      <xdr:colOff>593658</xdr:colOff>
      <xdr:row>305</xdr:row>
      <xdr:rowOff>50433</xdr:rowOff>
    </xdr:to>
    <xdr:pic>
      <xdr:nvPicPr>
        <xdr:cNvPr id="32" name="Picture 31" descr="undefined">
          <a:extLst>
            <a:ext uri="{FF2B5EF4-FFF2-40B4-BE49-F238E27FC236}">
              <a16:creationId xmlns:a16="http://schemas.microsoft.com/office/drawing/2014/main" id="{044B4247-2962-FE31-C77C-5FB033F7D6ED}"/>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6676084" y="43103799"/>
          <a:ext cx="6856559" cy="347943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914170</xdr:colOff>
      <xdr:row>288</xdr:row>
      <xdr:rowOff>124278</xdr:rowOff>
    </xdr:from>
    <xdr:to>
      <xdr:col>25</xdr:col>
      <xdr:colOff>420084</xdr:colOff>
      <xdr:row>305</xdr:row>
      <xdr:rowOff>78448</xdr:rowOff>
    </xdr:to>
    <xdr:pic>
      <xdr:nvPicPr>
        <xdr:cNvPr id="33" name="Picture 32" descr="undefined">
          <a:extLst>
            <a:ext uri="{FF2B5EF4-FFF2-40B4-BE49-F238E27FC236}">
              <a16:creationId xmlns:a16="http://schemas.microsoft.com/office/drawing/2014/main" id="{AD8DD049-CE98-C30E-3850-06DFD440F12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4068991" y="58703028"/>
          <a:ext cx="6645792" cy="342399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773385</xdr:colOff>
      <xdr:row>304</xdr:row>
      <xdr:rowOff>37352</xdr:rowOff>
    </xdr:from>
    <xdr:to>
      <xdr:col>7</xdr:col>
      <xdr:colOff>238774</xdr:colOff>
      <xdr:row>322</xdr:row>
      <xdr:rowOff>34411</xdr:rowOff>
    </xdr:to>
    <xdr:pic>
      <xdr:nvPicPr>
        <xdr:cNvPr id="34" name="Picture 33" descr="undefined">
          <a:extLst>
            <a:ext uri="{FF2B5EF4-FFF2-40B4-BE49-F238E27FC236}">
              <a16:creationId xmlns:a16="http://schemas.microsoft.com/office/drawing/2014/main" id="{D2CA896D-AC9C-50E9-6225-C4C383A060D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595150" y="23719117"/>
          <a:ext cx="7091485" cy="369499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401238</xdr:colOff>
      <xdr:row>306</xdr:row>
      <xdr:rowOff>37352</xdr:rowOff>
    </xdr:from>
    <xdr:to>
      <xdr:col>13</xdr:col>
      <xdr:colOff>839312</xdr:colOff>
      <xdr:row>323</xdr:row>
      <xdr:rowOff>182457</xdr:rowOff>
    </xdr:to>
    <xdr:pic>
      <xdr:nvPicPr>
        <xdr:cNvPr id="36" name="Picture 35" descr="undefined">
          <a:extLst>
            <a:ext uri="{FF2B5EF4-FFF2-40B4-BE49-F238E27FC236}">
              <a16:creationId xmlns:a16="http://schemas.microsoft.com/office/drawing/2014/main" id="{A683F2B9-BE15-21B8-81E2-39EC63BC1F4E}"/>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600209" y="23719117"/>
          <a:ext cx="6975968" cy="363760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20415</xdr:colOff>
      <xdr:row>306</xdr:row>
      <xdr:rowOff>63638</xdr:rowOff>
    </xdr:from>
    <xdr:to>
      <xdr:col>20</xdr:col>
      <xdr:colOff>23454</xdr:colOff>
      <xdr:row>324</xdr:row>
      <xdr:rowOff>15442</xdr:rowOff>
    </xdr:to>
    <xdr:pic>
      <xdr:nvPicPr>
        <xdr:cNvPr id="38" name="Picture 37" descr="undefined">
          <a:extLst>
            <a:ext uri="{FF2B5EF4-FFF2-40B4-BE49-F238E27FC236}">
              <a16:creationId xmlns:a16="http://schemas.microsoft.com/office/drawing/2014/main" id="{9E18619F-4981-CFA5-E5B8-8E6353AAC618}"/>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6962215" y="46799638"/>
          <a:ext cx="7106876" cy="360940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280631</xdr:colOff>
      <xdr:row>306</xdr:row>
      <xdr:rowOff>193285</xdr:rowOff>
    </xdr:from>
    <xdr:to>
      <xdr:col>26</xdr:col>
      <xdr:colOff>171672</xdr:colOff>
      <xdr:row>324</xdr:row>
      <xdr:rowOff>8479</xdr:rowOff>
    </xdr:to>
    <xdr:pic>
      <xdr:nvPicPr>
        <xdr:cNvPr id="39" name="Picture 38" descr="undefined">
          <a:extLst>
            <a:ext uri="{FF2B5EF4-FFF2-40B4-BE49-F238E27FC236}">
              <a16:creationId xmlns:a16="http://schemas.microsoft.com/office/drawing/2014/main" id="{78CB5C44-7DB0-BBA1-4A59-1F2E6277DB5D}"/>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4660095" y="62445964"/>
          <a:ext cx="6822387" cy="348912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809102</xdr:colOff>
      <xdr:row>323</xdr:row>
      <xdr:rowOff>59648</xdr:rowOff>
    </xdr:from>
    <xdr:to>
      <xdr:col>7</xdr:col>
      <xdr:colOff>237345</xdr:colOff>
      <xdr:row>341</xdr:row>
      <xdr:rowOff>37352</xdr:rowOff>
    </xdr:to>
    <xdr:pic>
      <xdr:nvPicPr>
        <xdr:cNvPr id="40" name="Picture 39" descr="undefined">
          <a:extLst>
            <a:ext uri="{FF2B5EF4-FFF2-40B4-BE49-F238E27FC236}">
              <a16:creationId xmlns:a16="http://schemas.microsoft.com/office/drawing/2014/main" id="{75B6C9A4-FB95-4413-10A8-0C594464F781}"/>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1630867" y="27644795"/>
          <a:ext cx="7054339" cy="367564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522941</xdr:colOff>
      <xdr:row>325</xdr:row>
      <xdr:rowOff>32942</xdr:rowOff>
    </xdr:from>
    <xdr:to>
      <xdr:col>13</xdr:col>
      <xdr:colOff>1055058</xdr:colOff>
      <xdr:row>343</xdr:row>
      <xdr:rowOff>16268</xdr:rowOff>
    </xdr:to>
    <xdr:pic>
      <xdr:nvPicPr>
        <xdr:cNvPr id="42" name="Picture 41" descr="undefined">
          <a:extLst>
            <a:ext uri="{FF2B5EF4-FFF2-40B4-BE49-F238E27FC236}">
              <a16:creationId xmlns:a16="http://schemas.microsoft.com/office/drawing/2014/main" id="{0375CA79-5C56-B375-5AA5-76649A80438D}"/>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8721912" y="27618089"/>
          <a:ext cx="7059706" cy="368126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533724</xdr:colOff>
      <xdr:row>325</xdr:row>
      <xdr:rowOff>62752</xdr:rowOff>
    </xdr:from>
    <xdr:to>
      <xdr:col>20</xdr:col>
      <xdr:colOff>653854</xdr:colOff>
      <xdr:row>343</xdr:row>
      <xdr:rowOff>75514</xdr:rowOff>
    </xdr:to>
    <xdr:pic>
      <xdr:nvPicPr>
        <xdr:cNvPr id="44" name="Picture 43" descr="undefined">
          <a:extLst>
            <a:ext uri="{FF2B5EF4-FFF2-40B4-BE49-F238E27FC236}">
              <a16:creationId xmlns:a16="http://schemas.microsoft.com/office/drawing/2014/main" id="{9443E183-706A-BA20-CA09-9B947DF85CED}"/>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7475524" y="50659552"/>
          <a:ext cx="7235745" cy="367036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881012</xdr:colOff>
      <xdr:row>325</xdr:row>
      <xdr:rowOff>124279</xdr:rowOff>
    </xdr:from>
    <xdr:to>
      <xdr:col>26</xdr:col>
      <xdr:colOff>1219895</xdr:colOff>
      <xdr:row>343</xdr:row>
      <xdr:rowOff>181055</xdr:rowOff>
    </xdr:to>
    <xdr:pic>
      <xdr:nvPicPr>
        <xdr:cNvPr id="46" name="Picture 45" descr="undefined">
          <a:extLst>
            <a:ext uri="{FF2B5EF4-FFF2-40B4-BE49-F238E27FC236}">
              <a16:creationId xmlns:a16="http://schemas.microsoft.com/office/drawing/2014/main" id="{0918844E-F077-8658-BF13-13774DAE0EAD}"/>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5260476" y="66254993"/>
          <a:ext cx="7270229" cy="373070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485590</xdr:colOff>
      <xdr:row>344</xdr:row>
      <xdr:rowOff>130736</xdr:rowOff>
    </xdr:from>
    <xdr:to>
      <xdr:col>6</xdr:col>
      <xdr:colOff>1034144</xdr:colOff>
      <xdr:row>369</xdr:row>
      <xdr:rowOff>18831</xdr:rowOff>
    </xdr:to>
    <xdr:pic>
      <xdr:nvPicPr>
        <xdr:cNvPr id="47" name="Picture 46" descr="undefined">
          <a:extLst>
            <a:ext uri="{FF2B5EF4-FFF2-40B4-BE49-F238E27FC236}">
              <a16:creationId xmlns:a16="http://schemas.microsoft.com/office/drawing/2014/main" id="{4B42B558-4FA3-AFEF-B75D-23E554CED0FC}"/>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129119" y="31619265"/>
          <a:ext cx="5939118" cy="5024127"/>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616182</xdr:colOff>
      <xdr:row>345</xdr:row>
      <xdr:rowOff>168087</xdr:rowOff>
    </xdr:from>
    <xdr:to>
      <xdr:col>13</xdr:col>
      <xdr:colOff>1111087</xdr:colOff>
      <xdr:row>360</xdr:row>
      <xdr:rowOff>157130</xdr:rowOff>
    </xdr:to>
    <xdr:pic>
      <xdr:nvPicPr>
        <xdr:cNvPr id="48" name="Picture 47" descr="undefined">
          <a:extLst>
            <a:ext uri="{FF2B5EF4-FFF2-40B4-BE49-F238E27FC236}">
              <a16:creationId xmlns:a16="http://schemas.microsoft.com/office/drawing/2014/main" id="{7A97C3A7-0B17-29A2-D888-883945EDFA6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815153" y="31862058"/>
          <a:ext cx="7022494" cy="307065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626190</xdr:colOff>
      <xdr:row>344</xdr:row>
      <xdr:rowOff>174811</xdr:rowOff>
    </xdr:from>
    <xdr:to>
      <xdr:col>20</xdr:col>
      <xdr:colOff>685231</xdr:colOff>
      <xdr:row>362</xdr:row>
      <xdr:rowOff>180999</xdr:rowOff>
    </xdr:to>
    <xdr:pic>
      <xdr:nvPicPr>
        <xdr:cNvPr id="49" name="Picture 48" descr="undefined">
          <a:extLst>
            <a:ext uri="{FF2B5EF4-FFF2-40B4-BE49-F238E27FC236}">
              <a16:creationId xmlns:a16="http://schemas.microsoft.com/office/drawing/2014/main" id="{C09C2B03-C869-FCF5-1B75-46C32657D137}"/>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17567990" y="54632411"/>
          <a:ext cx="7174656" cy="366378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383875</xdr:colOff>
      <xdr:row>345</xdr:row>
      <xdr:rowOff>12990</xdr:rowOff>
    </xdr:from>
    <xdr:to>
      <xdr:col>25</xdr:col>
      <xdr:colOff>742987</xdr:colOff>
      <xdr:row>364</xdr:row>
      <xdr:rowOff>23368</xdr:rowOff>
    </xdr:to>
    <xdr:pic>
      <xdr:nvPicPr>
        <xdr:cNvPr id="51" name="Picture 50" descr="undefined">
          <a:extLst>
            <a:ext uri="{FF2B5EF4-FFF2-40B4-BE49-F238E27FC236}">
              <a16:creationId xmlns:a16="http://schemas.microsoft.com/office/drawing/2014/main" id="{31A44905-3576-A5F4-3CA0-CE5673FA8C94}"/>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7303339" y="70225847"/>
          <a:ext cx="3145810" cy="3888413"/>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846666</xdr:colOff>
      <xdr:row>210</xdr:row>
      <xdr:rowOff>161270</xdr:rowOff>
    </xdr:from>
    <xdr:to>
      <xdr:col>6</xdr:col>
      <xdr:colOff>100794</xdr:colOff>
      <xdr:row>213</xdr:row>
      <xdr:rowOff>20159</xdr:rowOff>
    </xdr:to>
    <xdr:sp macro="" textlink="">
      <xdr:nvSpPr>
        <xdr:cNvPr id="52" name="TextBox 51">
          <a:extLst>
            <a:ext uri="{FF2B5EF4-FFF2-40B4-BE49-F238E27FC236}">
              <a16:creationId xmlns:a16="http://schemas.microsoft.com/office/drawing/2014/main" id="{8147F452-F15C-6DD1-F0AB-FA9B1380E683}"/>
            </a:ext>
          </a:extLst>
        </xdr:cNvPr>
        <xdr:cNvSpPr txBox="1"/>
      </xdr:nvSpPr>
      <xdr:spPr>
        <a:xfrm>
          <a:off x="4535714" y="13143492"/>
          <a:ext cx="2298096" cy="463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a:t>
          </a:r>
        </a:p>
      </xdr:txBody>
    </xdr:sp>
    <xdr:clientData/>
  </xdr:twoCellAnchor>
  <xdr:twoCellAnchor>
    <xdr:from>
      <xdr:col>11</xdr:col>
      <xdr:colOff>735520</xdr:colOff>
      <xdr:row>209</xdr:row>
      <xdr:rowOff>192718</xdr:rowOff>
    </xdr:from>
    <xdr:to>
      <xdr:col>14</xdr:col>
      <xdr:colOff>554093</xdr:colOff>
      <xdr:row>212</xdr:row>
      <xdr:rowOff>51608</xdr:rowOff>
    </xdr:to>
    <xdr:sp macro="" textlink="">
      <xdr:nvSpPr>
        <xdr:cNvPr id="53" name="TextBox 52">
          <a:extLst>
            <a:ext uri="{FF2B5EF4-FFF2-40B4-BE49-F238E27FC236}">
              <a16:creationId xmlns:a16="http://schemas.microsoft.com/office/drawing/2014/main" id="{1D9D5C5A-98D9-114A-9558-32242EFF96E8}"/>
            </a:ext>
          </a:extLst>
        </xdr:cNvPr>
        <xdr:cNvSpPr txBox="1"/>
      </xdr:nvSpPr>
      <xdr:spPr>
        <a:xfrm>
          <a:off x="13174049" y="19952424"/>
          <a:ext cx="3068279" cy="475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a:t>
          </a:r>
        </a:p>
      </xdr:txBody>
    </xdr:sp>
    <xdr:clientData/>
  </xdr:twoCellAnchor>
  <xdr:twoCellAnchor>
    <xdr:from>
      <xdr:col>17</xdr:col>
      <xdr:colOff>665618</xdr:colOff>
      <xdr:row>210</xdr:row>
      <xdr:rowOff>85330</xdr:rowOff>
    </xdr:from>
    <xdr:to>
      <xdr:col>20</xdr:col>
      <xdr:colOff>892831</xdr:colOff>
      <xdr:row>212</xdr:row>
      <xdr:rowOff>145808</xdr:rowOff>
    </xdr:to>
    <xdr:sp macro="" textlink="">
      <xdr:nvSpPr>
        <xdr:cNvPr id="54" name="TextBox 53">
          <a:extLst>
            <a:ext uri="{FF2B5EF4-FFF2-40B4-BE49-F238E27FC236}">
              <a16:creationId xmlns:a16="http://schemas.microsoft.com/office/drawing/2014/main" id="{D0F3DCA0-5E61-7B4F-9CAF-08870B0CEFF6}"/>
            </a:ext>
          </a:extLst>
        </xdr:cNvPr>
        <xdr:cNvSpPr txBox="1"/>
      </xdr:nvSpPr>
      <xdr:spPr>
        <a:xfrm>
          <a:off x="19741018" y="27314130"/>
          <a:ext cx="3300613" cy="466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3</a:t>
          </a:r>
        </a:p>
      </xdr:txBody>
    </xdr:sp>
    <xdr:clientData/>
  </xdr:twoCellAnchor>
  <xdr:twoCellAnchor>
    <xdr:from>
      <xdr:col>23</xdr:col>
      <xdr:colOff>662155</xdr:colOff>
      <xdr:row>210</xdr:row>
      <xdr:rowOff>131169</xdr:rowOff>
    </xdr:from>
    <xdr:to>
      <xdr:col>26</xdr:col>
      <xdr:colOff>326887</xdr:colOff>
      <xdr:row>212</xdr:row>
      <xdr:rowOff>195500</xdr:rowOff>
    </xdr:to>
    <xdr:sp macro="" textlink="">
      <xdr:nvSpPr>
        <xdr:cNvPr id="55" name="TextBox 54">
          <a:extLst>
            <a:ext uri="{FF2B5EF4-FFF2-40B4-BE49-F238E27FC236}">
              <a16:creationId xmlns:a16="http://schemas.microsoft.com/office/drawing/2014/main" id="{F57DF5A5-D1C8-1548-89D0-43A059D73DDE}"/>
            </a:ext>
          </a:extLst>
        </xdr:cNvPr>
        <xdr:cNvSpPr txBox="1"/>
      </xdr:nvSpPr>
      <xdr:spPr>
        <a:xfrm>
          <a:off x="27581619" y="42789562"/>
          <a:ext cx="2885089" cy="472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4</a:t>
          </a:r>
        </a:p>
      </xdr:txBody>
    </xdr:sp>
    <xdr:clientData/>
  </xdr:twoCellAnchor>
  <xdr:twoCellAnchor>
    <xdr:from>
      <xdr:col>3</xdr:col>
      <xdr:colOff>1331259</xdr:colOff>
      <xdr:row>226</xdr:row>
      <xdr:rowOff>183776</xdr:rowOff>
    </xdr:from>
    <xdr:to>
      <xdr:col>6</xdr:col>
      <xdr:colOff>591031</xdr:colOff>
      <xdr:row>229</xdr:row>
      <xdr:rowOff>41053</xdr:rowOff>
    </xdr:to>
    <xdr:sp macro="" textlink="">
      <xdr:nvSpPr>
        <xdr:cNvPr id="56" name="TextBox 55">
          <a:extLst>
            <a:ext uri="{FF2B5EF4-FFF2-40B4-BE49-F238E27FC236}">
              <a16:creationId xmlns:a16="http://schemas.microsoft.com/office/drawing/2014/main" id="{02651339-2953-824D-8D5A-B0EE32229BF4}"/>
            </a:ext>
          </a:extLst>
        </xdr:cNvPr>
        <xdr:cNvSpPr txBox="1"/>
      </xdr:nvSpPr>
      <xdr:spPr>
        <a:xfrm>
          <a:off x="4300818" y="23435982"/>
          <a:ext cx="3144478" cy="4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5</a:t>
          </a:r>
        </a:p>
      </xdr:txBody>
    </xdr:sp>
    <xdr:clientData/>
  </xdr:twoCellAnchor>
  <xdr:twoCellAnchor>
    <xdr:from>
      <xdr:col>10</xdr:col>
      <xdr:colOff>982383</xdr:colOff>
      <xdr:row>226</xdr:row>
      <xdr:rowOff>188259</xdr:rowOff>
    </xdr:from>
    <xdr:to>
      <xdr:col>13</xdr:col>
      <xdr:colOff>931691</xdr:colOff>
      <xdr:row>229</xdr:row>
      <xdr:rowOff>43295</xdr:rowOff>
    </xdr:to>
    <xdr:sp macro="" textlink="">
      <xdr:nvSpPr>
        <xdr:cNvPr id="57" name="TextBox 56">
          <a:extLst>
            <a:ext uri="{FF2B5EF4-FFF2-40B4-BE49-F238E27FC236}">
              <a16:creationId xmlns:a16="http://schemas.microsoft.com/office/drawing/2014/main" id="{3EBD0053-0B2C-3C43-B83B-11E3EB9B94D5}"/>
            </a:ext>
          </a:extLst>
        </xdr:cNvPr>
        <xdr:cNvSpPr txBox="1"/>
      </xdr:nvSpPr>
      <xdr:spPr>
        <a:xfrm>
          <a:off x="12169589" y="23440465"/>
          <a:ext cx="3385778" cy="471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6</a:t>
          </a:r>
        </a:p>
      </xdr:txBody>
    </xdr:sp>
    <xdr:clientData/>
  </xdr:twoCellAnchor>
  <xdr:twoCellAnchor>
    <xdr:from>
      <xdr:col>17</xdr:col>
      <xdr:colOff>643965</xdr:colOff>
      <xdr:row>226</xdr:row>
      <xdr:rowOff>62005</xdr:rowOff>
    </xdr:from>
    <xdr:to>
      <xdr:col>20</xdr:col>
      <xdr:colOff>862214</xdr:colOff>
      <xdr:row>228</xdr:row>
      <xdr:rowOff>122482</xdr:rowOff>
    </xdr:to>
    <xdr:sp macro="" textlink="">
      <xdr:nvSpPr>
        <xdr:cNvPr id="58" name="TextBox 57">
          <a:extLst>
            <a:ext uri="{FF2B5EF4-FFF2-40B4-BE49-F238E27FC236}">
              <a16:creationId xmlns:a16="http://schemas.microsoft.com/office/drawing/2014/main" id="{62054BEE-E12C-C045-B1E7-BBDC2DAD29CC}"/>
            </a:ext>
          </a:extLst>
        </xdr:cNvPr>
        <xdr:cNvSpPr txBox="1"/>
      </xdr:nvSpPr>
      <xdr:spPr>
        <a:xfrm>
          <a:off x="19719365" y="30542005"/>
          <a:ext cx="3291649"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7</a:t>
          </a:r>
        </a:p>
      </xdr:txBody>
    </xdr:sp>
    <xdr:clientData/>
  </xdr:twoCellAnchor>
  <xdr:twoCellAnchor>
    <xdr:from>
      <xdr:col>24</xdr:col>
      <xdr:colOff>1222721</xdr:colOff>
      <xdr:row>223</xdr:row>
      <xdr:rowOff>139220</xdr:rowOff>
    </xdr:from>
    <xdr:to>
      <xdr:col>27</xdr:col>
      <xdr:colOff>1015894</xdr:colOff>
      <xdr:row>225</xdr:row>
      <xdr:rowOff>199697</xdr:rowOff>
    </xdr:to>
    <xdr:sp macro="" textlink="">
      <xdr:nvSpPr>
        <xdr:cNvPr id="60" name="TextBox 59">
          <a:extLst>
            <a:ext uri="{FF2B5EF4-FFF2-40B4-BE49-F238E27FC236}">
              <a16:creationId xmlns:a16="http://schemas.microsoft.com/office/drawing/2014/main" id="{D9F95A9A-8600-3846-98FF-53798E80DC90}"/>
            </a:ext>
          </a:extLst>
        </xdr:cNvPr>
        <xdr:cNvSpPr txBox="1"/>
      </xdr:nvSpPr>
      <xdr:spPr>
        <a:xfrm>
          <a:off x="28958614" y="45451006"/>
          <a:ext cx="3399066" cy="468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8</a:t>
          </a:r>
        </a:p>
      </xdr:txBody>
    </xdr:sp>
    <xdr:clientData/>
  </xdr:twoCellAnchor>
  <xdr:twoCellAnchor>
    <xdr:from>
      <xdr:col>4</xdr:col>
      <xdr:colOff>129988</xdr:colOff>
      <xdr:row>243</xdr:row>
      <xdr:rowOff>177800</xdr:rowOff>
    </xdr:from>
    <xdr:to>
      <xdr:col>6</xdr:col>
      <xdr:colOff>435642</xdr:colOff>
      <xdr:row>246</xdr:row>
      <xdr:rowOff>35077</xdr:rowOff>
    </xdr:to>
    <xdr:sp macro="" textlink="">
      <xdr:nvSpPr>
        <xdr:cNvPr id="61" name="TextBox 60">
          <a:extLst>
            <a:ext uri="{FF2B5EF4-FFF2-40B4-BE49-F238E27FC236}">
              <a16:creationId xmlns:a16="http://schemas.microsoft.com/office/drawing/2014/main" id="{6BBA12E8-241E-2A46-A5B7-12EF5DD7252D}"/>
            </a:ext>
          </a:extLst>
        </xdr:cNvPr>
        <xdr:cNvSpPr txBox="1"/>
      </xdr:nvSpPr>
      <xdr:spPr>
        <a:xfrm>
          <a:off x="4134223" y="23575682"/>
          <a:ext cx="2262948" cy="484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9</a:t>
          </a:r>
        </a:p>
      </xdr:txBody>
    </xdr:sp>
    <xdr:clientData/>
  </xdr:twoCellAnchor>
  <xdr:twoCellAnchor>
    <xdr:from>
      <xdr:col>11</xdr:col>
      <xdr:colOff>749300</xdr:colOff>
      <xdr:row>242</xdr:row>
      <xdr:rowOff>127000</xdr:rowOff>
    </xdr:from>
    <xdr:to>
      <xdr:col>14</xdr:col>
      <xdr:colOff>567872</xdr:colOff>
      <xdr:row>244</xdr:row>
      <xdr:rowOff>187477</xdr:rowOff>
    </xdr:to>
    <xdr:sp macro="" textlink="">
      <xdr:nvSpPr>
        <xdr:cNvPr id="62" name="TextBox 61">
          <a:extLst>
            <a:ext uri="{FF2B5EF4-FFF2-40B4-BE49-F238E27FC236}">
              <a16:creationId xmlns:a16="http://schemas.microsoft.com/office/drawing/2014/main" id="{73F437EA-E591-CD4C-8D85-B51561BE0B16}"/>
            </a:ext>
          </a:extLst>
        </xdr:cNvPr>
        <xdr:cNvSpPr txBox="1"/>
      </xdr:nvSpPr>
      <xdr:spPr>
        <a:xfrm>
          <a:off x="11607800" y="19875500"/>
          <a:ext cx="2295072"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10</a:t>
          </a:r>
        </a:p>
      </xdr:txBody>
    </xdr:sp>
    <xdr:clientData/>
  </xdr:twoCellAnchor>
  <xdr:twoCellAnchor>
    <xdr:from>
      <xdr:col>18</xdr:col>
      <xdr:colOff>723900</xdr:colOff>
      <xdr:row>243</xdr:row>
      <xdr:rowOff>88900</xdr:rowOff>
    </xdr:from>
    <xdr:to>
      <xdr:col>21</xdr:col>
      <xdr:colOff>593272</xdr:colOff>
      <xdr:row>245</xdr:row>
      <xdr:rowOff>149377</xdr:rowOff>
    </xdr:to>
    <xdr:sp macro="" textlink="">
      <xdr:nvSpPr>
        <xdr:cNvPr id="63" name="TextBox 62">
          <a:extLst>
            <a:ext uri="{FF2B5EF4-FFF2-40B4-BE49-F238E27FC236}">
              <a16:creationId xmlns:a16="http://schemas.microsoft.com/office/drawing/2014/main" id="{DD0CC4A4-E679-FC49-9D7D-966D6F3570B8}"/>
            </a:ext>
          </a:extLst>
        </xdr:cNvPr>
        <xdr:cNvSpPr txBox="1"/>
      </xdr:nvSpPr>
      <xdr:spPr>
        <a:xfrm>
          <a:off x="20662900" y="34023300"/>
          <a:ext cx="3323772"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11</a:t>
          </a:r>
        </a:p>
      </xdr:txBody>
    </xdr:sp>
    <xdr:clientData/>
  </xdr:twoCellAnchor>
  <xdr:twoCellAnchor>
    <xdr:from>
      <xdr:col>24</xdr:col>
      <xdr:colOff>464457</xdr:colOff>
      <xdr:row>243</xdr:row>
      <xdr:rowOff>187779</xdr:rowOff>
    </xdr:from>
    <xdr:to>
      <xdr:col>27</xdr:col>
      <xdr:colOff>105229</xdr:colOff>
      <xdr:row>246</xdr:row>
      <xdr:rowOff>45056</xdr:rowOff>
    </xdr:to>
    <xdr:sp macro="" textlink="">
      <xdr:nvSpPr>
        <xdr:cNvPr id="64" name="TextBox 63">
          <a:extLst>
            <a:ext uri="{FF2B5EF4-FFF2-40B4-BE49-F238E27FC236}">
              <a16:creationId xmlns:a16="http://schemas.microsoft.com/office/drawing/2014/main" id="{9BD3F17D-F212-C243-93F1-F68B23E98CEA}"/>
            </a:ext>
          </a:extLst>
        </xdr:cNvPr>
        <xdr:cNvSpPr txBox="1"/>
      </xdr:nvSpPr>
      <xdr:spPr>
        <a:xfrm>
          <a:off x="28200350" y="49581708"/>
          <a:ext cx="3246665" cy="46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12</a:t>
          </a:r>
        </a:p>
      </xdr:txBody>
    </xdr:sp>
    <xdr:clientData/>
  </xdr:twoCellAnchor>
  <xdr:twoCellAnchor>
    <xdr:from>
      <xdr:col>3</xdr:col>
      <xdr:colOff>1079500</xdr:colOff>
      <xdr:row>261</xdr:row>
      <xdr:rowOff>152400</xdr:rowOff>
    </xdr:from>
    <xdr:to>
      <xdr:col>6</xdr:col>
      <xdr:colOff>339272</xdr:colOff>
      <xdr:row>264</xdr:row>
      <xdr:rowOff>9677</xdr:rowOff>
    </xdr:to>
    <xdr:sp macro="" textlink="">
      <xdr:nvSpPr>
        <xdr:cNvPr id="65" name="TextBox 64">
          <a:extLst>
            <a:ext uri="{FF2B5EF4-FFF2-40B4-BE49-F238E27FC236}">
              <a16:creationId xmlns:a16="http://schemas.microsoft.com/office/drawing/2014/main" id="{E200762D-8902-4D4F-B164-4FCDF680513E}"/>
            </a:ext>
          </a:extLst>
        </xdr:cNvPr>
        <xdr:cNvSpPr txBox="1"/>
      </xdr:nvSpPr>
      <xdr:spPr>
        <a:xfrm>
          <a:off x="4775200" y="23761700"/>
          <a:ext cx="2295072"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13</a:t>
          </a:r>
        </a:p>
      </xdr:txBody>
    </xdr:sp>
    <xdr:clientData/>
  </xdr:twoCellAnchor>
  <xdr:twoCellAnchor>
    <xdr:from>
      <xdr:col>10</xdr:col>
      <xdr:colOff>873311</xdr:colOff>
      <xdr:row>261</xdr:row>
      <xdr:rowOff>90394</xdr:rowOff>
    </xdr:from>
    <xdr:to>
      <xdr:col>13</xdr:col>
      <xdr:colOff>396795</xdr:colOff>
      <xdr:row>263</xdr:row>
      <xdr:rowOff>153113</xdr:rowOff>
    </xdr:to>
    <xdr:sp macro="" textlink="">
      <xdr:nvSpPr>
        <xdr:cNvPr id="66" name="TextBox 65">
          <a:extLst>
            <a:ext uri="{FF2B5EF4-FFF2-40B4-BE49-F238E27FC236}">
              <a16:creationId xmlns:a16="http://schemas.microsoft.com/office/drawing/2014/main" id="{9821FB33-DAE6-F240-9E4B-306F38C386AB}"/>
            </a:ext>
          </a:extLst>
        </xdr:cNvPr>
        <xdr:cNvSpPr txBox="1"/>
      </xdr:nvSpPr>
      <xdr:spPr>
        <a:xfrm>
          <a:off x="12060517" y="30533041"/>
          <a:ext cx="2959954" cy="473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14</a:t>
          </a:r>
        </a:p>
      </xdr:txBody>
    </xdr:sp>
    <xdr:clientData/>
  </xdr:twoCellAnchor>
  <xdr:twoCellAnchor>
    <xdr:from>
      <xdr:col>17</xdr:col>
      <xdr:colOff>229347</xdr:colOff>
      <xdr:row>261</xdr:row>
      <xdr:rowOff>76200</xdr:rowOff>
    </xdr:from>
    <xdr:to>
      <xdr:col>20</xdr:col>
      <xdr:colOff>456560</xdr:colOff>
      <xdr:row>263</xdr:row>
      <xdr:rowOff>136677</xdr:rowOff>
    </xdr:to>
    <xdr:sp macro="" textlink="">
      <xdr:nvSpPr>
        <xdr:cNvPr id="67" name="TextBox 66">
          <a:extLst>
            <a:ext uri="{FF2B5EF4-FFF2-40B4-BE49-F238E27FC236}">
              <a16:creationId xmlns:a16="http://schemas.microsoft.com/office/drawing/2014/main" id="{F3965740-01F5-3E49-91CD-26BCB1F25E8B}"/>
            </a:ext>
          </a:extLst>
        </xdr:cNvPr>
        <xdr:cNvSpPr txBox="1"/>
      </xdr:nvSpPr>
      <xdr:spPr>
        <a:xfrm>
          <a:off x="19304747" y="37668200"/>
          <a:ext cx="3300613"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15</a:t>
          </a:r>
        </a:p>
      </xdr:txBody>
    </xdr:sp>
    <xdr:clientData/>
  </xdr:twoCellAnchor>
  <xdr:twoCellAnchor>
    <xdr:from>
      <xdr:col>24</xdr:col>
      <xdr:colOff>413657</xdr:colOff>
      <xdr:row>260</xdr:row>
      <xdr:rowOff>136979</xdr:rowOff>
    </xdr:from>
    <xdr:to>
      <xdr:col>27</xdr:col>
      <xdr:colOff>54429</xdr:colOff>
      <xdr:row>262</xdr:row>
      <xdr:rowOff>197456</xdr:rowOff>
    </xdr:to>
    <xdr:sp macro="" textlink="">
      <xdr:nvSpPr>
        <xdr:cNvPr id="68" name="TextBox 67">
          <a:extLst>
            <a:ext uri="{FF2B5EF4-FFF2-40B4-BE49-F238E27FC236}">
              <a16:creationId xmlns:a16="http://schemas.microsoft.com/office/drawing/2014/main" id="{7C707737-2BFF-C34E-B785-A307CDDFF948}"/>
            </a:ext>
          </a:extLst>
        </xdr:cNvPr>
        <xdr:cNvSpPr txBox="1"/>
      </xdr:nvSpPr>
      <xdr:spPr>
        <a:xfrm>
          <a:off x="28149550" y="53000729"/>
          <a:ext cx="3246665" cy="468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16</a:t>
          </a:r>
        </a:p>
      </xdr:txBody>
    </xdr:sp>
    <xdr:clientData/>
  </xdr:twoCellAnchor>
  <xdr:twoCellAnchor>
    <xdr:from>
      <xdr:col>3</xdr:col>
      <xdr:colOff>1116853</xdr:colOff>
      <xdr:row>280</xdr:row>
      <xdr:rowOff>151653</xdr:rowOff>
    </xdr:from>
    <xdr:to>
      <xdr:col>6</xdr:col>
      <xdr:colOff>376625</xdr:colOff>
      <xdr:row>283</xdr:row>
      <xdr:rowOff>6689</xdr:rowOff>
    </xdr:to>
    <xdr:sp macro="" textlink="">
      <xdr:nvSpPr>
        <xdr:cNvPr id="69" name="TextBox 68">
          <a:extLst>
            <a:ext uri="{FF2B5EF4-FFF2-40B4-BE49-F238E27FC236}">
              <a16:creationId xmlns:a16="http://schemas.microsoft.com/office/drawing/2014/main" id="{58FEB456-5E68-F240-ACC5-FC31C4DCC7C2}"/>
            </a:ext>
          </a:extLst>
        </xdr:cNvPr>
        <xdr:cNvSpPr txBox="1"/>
      </xdr:nvSpPr>
      <xdr:spPr>
        <a:xfrm>
          <a:off x="4086412" y="34497682"/>
          <a:ext cx="3144478" cy="471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17</a:t>
          </a:r>
        </a:p>
      </xdr:txBody>
    </xdr:sp>
    <xdr:clientData/>
  </xdr:twoCellAnchor>
  <xdr:twoCellAnchor>
    <xdr:from>
      <xdr:col>10</xdr:col>
      <xdr:colOff>1035423</xdr:colOff>
      <xdr:row>281</xdr:row>
      <xdr:rowOff>21664</xdr:rowOff>
    </xdr:from>
    <xdr:to>
      <xdr:col>13</xdr:col>
      <xdr:colOff>667231</xdr:colOff>
      <xdr:row>283</xdr:row>
      <xdr:rowOff>84383</xdr:rowOff>
    </xdr:to>
    <xdr:sp macro="" textlink="">
      <xdr:nvSpPr>
        <xdr:cNvPr id="70" name="TextBox 69">
          <a:extLst>
            <a:ext uri="{FF2B5EF4-FFF2-40B4-BE49-F238E27FC236}">
              <a16:creationId xmlns:a16="http://schemas.microsoft.com/office/drawing/2014/main" id="{01D12E8E-3F49-5D40-80A1-A50DD76634D0}"/>
            </a:ext>
          </a:extLst>
        </xdr:cNvPr>
        <xdr:cNvSpPr txBox="1"/>
      </xdr:nvSpPr>
      <xdr:spPr>
        <a:xfrm>
          <a:off x="12222629" y="34573135"/>
          <a:ext cx="3068278" cy="473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18</a:t>
          </a:r>
        </a:p>
      </xdr:txBody>
    </xdr:sp>
    <xdr:clientData/>
  </xdr:twoCellAnchor>
  <xdr:twoCellAnchor>
    <xdr:from>
      <xdr:col>17</xdr:col>
      <xdr:colOff>372036</xdr:colOff>
      <xdr:row>280</xdr:row>
      <xdr:rowOff>121023</xdr:rowOff>
    </xdr:from>
    <xdr:to>
      <xdr:col>20</xdr:col>
      <xdr:colOff>599249</xdr:colOff>
      <xdr:row>282</xdr:row>
      <xdr:rowOff>181500</xdr:rowOff>
    </xdr:to>
    <xdr:sp macro="" textlink="">
      <xdr:nvSpPr>
        <xdr:cNvPr id="71" name="TextBox 70">
          <a:extLst>
            <a:ext uri="{FF2B5EF4-FFF2-40B4-BE49-F238E27FC236}">
              <a16:creationId xmlns:a16="http://schemas.microsoft.com/office/drawing/2014/main" id="{9BD41E21-3E52-4B4F-8099-EF6F087B0C96}"/>
            </a:ext>
          </a:extLst>
        </xdr:cNvPr>
        <xdr:cNvSpPr txBox="1"/>
      </xdr:nvSpPr>
      <xdr:spPr>
        <a:xfrm>
          <a:off x="19447436" y="41573823"/>
          <a:ext cx="3300613"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19</a:t>
          </a:r>
        </a:p>
      </xdr:txBody>
    </xdr:sp>
    <xdr:clientData/>
  </xdr:twoCellAnchor>
  <xdr:twoCellAnchor>
    <xdr:from>
      <xdr:col>23</xdr:col>
      <xdr:colOff>98079</xdr:colOff>
      <xdr:row>280</xdr:row>
      <xdr:rowOff>83191</xdr:rowOff>
    </xdr:from>
    <xdr:to>
      <xdr:col>25</xdr:col>
      <xdr:colOff>1150578</xdr:colOff>
      <xdr:row>282</xdr:row>
      <xdr:rowOff>141427</xdr:rowOff>
    </xdr:to>
    <xdr:sp macro="" textlink="">
      <xdr:nvSpPr>
        <xdr:cNvPr id="72" name="TextBox 71">
          <a:extLst>
            <a:ext uri="{FF2B5EF4-FFF2-40B4-BE49-F238E27FC236}">
              <a16:creationId xmlns:a16="http://schemas.microsoft.com/office/drawing/2014/main" id="{C4AF6A5E-26D5-DB46-9856-67D4E38B688A}"/>
            </a:ext>
          </a:extLst>
        </xdr:cNvPr>
        <xdr:cNvSpPr txBox="1"/>
      </xdr:nvSpPr>
      <xdr:spPr>
        <a:xfrm>
          <a:off x="27017543" y="57029084"/>
          <a:ext cx="3093571" cy="466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20</a:t>
          </a:r>
        </a:p>
      </xdr:txBody>
    </xdr:sp>
    <xdr:clientData/>
  </xdr:twoCellAnchor>
  <xdr:twoCellAnchor>
    <xdr:from>
      <xdr:col>23</xdr:col>
      <xdr:colOff>39808</xdr:colOff>
      <xdr:row>300</xdr:row>
      <xdr:rowOff>92155</xdr:rowOff>
    </xdr:from>
    <xdr:to>
      <xdr:col>25</xdr:col>
      <xdr:colOff>1092307</xdr:colOff>
      <xdr:row>302</xdr:row>
      <xdr:rowOff>152632</xdr:rowOff>
    </xdr:to>
    <xdr:sp macro="" textlink="">
      <xdr:nvSpPr>
        <xdr:cNvPr id="73" name="TextBox 72">
          <a:extLst>
            <a:ext uri="{FF2B5EF4-FFF2-40B4-BE49-F238E27FC236}">
              <a16:creationId xmlns:a16="http://schemas.microsoft.com/office/drawing/2014/main" id="{32F2BA6D-C626-C845-9A16-ED20F4D4E33B}"/>
            </a:ext>
          </a:extLst>
        </xdr:cNvPr>
        <xdr:cNvSpPr txBox="1"/>
      </xdr:nvSpPr>
      <xdr:spPr>
        <a:xfrm>
          <a:off x="26959272" y="61120191"/>
          <a:ext cx="3093571" cy="468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24</a:t>
          </a:r>
        </a:p>
      </xdr:txBody>
    </xdr:sp>
    <xdr:clientData/>
  </xdr:twoCellAnchor>
  <xdr:twoCellAnchor>
    <xdr:from>
      <xdr:col>3</xdr:col>
      <xdr:colOff>1196042</xdr:colOff>
      <xdr:row>300</xdr:row>
      <xdr:rowOff>34365</xdr:rowOff>
    </xdr:from>
    <xdr:to>
      <xdr:col>6</xdr:col>
      <xdr:colOff>104696</xdr:colOff>
      <xdr:row>302</xdr:row>
      <xdr:rowOff>97083</xdr:rowOff>
    </xdr:to>
    <xdr:sp macro="" textlink="">
      <xdr:nvSpPr>
        <xdr:cNvPr id="74" name="TextBox 73">
          <a:extLst>
            <a:ext uri="{FF2B5EF4-FFF2-40B4-BE49-F238E27FC236}">
              <a16:creationId xmlns:a16="http://schemas.microsoft.com/office/drawing/2014/main" id="{C2893C41-9909-1C45-87FC-61B910F3163E}"/>
            </a:ext>
          </a:extLst>
        </xdr:cNvPr>
        <xdr:cNvSpPr txBox="1"/>
      </xdr:nvSpPr>
      <xdr:spPr>
        <a:xfrm>
          <a:off x="4165601" y="38489218"/>
          <a:ext cx="2793360" cy="4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21</a:t>
          </a:r>
        </a:p>
      </xdr:txBody>
    </xdr:sp>
    <xdr:clientData/>
  </xdr:twoCellAnchor>
  <xdr:twoCellAnchor>
    <xdr:from>
      <xdr:col>10</xdr:col>
      <xdr:colOff>1004794</xdr:colOff>
      <xdr:row>300</xdr:row>
      <xdr:rowOff>151653</xdr:rowOff>
    </xdr:from>
    <xdr:to>
      <xdr:col>13</xdr:col>
      <xdr:colOff>636602</xdr:colOff>
      <xdr:row>303</xdr:row>
      <xdr:rowOff>6689</xdr:rowOff>
    </xdr:to>
    <xdr:sp macro="" textlink="">
      <xdr:nvSpPr>
        <xdr:cNvPr id="75" name="TextBox 74">
          <a:extLst>
            <a:ext uri="{FF2B5EF4-FFF2-40B4-BE49-F238E27FC236}">
              <a16:creationId xmlns:a16="http://schemas.microsoft.com/office/drawing/2014/main" id="{3F404131-B1D2-F746-AEBF-AE7168EBA9E8}"/>
            </a:ext>
          </a:extLst>
        </xdr:cNvPr>
        <xdr:cNvSpPr txBox="1"/>
      </xdr:nvSpPr>
      <xdr:spPr>
        <a:xfrm>
          <a:off x="12192000" y="38606506"/>
          <a:ext cx="3068278" cy="471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22</a:t>
          </a:r>
        </a:p>
      </xdr:txBody>
    </xdr:sp>
    <xdr:clientData/>
  </xdr:twoCellAnchor>
  <xdr:twoCellAnchor>
    <xdr:from>
      <xdr:col>17</xdr:col>
      <xdr:colOff>413871</xdr:colOff>
      <xdr:row>300</xdr:row>
      <xdr:rowOff>120276</xdr:rowOff>
    </xdr:from>
    <xdr:to>
      <xdr:col>20</xdr:col>
      <xdr:colOff>641084</xdr:colOff>
      <xdr:row>302</xdr:row>
      <xdr:rowOff>180753</xdr:rowOff>
    </xdr:to>
    <xdr:sp macro="" textlink="">
      <xdr:nvSpPr>
        <xdr:cNvPr id="76" name="TextBox 75">
          <a:extLst>
            <a:ext uri="{FF2B5EF4-FFF2-40B4-BE49-F238E27FC236}">
              <a16:creationId xmlns:a16="http://schemas.microsoft.com/office/drawing/2014/main" id="{701F23DC-3388-F34B-9ED1-3E89CC44F247}"/>
            </a:ext>
          </a:extLst>
        </xdr:cNvPr>
        <xdr:cNvSpPr txBox="1"/>
      </xdr:nvSpPr>
      <xdr:spPr>
        <a:xfrm>
          <a:off x="19489271" y="45637076"/>
          <a:ext cx="3300613"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23</a:t>
          </a:r>
        </a:p>
      </xdr:txBody>
    </xdr:sp>
    <xdr:clientData/>
  </xdr:twoCellAnchor>
  <xdr:twoCellAnchor>
    <xdr:from>
      <xdr:col>3</xdr:col>
      <xdr:colOff>1242291</xdr:colOff>
      <xdr:row>318</xdr:row>
      <xdr:rowOff>184727</xdr:rowOff>
    </xdr:from>
    <xdr:to>
      <xdr:col>6</xdr:col>
      <xdr:colOff>502063</xdr:colOff>
      <xdr:row>321</xdr:row>
      <xdr:rowOff>33537</xdr:rowOff>
    </xdr:to>
    <xdr:sp macro="" textlink="">
      <xdr:nvSpPr>
        <xdr:cNvPr id="77" name="TextBox 76">
          <a:extLst>
            <a:ext uri="{FF2B5EF4-FFF2-40B4-BE49-F238E27FC236}">
              <a16:creationId xmlns:a16="http://schemas.microsoft.com/office/drawing/2014/main" id="{34E624AA-9E49-414E-90B7-ECDA0E49739D}"/>
            </a:ext>
          </a:extLst>
        </xdr:cNvPr>
        <xdr:cNvSpPr txBox="1"/>
      </xdr:nvSpPr>
      <xdr:spPr>
        <a:xfrm>
          <a:off x="4224867" y="43230030"/>
          <a:ext cx="3127499"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25</a:t>
          </a:r>
        </a:p>
      </xdr:txBody>
    </xdr:sp>
    <xdr:clientData/>
  </xdr:twoCellAnchor>
  <xdr:twoCellAnchor>
    <xdr:from>
      <xdr:col>10</xdr:col>
      <xdr:colOff>1166475</xdr:colOff>
      <xdr:row>318</xdr:row>
      <xdr:rowOff>203585</xdr:rowOff>
    </xdr:from>
    <xdr:to>
      <xdr:col>13</xdr:col>
      <xdr:colOff>675244</xdr:colOff>
      <xdr:row>321</xdr:row>
      <xdr:rowOff>60862</xdr:rowOff>
    </xdr:to>
    <xdr:sp macro="" textlink="">
      <xdr:nvSpPr>
        <xdr:cNvPr id="78" name="TextBox 77">
          <a:extLst>
            <a:ext uri="{FF2B5EF4-FFF2-40B4-BE49-F238E27FC236}">
              <a16:creationId xmlns:a16="http://schemas.microsoft.com/office/drawing/2014/main" id="{76697CF0-6F13-6C44-B1EF-F1D09AE1C91F}"/>
            </a:ext>
          </a:extLst>
        </xdr:cNvPr>
        <xdr:cNvSpPr txBox="1"/>
      </xdr:nvSpPr>
      <xdr:spPr>
        <a:xfrm>
          <a:off x="12365566" y="43248888"/>
          <a:ext cx="2953163" cy="492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26</a:t>
          </a:r>
        </a:p>
      </xdr:txBody>
    </xdr:sp>
    <xdr:clientData/>
  </xdr:twoCellAnchor>
  <xdr:twoCellAnchor>
    <xdr:from>
      <xdr:col>17</xdr:col>
      <xdr:colOff>738909</xdr:colOff>
      <xdr:row>318</xdr:row>
      <xdr:rowOff>196658</xdr:rowOff>
    </xdr:from>
    <xdr:to>
      <xdr:col>20</xdr:col>
      <xdr:colOff>972348</xdr:colOff>
      <xdr:row>321</xdr:row>
      <xdr:rowOff>53935</xdr:rowOff>
    </xdr:to>
    <xdr:sp macro="" textlink="">
      <xdr:nvSpPr>
        <xdr:cNvPr id="79" name="TextBox 78">
          <a:extLst>
            <a:ext uri="{FF2B5EF4-FFF2-40B4-BE49-F238E27FC236}">
              <a16:creationId xmlns:a16="http://schemas.microsoft.com/office/drawing/2014/main" id="{6BFD0BCC-644D-2142-8DDD-5C079AC7B925}"/>
            </a:ext>
          </a:extLst>
        </xdr:cNvPr>
        <xdr:cNvSpPr txBox="1"/>
      </xdr:nvSpPr>
      <xdr:spPr>
        <a:xfrm>
          <a:off x="19814309" y="49371058"/>
          <a:ext cx="3306839"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27</a:t>
          </a:r>
        </a:p>
      </xdr:txBody>
    </xdr:sp>
    <xdr:clientData/>
  </xdr:twoCellAnchor>
  <xdr:twoCellAnchor>
    <xdr:from>
      <xdr:col>23</xdr:col>
      <xdr:colOff>609270</xdr:colOff>
      <xdr:row>319</xdr:row>
      <xdr:rowOff>125433</xdr:rowOff>
    </xdr:from>
    <xdr:to>
      <xdr:col>26</xdr:col>
      <xdr:colOff>263815</xdr:colOff>
      <xdr:row>321</xdr:row>
      <xdr:rowOff>177443</xdr:rowOff>
    </xdr:to>
    <xdr:sp macro="" textlink="">
      <xdr:nvSpPr>
        <xdr:cNvPr id="80" name="TextBox 79">
          <a:extLst>
            <a:ext uri="{FF2B5EF4-FFF2-40B4-BE49-F238E27FC236}">
              <a16:creationId xmlns:a16="http://schemas.microsoft.com/office/drawing/2014/main" id="{D93453AE-5077-A54C-A2F1-9E2BFBDA392B}"/>
            </a:ext>
          </a:extLst>
        </xdr:cNvPr>
        <xdr:cNvSpPr txBox="1"/>
      </xdr:nvSpPr>
      <xdr:spPr>
        <a:xfrm>
          <a:off x="27528734" y="65031504"/>
          <a:ext cx="2874902" cy="460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28</a:t>
          </a:r>
        </a:p>
      </xdr:txBody>
    </xdr:sp>
    <xdr:clientData/>
  </xdr:twoCellAnchor>
  <xdr:twoCellAnchor>
    <xdr:from>
      <xdr:col>24</xdr:col>
      <xdr:colOff>850076</xdr:colOff>
      <xdr:row>338</xdr:row>
      <xdr:rowOff>148140</xdr:rowOff>
    </xdr:from>
    <xdr:to>
      <xdr:col>27</xdr:col>
      <xdr:colOff>640169</xdr:colOff>
      <xdr:row>341</xdr:row>
      <xdr:rowOff>12975</xdr:rowOff>
    </xdr:to>
    <xdr:sp macro="" textlink="">
      <xdr:nvSpPr>
        <xdr:cNvPr id="81" name="TextBox 80">
          <a:extLst>
            <a:ext uri="{FF2B5EF4-FFF2-40B4-BE49-F238E27FC236}">
              <a16:creationId xmlns:a16="http://schemas.microsoft.com/office/drawing/2014/main" id="{C5BE9F7F-B58B-1B46-9982-0090DF789E60}"/>
            </a:ext>
          </a:extLst>
        </xdr:cNvPr>
        <xdr:cNvSpPr txBox="1"/>
      </xdr:nvSpPr>
      <xdr:spPr>
        <a:xfrm>
          <a:off x="28585969" y="68932247"/>
          <a:ext cx="3395986" cy="477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32</a:t>
          </a:r>
        </a:p>
      </xdr:txBody>
    </xdr:sp>
    <xdr:clientData/>
  </xdr:twoCellAnchor>
  <xdr:twoCellAnchor>
    <xdr:from>
      <xdr:col>3</xdr:col>
      <xdr:colOff>1414318</xdr:colOff>
      <xdr:row>338</xdr:row>
      <xdr:rowOff>89670</xdr:rowOff>
    </xdr:from>
    <xdr:to>
      <xdr:col>6</xdr:col>
      <xdr:colOff>674090</xdr:colOff>
      <xdr:row>340</xdr:row>
      <xdr:rowOff>150147</xdr:rowOff>
    </xdr:to>
    <xdr:sp macro="" textlink="">
      <xdr:nvSpPr>
        <xdr:cNvPr id="82" name="TextBox 81">
          <a:extLst>
            <a:ext uri="{FF2B5EF4-FFF2-40B4-BE49-F238E27FC236}">
              <a16:creationId xmlns:a16="http://schemas.microsoft.com/office/drawing/2014/main" id="{27E9F123-D7E9-5344-B4E9-53879D60FCCA}"/>
            </a:ext>
          </a:extLst>
        </xdr:cNvPr>
        <xdr:cNvSpPr txBox="1"/>
      </xdr:nvSpPr>
      <xdr:spPr>
        <a:xfrm>
          <a:off x="4396894" y="47368306"/>
          <a:ext cx="3127499" cy="48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29</a:t>
          </a:r>
        </a:p>
      </xdr:txBody>
    </xdr:sp>
    <xdr:clientData/>
  </xdr:twoCellAnchor>
  <xdr:twoCellAnchor>
    <xdr:from>
      <xdr:col>10</xdr:col>
      <xdr:colOff>1149542</xdr:colOff>
      <xdr:row>338</xdr:row>
      <xdr:rowOff>38484</xdr:rowOff>
    </xdr:from>
    <xdr:to>
      <xdr:col>14</xdr:col>
      <xdr:colOff>25236</xdr:colOff>
      <xdr:row>340</xdr:row>
      <xdr:rowOff>98961</xdr:rowOff>
    </xdr:to>
    <xdr:sp macro="" textlink="">
      <xdr:nvSpPr>
        <xdr:cNvPr id="83" name="TextBox 82">
          <a:extLst>
            <a:ext uri="{FF2B5EF4-FFF2-40B4-BE49-F238E27FC236}">
              <a16:creationId xmlns:a16="http://schemas.microsoft.com/office/drawing/2014/main" id="{FD3B109A-F84E-1E43-B132-823314821CC9}"/>
            </a:ext>
          </a:extLst>
        </xdr:cNvPr>
        <xdr:cNvSpPr txBox="1"/>
      </xdr:nvSpPr>
      <xdr:spPr>
        <a:xfrm>
          <a:off x="12348633" y="47317120"/>
          <a:ext cx="3378421" cy="48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30</a:t>
          </a:r>
        </a:p>
      </xdr:txBody>
    </xdr:sp>
    <xdr:clientData/>
  </xdr:twoCellAnchor>
  <xdr:twoCellAnchor>
    <xdr:from>
      <xdr:col>18</xdr:col>
      <xdr:colOff>476827</xdr:colOff>
      <xdr:row>338</xdr:row>
      <xdr:rowOff>158173</xdr:rowOff>
    </xdr:from>
    <xdr:to>
      <xdr:col>20</xdr:col>
      <xdr:colOff>1145529</xdr:colOff>
      <xdr:row>341</xdr:row>
      <xdr:rowOff>23916</xdr:rowOff>
    </xdr:to>
    <xdr:sp macro="" textlink="">
      <xdr:nvSpPr>
        <xdr:cNvPr id="84" name="TextBox 83">
          <a:extLst>
            <a:ext uri="{FF2B5EF4-FFF2-40B4-BE49-F238E27FC236}">
              <a16:creationId xmlns:a16="http://schemas.microsoft.com/office/drawing/2014/main" id="{D22DC3F5-0435-8B4F-AD77-8F5C27E5C926}"/>
            </a:ext>
          </a:extLst>
        </xdr:cNvPr>
        <xdr:cNvSpPr txBox="1"/>
      </xdr:nvSpPr>
      <xdr:spPr>
        <a:xfrm>
          <a:off x="20415827" y="53396573"/>
          <a:ext cx="2878502" cy="47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 31</a:t>
          </a:r>
        </a:p>
      </xdr:txBody>
    </xdr:sp>
    <xdr:clientData/>
  </xdr:twoCellAnchor>
  <xdr:twoCellAnchor>
    <xdr:from>
      <xdr:col>4</xdr:col>
      <xdr:colOff>106987</xdr:colOff>
      <xdr:row>354</xdr:row>
      <xdr:rowOff>52339</xdr:rowOff>
    </xdr:from>
    <xdr:to>
      <xdr:col>6</xdr:col>
      <xdr:colOff>752214</xdr:colOff>
      <xdr:row>356</xdr:row>
      <xdr:rowOff>112816</xdr:rowOff>
    </xdr:to>
    <xdr:sp macro="" textlink="">
      <xdr:nvSpPr>
        <xdr:cNvPr id="85" name="TextBox 84">
          <a:extLst>
            <a:ext uri="{FF2B5EF4-FFF2-40B4-BE49-F238E27FC236}">
              <a16:creationId xmlns:a16="http://schemas.microsoft.com/office/drawing/2014/main" id="{E713E0C7-AF33-FC42-AC7A-D7F1E7806693}"/>
            </a:ext>
          </a:extLst>
        </xdr:cNvPr>
        <xdr:cNvSpPr txBox="1"/>
      </xdr:nvSpPr>
      <xdr:spPr>
        <a:xfrm>
          <a:off x="5186987" y="44079006"/>
          <a:ext cx="2300075"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33</a:t>
          </a:r>
          <a:endParaRPr lang="en-US" sz="3200">
            <a:solidFill>
              <a:srgbClr val="FF0000"/>
            </a:solidFill>
          </a:endParaRPr>
        </a:p>
      </xdr:txBody>
    </xdr:sp>
    <xdr:clientData/>
  </xdr:twoCellAnchor>
  <xdr:twoCellAnchor>
    <xdr:from>
      <xdr:col>10</xdr:col>
      <xdr:colOff>1144537</xdr:colOff>
      <xdr:row>354</xdr:row>
      <xdr:rowOff>185497</xdr:rowOff>
    </xdr:from>
    <xdr:to>
      <xdr:col>13</xdr:col>
      <xdr:colOff>654461</xdr:colOff>
      <xdr:row>357</xdr:row>
      <xdr:rowOff>34307</xdr:rowOff>
    </xdr:to>
    <xdr:sp macro="" textlink="">
      <xdr:nvSpPr>
        <xdr:cNvPr id="86" name="TextBox 85">
          <a:extLst>
            <a:ext uri="{FF2B5EF4-FFF2-40B4-BE49-F238E27FC236}">
              <a16:creationId xmlns:a16="http://schemas.microsoft.com/office/drawing/2014/main" id="{725C503F-3071-0043-AE08-117C85852621}"/>
            </a:ext>
          </a:extLst>
        </xdr:cNvPr>
        <xdr:cNvSpPr txBox="1"/>
      </xdr:nvSpPr>
      <xdr:spPr>
        <a:xfrm>
          <a:off x="12343628" y="50850800"/>
          <a:ext cx="2954318" cy="483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34</a:t>
          </a:r>
          <a:endParaRPr lang="en-US" sz="3200">
            <a:solidFill>
              <a:srgbClr val="FF0000"/>
            </a:solidFill>
          </a:endParaRPr>
        </a:p>
      </xdr:txBody>
    </xdr:sp>
    <xdr:clientData/>
  </xdr:twoCellAnchor>
  <xdr:twoCellAnchor>
    <xdr:from>
      <xdr:col>18</xdr:col>
      <xdr:colOff>491836</xdr:colOff>
      <xdr:row>357</xdr:row>
      <xdr:rowOff>170874</xdr:rowOff>
    </xdr:from>
    <xdr:to>
      <xdr:col>20</xdr:col>
      <xdr:colOff>1161692</xdr:colOff>
      <xdr:row>360</xdr:row>
      <xdr:rowOff>28151</xdr:rowOff>
    </xdr:to>
    <xdr:sp macro="" textlink="">
      <xdr:nvSpPr>
        <xdr:cNvPr id="87" name="TextBox 86">
          <a:extLst>
            <a:ext uri="{FF2B5EF4-FFF2-40B4-BE49-F238E27FC236}">
              <a16:creationId xmlns:a16="http://schemas.microsoft.com/office/drawing/2014/main" id="{F1261C39-9803-1C4D-AA59-1EA8380B26DD}"/>
            </a:ext>
          </a:extLst>
        </xdr:cNvPr>
        <xdr:cNvSpPr txBox="1"/>
      </xdr:nvSpPr>
      <xdr:spPr>
        <a:xfrm>
          <a:off x="20430836" y="57270074"/>
          <a:ext cx="2879656" cy="466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35</a:t>
          </a:r>
          <a:endParaRPr lang="en-US" sz="3200">
            <a:solidFill>
              <a:srgbClr val="FF0000"/>
            </a:solidFill>
          </a:endParaRPr>
        </a:p>
      </xdr:txBody>
    </xdr:sp>
    <xdr:clientData/>
  </xdr:twoCellAnchor>
  <xdr:twoCellAnchor>
    <xdr:from>
      <xdr:col>23</xdr:col>
      <xdr:colOff>304082</xdr:colOff>
      <xdr:row>358</xdr:row>
      <xdr:rowOff>68092</xdr:rowOff>
    </xdr:from>
    <xdr:to>
      <xdr:col>25</xdr:col>
      <xdr:colOff>1077408</xdr:colOff>
      <xdr:row>360</xdr:row>
      <xdr:rowOff>136129</xdr:rowOff>
    </xdr:to>
    <xdr:sp macro="" textlink="">
      <xdr:nvSpPr>
        <xdr:cNvPr id="88" name="TextBox 87">
          <a:extLst>
            <a:ext uri="{FF2B5EF4-FFF2-40B4-BE49-F238E27FC236}">
              <a16:creationId xmlns:a16="http://schemas.microsoft.com/office/drawing/2014/main" id="{78C0CFBB-BE89-1D49-B3C4-EC9D6BFCD4FD}"/>
            </a:ext>
          </a:extLst>
        </xdr:cNvPr>
        <xdr:cNvSpPr txBox="1"/>
      </xdr:nvSpPr>
      <xdr:spPr>
        <a:xfrm>
          <a:off x="30741749" y="75252092"/>
          <a:ext cx="3546159" cy="491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36</a:t>
          </a:r>
          <a:endParaRPr lang="en-US" sz="3200">
            <a:solidFill>
              <a:srgbClr val="FF0000"/>
            </a:solidFill>
          </a:endParaRPr>
        </a:p>
      </xdr:txBody>
    </xdr:sp>
    <xdr:clientData/>
  </xdr:twoCellAnchor>
  <xdr:twoCellAnchor>
    <xdr:from>
      <xdr:col>1</xdr:col>
      <xdr:colOff>599318</xdr:colOff>
      <xdr:row>191</xdr:row>
      <xdr:rowOff>144135</xdr:rowOff>
    </xdr:from>
    <xdr:to>
      <xdr:col>6</xdr:col>
      <xdr:colOff>432405</xdr:colOff>
      <xdr:row>194</xdr:row>
      <xdr:rowOff>127000</xdr:rowOff>
    </xdr:to>
    <xdr:sp macro="" textlink="">
      <xdr:nvSpPr>
        <xdr:cNvPr id="89" name="TextBox 88">
          <a:extLst>
            <a:ext uri="{FF2B5EF4-FFF2-40B4-BE49-F238E27FC236}">
              <a16:creationId xmlns:a16="http://schemas.microsoft.com/office/drawing/2014/main" id="{75480B6D-B015-9243-9537-EC8684FAE9A0}"/>
            </a:ext>
          </a:extLst>
        </xdr:cNvPr>
        <xdr:cNvSpPr txBox="1"/>
      </xdr:nvSpPr>
      <xdr:spPr>
        <a:xfrm>
          <a:off x="1437518" y="9999335"/>
          <a:ext cx="5802087" cy="61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rgbClr val="FF0000"/>
              </a:solidFill>
            </a:rPr>
            <a:t>Season Routes on Map*:</a:t>
          </a:r>
        </a:p>
      </xdr:txBody>
    </xdr:sp>
    <xdr:clientData/>
  </xdr:twoCellAnchor>
  <xdr:twoCellAnchor>
    <xdr:from>
      <xdr:col>2</xdr:col>
      <xdr:colOff>52657</xdr:colOff>
      <xdr:row>103</xdr:row>
      <xdr:rowOff>22302</xdr:rowOff>
    </xdr:from>
    <xdr:to>
      <xdr:col>7</xdr:col>
      <xdr:colOff>170365</xdr:colOff>
      <xdr:row>139</xdr:row>
      <xdr:rowOff>16933</xdr:rowOff>
    </xdr:to>
    <xdr:graphicFrame macro="">
      <xdr:nvGraphicFramePr>
        <xdr:cNvPr id="14" name="Chart 13">
          <a:extLst>
            <a:ext uri="{FF2B5EF4-FFF2-40B4-BE49-F238E27FC236}">
              <a16:creationId xmlns:a16="http://schemas.microsoft.com/office/drawing/2014/main" id="{B7D3B2DF-EED3-2E06-8E0D-F2526D5A3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7</xdr:col>
      <xdr:colOff>714709</xdr:colOff>
      <xdr:row>102</xdr:row>
      <xdr:rowOff>192668</xdr:rowOff>
    </xdr:from>
    <xdr:to>
      <xdr:col>13</xdr:col>
      <xdr:colOff>398759</xdr:colOff>
      <xdr:row>139</xdr:row>
      <xdr:rowOff>16933</xdr:rowOff>
    </xdr:to>
    <xdr:graphicFrame macro="">
      <xdr:nvGraphicFramePr>
        <xdr:cNvPr id="18" name="Chart 17">
          <a:extLst>
            <a:ext uri="{FF2B5EF4-FFF2-40B4-BE49-F238E27FC236}">
              <a16:creationId xmlns:a16="http://schemas.microsoft.com/office/drawing/2014/main" id="{9F66B168-3906-577B-D948-A0E82F6C1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13</xdr:col>
      <xdr:colOff>844393</xdr:colOff>
      <xdr:row>102</xdr:row>
      <xdr:rowOff>194112</xdr:rowOff>
    </xdr:from>
    <xdr:to>
      <xdr:col>18</xdr:col>
      <xdr:colOff>869175</xdr:colOff>
      <xdr:row>138</xdr:row>
      <xdr:rowOff>203199</xdr:rowOff>
    </xdr:to>
    <xdr:graphicFrame macro="">
      <xdr:nvGraphicFramePr>
        <xdr:cNvPr id="23" name="Chart 22">
          <a:extLst>
            <a:ext uri="{FF2B5EF4-FFF2-40B4-BE49-F238E27FC236}">
              <a16:creationId xmlns:a16="http://schemas.microsoft.com/office/drawing/2014/main" id="{9E2D654F-590E-367B-8692-8E3C8A22D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19</xdr:col>
      <xdr:colOff>161073</xdr:colOff>
      <xdr:row>102</xdr:row>
      <xdr:rowOff>192667</xdr:rowOff>
    </xdr:from>
    <xdr:to>
      <xdr:col>25</xdr:col>
      <xdr:colOff>542073</xdr:colOff>
      <xdr:row>139</xdr:row>
      <xdr:rowOff>16932</xdr:rowOff>
    </xdr:to>
    <xdr:graphicFrame macro="">
      <xdr:nvGraphicFramePr>
        <xdr:cNvPr id="28" name="Chart 27">
          <a:extLst>
            <a:ext uri="{FF2B5EF4-FFF2-40B4-BE49-F238E27FC236}">
              <a16:creationId xmlns:a16="http://schemas.microsoft.com/office/drawing/2014/main" id="{20D6FF99-6D23-FF6C-B7D8-BA243E11F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26</xdr:col>
      <xdr:colOff>99122</xdr:colOff>
      <xdr:row>102</xdr:row>
      <xdr:rowOff>192668</xdr:rowOff>
    </xdr:from>
    <xdr:to>
      <xdr:col>31</xdr:col>
      <xdr:colOff>573049</xdr:colOff>
      <xdr:row>138</xdr:row>
      <xdr:rowOff>203199</xdr:rowOff>
    </xdr:to>
    <xdr:graphicFrame macro="">
      <xdr:nvGraphicFramePr>
        <xdr:cNvPr id="35" name="Chart 34">
          <a:extLst>
            <a:ext uri="{FF2B5EF4-FFF2-40B4-BE49-F238E27FC236}">
              <a16:creationId xmlns:a16="http://schemas.microsoft.com/office/drawing/2014/main" id="{FD7056AE-F05B-6314-67FD-5D0FE1A9D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32</xdr:col>
      <xdr:colOff>269488</xdr:colOff>
      <xdr:row>101</xdr:row>
      <xdr:rowOff>22303</xdr:rowOff>
    </xdr:from>
    <xdr:to>
      <xdr:col>38</xdr:col>
      <xdr:colOff>232318</xdr:colOff>
      <xdr:row>137</xdr:row>
      <xdr:rowOff>0</xdr:rowOff>
    </xdr:to>
    <xdr:graphicFrame macro="">
      <xdr:nvGraphicFramePr>
        <xdr:cNvPr id="37" name="Chart 36">
          <a:extLst>
            <a:ext uri="{FF2B5EF4-FFF2-40B4-BE49-F238E27FC236}">
              <a16:creationId xmlns:a16="http://schemas.microsoft.com/office/drawing/2014/main" id="{44CF7D75-2A48-88DC-DA3A-BF8763C09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38</xdr:col>
      <xdr:colOff>718633</xdr:colOff>
      <xdr:row>100</xdr:row>
      <xdr:rowOff>177180</xdr:rowOff>
    </xdr:from>
    <xdr:to>
      <xdr:col>46</xdr:col>
      <xdr:colOff>604024</xdr:colOff>
      <xdr:row>137</xdr:row>
      <xdr:rowOff>0</xdr:rowOff>
    </xdr:to>
    <xdr:graphicFrame macro="">
      <xdr:nvGraphicFramePr>
        <xdr:cNvPr id="41" name="Chart 40">
          <a:extLst>
            <a:ext uri="{FF2B5EF4-FFF2-40B4-BE49-F238E27FC236}">
              <a16:creationId xmlns:a16="http://schemas.microsoft.com/office/drawing/2014/main" id="{FBCE9810-6B69-919C-C6A0-C3A494790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xdr:col>
      <xdr:colOff>75993</xdr:colOff>
      <xdr:row>140</xdr:row>
      <xdr:rowOff>41712</xdr:rowOff>
    </xdr:from>
    <xdr:to>
      <xdr:col>7</xdr:col>
      <xdr:colOff>83427</xdr:colOff>
      <xdr:row>171</xdr:row>
      <xdr:rowOff>203199</xdr:rowOff>
    </xdr:to>
    <xdr:graphicFrame macro="">
      <xdr:nvGraphicFramePr>
        <xdr:cNvPr id="43" name="Chart 42">
          <a:extLst>
            <a:ext uri="{FF2B5EF4-FFF2-40B4-BE49-F238E27FC236}">
              <a16:creationId xmlns:a16="http://schemas.microsoft.com/office/drawing/2014/main" id="{AB6B3064-0C8F-8935-095D-724A1AA9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7</xdr:col>
      <xdr:colOff>603817</xdr:colOff>
      <xdr:row>140</xdr:row>
      <xdr:rowOff>41714</xdr:rowOff>
    </xdr:from>
    <xdr:to>
      <xdr:col>14</xdr:col>
      <xdr:colOff>1101286</xdr:colOff>
      <xdr:row>171</xdr:row>
      <xdr:rowOff>186267</xdr:rowOff>
    </xdr:to>
    <xdr:graphicFrame macro="">
      <xdr:nvGraphicFramePr>
        <xdr:cNvPr id="45" name="Chart 44">
          <a:extLst>
            <a:ext uri="{FF2B5EF4-FFF2-40B4-BE49-F238E27FC236}">
              <a16:creationId xmlns:a16="http://schemas.microsoft.com/office/drawing/2014/main" id="{744C26C2-A2B5-E7AF-11C6-E79FD3520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15</xdr:col>
      <xdr:colOff>263704</xdr:colOff>
      <xdr:row>140</xdr:row>
      <xdr:rowOff>23335</xdr:rowOff>
    </xdr:from>
    <xdr:to>
      <xdr:col>22</xdr:col>
      <xdr:colOff>408053</xdr:colOff>
      <xdr:row>171</xdr:row>
      <xdr:rowOff>135467</xdr:rowOff>
    </xdr:to>
    <xdr:graphicFrame macro="">
      <xdr:nvGraphicFramePr>
        <xdr:cNvPr id="50" name="Chart 49">
          <a:extLst>
            <a:ext uri="{FF2B5EF4-FFF2-40B4-BE49-F238E27FC236}">
              <a16:creationId xmlns:a16="http://schemas.microsoft.com/office/drawing/2014/main" id="{751A9925-30A6-2E9A-9CA6-115F83560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22</xdr:col>
      <xdr:colOff>1178105</xdr:colOff>
      <xdr:row>140</xdr:row>
      <xdr:rowOff>22303</xdr:rowOff>
    </xdr:from>
    <xdr:to>
      <xdr:col>30</xdr:col>
      <xdr:colOff>959211</xdr:colOff>
      <xdr:row>171</xdr:row>
      <xdr:rowOff>169333</xdr:rowOff>
    </xdr:to>
    <xdr:graphicFrame macro="">
      <xdr:nvGraphicFramePr>
        <xdr:cNvPr id="59" name="Chart 58">
          <a:extLst>
            <a:ext uri="{FF2B5EF4-FFF2-40B4-BE49-F238E27FC236}">
              <a16:creationId xmlns:a16="http://schemas.microsoft.com/office/drawing/2014/main" id="{5F019A9E-A74C-8B58-A54F-D5EDE6E8E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31</xdr:col>
      <xdr:colOff>541041</xdr:colOff>
      <xdr:row>137</xdr:row>
      <xdr:rowOff>191636</xdr:rowOff>
    </xdr:from>
    <xdr:to>
      <xdr:col>38</xdr:col>
      <xdr:colOff>209603</xdr:colOff>
      <xdr:row>169</xdr:row>
      <xdr:rowOff>152399</xdr:rowOff>
    </xdr:to>
    <xdr:graphicFrame macro="">
      <xdr:nvGraphicFramePr>
        <xdr:cNvPr id="90" name="Chart 89">
          <a:extLst>
            <a:ext uri="{FF2B5EF4-FFF2-40B4-BE49-F238E27FC236}">
              <a16:creationId xmlns:a16="http://schemas.microsoft.com/office/drawing/2014/main" id="{5F34B9DB-692E-10C3-2FF1-D719C6048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38</xdr:col>
      <xdr:colOff>735568</xdr:colOff>
      <xdr:row>137</xdr:row>
      <xdr:rowOff>193082</xdr:rowOff>
    </xdr:from>
    <xdr:to>
      <xdr:col>46</xdr:col>
      <xdr:colOff>622196</xdr:colOff>
      <xdr:row>169</xdr:row>
      <xdr:rowOff>152400</xdr:rowOff>
    </xdr:to>
    <xdr:graphicFrame macro="">
      <xdr:nvGraphicFramePr>
        <xdr:cNvPr id="91" name="Chart 90">
          <a:extLst>
            <a:ext uri="{FF2B5EF4-FFF2-40B4-BE49-F238E27FC236}">
              <a16:creationId xmlns:a16="http://schemas.microsoft.com/office/drawing/2014/main" id="{0D889136-0DE3-41B7-35EF-EBAD62913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editAs="oneCell">
    <xdr:from>
      <xdr:col>28</xdr:col>
      <xdr:colOff>0</xdr:colOff>
      <xdr:row>199</xdr:row>
      <xdr:rowOff>-1</xdr:rowOff>
    </xdr:from>
    <xdr:to>
      <xdr:col>44</xdr:col>
      <xdr:colOff>369086</xdr:colOff>
      <xdr:row>238</xdr:row>
      <xdr:rowOff>145736</xdr:rowOff>
    </xdr:to>
    <xdr:pic>
      <xdr:nvPicPr>
        <xdr:cNvPr id="2" name="Picture 1">
          <a:extLst>
            <a:ext uri="{FF2B5EF4-FFF2-40B4-BE49-F238E27FC236}">
              <a16:creationId xmlns:a16="http://schemas.microsoft.com/office/drawing/2014/main" id="{30C3AB18-9B7B-E00B-E996-967B2A099A91}"/>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37267213" y="41306229"/>
          <a:ext cx="19065152" cy="826540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623040</xdr:colOff>
      <xdr:row>231</xdr:row>
      <xdr:rowOff>1662</xdr:rowOff>
    </xdr:from>
    <xdr:to>
      <xdr:col>36</xdr:col>
      <xdr:colOff>1061623</xdr:colOff>
      <xdr:row>233</xdr:row>
      <xdr:rowOff>62138</xdr:rowOff>
    </xdr:to>
    <xdr:sp macro="" textlink="">
      <xdr:nvSpPr>
        <xdr:cNvPr id="3" name="TextBox 2">
          <a:extLst>
            <a:ext uri="{FF2B5EF4-FFF2-40B4-BE49-F238E27FC236}">
              <a16:creationId xmlns:a16="http://schemas.microsoft.com/office/drawing/2014/main" id="{7C628E01-77CC-994B-8472-66C91E5E7E82}"/>
            </a:ext>
          </a:extLst>
        </xdr:cNvPr>
        <xdr:cNvSpPr txBox="1"/>
      </xdr:nvSpPr>
      <xdr:spPr>
        <a:xfrm>
          <a:off x="44906483" y="48178383"/>
          <a:ext cx="4040386" cy="47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All Seasons</a:t>
          </a:r>
        </a:p>
        <a:p>
          <a:endParaRPr lang="en-US" sz="3200">
            <a:solidFill>
              <a:srgbClr val="FF0000"/>
            </a:solidFill>
          </a:endParaRPr>
        </a:p>
        <a:p>
          <a:endParaRPr lang="en-US" sz="3200">
            <a:solidFill>
              <a:srgbClr val="FF0000"/>
            </a:solidFill>
          </a:endParaRPr>
        </a:p>
      </xdr:txBody>
    </xdr:sp>
    <xdr:clientData/>
  </xdr:twoCellAnchor>
  <xdr:twoCellAnchor editAs="oneCell">
    <xdr:from>
      <xdr:col>2</xdr:col>
      <xdr:colOff>0</xdr:colOff>
      <xdr:row>373</xdr:row>
      <xdr:rowOff>0</xdr:rowOff>
    </xdr:from>
    <xdr:to>
      <xdr:col>7</xdr:col>
      <xdr:colOff>884556</xdr:colOff>
      <xdr:row>392</xdr:row>
      <xdr:rowOff>152401</xdr:rowOff>
    </xdr:to>
    <xdr:pic>
      <xdr:nvPicPr>
        <xdr:cNvPr id="4" name="Picture 3" descr="The route of The Amazing Race 37.">
          <a:extLst>
            <a:ext uri="{FF2B5EF4-FFF2-40B4-BE49-F238E27FC236}">
              <a16:creationId xmlns:a16="http://schemas.microsoft.com/office/drawing/2014/main" id="{58984770-474D-C9B1-B3B8-A287891E5052}"/>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1625600" y="76911200"/>
          <a:ext cx="7793356" cy="40132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1380836</xdr:colOff>
      <xdr:row>273</xdr:row>
      <xdr:rowOff>77741</xdr:rowOff>
    </xdr:from>
    <xdr:to>
      <xdr:col>18</xdr:col>
      <xdr:colOff>717192</xdr:colOff>
      <xdr:row>275</xdr:row>
      <xdr:rowOff>146684</xdr:rowOff>
    </xdr:to>
    <xdr:sp macro="" textlink="">
      <xdr:nvSpPr>
        <xdr:cNvPr id="93" name="TextBox 92">
          <a:extLst>
            <a:ext uri="{FF2B5EF4-FFF2-40B4-BE49-F238E27FC236}">
              <a16:creationId xmlns:a16="http://schemas.microsoft.com/office/drawing/2014/main" id="{A4F7CB94-975F-3A4F-86E5-7E4E1DBA0805}"/>
            </a:ext>
          </a:extLst>
        </xdr:cNvPr>
        <xdr:cNvSpPr txBox="1"/>
      </xdr:nvSpPr>
      <xdr:spPr>
        <a:xfrm>
          <a:off x="20430836" y="57270074"/>
          <a:ext cx="3527356" cy="492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35</a:t>
          </a:r>
          <a:endParaRPr lang="en-US" sz="3200">
            <a:solidFill>
              <a:srgbClr val="FF0000"/>
            </a:solidFill>
          </a:endParaRPr>
        </a:p>
      </xdr:txBody>
    </xdr:sp>
    <xdr:clientData/>
  </xdr:twoCellAnchor>
  <xdr:twoCellAnchor>
    <xdr:from>
      <xdr:col>4</xdr:col>
      <xdr:colOff>456482</xdr:colOff>
      <xdr:row>387</xdr:row>
      <xdr:rowOff>72327</xdr:rowOff>
    </xdr:from>
    <xdr:to>
      <xdr:col>6</xdr:col>
      <xdr:colOff>1335641</xdr:colOff>
      <xdr:row>389</xdr:row>
      <xdr:rowOff>140363</xdr:rowOff>
    </xdr:to>
    <xdr:sp macro="" textlink="">
      <xdr:nvSpPr>
        <xdr:cNvPr id="94" name="TextBox 93">
          <a:extLst>
            <a:ext uri="{FF2B5EF4-FFF2-40B4-BE49-F238E27FC236}">
              <a16:creationId xmlns:a16="http://schemas.microsoft.com/office/drawing/2014/main" id="{89A7AD1E-D286-BC49-8554-6ACD4AC6D39D}"/>
            </a:ext>
          </a:extLst>
        </xdr:cNvPr>
        <xdr:cNvSpPr txBox="1"/>
      </xdr:nvSpPr>
      <xdr:spPr>
        <a:xfrm>
          <a:off x="4880078" y="78113114"/>
          <a:ext cx="3547585" cy="46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37</a:t>
          </a:r>
        </a:p>
        <a:p>
          <a:endParaRPr lang="en-US" sz="3200">
            <a:solidFill>
              <a:srgbClr val="FF0000"/>
            </a:solidFill>
          </a:endParaRPr>
        </a:p>
      </xdr:txBody>
    </xdr:sp>
    <xdr:clientData/>
  </xdr:twoCellAnchor>
  <xdr:twoCellAnchor editAs="oneCell">
    <xdr:from>
      <xdr:col>7</xdr:col>
      <xdr:colOff>1185952</xdr:colOff>
      <xdr:row>372</xdr:row>
      <xdr:rowOff>185506</xdr:rowOff>
    </xdr:from>
    <xdr:to>
      <xdr:col>11</xdr:col>
      <xdr:colOff>485169</xdr:colOff>
      <xdr:row>392</xdr:row>
      <xdr:rowOff>48698</xdr:rowOff>
    </xdr:to>
    <xdr:pic>
      <xdr:nvPicPr>
        <xdr:cNvPr id="12" name="Picture 11">
          <a:extLst>
            <a:ext uri="{FF2B5EF4-FFF2-40B4-BE49-F238E27FC236}">
              <a16:creationId xmlns:a16="http://schemas.microsoft.com/office/drawing/2014/main" id="{3D5D3847-7AB6-F903-588D-A68A96E4DAEC}"/>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9676401" y="75229663"/>
          <a:ext cx="4521914" cy="385869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435553</xdr:colOff>
      <xdr:row>403</xdr:row>
      <xdr:rowOff>157469</xdr:rowOff>
    </xdr:from>
    <xdr:to>
      <xdr:col>6</xdr:col>
      <xdr:colOff>1314712</xdr:colOff>
      <xdr:row>406</xdr:row>
      <xdr:rowOff>25729</xdr:rowOff>
    </xdr:to>
    <xdr:sp macro="" textlink="">
      <xdr:nvSpPr>
        <xdr:cNvPr id="92" name="TextBox 91">
          <a:extLst>
            <a:ext uri="{FF2B5EF4-FFF2-40B4-BE49-F238E27FC236}">
              <a16:creationId xmlns:a16="http://schemas.microsoft.com/office/drawing/2014/main" id="{D98A69DF-EEE8-A14B-B1AB-93B640BD2075}"/>
            </a:ext>
          </a:extLst>
        </xdr:cNvPr>
        <xdr:cNvSpPr txBox="1"/>
      </xdr:nvSpPr>
      <xdr:spPr>
        <a:xfrm>
          <a:off x="4859149" y="81394660"/>
          <a:ext cx="3547585" cy="46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37</a:t>
          </a:r>
        </a:p>
        <a:p>
          <a:endParaRPr lang="en-US" sz="3200">
            <a:solidFill>
              <a:srgbClr val="FF0000"/>
            </a:solidFill>
          </a:endParaRPr>
        </a:p>
      </xdr:txBody>
    </xdr:sp>
    <xdr:clientData/>
  </xdr:twoCellAnchor>
  <xdr:twoCellAnchor>
    <xdr:from>
      <xdr:col>9</xdr:col>
      <xdr:colOff>770562</xdr:colOff>
      <xdr:row>378</xdr:row>
      <xdr:rowOff>142697</xdr:rowOff>
    </xdr:from>
    <xdr:to>
      <xdr:col>12</xdr:col>
      <xdr:colOff>493878</xdr:colOff>
      <xdr:row>381</xdr:row>
      <xdr:rowOff>10957</xdr:rowOff>
    </xdr:to>
    <xdr:sp macro="" textlink="">
      <xdr:nvSpPr>
        <xdr:cNvPr id="95" name="TextBox 94">
          <a:extLst>
            <a:ext uri="{FF2B5EF4-FFF2-40B4-BE49-F238E27FC236}">
              <a16:creationId xmlns:a16="http://schemas.microsoft.com/office/drawing/2014/main" id="{0721580A-DFF6-454D-8074-3C5A69B11596}"/>
            </a:ext>
          </a:extLst>
        </xdr:cNvPr>
        <xdr:cNvSpPr txBox="1"/>
      </xdr:nvSpPr>
      <xdr:spPr>
        <a:xfrm>
          <a:off x="11872360" y="76385506"/>
          <a:ext cx="3547585" cy="467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FF0000"/>
              </a:solidFill>
            </a:rPr>
            <a:t>Season</a:t>
          </a:r>
          <a:r>
            <a:rPr lang="en-US" sz="3200" baseline="0">
              <a:solidFill>
                <a:srgbClr val="FF0000"/>
              </a:solidFill>
            </a:rPr>
            <a:t> 38</a:t>
          </a:r>
        </a:p>
        <a:p>
          <a:endParaRPr lang="en-US" sz="32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133350</xdr:colOff>
      <xdr:row>29</xdr:row>
      <xdr:rowOff>190500</xdr:rowOff>
    </xdr:from>
    <xdr:to>
      <xdr:col>49</xdr:col>
      <xdr:colOff>711200</xdr:colOff>
      <xdr:row>57</xdr:row>
      <xdr:rowOff>190500</xdr:rowOff>
    </xdr:to>
    <xdr:graphicFrame macro="">
      <xdr:nvGraphicFramePr>
        <xdr:cNvPr id="5" name="Chart 4">
          <a:extLst>
            <a:ext uri="{FF2B5EF4-FFF2-40B4-BE49-F238E27FC236}">
              <a16:creationId xmlns:a16="http://schemas.microsoft.com/office/drawing/2014/main" id="{F5D318D7-1E33-1303-393F-598C1EA2D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184150</xdr:colOff>
      <xdr:row>10</xdr:row>
      <xdr:rowOff>228600</xdr:rowOff>
    </xdr:from>
    <xdr:to>
      <xdr:col>37</xdr:col>
      <xdr:colOff>711200</xdr:colOff>
      <xdr:row>29</xdr:row>
      <xdr:rowOff>50800</xdr:rowOff>
    </xdr:to>
    <xdr:graphicFrame macro="">
      <xdr:nvGraphicFramePr>
        <xdr:cNvPr id="6" name="Chart 5">
          <a:extLst>
            <a:ext uri="{FF2B5EF4-FFF2-40B4-BE49-F238E27FC236}">
              <a16:creationId xmlns:a16="http://schemas.microsoft.com/office/drawing/2014/main" id="{CE97A495-72F5-06EC-96B0-610EE3254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457201</xdr:colOff>
      <xdr:row>82</xdr:row>
      <xdr:rowOff>169334</xdr:rowOff>
    </xdr:from>
    <xdr:to>
      <xdr:col>15</xdr:col>
      <xdr:colOff>220133</xdr:colOff>
      <xdr:row>103</xdr:row>
      <xdr:rowOff>67734</xdr:rowOff>
    </xdr:to>
    <xdr:graphicFrame macro="">
      <xdr:nvGraphicFramePr>
        <xdr:cNvPr id="3" name="Chart 2">
          <a:extLst>
            <a:ext uri="{FF2B5EF4-FFF2-40B4-BE49-F238E27FC236}">
              <a16:creationId xmlns:a16="http://schemas.microsoft.com/office/drawing/2014/main" id="{5598B93C-1050-D858-FD7E-56245E605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448733</xdr:colOff>
      <xdr:row>62</xdr:row>
      <xdr:rowOff>101600</xdr:rowOff>
    </xdr:from>
    <xdr:to>
      <xdr:col>15</xdr:col>
      <xdr:colOff>287866</xdr:colOff>
      <xdr:row>81</xdr:row>
      <xdr:rowOff>135467</xdr:rowOff>
    </xdr:to>
    <xdr:graphicFrame macro="">
      <xdr:nvGraphicFramePr>
        <xdr:cNvPr id="4" name="Chart 3">
          <a:extLst>
            <a:ext uri="{FF2B5EF4-FFF2-40B4-BE49-F238E27FC236}">
              <a16:creationId xmlns:a16="http://schemas.microsoft.com/office/drawing/2014/main" id="{A3F06012-241F-E11D-CDF1-AE146AB68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342900</xdr:colOff>
      <xdr:row>3</xdr:row>
      <xdr:rowOff>38100</xdr:rowOff>
    </xdr:from>
    <xdr:to>
      <xdr:col>12</xdr:col>
      <xdr:colOff>141394</xdr:colOff>
      <xdr:row>11</xdr:row>
      <xdr:rowOff>63500</xdr:rowOff>
    </xdr:to>
    <xdr:pic>
      <xdr:nvPicPr>
        <xdr:cNvPr id="3" name="Picture 2">
          <a:extLst>
            <a:ext uri="{FF2B5EF4-FFF2-40B4-BE49-F238E27FC236}">
              <a16:creationId xmlns:a16="http://schemas.microsoft.com/office/drawing/2014/main" id="{F3C1A3E9-50BD-8F5F-AE38-8A1320E368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10700" y="647700"/>
          <a:ext cx="975360" cy="213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440422</xdr:colOff>
      <xdr:row>15</xdr:row>
      <xdr:rowOff>26564</xdr:rowOff>
    </xdr:from>
    <xdr:to>
      <xdr:col>15</xdr:col>
      <xdr:colOff>501010</xdr:colOff>
      <xdr:row>41</xdr:row>
      <xdr:rowOff>174771</xdr:rowOff>
    </xdr:to>
    <xdr:graphicFrame macro="">
      <xdr:nvGraphicFramePr>
        <xdr:cNvPr id="5" name="Chart 4">
          <a:extLst>
            <a:ext uri="{FF2B5EF4-FFF2-40B4-BE49-F238E27FC236}">
              <a16:creationId xmlns:a16="http://schemas.microsoft.com/office/drawing/2014/main" id="{3C5B77CB-64AD-2AF9-D640-B3F8EEE0D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147637</xdr:colOff>
      <xdr:row>554</xdr:row>
      <xdr:rowOff>76200</xdr:rowOff>
    </xdr:from>
    <xdr:to>
      <xdr:col>41</xdr:col>
      <xdr:colOff>257175</xdr:colOff>
      <xdr:row>582</xdr:row>
      <xdr:rowOff>104775</xdr:rowOff>
    </xdr:to>
    <xdr:graphicFrame macro="">
      <xdr:nvGraphicFramePr>
        <xdr:cNvPr id="6" name="Chart 5">
          <a:extLst>
            <a:ext uri="{FF2B5EF4-FFF2-40B4-BE49-F238E27FC236}">
              <a16:creationId xmlns:a16="http://schemas.microsoft.com/office/drawing/2014/main" id="{E0E4FC68-2BED-3A39-44A1-50655324C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271461</xdr:colOff>
      <xdr:row>521</xdr:row>
      <xdr:rowOff>200024</xdr:rowOff>
    </xdr:from>
    <xdr:to>
      <xdr:col>42</xdr:col>
      <xdr:colOff>619124</xdr:colOff>
      <xdr:row>551</xdr:row>
      <xdr:rowOff>47624</xdr:rowOff>
    </xdr:to>
    <xdr:graphicFrame macro="">
      <xdr:nvGraphicFramePr>
        <xdr:cNvPr id="2" name="Chart 1">
          <a:extLst>
            <a:ext uri="{FF2B5EF4-FFF2-40B4-BE49-F238E27FC236}">
              <a16:creationId xmlns:a16="http://schemas.microsoft.com/office/drawing/2014/main" id="{2C137A1A-5AAD-7CF5-BCCF-DEC8976A9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127000</xdr:colOff>
      <xdr:row>1</xdr:row>
      <xdr:rowOff>76200</xdr:rowOff>
    </xdr:from>
    <xdr:to>
      <xdr:col>13</xdr:col>
      <xdr:colOff>519745</xdr:colOff>
      <xdr:row>9</xdr:row>
      <xdr:rowOff>114300</xdr:rowOff>
    </xdr:to>
    <xdr:pic>
      <xdr:nvPicPr>
        <xdr:cNvPr id="4" name="Picture 3">
          <a:extLst>
            <a:ext uri="{FF2B5EF4-FFF2-40B4-BE49-F238E27FC236}">
              <a16:creationId xmlns:a16="http://schemas.microsoft.com/office/drawing/2014/main" id="{93B94576-CC6C-4DB6-E2B5-4DEACE73D6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3000" y="279400"/>
          <a:ext cx="1218245" cy="259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414486</xdr:colOff>
      <xdr:row>11</xdr:row>
      <xdr:rowOff>28963</xdr:rowOff>
    </xdr:from>
    <xdr:to>
      <xdr:col>16</xdr:col>
      <xdr:colOff>608138</xdr:colOff>
      <xdr:row>38</xdr:row>
      <xdr:rowOff>92463</xdr:rowOff>
    </xdr:to>
    <xdr:graphicFrame macro="">
      <xdr:nvGraphicFramePr>
        <xdr:cNvPr id="2" name="Chart 1">
          <a:extLst>
            <a:ext uri="{FF2B5EF4-FFF2-40B4-BE49-F238E27FC236}">
              <a16:creationId xmlns:a16="http://schemas.microsoft.com/office/drawing/2014/main" id="{7FFA278D-EB0D-AF1A-3A31-858D0710C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613568</xdr:colOff>
      <xdr:row>117</xdr:row>
      <xdr:rowOff>56626</xdr:rowOff>
    </xdr:from>
    <xdr:to>
      <xdr:col>44</xdr:col>
      <xdr:colOff>598327</xdr:colOff>
      <xdr:row>140</xdr:row>
      <xdr:rowOff>160893</xdr:rowOff>
    </xdr:to>
    <xdr:graphicFrame macro="">
      <xdr:nvGraphicFramePr>
        <xdr:cNvPr id="7" name="Chart 6">
          <a:extLst>
            <a:ext uri="{FF2B5EF4-FFF2-40B4-BE49-F238E27FC236}">
              <a16:creationId xmlns:a16="http://schemas.microsoft.com/office/drawing/2014/main" id="{5E81DE84-3F1B-6DD2-288F-C32E33A11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454940</xdr:colOff>
      <xdr:row>150</xdr:row>
      <xdr:rowOff>14044</xdr:rowOff>
    </xdr:from>
    <xdr:to>
      <xdr:col>42</xdr:col>
      <xdr:colOff>372390</xdr:colOff>
      <xdr:row>180</xdr:row>
      <xdr:rowOff>218675</xdr:rowOff>
    </xdr:to>
    <xdr:graphicFrame macro="">
      <xdr:nvGraphicFramePr>
        <xdr:cNvPr id="12" name="Chart 11">
          <a:extLst>
            <a:ext uri="{FF2B5EF4-FFF2-40B4-BE49-F238E27FC236}">
              <a16:creationId xmlns:a16="http://schemas.microsoft.com/office/drawing/2014/main" id="{05B3601F-60B7-901B-E391-11F421513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25400</xdr:colOff>
      <xdr:row>1</xdr:row>
      <xdr:rowOff>203199</xdr:rowOff>
    </xdr:from>
    <xdr:to>
      <xdr:col>12</xdr:col>
      <xdr:colOff>128588</xdr:colOff>
      <xdr:row>9</xdr:row>
      <xdr:rowOff>50800</xdr:rowOff>
    </xdr:to>
    <xdr:pic>
      <xdr:nvPicPr>
        <xdr:cNvPr id="3" name="Picture 2">
          <a:extLst>
            <a:ext uri="{FF2B5EF4-FFF2-40B4-BE49-F238E27FC236}">
              <a16:creationId xmlns:a16="http://schemas.microsoft.com/office/drawing/2014/main" id="{593009B3-964A-8D1E-4D85-DCC13005E4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5900" y="406399"/>
          <a:ext cx="928688"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450850</xdr:colOff>
      <xdr:row>10</xdr:row>
      <xdr:rowOff>190500</xdr:rowOff>
    </xdr:from>
    <xdr:to>
      <xdr:col>17</xdr:col>
      <xdr:colOff>698500</xdr:colOff>
      <xdr:row>43</xdr:row>
      <xdr:rowOff>63500</xdr:rowOff>
    </xdr:to>
    <xdr:graphicFrame macro="">
      <xdr:nvGraphicFramePr>
        <xdr:cNvPr id="4" name="Chart 3">
          <a:extLst>
            <a:ext uri="{FF2B5EF4-FFF2-40B4-BE49-F238E27FC236}">
              <a16:creationId xmlns:a16="http://schemas.microsoft.com/office/drawing/2014/main" id="{8BBDE03B-641C-C4EC-A075-3D8DB3218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288138</xdr:colOff>
      <xdr:row>146</xdr:row>
      <xdr:rowOff>178345</xdr:rowOff>
    </xdr:from>
    <xdr:to>
      <xdr:col>42</xdr:col>
      <xdr:colOff>477956</xdr:colOff>
      <xdr:row>175</xdr:row>
      <xdr:rowOff>27312</xdr:rowOff>
    </xdr:to>
    <xdr:graphicFrame macro="">
      <xdr:nvGraphicFramePr>
        <xdr:cNvPr id="5" name="Chart 4">
          <a:extLst>
            <a:ext uri="{FF2B5EF4-FFF2-40B4-BE49-F238E27FC236}">
              <a16:creationId xmlns:a16="http://schemas.microsoft.com/office/drawing/2014/main" id="{8F5916D0-45A7-5F0E-E97E-39CFF0F0A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510227</xdr:colOff>
      <xdr:row>113</xdr:row>
      <xdr:rowOff>154628</xdr:rowOff>
    </xdr:from>
    <xdr:to>
      <xdr:col>44</xdr:col>
      <xdr:colOff>812800</xdr:colOff>
      <xdr:row>142</xdr:row>
      <xdr:rowOff>203200</xdr:rowOff>
    </xdr:to>
    <xdr:graphicFrame macro="">
      <xdr:nvGraphicFramePr>
        <xdr:cNvPr id="6" name="Chart 5">
          <a:extLst>
            <a:ext uri="{FF2B5EF4-FFF2-40B4-BE49-F238E27FC236}">
              <a16:creationId xmlns:a16="http://schemas.microsoft.com/office/drawing/2014/main" id="{F4881B66-B707-3977-3C83-3DCB740B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0</xdr:colOff>
      <xdr:row>2</xdr:row>
      <xdr:rowOff>25400</xdr:rowOff>
    </xdr:from>
    <xdr:to>
      <xdr:col>12</xdr:col>
      <xdr:colOff>304800</xdr:colOff>
      <xdr:row>10</xdr:row>
      <xdr:rowOff>101788</xdr:rowOff>
    </xdr:to>
    <xdr:pic>
      <xdr:nvPicPr>
        <xdr:cNvPr id="3" name="Picture 2">
          <a:extLst>
            <a:ext uri="{FF2B5EF4-FFF2-40B4-BE49-F238E27FC236}">
              <a16:creationId xmlns:a16="http://schemas.microsoft.com/office/drawing/2014/main" id="{3B326FDC-4901-938C-AAE9-67A1F094DD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4800" y="431800"/>
          <a:ext cx="1130300" cy="2400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705027</xdr:colOff>
      <xdr:row>11</xdr:row>
      <xdr:rowOff>147652</xdr:rowOff>
    </xdr:from>
    <xdr:to>
      <xdr:col>15</xdr:col>
      <xdr:colOff>35607</xdr:colOff>
      <xdr:row>39</xdr:row>
      <xdr:rowOff>166168</xdr:rowOff>
    </xdr:to>
    <xdr:graphicFrame macro="">
      <xdr:nvGraphicFramePr>
        <xdr:cNvPr id="4" name="Chart 3">
          <a:extLst>
            <a:ext uri="{FF2B5EF4-FFF2-40B4-BE49-F238E27FC236}">
              <a16:creationId xmlns:a16="http://schemas.microsoft.com/office/drawing/2014/main" id="{82BB6B67-2D80-4F7B-5541-8E6B77A74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166685</xdr:colOff>
      <xdr:row>106</xdr:row>
      <xdr:rowOff>238125</xdr:rowOff>
    </xdr:from>
    <xdr:to>
      <xdr:col>54</xdr:col>
      <xdr:colOff>676274</xdr:colOff>
      <xdr:row>136</xdr:row>
      <xdr:rowOff>47625</xdr:rowOff>
    </xdr:to>
    <xdr:graphicFrame macro="">
      <xdr:nvGraphicFramePr>
        <xdr:cNvPr id="2" name="Chart 1">
          <a:extLst>
            <a:ext uri="{FF2B5EF4-FFF2-40B4-BE49-F238E27FC236}">
              <a16:creationId xmlns:a16="http://schemas.microsoft.com/office/drawing/2014/main" id="{C1545776-9C85-BDDE-E5C8-7372E17B6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357186</xdr:colOff>
      <xdr:row>139</xdr:row>
      <xdr:rowOff>57149</xdr:rowOff>
    </xdr:from>
    <xdr:to>
      <xdr:col>43</xdr:col>
      <xdr:colOff>457199</xdr:colOff>
      <xdr:row>167</xdr:row>
      <xdr:rowOff>171449</xdr:rowOff>
    </xdr:to>
    <xdr:graphicFrame macro="">
      <xdr:nvGraphicFramePr>
        <xdr:cNvPr id="5" name="Chart 4">
          <a:extLst>
            <a:ext uri="{FF2B5EF4-FFF2-40B4-BE49-F238E27FC236}">
              <a16:creationId xmlns:a16="http://schemas.microsoft.com/office/drawing/2014/main" id="{9607403A-CD68-2198-6D35-539815711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514350</xdr:colOff>
      <xdr:row>8</xdr:row>
      <xdr:rowOff>190500</xdr:rowOff>
    </xdr:from>
    <xdr:to>
      <xdr:col>12</xdr:col>
      <xdr:colOff>342900</xdr:colOff>
      <xdr:row>35</xdr:row>
      <xdr:rowOff>76200</xdr:rowOff>
    </xdr:to>
    <xdr:graphicFrame macro="">
      <xdr:nvGraphicFramePr>
        <xdr:cNvPr id="2" name="Chart 1">
          <a:extLst>
            <a:ext uri="{FF2B5EF4-FFF2-40B4-BE49-F238E27FC236}">
              <a16:creationId xmlns:a16="http://schemas.microsoft.com/office/drawing/2014/main" id="{AC7DC7D4-EC8B-8A83-A551-A1FEF2DC4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292100</xdr:colOff>
      <xdr:row>1</xdr:row>
      <xdr:rowOff>101599</xdr:rowOff>
    </xdr:from>
    <xdr:to>
      <xdr:col>12</xdr:col>
      <xdr:colOff>711200</xdr:colOff>
      <xdr:row>7</xdr:row>
      <xdr:rowOff>228168</xdr:rowOff>
    </xdr:to>
    <xdr:pic>
      <xdr:nvPicPr>
        <xdr:cNvPr id="3" name="Picture 2">
          <a:extLst>
            <a:ext uri="{FF2B5EF4-FFF2-40B4-BE49-F238E27FC236}">
              <a16:creationId xmlns:a16="http://schemas.microsoft.com/office/drawing/2014/main" id="{5473DE70-5E16-0FF3-3536-042B2917D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23400" y="304799"/>
          <a:ext cx="1244600" cy="2615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357187</xdr:colOff>
      <xdr:row>133</xdr:row>
      <xdr:rowOff>28574</xdr:rowOff>
    </xdr:from>
    <xdr:to>
      <xdr:col>43</xdr:col>
      <xdr:colOff>447675</xdr:colOff>
      <xdr:row>164</xdr:row>
      <xdr:rowOff>0</xdr:rowOff>
    </xdr:to>
    <xdr:graphicFrame macro="">
      <xdr:nvGraphicFramePr>
        <xdr:cNvPr id="4" name="Chart 3">
          <a:extLst>
            <a:ext uri="{FF2B5EF4-FFF2-40B4-BE49-F238E27FC236}">
              <a16:creationId xmlns:a16="http://schemas.microsoft.com/office/drawing/2014/main" id="{685D51C5-B29A-06CA-7A79-F3116C996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214312</xdr:colOff>
      <xdr:row>101</xdr:row>
      <xdr:rowOff>142874</xdr:rowOff>
    </xdr:from>
    <xdr:to>
      <xdr:col>45</xdr:col>
      <xdr:colOff>457200</xdr:colOff>
      <xdr:row>130</xdr:row>
      <xdr:rowOff>66674</xdr:rowOff>
    </xdr:to>
    <xdr:graphicFrame macro="">
      <xdr:nvGraphicFramePr>
        <xdr:cNvPr id="8" name="Chart 7">
          <a:extLst>
            <a:ext uri="{FF2B5EF4-FFF2-40B4-BE49-F238E27FC236}">
              <a16:creationId xmlns:a16="http://schemas.microsoft.com/office/drawing/2014/main" id="{D68FC7CA-23DD-F025-2E2C-96C60856F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508000</xdr:colOff>
      <xdr:row>2</xdr:row>
      <xdr:rowOff>344406</xdr:rowOff>
    </xdr:from>
    <xdr:to>
      <xdr:col>32</xdr:col>
      <xdr:colOff>355600</xdr:colOff>
      <xdr:row>25</xdr:row>
      <xdr:rowOff>0</xdr:rowOff>
    </xdr:to>
    <xdr:graphicFrame macro="">
      <xdr:nvGraphicFramePr>
        <xdr:cNvPr id="6" name="Chart 5">
          <a:extLst>
            <a:ext uri="{FF2B5EF4-FFF2-40B4-BE49-F238E27FC236}">
              <a16:creationId xmlns:a16="http://schemas.microsoft.com/office/drawing/2014/main" id="{D6EDE963-62D6-88EF-3284-DA2A329AD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768189</xdr:colOff>
      <xdr:row>25</xdr:row>
      <xdr:rowOff>123311</xdr:rowOff>
    </xdr:from>
    <xdr:to>
      <xdr:col>7</xdr:col>
      <xdr:colOff>7838</xdr:colOff>
      <xdr:row>45</xdr:row>
      <xdr:rowOff>179953</xdr:rowOff>
    </xdr:to>
    <xdr:graphicFrame macro="">
      <xdr:nvGraphicFramePr>
        <xdr:cNvPr id="7" name="Chart 6">
          <a:extLst>
            <a:ext uri="{FF2B5EF4-FFF2-40B4-BE49-F238E27FC236}">
              <a16:creationId xmlns:a16="http://schemas.microsoft.com/office/drawing/2014/main" id="{9B3A2559-D738-2B98-289B-68592C5D3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69805</xdr:colOff>
      <xdr:row>25</xdr:row>
      <xdr:rowOff>131316</xdr:rowOff>
    </xdr:from>
    <xdr:to>
      <xdr:col>12</xdr:col>
      <xdr:colOff>594738</xdr:colOff>
      <xdr:row>45</xdr:row>
      <xdr:rowOff>156175</xdr:rowOff>
    </xdr:to>
    <xdr:graphicFrame macro="">
      <xdr:nvGraphicFramePr>
        <xdr:cNvPr id="8" name="Chart 7">
          <a:extLst>
            <a:ext uri="{FF2B5EF4-FFF2-40B4-BE49-F238E27FC236}">
              <a16:creationId xmlns:a16="http://schemas.microsoft.com/office/drawing/2014/main" id="{F1FC31FB-07A8-7674-3A43-BC61DB90E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691385</xdr:colOff>
      <xdr:row>25</xdr:row>
      <xdr:rowOff>114215</xdr:rowOff>
    </xdr:from>
    <xdr:to>
      <xdr:col>17</xdr:col>
      <xdr:colOff>579248</xdr:colOff>
      <xdr:row>45</xdr:row>
      <xdr:rowOff>173107</xdr:rowOff>
    </xdr:to>
    <xdr:graphicFrame macro="">
      <xdr:nvGraphicFramePr>
        <xdr:cNvPr id="9" name="Chart 8">
          <a:extLst>
            <a:ext uri="{FF2B5EF4-FFF2-40B4-BE49-F238E27FC236}">
              <a16:creationId xmlns:a16="http://schemas.microsoft.com/office/drawing/2014/main" id="{BCC7EFCA-5503-AADC-ECC6-BA9686C3C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694808</xdr:colOff>
      <xdr:row>25</xdr:row>
      <xdr:rowOff>107367</xdr:rowOff>
    </xdr:from>
    <xdr:to>
      <xdr:col>22</xdr:col>
      <xdr:colOff>596181</xdr:colOff>
      <xdr:row>45</xdr:row>
      <xdr:rowOff>121149</xdr:rowOff>
    </xdr:to>
    <xdr:graphicFrame macro="">
      <xdr:nvGraphicFramePr>
        <xdr:cNvPr id="10" name="Chart 9">
          <a:extLst>
            <a:ext uri="{FF2B5EF4-FFF2-40B4-BE49-F238E27FC236}">
              <a16:creationId xmlns:a16="http://schemas.microsoft.com/office/drawing/2014/main" id="{26F51C8C-C1CA-82BC-380A-98979F54C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695319</xdr:colOff>
      <xdr:row>25</xdr:row>
      <xdr:rowOff>116048</xdr:rowOff>
    </xdr:from>
    <xdr:to>
      <xdr:col>27</xdr:col>
      <xdr:colOff>387697</xdr:colOff>
      <xdr:row>45</xdr:row>
      <xdr:rowOff>143264</xdr:rowOff>
    </xdr:to>
    <xdr:graphicFrame macro="">
      <xdr:nvGraphicFramePr>
        <xdr:cNvPr id="11" name="Chart 10">
          <a:extLst>
            <a:ext uri="{FF2B5EF4-FFF2-40B4-BE49-F238E27FC236}">
              <a16:creationId xmlns:a16="http://schemas.microsoft.com/office/drawing/2014/main" id="{66FBCDF3-0EB3-2EF0-A4C5-5B31F6CD2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518224</xdr:colOff>
      <xdr:row>25</xdr:row>
      <xdr:rowOff>130157</xdr:rowOff>
    </xdr:from>
    <xdr:to>
      <xdr:col>32</xdr:col>
      <xdr:colOff>321374</xdr:colOff>
      <xdr:row>45</xdr:row>
      <xdr:rowOff>133386</xdr:rowOff>
    </xdr:to>
    <xdr:graphicFrame macro="">
      <xdr:nvGraphicFramePr>
        <xdr:cNvPr id="12" name="Chart 11">
          <a:extLst>
            <a:ext uri="{FF2B5EF4-FFF2-40B4-BE49-F238E27FC236}">
              <a16:creationId xmlns:a16="http://schemas.microsoft.com/office/drawing/2014/main" id="{D841A382-96B5-E5AC-88A3-B888A1DAA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414130</xdr:colOff>
      <xdr:row>97</xdr:row>
      <xdr:rowOff>130311</xdr:rowOff>
    </xdr:from>
    <xdr:to>
      <xdr:col>14</xdr:col>
      <xdr:colOff>176696</xdr:colOff>
      <xdr:row>113</xdr:row>
      <xdr:rowOff>99390</xdr:rowOff>
    </xdr:to>
    <xdr:graphicFrame macro="">
      <xdr:nvGraphicFramePr>
        <xdr:cNvPr id="4" name="Chart 3">
          <a:extLst>
            <a:ext uri="{FF2B5EF4-FFF2-40B4-BE49-F238E27FC236}">
              <a16:creationId xmlns:a16="http://schemas.microsoft.com/office/drawing/2014/main" id="{22421085-4CF6-2087-44FD-653C4392F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386080</xdr:colOff>
      <xdr:row>115</xdr:row>
      <xdr:rowOff>66040</xdr:rowOff>
    </xdr:from>
    <xdr:to>
      <xdr:col>14</xdr:col>
      <xdr:colOff>741680</xdr:colOff>
      <xdr:row>137</xdr:row>
      <xdr:rowOff>193040</xdr:rowOff>
    </xdr:to>
    <xdr:graphicFrame macro="">
      <xdr:nvGraphicFramePr>
        <xdr:cNvPr id="13" name="Chart 12">
          <a:extLst>
            <a:ext uri="{FF2B5EF4-FFF2-40B4-BE49-F238E27FC236}">
              <a16:creationId xmlns:a16="http://schemas.microsoft.com/office/drawing/2014/main" id="{1E3D7E95-F26A-67BF-CC7F-B1D995BF4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339811</xdr:colOff>
      <xdr:row>26</xdr:row>
      <xdr:rowOff>24256</xdr:rowOff>
    </xdr:from>
    <xdr:to>
      <xdr:col>11</xdr:col>
      <xdr:colOff>457658</xdr:colOff>
      <xdr:row>44</xdr:row>
      <xdr:rowOff>127000</xdr:rowOff>
    </xdr:to>
    <xdr:graphicFrame macro="">
      <xdr:nvGraphicFramePr>
        <xdr:cNvPr id="3" name="Chart 2">
          <a:extLst>
            <a:ext uri="{FF2B5EF4-FFF2-40B4-BE49-F238E27FC236}">
              <a16:creationId xmlns:a16="http://schemas.microsoft.com/office/drawing/2014/main" id="{9AD06F1C-EF75-FD26-98D8-49108C49E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15956</xdr:colOff>
      <xdr:row>25</xdr:row>
      <xdr:rowOff>163796</xdr:rowOff>
    </xdr:from>
    <xdr:to>
      <xdr:col>16</xdr:col>
      <xdr:colOff>644770</xdr:colOff>
      <xdr:row>44</xdr:row>
      <xdr:rowOff>114300</xdr:rowOff>
    </xdr:to>
    <xdr:graphicFrame macro="">
      <xdr:nvGraphicFramePr>
        <xdr:cNvPr id="4" name="Chart 3">
          <a:extLst>
            <a:ext uri="{FF2B5EF4-FFF2-40B4-BE49-F238E27FC236}">
              <a16:creationId xmlns:a16="http://schemas.microsoft.com/office/drawing/2014/main" id="{152A731C-A8A4-D4C9-E2A1-BB0E10C06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19325</xdr:colOff>
      <xdr:row>25</xdr:row>
      <xdr:rowOff>160682</xdr:rowOff>
    </xdr:from>
    <xdr:to>
      <xdr:col>21</xdr:col>
      <xdr:colOff>372718</xdr:colOff>
      <xdr:row>44</xdr:row>
      <xdr:rowOff>114300</xdr:rowOff>
    </xdr:to>
    <xdr:graphicFrame macro="">
      <xdr:nvGraphicFramePr>
        <xdr:cNvPr id="5" name="Chart 4">
          <a:extLst>
            <a:ext uri="{FF2B5EF4-FFF2-40B4-BE49-F238E27FC236}">
              <a16:creationId xmlns:a16="http://schemas.microsoft.com/office/drawing/2014/main" id="{CE898F70-32E9-FBDD-7A04-014A8D571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737152</xdr:colOff>
      <xdr:row>9</xdr:row>
      <xdr:rowOff>174488</xdr:rowOff>
    </xdr:from>
    <xdr:to>
      <xdr:col>26</xdr:col>
      <xdr:colOff>27609</xdr:colOff>
      <xdr:row>24</xdr:row>
      <xdr:rowOff>179457</xdr:rowOff>
    </xdr:to>
    <xdr:graphicFrame macro="">
      <xdr:nvGraphicFramePr>
        <xdr:cNvPr id="6" name="Chart 5">
          <a:extLst>
            <a:ext uri="{FF2B5EF4-FFF2-40B4-BE49-F238E27FC236}">
              <a16:creationId xmlns:a16="http://schemas.microsoft.com/office/drawing/2014/main" id="{8D334318-19E0-58A0-887E-1FED44BD7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737152</xdr:colOff>
      <xdr:row>25</xdr:row>
      <xdr:rowOff>77856</xdr:rowOff>
    </xdr:from>
    <xdr:to>
      <xdr:col>26</xdr:col>
      <xdr:colOff>0</xdr:colOff>
      <xdr:row>44</xdr:row>
      <xdr:rowOff>76200</xdr:rowOff>
    </xdr:to>
    <xdr:graphicFrame macro="">
      <xdr:nvGraphicFramePr>
        <xdr:cNvPr id="7" name="Chart 6">
          <a:extLst>
            <a:ext uri="{FF2B5EF4-FFF2-40B4-BE49-F238E27FC236}">
              <a16:creationId xmlns:a16="http://schemas.microsoft.com/office/drawing/2014/main" id="{DC21C2DE-6D7C-5D54-1218-1F635896B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19326</xdr:colOff>
      <xdr:row>26</xdr:row>
      <xdr:rowOff>8834</xdr:rowOff>
    </xdr:from>
    <xdr:to>
      <xdr:col>6</xdr:col>
      <xdr:colOff>96631</xdr:colOff>
      <xdr:row>44</xdr:row>
      <xdr:rowOff>114041</xdr:rowOff>
    </xdr:to>
    <xdr:graphicFrame macro="">
      <xdr:nvGraphicFramePr>
        <xdr:cNvPr id="8" name="Chart 7">
          <a:extLst>
            <a:ext uri="{FF2B5EF4-FFF2-40B4-BE49-F238E27FC236}">
              <a16:creationId xmlns:a16="http://schemas.microsoft.com/office/drawing/2014/main" id="{2BDC53FB-5FDA-D1DE-7E75-A68CEBBF9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432346</xdr:colOff>
      <xdr:row>12</xdr:row>
      <xdr:rowOff>36813</xdr:rowOff>
    </xdr:from>
    <xdr:to>
      <xdr:col>18</xdr:col>
      <xdr:colOff>802240</xdr:colOff>
      <xdr:row>47</xdr:row>
      <xdr:rowOff>147247</xdr:rowOff>
    </xdr:to>
    <xdr:graphicFrame macro="">
      <xdr:nvGraphicFramePr>
        <xdr:cNvPr id="2" name="Chart 1">
          <a:extLst>
            <a:ext uri="{FF2B5EF4-FFF2-40B4-BE49-F238E27FC236}">
              <a16:creationId xmlns:a16="http://schemas.microsoft.com/office/drawing/2014/main" id="{E08EA98D-2C98-C2CA-877A-1BB22F9DA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48350</xdr:colOff>
      <xdr:row>69</xdr:row>
      <xdr:rowOff>177215</xdr:rowOff>
    </xdr:from>
    <xdr:to>
      <xdr:col>8</xdr:col>
      <xdr:colOff>536344</xdr:colOff>
      <xdr:row>90</xdr:row>
      <xdr:rowOff>36811</xdr:rowOff>
    </xdr:to>
    <xdr:graphicFrame macro="">
      <xdr:nvGraphicFramePr>
        <xdr:cNvPr id="3" name="Chart 2">
          <a:extLst>
            <a:ext uri="{FF2B5EF4-FFF2-40B4-BE49-F238E27FC236}">
              <a16:creationId xmlns:a16="http://schemas.microsoft.com/office/drawing/2014/main" id="{5E5495B6-5360-5FA6-CD89-C97F151EE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1082529</xdr:colOff>
      <xdr:row>70</xdr:row>
      <xdr:rowOff>105650</xdr:rowOff>
    </xdr:from>
    <xdr:to>
      <xdr:col>11</xdr:col>
      <xdr:colOff>1340833</xdr:colOff>
      <xdr:row>90</xdr:row>
      <xdr:rowOff>55218</xdr:rowOff>
    </xdr:to>
    <xdr:graphicFrame macro="">
      <xdr:nvGraphicFramePr>
        <xdr:cNvPr id="4" name="Chart 3">
          <a:extLst>
            <a:ext uri="{FF2B5EF4-FFF2-40B4-BE49-F238E27FC236}">
              <a16:creationId xmlns:a16="http://schemas.microsoft.com/office/drawing/2014/main" id="{690EA454-9221-AE0D-66A2-E21407D75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437315</xdr:colOff>
      <xdr:row>58</xdr:row>
      <xdr:rowOff>149954</xdr:rowOff>
    </xdr:from>
    <xdr:to>
      <xdr:col>37</xdr:col>
      <xdr:colOff>194236</xdr:colOff>
      <xdr:row>87</xdr:row>
      <xdr:rowOff>21112</xdr:rowOff>
    </xdr:to>
    <xdr:graphicFrame macro="">
      <xdr:nvGraphicFramePr>
        <xdr:cNvPr id="5" name="Chart 4">
          <a:extLst>
            <a:ext uri="{FF2B5EF4-FFF2-40B4-BE49-F238E27FC236}">
              <a16:creationId xmlns:a16="http://schemas.microsoft.com/office/drawing/2014/main" id="{D64E1F61-E176-BEFA-A452-0241F6CB0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432370</xdr:colOff>
      <xdr:row>112</xdr:row>
      <xdr:rowOff>33960</xdr:rowOff>
    </xdr:from>
    <xdr:to>
      <xdr:col>25</xdr:col>
      <xdr:colOff>389467</xdr:colOff>
      <xdr:row>131</xdr:row>
      <xdr:rowOff>50800</xdr:rowOff>
    </xdr:to>
    <xdr:graphicFrame macro="">
      <xdr:nvGraphicFramePr>
        <xdr:cNvPr id="8" name="Chart 7">
          <a:extLst>
            <a:ext uri="{FF2B5EF4-FFF2-40B4-BE49-F238E27FC236}">
              <a16:creationId xmlns:a16="http://schemas.microsoft.com/office/drawing/2014/main" id="{5CF65489-EBBC-C7B1-807F-63E13DE9D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5127</xdr:colOff>
      <xdr:row>68</xdr:row>
      <xdr:rowOff>50800</xdr:rowOff>
    </xdr:from>
    <xdr:to>
      <xdr:col>2</xdr:col>
      <xdr:colOff>761024</xdr:colOff>
      <xdr:row>78</xdr:row>
      <xdr:rowOff>2332</xdr:rowOff>
    </xdr:to>
    <xdr:pic>
      <xdr:nvPicPr>
        <xdr:cNvPr id="2" name="Picture 1">
          <a:extLst>
            <a:ext uri="{FF2B5EF4-FFF2-40B4-BE49-F238E27FC236}">
              <a16:creationId xmlns:a16="http://schemas.microsoft.com/office/drawing/2014/main" id="{A08A6D1A-EAEE-E290-683B-2EF1F8A7A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627" y="20421600"/>
          <a:ext cx="1595074" cy="1975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106291</xdr:colOff>
      <xdr:row>68</xdr:row>
      <xdr:rowOff>12699</xdr:rowOff>
    </xdr:from>
    <xdr:to>
      <xdr:col>4</xdr:col>
      <xdr:colOff>329473</xdr:colOff>
      <xdr:row>77</xdr:row>
      <xdr:rowOff>152400</xdr:rowOff>
    </xdr:to>
    <xdr:pic>
      <xdr:nvPicPr>
        <xdr:cNvPr id="3" name="Picture 2">
          <a:extLst>
            <a:ext uri="{FF2B5EF4-FFF2-40B4-BE49-F238E27FC236}">
              <a16:creationId xmlns:a16="http://schemas.microsoft.com/office/drawing/2014/main" id="{73804EC6-E221-C801-9D33-90D8ED0ADE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93891" y="20383499"/>
          <a:ext cx="1294215"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140147</xdr:colOff>
      <xdr:row>68</xdr:row>
      <xdr:rowOff>25401</xdr:rowOff>
    </xdr:from>
    <xdr:to>
      <xdr:col>6</xdr:col>
      <xdr:colOff>482600</xdr:colOff>
      <xdr:row>78</xdr:row>
      <xdr:rowOff>4186</xdr:rowOff>
    </xdr:to>
    <xdr:pic>
      <xdr:nvPicPr>
        <xdr:cNvPr id="4" name="Picture 3">
          <a:extLst>
            <a:ext uri="{FF2B5EF4-FFF2-40B4-BE49-F238E27FC236}">
              <a16:creationId xmlns:a16="http://schemas.microsoft.com/office/drawing/2014/main" id="{BEC8F662-966F-E5AA-A825-1457DC99F6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88247" y="20396201"/>
          <a:ext cx="1637853" cy="2006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156054</xdr:colOff>
      <xdr:row>68</xdr:row>
      <xdr:rowOff>63500</xdr:rowOff>
    </xdr:from>
    <xdr:to>
      <xdr:col>8</xdr:col>
      <xdr:colOff>836244</xdr:colOff>
      <xdr:row>77</xdr:row>
      <xdr:rowOff>76200</xdr:rowOff>
    </xdr:to>
    <xdr:pic>
      <xdr:nvPicPr>
        <xdr:cNvPr id="5" name="Picture 4">
          <a:extLst>
            <a:ext uri="{FF2B5EF4-FFF2-40B4-BE49-F238E27FC236}">
              <a16:creationId xmlns:a16="http://schemas.microsoft.com/office/drawing/2014/main" id="{0BFB1669-6888-5CC5-71DE-5F10D47274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226654" y="20891500"/>
          <a:ext cx="1505690" cy="184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164808</xdr:colOff>
      <xdr:row>81</xdr:row>
      <xdr:rowOff>38100</xdr:rowOff>
    </xdr:from>
    <xdr:to>
      <xdr:col>2</xdr:col>
      <xdr:colOff>577360</xdr:colOff>
      <xdr:row>90</xdr:row>
      <xdr:rowOff>139700</xdr:rowOff>
    </xdr:to>
    <xdr:pic>
      <xdr:nvPicPr>
        <xdr:cNvPr id="6" name="Picture 5">
          <a:extLst>
            <a:ext uri="{FF2B5EF4-FFF2-40B4-BE49-F238E27FC236}">
              <a16:creationId xmlns:a16="http://schemas.microsoft.com/office/drawing/2014/main" id="{316368E9-E756-6771-A5DE-F58728B848A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90308" y="23050500"/>
          <a:ext cx="1257590" cy="193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81329</xdr:colOff>
      <xdr:row>81</xdr:row>
      <xdr:rowOff>12700</xdr:rowOff>
    </xdr:from>
    <xdr:to>
      <xdr:col>4</xdr:col>
      <xdr:colOff>313267</xdr:colOff>
      <xdr:row>90</xdr:row>
      <xdr:rowOff>183961</xdr:rowOff>
    </xdr:to>
    <xdr:pic>
      <xdr:nvPicPr>
        <xdr:cNvPr id="8" name="Picture 7">
          <a:extLst>
            <a:ext uri="{FF2B5EF4-FFF2-40B4-BE49-F238E27FC236}">
              <a16:creationId xmlns:a16="http://schemas.microsoft.com/office/drawing/2014/main" id="{FA91F09E-8593-B35F-8E8F-BFDF092C1FC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468929" y="23025100"/>
          <a:ext cx="1302971" cy="2000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165100</xdr:colOff>
      <xdr:row>81</xdr:row>
      <xdr:rowOff>38100</xdr:rowOff>
    </xdr:from>
    <xdr:to>
      <xdr:col>6</xdr:col>
      <xdr:colOff>431800</xdr:colOff>
      <xdr:row>90</xdr:row>
      <xdr:rowOff>180661</xdr:rowOff>
    </xdr:to>
    <xdr:pic>
      <xdr:nvPicPr>
        <xdr:cNvPr id="9" name="Picture 8">
          <a:extLst>
            <a:ext uri="{FF2B5EF4-FFF2-40B4-BE49-F238E27FC236}">
              <a16:creationId xmlns:a16="http://schemas.microsoft.com/office/drawing/2014/main" id="{20EA6266-84EC-F48E-310E-11FD0F57317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013200" y="23050500"/>
          <a:ext cx="1562100" cy="19713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241300</xdr:colOff>
      <xdr:row>81</xdr:row>
      <xdr:rowOff>38100</xdr:rowOff>
    </xdr:from>
    <xdr:to>
      <xdr:col>8</xdr:col>
      <xdr:colOff>751253</xdr:colOff>
      <xdr:row>90</xdr:row>
      <xdr:rowOff>190500</xdr:rowOff>
    </xdr:to>
    <xdr:pic>
      <xdr:nvPicPr>
        <xdr:cNvPr id="10" name="Picture 9">
          <a:extLst>
            <a:ext uri="{FF2B5EF4-FFF2-40B4-BE49-F238E27FC236}">
              <a16:creationId xmlns:a16="http://schemas.microsoft.com/office/drawing/2014/main" id="{B7FC35A6-CDF6-E5BF-3B7C-0CF618F064F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11900" y="23507700"/>
          <a:ext cx="1335453"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127698</xdr:colOff>
      <xdr:row>94</xdr:row>
      <xdr:rowOff>25400</xdr:rowOff>
    </xdr:from>
    <xdr:to>
      <xdr:col>2</xdr:col>
      <xdr:colOff>691662</xdr:colOff>
      <xdr:row>103</xdr:row>
      <xdr:rowOff>152402</xdr:rowOff>
    </xdr:to>
    <xdr:pic>
      <xdr:nvPicPr>
        <xdr:cNvPr id="11" name="Picture 10">
          <a:extLst>
            <a:ext uri="{FF2B5EF4-FFF2-40B4-BE49-F238E27FC236}">
              <a16:creationId xmlns:a16="http://schemas.microsoft.com/office/drawing/2014/main" id="{B88EFACD-F236-28EC-4407-468273E9216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53198" y="25679400"/>
          <a:ext cx="1409002" cy="195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63499</xdr:colOff>
      <xdr:row>94</xdr:row>
      <xdr:rowOff>63500</xdr:rowOff>
    </xdr:from>
    <xdr:to>
      <xdr:col>4</xdr:col>
      <xdr:colOff>358832</xdr:colOff>
      <xdr:row>103</xdr:row>
      <xdr:rowOff>139702</xdr:rowOff>
    </xdr:to>
    <xdr:pic>
      <xdr:nvPicPr>
        <xdr:cNvPr id="12" name="Picture 11">
          <a:extLst>
            <a:ext uri="{FF2B5EF4-FFF2-40B4-BE49-F238E27FC236}">
              <a16:creationId xmlns:a16="http://schemas.microsoft.com/office/drawing/2014/main" id="{A958F7E6-9C9E-13DC-30CC-ADBE1FFFB89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451099" y="25717500"/>
          <a:ext cx="1366366"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142945</xdr:colOff>
      <xdr:row>94</xdr:row>
      <xdr:rowOff>12700</xdr:rowOff>
    </xdr:from>
    <xdr:to>
      <xdr:col>6</xdr:col>
      <xdr:colOff>444500</xdr:colOff>
      <xdr:row>104</xdr:row>
      <xdr:rowOff>3255</xdr:rowOff>
    </xdr:to>
    <xdr:pic>
      <xdr:nvPicPr>
        <xdr:cNvPr id="13" name="Picture 12">
          <a:extLst>
            <a:ext uri="{FF2B5EF4-FFF2-40B4-BE49-F238E27FC236}">
              <a16:creationId xmlns:a16="http://schemas.microsoft.com/office/drawing/2014/main" id="{1220F8C5-0B83-9056-7326-197FDE8C96D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3991045" y="25666700"/>
          <a:ext cx="1596955" cy="2014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22180</xdr:colOff>
      <xdr:row>94</xdr:row>
      <xdr:rowOff>12699</xdr:rowOff>
    </xdr:from>
    <xdr:to>
      <xdr:col>8</xdr:col>
      <xdr:colOff>662353</xdr:colOff>
      <xdr:row>103</xdr:row>
      <xdr:rowOff>165102</xdr:rowOff>
    </xdr:to>
    <xdr:pic>
      <xdr:nvPicPr>
        <xdr:cNvPr id="14" name="Picture 13">
          <a:extLst>
            <a:ext uri="{FF2B5EF4-FFF2-40B4-BE49-F238E27FC236}">
              <a16:creationId xmlns:a16="http://schemas.microsoft.com/office/drawing/2014/main" id="{500FC3A8-CE45-BE38-61B5-E4630D1B23A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699080" y="25666699"/>
          <a:ext cx="145102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156700</xdr:colOff>
      <xdr:row>107</xdr:row>
      <xdr:rowOff>25399</xdr:rowOff>
    </xdr:from>
    <xdr:to>
      <xdr:col>2</xdr:col>
      <xdr:colOff>628161</xdr:colOff>
      <xdr:row>116</xdr:row>
      <xdr:rowOff>168200</xdr:rowOff>
    </xdr:to>
    <xdr:pic>
      <xdr:nvPicPr>
        <xdr:cNvPr id="15" name="Picture 14">
          <a:extLst>
            <a:ext uri="{FF2B5EF4-FFF2-40B4-BE49-F238E27FC236}">
              <a16:creationId xmlns:a16="http://schemas.microsoft.com/office/drawing/2014/main" id="{5005C8A8-C986-3C0B-EE04-98A7182A0C5F}"/>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982200" y="28320999"/>
          <a:ext cx="1316499" cy="1971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76200</xdr:colOff>
      <xdr:row>107</xdr:row>
      <xdr:rowOff>25400</xdr:rowOff>
    </xdr:from>
    <xdr:to>
      <xdr:col>4</xdr:col>
      <xdr:colOff>325966</xdr:colOff>
      <xdr:row>116</xdr:row>
      <xdr:rowOff>189136</xdr:rowOff>
    </xdr:to>
    <xdr:pic>
      <xdr:nvPicPr>
        <xdr:cNvPr id="16" name="Picture 15">
          <a:extLst>
            <a:ext uri="{FF2B5EF4-FFF2-40B4-BE49-F238E27FC236}">
              <a16:creationId xmlns:a16="http://schemas.microsoft.com/office/drawing/2014/main" id="{5483FA4A-F2AD-F1B7-E3A9-81EBD3526D6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463800" y="28321000"/>
          <a:ext cx="1320799" cy="1992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139700</xdr:colOff>
      <xdr:row>107</xdr:row>
      <xdr:rowOff>12699</xdr:rowOff>
    </xdr:from>
    <xdr:to>
      <xdr:col>6</xdr:col>
      <xdr:colOff>381000</xdr:colOff>
      <xdr:row>117</xdr:row>
      <xdr:rowOff>38100</xdr:rowOff>
    </xdr:to>
    <xdr:pic>
      <xdr:nvPicPr>
        <xdr:cNvPr id="17" name="Picture 16">
          <a:extLst>
            <a:ext uri="{FF2B5EF4-FFF2-40B4-BE49-F238E27FC236}">
              <a16:creationId xmlns:a16="http://schemas.microsoft.com/office/drawing/2014/main" id="{B4B924CE-E3EC-6045-B6FD-FC55895A8F8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3987800" y="28308299"/>
          <a:ext cx="1536700" cy="2057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88900</xdr:colOff>
      <xdr:row>107</xdr:row>
      <xdr:rowOff>12700</xdr:rowOff>
    </xdr:from>
    <xdr:to>
      <xdr:col>8</xdr:col>
      <xdr:colOff>636953</xdr:colOff>
      <xdr:row>117</xdr:row>
      <xdr:rowOff>21090</xdr:rowOff>
    </xdr:to>
    <xdr:pic>
      <xdr:nvPicPr>
        <xdr:cNvPr id="18" name="Picture 17">
          <a:extLst>
            <a:ext uri="{FF2B5EF4-FFF2-40B4-BE49-F238E27FC236}">
              <a16:creationId xmlns:a16="http://schemas.microsoft.com/office/drawing/2014/main" id="{88126360-F066-2130-9C5C-2762FD4FC7D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765800" y="28308300"/>
          <a:ext cx="1358900" cy="2040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69303</xdr:colOff>
      <xdr:row>120</xdr:row>
      <xdr:rowOff>25400</xdr:rowOff>
    </xdr:from>
    <xdr:to>
      <xdr:col>2</xdr:col>
      <xdr:colOff>691662</xdr:colOff>
      <xdr:row>131</xdr:row>
      <xdr:rowOff>1263</xdr:rowOff>
    </xdr:to>
    <xdr:pic>
      <xdr:nvPicPr>
        <xdr:cNvPr id="19" name="Picture 18">
          <a:extLst>
            <a:ext uri="{FF2B5EF4-FFF2-40B4-BE49-F238E27FC236}">
              <a16:creationId xmlns:a16="http://schemas.microsoft.com/office/drawing/2014/main" id="{948B5663-2702-38AF-6953-1B0F952D38B7}"/>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94803" y="30962600"/>
          <a:ext cx="1467397" cy="2203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63500</xdr:colOff>
      <xdr:row>120</xdr:row>
      <xdr:rowOff>12701</xdr:rowOff>
    </xdr:from>
    <xdr:to>
      <xdr:col>4</xdr:col>
      <xdr:colOff>457260</xdr:colOff>
      <xdr:row>130</xdr:row>
      <xdr:rowOff>165100</xdr:rowOff>
    </xdr:to>
    <xdr:pic>
      <xdr:nvPicPr>
        <xdr:cNvPr id="20" name="Picture 19">
          <a:extLst>
            <a:ext uri="{FF2B5EF4-FFF2-40B4-BE49-F238E27FC236}">
              <a16:creationId xmlns:a16="http://schemas.microsoft.com/office/drawing/2014/main" id="{1E51C586-40FD-384F-FCAD-CBF2D5E5320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451100" y="30949901"/>
          <a:ext cx="1456978"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88900</xdr:colOff>
      <xdr:row>120</xdr:row>
      <xdr:rowOff>0</xdr:rowOff>
    </xdr:from>
    <xdr:to>
      <xdr:col>6</xdr:col>
      <xdr:colOff>471732</xdr:colOff>
      <xdr:row>131</xdr:row>
      <xdr:rowOff>965</xdr:rowOff>
    </xdr:to>
    <xdr:pic>
      <xdr:nvPicPr>
        <xdr:cNvPr id="21" name="Picture 20">
          <a:extLst>
            <a:ext uri="{FF2B5EF4-FFF2-40B4-BE49-F238E27FC236}">
              <a16:creationId xmlns:a16="http://schemas.microsoft.com/office/drawing/2014/main" id="{490248FE-FD58-071C-7CD2-AB716F954DF1}"/>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3937000" y="30937200"/>
          <a:ext cx="1678232" cy="223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42333</xdr:colOff>
      <xdr:row>119</xdr:row>
      <xdr:rowOff>190500</xdr:rowOff>
    </xdr:from>
    <xdr:to>
      <xdr:col>8</xdr:col>
      <xdr:colOff>726178</xdr:colOff>
      <xdr:row>131</xdr:row>
      <xdr:rowOff>965</xdr:rowOff>
    </xdr:to>
    <xdr:pic>
      <xdr:nvPicPr>
        <xdr:cNvPr id="22" name="Picture 21">
          <a:extLst>
            <a:ext uri="{FF2B5EF4-FFF2-40B4-BE49-F238E27FC236}">
              <a16:creationId xmlns:a16="http://schemas.microsoft.com/office/drawing/2014/main" id="{D895ECEE-3B80-AF13-7192-1063775946B6}"/>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719233" y="30924500"/>
          <a:ext cx="1498600" cy="224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39009</xdr:colOff>
      <xdr:row>134</xdr:row>
      <xdr:rowOff>0</xdr:rowOff>
    </xdr:from>
    <xdr:to>
      <xdr:col>2</xdr:col>
      <xdr:colOff>691662</xdr:colOff>
      <xdr:row>145</xdr:row>
      <xdr:rowOff>12594</xdr:rowOff>
    </xdr:to>
    <xdr:pic>
      <xdr:nvPicPr>
        <xdr:cNvPr id="23" name="Picture 22">
          <a:extLst>
            <a:ext uri="{FF2B5EF4-FFF2-40B4-BE49-F238E27FC236}">
              <a16:creationId xmlns:a16="http://schemas.microsoft.com/office/drawing/2014/main" id="{5A5C2DB6-2C59-3323-7FAB-F0E657F0769C}"/>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64509" y="33782000"/>
          <a:ext cx="1497691" cy="2247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134</xdr:row>
      <xdr:rowOff>25400</xdr:rowOff>
    </xdr:from>
    <xdr:to>
      <xdr:col>4</xdr:col>
      <xdr:colOff>385234</xdr:colOff>
      <xdr:row>144</xdr:row>
      <xdr:rowOff>177801</xdr:rowOff>
    </xdr:to>
    <xdr:pic>
      <xdr:nvPicPr>
        <xdr:cNvPr id="24" name="Picture 23">
          <a:extLst>
            <a:ext uri="{FF2B5EF4-FFF2-40B4-BE49-F238E27FC236}">
              <a16:creationId xmlns:a16="http://schemas.microsoft.com/office/drawing/2014/main" id="{B94E5E34-2DBC-D4E6-84CE-17C3E293D247}"/>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387600" y="33807400"/>
          <a:ext cx="1456267"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88900</xdr:colOff>
      <xdr:row>134</xdr:row>
      <xdr:rowOff>38101</xdr:rowOff>
    </xdr:from>
    <xdr:to>
      <xdr:col>6</xdr:col>
      <xdr:colOff>431800</xdr:colOff>
      <xdr:row>144</xdr:row>
      <xdr:rowOff>179019</xdr:rowOff>
    </xdr:to>
    <xdr:pic>
      <xdr:nvPicPr>
        <xdr:cNvPr id="25" name="Picture 24">
          <a:extLst>
            <a:ext uri="{FF2B5EF4-FFF2-40B4-BE49-F238E27FC236}">
              <a16:creationId xmlns:a16="http://schemas.microsoft.com/office/drawing/2014/main" id="{CF9F1171-72E3-C704-B9F7-2ABE38894FE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3937000" y="33820101"/>
          <a:ext cx="1638300" cy="2172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63501</xdr:colOff>
      <xdr:row>134</xdr:row>
      <xdr:rowOff>12700</xdr:rowOff>
    </xdr:from>
    <xdr:to>
      <xdr:col>8</xdr:col>
      <xdr:colOff>721122</xdr:colOff>
      <xdr:row>144</xdr:row>
      <xdr:rowOff>190501</xdr:rowOff>
    </xdr:to>
    <xdr:pic>
      <xdr:nvPicPr>
        <xdr:cNvPr id="26" name="Picture 25">
          <a:extLst>
            <a:ext uri="{FF2B5EF4-FFF2-40B4-BE49-F238E27FC236}">
              <a16:creationId xmlns:a16="http://schemas.microsoft.com/office/drawing/2014/main" id="{872111AF-DD1F-F149-A5BE-F1ACFE628217}"/>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5740401" y="33794700"/>
          <a:ext cx="1472376"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148</xdr:row>
      <xdr:rowOff>12700</xdr:rowOff>
    </xdr:from>
    <xdr:to>
      <xdr:col>2</xdr:col>
      <xdr:colOff>628162</xdr:colOff>
      <xdr:row>158</xdr:row>
      <xdr:rowOff>21090</xdr:rowOff>
    </xdr:to>
    <xdr:pic>
      <xdr:nvPicPr>
        <xdr:cNvPr id="27" name="Picture 26">
          <a:extLst>
            <a:ext uri="{FF2B5EF4-FFF2-40B4-BE49-F238E27FC236}">
              <a16:creationId xmlns:a16="http://schemas.microsoft.com/office/drawing/2014/main" id="{D01EAFFE-C242-1F90-0837-3007D0BECA22}"/>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939800" y="36639500"/>
          <a:ext cx="1358900" cy="2040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76200</xdr:colOff>
      <xdr:row>148</xdr:row>
      <xdr:rowOff>38100</xdr:rowOff>
    </xdr:from>
    <xdr:to>
      <xdr:col>4</xdr:col>
      <xdr:colOff>342900</xdr:colOff>
      <xdr:row>158</xdr:row>
      <xdr:rowOff>12699</xdr:rowOff>
    </xdr:to>
    <xdr:pic>
      <xdr:nvPicPr>
        <xdr:cNvPr id="28" name="Picture 27">
          <a:extLst>
            <a:ext uri="{FF2B5EF4-FFF2-40B4-BE49-F238E27FC236}">
              <a16:creationId xmlns:a16="http://schemas.microsoft.com/office/drawing/2014/main" id="{5EC814DD-4DED-F8FD-9C02-F33486452211}"/>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2463800" y="36664900"/>
          <a:ext cx="1337733"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25401</xdr:colOff>
      <xdr:row>148</xdr:row>
      <xdr:rowOff>12699</xdr:rowOff>
    </xdr:from>
    <xdr:to>
      <xdr:col>6</xdr:col>
      <xdr:colOff>457200</xdr:colOff>
      <xdr:row>158</xdr:row>
      <xdr:rowOff>5207</xdr:rowOff>
    </xdr:to>
    <xdr:pic>
      <xdr:nvPicPr>
        <xdr:cNvPr id="29" name="Picture 28">
          <a:extLst>
            <a:ext uri="{FF2B5EF4-FFF2-40B4-BE49-F238E27FC236}">
              <a16:creationId xmlns:a16="http://schemas.microsoft.com/office/drawing/2014/main" id="{5A1F3B64-79F5-2AD4-E9F8-F34B76E97CA7}"/>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873501" y="36639499"/>
          <a:ext cx="1727199" cy="2024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12699</xdr:colOff>
      <xdr:row>148</xdr:row>
      <xdr:rowOff>0</xdr:rowOff>
    </xdr:from>
    <xdr:to>
      <xdr:col>9</xdr:col>
      <xdr:colOff>71140</xdr:colOff>
      <xdr:row>158</xdr:row>
      <xdr:rowOff>2672</xdr:rowOff>
    </xdr:to>
    <xdr:pic>
      <xdr:nvPicPr>
        <xdr:cNvPr id="30" name="Picture 29">
          <a:extLst>
            <a:ext uri="{FF2B5EF4-FFF2-40B4-BE49-F238E27FC236}">
              <a16:creationId xmlns:a16="http://schemas.microsoft.com/office/drawing/2014/main" id="{E1047930-E529-2D0A-0EBF-A16B59A4D279}"/>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5689599" y="36626800"/>
          <a:ext cx="1947811" cy="2031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116675</xdr:colOff>
      <xdr:row>161</xdr:row>
      <xdr:rowOff>12700</xdr:rowOff>
    </xdr:from>
    <xdr:to>
      <xdr:col>2</xdr:col>
      <xdr:colOff>678962</xdr:colOff>
      <xdr:row>169</xdr:row>
      <xdr:rowOff>183198</xdr:rowOff>
    </xdr:to>
    <xdr:pic>
      <xdr:nvPicPr>
        <xdr:cNvPr id="31" name="Picture 30">
          <a:extLst>
            <a:ext uri="{FF2B5EF4-FFF2-40B4-BE49-F238E27FC236}">
              <a16:creationId xmlns:a16="http://schemas.microsoft.com/office/drawing/2014/main" id="{4A4E1017-64B5-E22A-4796-7E04D9F345CE}"/>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942175" y="39281100"/>
          <a:ext cx="1407325" cy="1796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101601</xdr:colOff>
      <xdr:row>161</xdr:row>
      <xdr:rowOff>0</xdr:rowOff>
    </xdr:from>
    <xdr:to>
      <xdr:col>4</xdr:col>
      <xdr:colOff>249767</xdr:colOff>
      <xdr:row>170</xdr:row>
      <xdr:rowOff>2673</xdr:rowOff>
    </xdr:to>
    <xdr:pic>
      <xdr:nvPicPr>
        <xdr:cNvPr id="32" name="Picture 31">
          <a:extLst>
            <a:ext uri="{FF2B5EF4-FFF2-40B4-BE49-F238E27FC236}">
              <a16:creationId xmlns:a16="http://schemas.microsoft.com/office/drawing/2014/main" id="{966D508D-D50A-99CA-F07A-C8924F11CDAF}"/>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489201" y="39268400"/>
          <a:ext cx="1219199" cy="1828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169332</xdr:colOff>
      <xdr:row>161</xdr:row>
      <xdr:rowOff>12699</xdr:rowOff>
    </xdr:from>
    <xdr:to>
      <xdr:col>6</xdr:col>
      <xdr:colOff>393700</xdr:colOff>
      <xdr:row>170</xdr:row>
      <xdr:rowOff>965</xdr:rowOff>
    </xdr:to>
    <xdr:pic>
      <xdr:nvPicPr>
        <xdr:cNvPr id="33" name="Picture 32">
          <a:extLst>
            <a:ext uri="{FF2B5EF4-FFF2-40B4-BE49-F238E27FC236}">
              <a16:creationId xmlns:a16="http://schemas.microsoft.com/office/drawing/2014/main" id="{5521F9FB-315E-9CFE-EC55-E6A6F0A48FFC}"/>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4017432" y="39281099"/>
          <a:ext cx="1519768" cy="1816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173</xdr:row>
      <xdr:rowOff>6353</xdr:rowOff>
    </xdr:from>
    <xdr:to>
      <xdr:col>2</xdr:col>
      <xdr:colOff>653562</xdr:colOff>
      <xdr:row>183</xdr:row>
      <xdr:rowOff>1468</xdr:rowOff>
    </xdr:to>
    <xdr:pic>
      <xdr:nvPicPr>
        <xdr:cNvPr id="34" name="Picture 33">
          <a:extLst>
            <a:ext uri="{FF2B5EF4-FFF2-40B4-BE49-F238E27FC236}">
              <a16:creationId xmlns:a16="http://schemas.microsoft.com/office/drawing/2014/main" id="{2B9ED3FC-59C3-C1BF-7AF9-BC25924D6C67}"/>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77900" y="41713153"/>
          <a:ext cx="1346200"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101599</xdr:colOff>
      <xdr:row>161</xdr:row>
      <xdr:rowOff>12700</xdr:rowOff>
    </xdr:from>
    <xdr:to>
      <xdr:col>8</xdr:col>
      <xdr:colOff>497253</xdr:colOff>
      <xdr:row>170</xdr:row>
      <xdr:rowOff>1468</xdr:rowOff>
    </xdr:to>
    <xdr:pic>
      <xdr:nvPicPr>
        <xdr:cNvPr id="35" name="Picture 34">
          <a:extLst>
            <a:ext uri="{FF2B5EF4-FFF2-40B4-BE49-F238E27FC236}">
              <a16:creationId xmlns:a16="http://schemas.microsoft.com/office/drawing/2014/main" id="{045BCEEB-DA17-A59F-A67D-0E323F3F5B9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5778499" y="39281100"/>
          <a:ext cx="1206501" cy="18097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79367</xdr:colOff>
      <xdr:row>173</xdr:row>
      <xdr:rowOff>25400</xdr:rowOff>
    </xdr:from>
    <xdr:to>
      <xdr:col>4</xdr:col>
      <xdr:colOff>400212</xdr:colOff>
      <xdr:row>183</xdr:row>
      <xdr:rowOff>14077</xdr:rowOff>
    </xdr:to>
    <xdr:pic>
      <xdr:nvPicPr>
        <xdr:cNvPr id="36" name="Picture 35">
          <a:extLst>
            <a:ext uri="{FF2B5EF4-FFF2-40B4-BE49-F238E27FC236}">
              <a16:creationId xmlns:a16="http://schemas.microsoft.com/office/drawing/2014/main" id="{87BB37ED-D7B3-BB3E-075F-F38761EBF1B8}"/>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2466967" y="41732200"/>
          <a:ext cx="1381133" cy="2020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143932</xdr:colOff>
      <xdr:row>173</xdr:row>
      <xdr:rowOff>17461</xdr:rowOff>
    </xdr:from>
    <xdr:to>
      <xdr:col>6</xdr:col>
      <xdr:colOff>419100</xdr:colOff>
      <xdr:row>183</xdr:row>
      <xdr:rowOff>29406</xdr:rowOff>
    </xdr:to>
    <xdr:pic>
      <xdr:nvPicPr>
        <xdr:cNvPr id="37" name="Picture 36">
          <a:extLst>
            <a:ext uri="{FF2B5EF4-FFF2-40B4-BE49-F238E27FC236}">
              <a16:creationId xmlns:a16="http://schemas.microsoft.com/office/drawing/2014/main" id="{25665DAD-49CB-BC48-8417-A32BC9FE5C55}"/>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3992032" y="41724261"/>
          <a:ext cx="1570568" cy="2043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47353</xdr:colOff>
      <xdr:row>173</xdr:row>
      <xdr:rowOff>12700</xdr:rowOff>
    </xdr:from>
    <xdr:to>
      <xdr:col>8</xdr:col>
      <xdr:colOff>598853</xdr:colOff>
      <xdr:row>183</xdr:row>
      <xdr:rowOff>24732</xdr:rowOff>
    </xdr:to>
    <xdr:pic>
      <xdr:nvPicPr>
        <xdr:cNvPr id="38" name="Picture 37">
          <a:extLst>
            <a:ext uri="{FF2B5EF4-FFF2-40B4-BE49-F238E27FC236}">
              <a16:creationId xmlns:a16="http://schemas.microsoft.com/office/drawing/2014/main" id="{D8433CD6-CAD1-E7F3-1A12-F157E6C64887}"/>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val="0"/>
            </a:ext>
          </a:extLst>
        </a:blip>
        <a:srcRect/>
        <a:stretch>
          <a:fillRect/>
        </a:stretch>
      </xdr:blipFill>
      <xdr:spPr bwMode="auto">
        <a:xfrm>
          <a:off x="5724253" y="41719500"/>
          <a:ext cx="1362347" cy="2044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247649</xdr:colOff>
      <xdr:row>50</xdr:row>
      <xdr:rowOff>19050</xdr:rowOff>
    </xdr:from>
    <xdr:to>
      <xdr:col>12</xdr:col>
      <xdr:colOff>1266824</xdr:colOff>
      <xdr:row>64</xdr:row>
      <xdr:rowOff>133350</xdr:rowOff>
    </xdr:to>
    <xdr:graphicFrame macro="">
      <xdr:nvGraphicFramePr>
        <xdr:cNvPr id="39" name="Chart 38">
          <a:extLst>
            <a:ext uri="{FF2B5EF4-FFF2-40B4-BE49-F238E27FC236}">
              <a16:creationId xmlns:a16="http://schemas.microsoft.com/office/drawing/2014/main" id="{085ADC11-166A-3191-F19B-EAE3F461B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12</xdr:col>
      <xdr:colOff>1447800</xdr:colOff>
      <xdr:row>50</xdr:row>
      <xdr:rowOff>111125</xdr:rowOff>
    </xdr:from>
    <xdr:to>
      <xdr:col>19</xdr:col>
      <xdr:colOff>561974</xdr:colOff>
      <xdr:row>64</xdr:row>
      <xdr:rowOff>149225</xdr:rowOff>
    </xdr:to>
    <xdr:graphicFrame macro="">
      <xdr:nvGraphicFramePr>
        <xdr:cNvPr id="40" name="Chart 39">
          <a:extLst>
            <a:ext uri="{FF2B5EF4-FFF2-40B4-BE49-F238E27FC236}">
              <a16:creationId xmlns:a16="http://schemas.microsoft.com/office/drawing/2014/main" id="{D37EAA3D-6131-624D-3FB8-7B3DF1C9B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20</xdr:col>
      <xdr:colOff>38100</xdr:colOff>
      <xdr:row>50</xdr:row>
      <xdr:rowOff>28575</xdr:rowOff>
    </xdr:from>
    <xdr:to>
      <xdr:col>27</xdr:col>
      <xdr:colOff>187325</xdr:colOff>
      <xdr:row>64</xdr:row>
      <xdr:rowOff>53975</xdr:rowOff>
    </xdr:to>
    <xdr:graphicFrame macro="">
      <xdr:nvGraphicFramePr>
        <xdr:cNvPr id="41" name="Chart 40">
          <a:extLst>
            <a:ext uri="{FF2B5EF4-FFF2-40B4-BE49-F238E27FC236}">
              <a16:creationId xmlns:a16="http://schemas.microsoft.com/office/drawing/2014/main" id="{F7E6AA16-A219-1376-0A26-A84C630FA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1</xdr:col>
      <xdr:colOff>101601</xdr:colOff>
      <xdr:row>187</xdr:row>
      <xdr:rowOff>50800</xdr:rowOff>
    </xdr:from>
    <xdr:to>
      <xdr:col>2</xdr:col>
      <xdr:colOff>795867</xdr:colOff>
      <xdr:row>198</xdr:row>
      <xdr:rowOff>120851</xdr:rowOff>
    </xdr:to>
    <xdr:pic>
      <xdr:nvPicPr>
        <xdr:cNvPr id="7" name="Picture 6">
          <a:extLst>
            <a:ext uri="{FF2B5EF4-FFF2-40B4-BE49-F238E27FC236}">
              <a16:creationId xmlns:a16="http://schemas.microsoft.com/office/drawing/2014/main" id="{77D45313-38F2-1C72-230F-F11BFF4C5EBD}"/>
            </a:ext>
          </a:extLst>
        </xdr:cNvPr>
        <xdr:cNvPicPr>
          <a:picLocks noChangeAspect="1" noChangeArrowheads="1"/>
        </xdr:cNvPicPr>
      </xdr:nvPicPr>
      <xdr:blipFill>
        <a:blip xmlns:r="http://schemas.openxmlformats.org/officeDocument/2006/relationships" r:embed="rId40" cstate="print">
          <a:extLst>
            <a:ext uri="{28A0092B-C50C-407E-A947-70E740481C1C}">
              <a14:useLocalDpi xmlns:a14="http://schemas.microsoft.com/office/drawing/2010/main" val="0"/>
            </a:ext>
          </a:extLst>
        </a:blip>
        <a:srcRect/>
        <a:stretch>
          <a:fillRect/>
        </a:stretch>
      </xdr:blipFill>
      <xdr:spPr bwMode="auto">
        <a:xfrm>
          <a:off x="931334" y="45059600"/>
          <a:ext cx="1540933" cy="2305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103533</xdr:colOff>
      <xdr:row>187</xdr:row>
      <xdr:rowOff>41414</xdr:rowOff>
    </xdr:from>
    <xdr:to>
      <xdr:col>4</xdr:col>
      <xdr:colOff>599143</xdr:colOff>
      <xdr:row>198</xdr:row>
      <xdr:rowOff>133466</xdr:rowOff>
    </xdr:to>
    <xdr:pic>
      <xdr:nvPicPr>
        <xdr:cNvPr id="42" name="Picture 41">
          <a:extLst>
            <a:ext uri="{FF2B5EF4-FFF2-40B4-BE49-F238E27FC236}">
              <a16:creationId xmlns:a16="http://schemas.microsoft.com/office/drawing/2014/main" id="{A3389036-8F98-F22B-805A-CFCC4DC51B4E}"/>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2222500" y="44670871"/>
          <a:ext cx="1565447" cy="2293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85724</xdr:colOff>
      <xdr:row>50</xdr:row>
      <xdr:rowOff>114300</xdr:rowOff>
    </xdr:from>
    <xdr:to>
      <xdr:col>31</xdr:col>
      <xdr:colOff>781050</xdr:colOff>
      <xdr:row>64</xdr:row>
      <xdr:rowOff>19050</xdr:rowOff>
    </xdr:to>
    <xdr:graphicFrame macro="">
      <xdr:nvGraphicFramePr>
        <xdr:cNvPr id="44" name="Chart 43">
          <a:extLst>
            <a:ext uri="{FF2B5EF4-FFF2-40B4-BE49-F238E27FC236}">
              <a16:creationId xmlns:a16="http://schemas.microsoft.com/office/drawing/2014/main" id="{3781B0DE-5214-8AF7-13C7-5AF8A5652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199513</xdr:colOff>
      <xdr:row>19</xdr:row>
      <xdr:rowOff>65669</xdr:rowOff>
    </xdr:from>
    <xdr:to>
      <xdr:col>10</xdr:col>
      <xdr:colOff>714375</xdr:colOff>
      <xdr:row>36</xdr:row>
      <xdr:rowOff>64471</xdr:rowOff>
    </xdr:to>
    <xdr:graphicFrame macro="">
      <xdr:nvGraphicFramePr>
        <xdr:cNvPr id="2" name="Chart 1">
          <a:extLst>
            <a:ext uri="{FF2B5EF4-FFF2-40B4-BE49-F238E27FC236}">
              <a16:creationId xmlns:a16="http://schemas.microsoft.com/office/drawing/2014/main" id="{1174AC6F-933E-E3F8-350B-5C7174B8B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409286</xdr:colOff>
      <xdr:row>2</xdr:row>
      <xdr:rowOff>129784</xdr:rowOff>
    </xdr:from>
    <xdr:to>
      <xdr:col>17</xdr:col>
      <xdr:colOff>472786</xdr:colOff>
      <xdr:row>5</xdr:row>
      <xdr:rowOff>263145</xdr:rowOff>
    </xdr:to>
    <xdr:pic>
      <xdr:nvPicPr>
        <xdr:cNvPr id="2" name="Picture 1">
          <a:extLst>
            <a:ext uri="{FF2B5EF4-FFF2-40B4-BE49-F238E27FC236}">
              <a16:creationId xmlns:a16="http://schemas.microsoft.com/office/drawing/2014/main" id="{D124A147-568C-4E25-68D8-AB95D2C77C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34686" y="536184"/>
          <a:ext cx="1739900" cy="971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756804</xdr:colOff>
      <xdr:row>2</xdr:row>
      <xdr:rowOff>123536</xdr:rowOff>
    </xdr:from>
    <xdr:to>
      <xdr:col>13</xdr:col>
      <xdr:colOff>286904</xdr:colOff>
      <xdr:row>5</xdr:row>
      <xdr:rowOff>1789442</xdr:rowOff>
    </xdr:to>
    <xdr:pic>
      <xdr:nvPicPr>
        <xdr:cNvPr id="3" name="Picture 2">
          <a:extLst>
            <a:ext uri="{FF2B5EF4-FFF2-40B4-BE49-F238E27FC236}">
              <a16:creationId xmlns:a16="http://schemas.microsoft.com/office/drawing/2014/main" id="{39F6CB64-CD6F-8EEB-F2BD-E2B9F53063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8736" y="527627"/>
          <a:ext cx="1175327" cy="2502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10159</xdr:colOff>
      <xdr:row>5</xdr:row>
      <xdr:rowOff>1861128</xdr:rowOff>
    </xdr:from>
    <xdr:to>
      <xdr:col>12</xdr:col>
      <xdr:colOff>261620</xdr:colOff>
      <xdr:row>7</xdr:row>
      <xdr:rowOff>141278</xdr:rowOff>
    </xdr:to>
    <xdr:pic>
      <xdr:nvPicPr>
        <xdr:cNvPr id="4" name="Picture 3">
          <a:extLst>
            <a:ext uri="{FF2B5EF4-FFF2-40B4-BE49-F238E27FC236}">
              <a16:creationId xmlns:a16="http://schemas.microsoft.com/office/drawing/2014/main" id="{134FF8BC-7F5C-B099-D6DF-EEC01C8D741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235439" y="3110808"/>
          <a:ext cx="1074421" cy="1358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497033</xdr:colOff>
      <xdr:row>5</xdr:row>
      <xdr:rowOff>349249</xdr:rowOff>
    </xdr:from>
    <xdr:to>
      <xdr:col>15</xdr:col>
      <xdr:colOff>106220</xdr:colOff>
      <xdr:row>6</xdr:row>
      <xdr:rowOff>142364</xdr:rowOff>
    </xdr:to>
    <xdr:pic>
      <xdr:nvPicPr>
        <xdr:cNvPr id="5" name="Picture 4">
          <a:extLst>
            <a:ext uri="{FF2B5EF4-FFF2-40B4-BE49-F238E27FC236}">
              <a16:creationId xmlns:a16="http://schemas.microsoft.com/office/drawing/2014/main" id="{E7CF4823-AAEE-205A-BDEE-F07C31C8B4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364192" y="1590385"/>
          <a:ext cx="1254414" cy="2665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296719</xdr:colOff>
      <xdr:row>3</xdr:row>
      <xdr:rowOff>10390</xdr:rowOff>
    </xdr:from>
    <xdr:to>
      <xdr:col>11</xdr:col>
      <xdr:colOff>538018</xdr:colOff>
      <xdr:row>5</xdr:row>
      <xdr:rowOff>605975</xdr:rowOff>
    </xdr:to>
    <xdr:pic>
      <xdr:nvPicPr>
        <xdr:cNvPr id="6" name="Picture 5">
          <a:extLst>
            <a:ext uri="{FF2B5EF4-FFF2-40B4-BE49-F238E27FC236}">
              <a16:creationId xmlns:a16="http://schemas.microsoft.com/office/drawing/2014/main" id="{B8712683-8A39-4D08-DCF1-7BC56E26724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696037" y="616526"/>
          <a:ext cx="1063913" cy="1230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2885</xdr:colOff>
      <xdr:row>5</xdr:row>
      <xdr:rowOff>546100</xdr:rowOff>
    </xdr:from>
    <xdr:to>
      <xdr:col>18</xdr:col>
      <xdr:colOff>304800</xdr:colOff>
      <xdr:row>5</xdr:row>
      <xdr:rowOff>920458</xdr:rowOff>
    </xdr:to>
    <xdr:pic>
      <xdr:nvPicPr>
        <xdr:cNvPr id="7" name="Picture 6">
          <a:extLst>
            <a:ext uri="{FF2B5EF4-FFF2-40B4-BE49-F238E27FC236}">
              <a16:creationId xmlns:a16="http://schemas.microsoft.com/office/drawing/2014/main" id="{71FAC3C2-4794-FC83-247E-75DFB7E8434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566485" y="1790700"/>
          <a:ext cx="1978315" cy="37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601579</xdr:colOff>
      <xdr:row>5</xdr:row>
      <xdr:rowOff>1403684</xdr:rowOff>
    </xdr:from>
    <xdr:to>
      <xdr:col>18</xdr:col>
      <xdr:colOff>100263</xdr:colOff>
      <xdr:row>8</xdr:row>
      <xdr:rowOff>47544</xdr:rowOff>
    </xdr:to>
    <xdr:pic>
      <xdr:nvPicPr>
        <xdr:cNvPr id="11" name="Picture 10">
          <a:extLst>
            <a:ext uri="{FF2B5EF4-FFF2-40B4-BE49-F238E27FC236}">
              <a16:creationId xmlns:a16="http://schemas.microsoft.com/office/drawing/2014/main" id="{9022B337-7000-9174-4FE4-017FFAFF448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3301579" y="2640263"/>
          <a:ext cx="2005263" cy="1952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344326</xdr:colOff>
      <xdr:row>51</xdr:row>
      <xdr:rowOff>147864</xdr:rowOff>
    </xdr:from>
    <xdr:to>
      <xdr:col>21</xdr:col>
      <xdr:colOff>213211</xdr:colOff>
      <xdr:row>67</xdr:row>
      <xdr:rowOff>166861</xdr:rowOff>
    </xdr:to>
    <xdr:graphicFrame macro="">
      <xdr:nvGraphicFramePr>
        <xdr:cNvPr id="12" name="Chart 11">
          <a:extLst>
            <a:ext uri="{FF2B5EF4-FFF2-40B4-BE49-F238E27FC236}">
              <a16:creationId xmlns:a16="http://schemas.microsoft.com/office/drawing/2014/main" id="{C946B126-7ABB-457B-C5A7-92FFCACB6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434840</xdr:colOff>
      <xdr:row>28</xdr:row>
      <xdr:rowOff>15187</xdr:rowOff>
    </xdr:from>
    <xdr:to>
      <xdr:col>21</xdr:col>
      <xdr:colOff>289386</xdr:colOff>
      <xdr:row>48</xdr:row>
      <xdr:rowOff>161104</xdr:rowOff>
    </xdr:to>
    <xdr:graphicFrame macro="">
      <xdr:nvGraphicFramePr>
        <xdr:cNvPr id="13" name="Chart 12">
          <a:extLst>
            <a:ext uri="{FF2B5EF4-FFF2-40B4-BE49-F238E27FC236}">
              <a16:creationId xmlns:a16="http://schemas.microsoft.com/office/drawing/2014/main" id="{6D9D1355-3978-8020-DED9-0F52954BD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369455</xdr:colOff>
      <xdr:row>8</xdr:row>
      <xdr:rowOff>155953</xdr:rowOff>
    </xdr:from>
    <xdr:to>
      <xdr:col>21</xdr:col>
      <xdr:colOff>241022</xdr:colOff>
      <xdr:row>24</xdr:row>
      <xdr:rowOff>55620</xdr:rowOff>
    </xdr:to>
    <xdr:graphicFrame macro="">
      <xdr:nvGraphicFramePr>
        <xdr:cNvPr id="14" name="Chart 13">
          <a:extLst>
            <a:ext uri="{FF2B5EF4-FFF2-40B4-BE49-F238E27FC236}">
              <a16:creationId xmlns:a16="http://schemas.microsoft.com/office/drawing/2014/main" id="{293E0EAE-24FC-0FF6-5771-8CBB6BB36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98627</xdr:colOff>
      <xdr:row>70</xdr:row>
      <xdr:rowOff>182123</xdr:rowOff>
    </xdr:from>
    <xdr:to>
      <xdr:col>21</xdr:col>
      <xdr:colOff>378298</xdr:colOff>
      <xdr:row>91</xdr:row>
      <xdr:rowOff>162126</xdr:rowOff>
    </xdr:to>
    <xdr:graphicFrame macro="">
      <xdr:nvGraphicFramePr>
        <xdr:cNvPr id="15" name="Chart 14">
          <a:extLst>
            <a:ext uri="{FF2B5EF4-FFF2-40B4-BE49-F238E27FC236}">
              <a16:creationId xmlns:a16="http://schemas.microsoft.com/office/drawing/2014/main" id="{53B4BC43-6E5F-9444-B05E-EF2D8AA0B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0</xdr:colOff>
      <xdr:row>13</xdr:row>
      <xdr:rowOff>0</xdr:rowOff>
    </xdr:from>
    <xdr:to>
      <xdr:col>5</xdr:col>
      <xdr:colOff>304800</xdr:colOff>
      <xdr:row>14</xdr:row>
      <xdr:rowOff>104775</xdr:rowOff>
    </xdr:to>
    <xdr:sp macro="" textlink="">
      <xdr:nvSpPr>
        <xdr:cNvPr id="24577" name="AutoShape 1" descr="S38_Cast">
          <a:extLst>
            <a:ext uri="{FF2B5EF4-FFF2-40B4-BE49-F238E27FC236}">
              <a16:creationId xmlns:a16="http://schemas.microsoft.com/office/drawing/2014/main" id="{DF8C9B7A-95AD-C2F2-8894-F7BE941EEB1A}"/>
            </a:ext>
          </a:extLst>
        </xdr:cNvPr>
        <xdr:cNvSpPr>
          <a:spLocks noChangeAspect="1" noChangeArrowheads="1"/>
        </xdr:cNvSpPr>
      </xdr:nvSpPr>
      <xdr:spPr bwMode="auto">
        <a:xfrm>
          <a:off x="4191000" y="282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xdr:row>
      <xdr:rowOff>0</xdr:rowOff>
    </xdr:from>
    <xdr:to>
      <xdr:col>2</xdr:col>
      <xdr:colOff>304800</xdr:colOff>
      <xdr:row>11</xdr:row>
      <xdr:rowOff>104775</xdr:rowOff>
    </xdr:to>
    <xdr:sp macro="" textlink="">
      <xdr:nvSpPr>
        <xdr:cNvPr id="20482" name="AutoShape 2" descr="S38_Cast">
          <a:extLst>
            <a:ext uri="{FF2B5EF4-FFF2-40B4-BE49-F238E27FC236}">
              <a16:creationId xmlns:a16="http://schemas.microsoft.com/office/drawing/2014/main" id="{5D9938D9-E6A3-6480-6454-53334848B79B}"/>
            </a:ext>
          </a:extLst>
        </xdr:cNvPr>
        <xdr:cNvSpPr>
          <a:spLocks noChangeAspect="1" noChangeArrowheads="1"/>
        </xdr:cNvSpPr>
      </xdr:nvSpPr>
      <xdr:spPr bwMode="auto">
        <a:xfrm>
          <a:off x="1676400"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47625</xdr:colOff>
      <xdr:row>3</xdr:row>
      <xdr:rowOff>47624</xdr:rowOff>
    </xdr:from>
    <xdr:to>
      <xdr:col>11</xdr:col>
      <xdr:colOff>990599</xdr:colOff>
      <xdr:row>15</xdr:row>
      <xdr:rowOff>85723</xdr:rowOff>
    </xdr:to>
    <xdr:pic>
      <xdr:nvPicPr>
        <xdr:cNvPr id="2" name="Picture 1" descr="The Amazing Race' season 38 cast (filled with 'Big Brother' players)  revealed : r/TheAmazingRace">
          <a:extLst>
            <a:ext uri="{FF2B5EF4-FFF2-40B4-BE49-F238E27FC236}">
              <a16:creationId xmlns:a16="http://schemas.microsoft.com/office/drawing/2014/main" id="{70E7FD85-D208-F505-A429-AB78BC85D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53225" y="876299"/>
          <a:ext cx="3657599" cy="243839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19</xdr:row>
      <xdr:rowOff>47625</xdr:rowOff>
    </xdr:from>
    <xdr:to>
      <xdr:col>2</xdr:col>
      <xdr:colOff>781360</xdr:colOff>
      <xdr:row>30</xdr:row>
      <xdr:rowOff>101577</xdr:rowOff>
    </xdr:to>
    <xdr:pic>
      <xdr:nvPicPr>
        <xdr:cNvPr id="3" name="Picture 2">
          <a:extLst>
            <a:ext uri="{FF2B5EF4-FFF2-40B4-BE49-F238E27FC236}">
              <a16:creationId xmlns:a16="http://schemas.microsoft.com/office/drawing/2014/main" id="{72384876-A9EE-472F-9B00-D9DCF52BA6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5350" y="3676650"/>
          <a:ext cx="1562410" cy="2292327"/>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85726</xdr:colOff>
      <xdr:row>3</xdr:row>
      <xdr:rowOff>76200</xdr:rowOff>
    </xdr:from>
    <xdr:to>
      <xdr:col>14</xdr:col>
      <xdr:colOff>781051</xdr:colOff>
      <xdr:row>15</xdr:row>
      <xdr:rowOff>70210</xdr:rowOff>
    </xdr:to>
    <xdr:pic>
      <xdr:nvPicPr>
        <xdr:cNvPr id="4" name="Picture 3">
          <a:extLst>
            <a:ext uri="{FF2B5EF4-FFF2-40B4-BE49-F238E27FC236}">
              <a16:creationId xmlns:a16="http://schemas.microsoft.com/office/drawing/2014/main" id="{4DB09691-66E5-4E1D-9361-9D730FC8C5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3701" y="904875"/>
          <a:ext cx="2800350" cy="239431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531732</xdr:colOff>
      <xdr:row>2</xdr:row>
      <xdr:rowOff>544891</xdr:rowOff>
    </xdr:from>
    <xdr:to>
      <xdr:col>22</xdr:col>
      <xdr:colOff>225002</xdr:colOff>
      <xdr:row>20</xdr:row>
      <xdr:rowOff>190242</xdr:rowOff>
    </xdr:to>
    <xdr:graphicFrame macro="">
      <xdr:nvGraphicFramePr>
        <xdr:cNvPr id="2" name="Chart 1">
          <a:extLst>
            <a:ext uri="{FF2B5EF4-FFF2-40B4-BE49-F238E27FC236}">
              <a16:creationId xmlns:a16="http://schemas.microsoft.com/office/drawing/2014/main" id="{B2270867-4016-1FF6-D9CB-12B4D88DC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14</xdr:col>
      <xdr:colOff>797996</xdr:colOff>
      <xdr:row>3</xdr:row>
      <xdr:rowOff>14942</xdr:rowOff>
    </xdr:from>
    <xdr:to>
      <xdr:col>20</xdr:col>
      <xdr:colOff>925440</xdr:colOff>
      <xdr:row>18</xdr:row>
      <xdr:rowOff>76130</xdr:rowOff>
    </xdr:to>
    <xdr:pic>
      <xdr:nvPicPr>
        <xdr:cNvPr id="2" name="Picture 1">
          <a:extLst>
            <a:ext uri="{FF2B5EF4-FFF2-40B4-BE49-F238E27FC236}">
              <a16:creationId xmlns:a16="http://schemas.microsoft.com/office/drawing/2014/main" id="{A92B4A6A-8C60-BA08-8D1D-0D9BE950A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79761" y="642471"/>
          <a:ext cx="5058944" cy="3452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191977</xdr:colOff>
      <xdr:row>1</xdr:row>
      <xdr:rowOff>14767</xdr:rowOff>
    </xdr:from>
    <xdr:to>
      <xdr:col>12</xdr:col>
      <xdr:colOff>104849</xdr:colOff>
      <xdr:row>11</xdr:row>
      <xdr:rowOff>115905</xdr:rowOff>
    </xdr:to>
    <xdr:pic>
      <xdr:nvPicPr>
        <xdr:cNvPr id="2" name="Picture 1">
          <a:extLst>
            <a:ext uri="{FF2B5EF4-FFF2-40B4-BE49-F238E27FC236}">
              <a16:creationId xmlns:a16="http://schemas.microsoft.com/office/drawing/2014/main" id="{D9B9CC46-3B93-FD50-CBDF-0E57AD8AA5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80814" y="221511"/>
          <a:ext cx="4238256" cy="2390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342899</xdr:colOff>
      <xdr:row>2</xdr:row>
      <xdr:rowOff>190500</xdr:rowOff>
    </xdr:from>
    <xdr:to>
      <xdr:col>21</xdr:col>
      <xdr:colOff>581890</xdr:colOff>
      <xdr:row>11</xdr:row>
      <xdr:rowOff>114300</xdr:rowOff>
    </xdr:to>
    <xdr:pic>
      <xdr:nvPicPr>
        <xdr:cNvPr id="3" name="Picture 2" descr="undefined">
          <a:extLst>
            <a:ext uri="{FF2B5EF4-FFF2-40B4-BE49-F238E27FC236}">
              <a16:creationId xmlns:a16="http://schemas.microsoft.com/office/drawing/2014/main" id="{33FEE723-FD06-FB4F-89E1-6BE2A53895E5}"/>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853" b="47319"/>
        <a:stretch/>
      </xdr:blipFill>
      <xdr:spPr bwMode="auto">
        <a:xfrm>
          <a:off x="10439399" y="596900"/>
          <a:ext cx="8239991" cy="19812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1588</xdr:colOff>
      <xdr:row>4</xdr:row>
      <xdr:rowOff>38100</xdr:rowOff>
    </xdr:from>
    <xdr:to>
      <xdr:col>20</xdr:col>
      <xdr:colOff>509588</xdr:colOff>
      <xdr:row>20</xdr:row>
      <xdr:rowOff>8149</xdr:rowOff>
    </xdr:to>
    <xdr:pic>
      <xdr:nvPicPr>
        <xdr:cNvPr id="3" name="Picture 2" descr="The route of The Amazing Race 37.">
          <a:extLst>
            <a:ext uri="{FF2B5EF4-FFF2-40B4-BE49-F238E27FC236}">
              <a16:creationId xmlns:a16="http://schemas.microsoft.com/office/drawing/2014/main" id="{75FDB0D8-7A57-9909-0B01-81ECAF80E1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33088" y="1079500"/>
          <a:ext cx="6286500" cy="325934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50800</xdr:colOff>
      <xdr:row>4</xdr:row>
      <xdr:rowOff>25401</xdr:rowOff>
    </xdr:from>
    <xdr:to>
      <xdr:col>12</xdr:col>
      <xdr:colOff>630160</xdr:colOff>
      <xdr:row>19</xdr:row>
      <xdr:rowOff>76200</xdr:rowOff>
    </xdr:to>
    <xdr:pic>
      <xdr:nvPicPr>
        <xdr:cNvPr id="4" name="Picture 3" descr="The Amazing Race' season 37 cast revealed">
          <a:extLst>
            <a:ext uri="{FF2B5EF4-FFF2-40B4-BE49-F238E27FC236}">
              <a16:creationId xmlns:a16="http://schemas.microsoft.com/office/drawing/2014/main" id="{D6976F71-48E5-7129-AAF0-EEA13A62A3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29300" y="1066801"/>
          <a:ext cx="4706860" cy="313689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24</xdr:row>
      <xdr:rowOff>63500</xdr:rowOff>
    </xdr:from>
    <xdr:to>
      <xdr:col>2</xdr:col>
      <xdr:colOff>791633</xdr:colOff>
      <xdr:row>35</xdr:row>
      <xdr:rowOff>57352</xdr:rowOff>
    </xdr:to>
    <xdr:pic>
      <xdr:nvPicPr>
        <xdr:cNvPr id="5" name="Picture 4">
          <a:extLst>
            <a:ext uri="{FF2B5EF4-FFF2-40B4-BE49-F238E27FC236}">
              <a16:creationId xmlns:a16="http://schemas.microsoft.com/office/drawing/2014/main" id="{3FF45D75-F72D-2244-8F3F-732D7DAFEF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1700" y="5245100"/>
          <a:ext cx="1540933" cy="2305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457CBFA-0B43-1345-A56C-6E39AFCD8B77}" name="Table37" displayName="Table37" ref="AG46:BJ60" totalsRowCount="1" headerRowBorderDxfId="953">
  <autoFilter ref="AG46:BJ59" xr:uid="{5457CBFA-0B43-1345-A56C-6E39AFCD8B77}"/>
  <tableColumns count="30">
    <tableColumn id="1" xr3:uid="{0555DE7E-E586-F94F-B483-05E0F18E6675}" name="Leg #" totalsRowLabel="Totals" dataDxfId="952" totalsRowDxfId="951"/>
    <tableColumn id="2" xr3:uid="{5CD44E15-2D82-3242-9647-D1C0891E1B65}" name="Animals" totalsRowFunction="custom" dataDxfId="950" totalsRowDxfId="949">
      <totalsRowFormula>SUM(Table37[Animals])</totalsRowFormula>
    </tableColumn>
    <tableColumn id="3" xr3:uid="{1A64885D-0F76-3348-9E72-CCF1811DE7FE}" name="ATD" totalsRowFunction="custom" dataDxfId="948" totalsRowDxfId="947">
      <totalsRowFormula>SUM(Table37[ATD])</totalsRowFormula>
    </tableColumn>
    <tableColumn id="4" xr3:uid="{E0E530E2-5F59-0049-B34A-574700A8381B}" name="Balance" totalsRowFunction="custom" dataDxfId="946" totalsRowDxfId="945">
      <totalsRowFormula>SUM(Table37[Balance])</totalsRowFormula>
    </tableColumn>
    <tableColumn id="5" xr3:uid="{D9DAF432-10A4-9449-8AF8-D17F39964683}" name="Biking" totalsRowFunction="custom" dataDxfId="944" totalsRowDxfId="943">
      <totalsRowFormula>SUM(Table37[Biking])</totalsRowFormula>
    </tableColumn>
    <tableColumn id="10" xr3:uid="{36846063-33CC-6049-BFD2-19ECD0A691D4}" name="Building" totalsRowFunction="custom" dataDxfId="942" totalsRowDxfId="941">
      <totalsRowFormula>SUM(Table37[Building])</totalsRowFormula>
    </tableColumn>
    <tableColumn id="6" xr3:uid="{6C84C203-07BE-2E4B-8B9C-5B762B563175}" name="Cooking" totalsRowFunction="custom" dataDxfId="940">
      <totalsRowFormula>SUM(Table37[Cooking])</totalsRowFormula>
    </tableColumn>
    <tableColumn id="7" xr3:uid="{3FEBA556-49AD-FB45-B449-F16994464C3A}" name="Counting" totalsRowFunction="custom" dataDxfId="939" totalsRowDxfId="938">
      <totalsRowFormula>SUM(Table37[Counting])</totalsRowFormula>
    </tableColumn>
    <tableColumn id="8" xr3:uid="{5228BE24-DAE6-C945-A56F-F51F18A03EF1}" name="Dancing" totalsRowFunction="custom" dataDxfId="937" totalsRowDxfId="936">
      <totalsRowFormula>SUM(Table37[Dancing])</totalsRowFormula>
    </tableColumn>
    <tableColumn id="9" xr3:uid="{BEB07833-9CBE-9E4F-8ABA-5CE8A79DF0C5}" name="Driving" totalsRowFunction="custom" dataDxfId="935" totalsRowDxfId="934">
      <totalsRowFormula>SUM(Table37[Driving])</totalsRowFormula>
    </tableColumn>
    <tableColumn id="11" xr3:uid="{8F42B813-F0C3-154E-BD9B-7117E6837957}" name="Flags" totalsRowFunction="custom" dataDxfId="933" totalsRowDxfId="932">
      <totalsRowFormula>SUM(Table37[Flags])</totalsRowFormula>
    </tableColumn>
    <tableColumn id="12" xr3:uid="{CE938E67-5CF8-FB4E-9F3F-901A0E1CC554}" name="Food" totalsRowFunction="custom" dataDxfId="931">
      <totalsRowFormula>SUM(Table37[Food])</totalsRowFormula>
    </tableColumn>
    <tableColumn id="13" xr3:uid="{A68312EB-DAE5-A14A-9530-1A6D2E6314A3}" name="Geography" totalsRowFunction="custom" dataDxfId="930">
      <totalsRowFormula>SUM(Table37[Geography])</totalsRowFormula>
    </tableColumn>
    <tableColumn id="14" xr3:uid="{AAA4EE32-90D1-B44E-AA1E-A11B31EBFB8E}" name="Hand Eye Coordination" totalsRowFunction="custom" dataDxfId="929" totalsRowDxfId="928">
      <totalsRowFormula>SUM(Table37[Hand Eye Coordination])</totalsRowFormula>
    </tableColumn>
    <tableColumn id="15" xr3:uid="{630279B6-36F2-6444-900F-C5069AF5F065}" name="Heights" totalsRowFunction="custom" dataDxfId="927" totalsRowDxfId="926">
      <totalsRowFormula>SUM(Table37[Heights])</totalsRowFormula>
    </tableColumn>
    <tableColumn id="16" xr3:uid="{9DA6C3DD-9883-D840-A10A-3B8EA5E063A7}" name="Language" totalsRowFunction="custom" dataDxfId="925" totalsRowDxfId="924">
      <totalsRowFormula>SUM(Table37[Language])</totalsRowFormula>
    </tableColumn>
    <tableColumn id="17" xr3:uid="{2C5324C0-74AC-4847-92CC-2187D04030D8}" name="Math" totalsRowFunction="custom" dataDxfId="923" totalsRowDxfId="922">
      <totalsRowFormula>SUM(Table37[Math])</totalsRowFormula>
    </tableColumn>
    <tableColumn id="18" xr3:uid="{E20C20E9-BD32-274F-A058-70D115402825}" name="Memorization" totalsRowFunction="custom" dataDxfId="921" totalsRowDxfId="920">
      <totalsRowFormula>SUM(Table37[Memorization])</totalsRowFormula>
    </tableColumn>
    <tableColumn id="19" xr3:uid="{FC0E8887-CD95-AE43-9B73-55B5672B3CAC}" name="Music" totalsRowFunction="custom" dataDxfId="919" totalsRowDxfId="918">
      <totalsRowFormula>SUM(Table37[Music])</totalsRowFormula>
    </tableColumn>
    <tableColumn id="20" xr3:uid="{0E4E31B9-205B-8B4F-941E-0721E9FC4BFA}" name="Navigation" totalsRowFunction="custom" dataDxfId="917" totalsRowDxfId="916">
      <totalsRowFormula>SUM(Table37[Navigation])</totalsRowFormula>
    </tableColumn>
    <tableColumn id="21" xr3:uid="{5EDD5D16-3D1D-9943-9934-A6A8DB8F7AA3}" name="Pain" totalsRowFunction="custom" dataDxfId="915" totalsRowDxfId="914">
      <totalsRowFormula>SUM(Table37[Pain])</totalsRowFormula>
    </tableColumn>
    <tableColumn id="22" xr3:uid="{0E5E1280-2C64-B349-ABC4-C25F90B13EE5}" name="Painting" totalsRowFunction="custom" dataDxfId="913" totalsRowDxfId="912">
      <totalsRowFormula>SUM(Table37[Painting])</totalsRowFormula>
    </tableColumn>
    <tableColumn id="23" xr3:uid="{C6C0DF07-AA3D-2045-A9CB-06DE420372FD}" name="Physical Strength" totalsRowFunction="custom" dataDxfId="911" totalsRowDxfId="910">
      <totalsRowFormula>SUM(Table37[Physical Strength])</totalsRowFormula>
    </tableColumn>
    <tableColumn id="24" xr3:uid="{5F19882D-B321-6344-B74A-E4EA4BC40051}" name="Puzzle" totalsRowFunction="custom" dataDxfId="909" totalsRowDxfId="908">
      <totalsRowFormula>SUM(Table37[Puzzle])</totalsRowFormula>
    </tableColumn>
    <tableColumn id="25" xr3:uid="{9C02D140-2CA0-BF45-B32D-89546E1842F2}" name="Searching" totalsRowFunction="custom" dataDxfId="907" totalsRowDxfId="906">
      <totalsRowFormula>SUM(Table37[Searching])</totalsRowFormula>
    </tableColumn>
    <tableColumn id="26" xr3:uid="{EC868426-2C1A-C14D-A498-29D38427ED47}" name="Selling" totalsRowFunction="custom" dataDxfId="905" totalsRowDxfId="904">
      <totalsRowFormula>SUM(Table37[Selling])</totalsRowFormula>
    </tableColumn>
    <tableColumn id="27" xr3:uid="{47CC399E-FDCF-8741-912B-9A56C7EEFA34}" name="Singing" totalsRowFunction="custom" dataDxfId="903">
      <totalsRowFormula>SUM(Table37[Singing])</totalsRowFormula>
    </tableColumn>
    <tableColumn id="28" xr3:uid="{71B40CA2-D1E4-1E49-9035-9BF034104751}" name="Swimming" totalsRowFunction="custom" dataDxfId="902" totalsRowDxfId="901">
      <totalsRowFormula>SUM(Table37[Swimming])</totalsRowFormula>
    </tableColumn>
    <tableColumn id="29" xr3:uid="{D52132C0-FE53-3946-B509-F43D1CBF0632}" name="Travel Issues" totalsRowFunction="custom" dataDxfId="900" totalsRowDxfId="899">
      <totalsRowFormula>SUM(Table37[Travel Issues])</totalsRowFormula>
    </tableColumn>
    <tableColumn id="30" xr3:uid="{43FECB9C-107E-8440-AA5B-88D95531F613}" name="Totals" totalsRowFunction="custom" dataDxfId="898" totalsRowDxfId="897">
      <calculatedColumnFormula>SUM(Table37[[#This Row],[Animals]:[Travel Issues]])</calculatedColumnFormula>
      <totalsRowFormula>SUM(Table37[[#Totals],[Animals]:[Travel Issues]])</totalsRow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A1FB802C-E29D-5C49-B211-6733D9015C46}" name="Table38" displayName="Table38" ref="B41:AE83" totalsRowShown="0" headerRowDxfId="896" headerRowBorderDxfId="895" tableBorderDxfId="894">
  <autoFilter ref="B41:AE83" xr:uid="{A1FB802C-E29D-5C49-B211-6733D9015C46}"/>
  <tableColumns count="30">
    <tableColumn id="1" xr3:uid="{FFED37AA-2171-2747-8C61-23B4E3048E00}" name="Seasons" dataDxfId="893" totalsRowDxfId="892"/>
    <tableColumn id="30" xr3:uid="{BC8D7691-0301-054E-B354-C2446FA49EAF}" name="Total" dataDxfId="891" totalsRowDxfId="890"/>
    <tableColumn id="2" xr3:uid="{A1162006-C882-B841-8B28-4B26796E7147}" name="Animals" totalsRowDxfId="889"/>
    <tableColumn id="3" xr3:uid="{43F6FDA5-6094-414C-B954-24CE3B796282}" name="ATD" totalsRowDxfId="888"/>
    <tableColumn id="4" xr3:uid="{B8E11A7F-82A5-ED42-9733-3FBD32DBDB48}" name="Balance" totalsRowDxfId="887"/>
    <tableColumn id="5" xr3:uid="{FDF85BF3-AF5A-5F44-AC9D-0130280BDAB8}" name="Biking" totalsRowDxfId="886"/>
    <tableColumn id="31" xr3:uid="{7034C20C-6C19-D14D-B3FB-F3F7DA16EFF4}" name="Building" dataDxfId="885" totalsRowDxfId="884">
      <calculatedColumnFormula>COUNTIF(Logs!$Q$9:'Logs'!$AC$17, "*"&amp;H$41&amp;"*")</calculatedColumnFormula>
    </tableColumn>
    <tableColumn id="6" xr3:uid="{D187C30C-4B83-D349-9B8B-E935776CAB2A}" name="Cooking" totalsRowDxfId="883"/>
    <tableColumn id="7" xr3:uid="{B9F8B201-98F9-FE41-A0A1-A4CF9D600BA8}" name="Counting" totalsRowDxfId="882"/>
    <tableColumn id="8" xr3:uid="{0D1FC908-16F1-B64A-A0F2-F5948FA63BCF}" name="Dancing" totalsRowDxfId="881"/>
    <tableColumn id="9" xr3:uid="{B82AB307-CD7E-EB48-8633-0A4993C0C2D6}" name="Driving" totalsRowDxfId="880"/>
    <tableColumn id="11" xr3:uid="{5128A55C-CEBD-7B47-8699-2569042B2E28}" name="Flags" totalsRowDxfId="879"/>
    <tableColumn id="12" xr3:uid="{434F085C-A45A-E045-9F4A-E530FFA2C8A5}" name="Food" totalsRowDxfId="878"/>
    <tableColumn id="13" xr3:uid="{B85DD5DC-903B-DF49-A359-3AAC8C172397}" name="Geography" totalsRowDxfId="877"/>
    <tableColumn id="14" xr3:uid="{FDC2D906-1884-6742-B9AE-3931D94AAFF9}" name="HEC" totalsRowDxfId="876"/>
    <tableColumn id="15" xr3:uid="{6C0C851C-F79A-284C-84EC-70EED8F3745E}" name="Heights" totalsRowDxfId="875"/>
    <tableColumn id="16" xr3:uid="{9C3FBDEA-5F9D-8F4A-8107-9CD3D359DFFD}" name="Language" totalsRowDxfId="874"/>
    <tableColumn id="17" xr3:uid="{E34B9D6A-D397-724E-99CF-C6FC0686E753}" name="Math" totalsRowDxfId="873"/>
    <tableColumn id="18" xr3:uid="{F999BE8F-92E0-4B43-834C-A5772BAE9EE7}" name="Memory" totalsRowDxfId="872"/>
    <tableColumn id="19" xr3:uid="{3EC3583A-2A16-2241-9B28-1BD5379AEED2}" name="Music" totalsRowDxfId="871"/>
    <tableColumn id="20" xr3:uid="{0ADB1B94-D245-AA4E-9435-A45314B0453E}" name="Navigation" totalsRowDxfId="870"/>
    <tableColumn id="21" xr3:uid="{53FE266B-2A05-F645-A3F4-15885B51DCF5}" name="Pain" totalsRowDxfId="869"/>
    <tableColumn id="22" xr3:uid="{B2CD101D-2CB5-554B-9EAD-EC1D00EC71D5}" name="Painting" totalsRowDxfId="868"/>
    <tableColumn id="23" xr3:uid="{80A15717-DB03-0E42-9490-9A95500CE22E}" name="PS" totalsRowDxfId="867"/>
    <tableColumn id="24" xr3:uid="{4A2993B4-0928-DA4E-8CA6-E6CDDBB784CE}" name="Puzzle" totalsRowDxfId="866"/>
    <tableColumn id="25" xr3:uid="{0AEA53E9-ED12-8D4E-97CD-41CDEE2284DE}" name="Searching" totalsRowDxfId="865"/>
    <tableColumn id="26" xr3:uid="{345062CF-8D90-8443-A61A-4EC170FBD580}" name="Selling" totalsRowDxfId="864"/>
    <tableColumn id="27" xr3:uid="{7445B935-F49A-1141-B6EB-23BE2A84CE02}" name="Singing" totalsRowDxfId="863"/>
    <tableColumn id="28" xr3:uid="{EA26821F-9F93-D741-8B0F-BE1731DBF00F}" name="Swimming" totalsRowDxfId="862"/>
    <tableColumn id="29" xr3:uid="{D7227017-C50F-AA43-BC47-4654587F5A0B}" name="Travel Issues" totalsRowDxfId="861"/>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BF1A43-BA7A-A34F-9866-929886E4BC98}" name="Table3" displayName="Table3" ref="C8:AI46" totalsRowShown="0" headerRowDxfId="860" headerRowBorderDxfId="859">
  <autoFilter ref="C8:AI46" xr:uid="{AEBF1A43-BA7A-A34F-9866-929886E4BC98}"/>
  <tableColumns count="33">
    <tableColumn id="1" xr3:uid="{19C56080-0440-8F43-AFBD-AAE9D78FD20A}" name="Season #" dataDxfId="858"/>
    <tableColumn id="2" xr3:uid="{4EC2A156-B910-574A-B1C5-9DEFCB2BE3FF}" name="Country/ies" dataDxfId="857"/>
    <tableColumn id="3" xr3:uid="{2FAF072A-95BE-A946-9FB8-71603DB6C262}" name="Area of World" dataDxfId="856"/>
    <tableColumn id="4" xr3:uid="{553A20F5-60A2-AE49-ABA1-83E0DF07A34E}" name="Country/ies " dataDxfId="855"/>
    <tableColumn id="5" xr3:uid="{D359F5FC-151A-944E-A302-39037905FF9E}" name="Area of World " dataDxfId="854"/>
    <tableColumn id="6" xr3:uid="{C2E84773-8DE5-044B-8BDF-12058341BBC0}" name="Country/ies  " dataDxfId="853"/>
    <tableColumn id="7" xr3:uid="{FC223DC3-5DA8-674F-BE77-EE006B06D5F3}" name="Area of World  " dataDxfId="852"/>
    <tableColumn id="8" xr3:uid="{85AAE5E1-C8F7-3144-870B-4F3973BB4A09}" name="Country/ies   " dataDxfId="851"/>
    <tableColumn id="9" xr3:uid="{9BA7A025-E70F-A34B-AABA-A2D15A930EBE}" name="Area of World   " dataDxfId="850"/>
    <tableColumn id="10" xr3:uid="{374BBF56-75CE-1042-88E8-34CA4EF09A98}" name="Country/ies    " dataDxfId="849"/>
    <tableColumn id="11" xr3:uid="{D3B56383-5F90-0349-8859-DA75F8887BD9}" name="Area of World    " dataDxfId="848"/>
    <tableColumn id="12" xr3:uid="{81A2C985-AFC8-794C-ABF5-7A30251ABE64}" name="Country/ies     " dataDxfId="847"/>
    <tableColumn id="13" xr3:uid="{875F487C-6B72-D74F-8DB4-97BDB8F3464F}" name="Area of World     " dataDxfId="846"/>
    <tableColumn id="14" xr3:uid="{3C573E42-68E3-C544-9090-9D67BC7738B5}" name="Country/ies      " dataDxfId="845"/>
    <tableColumn id="15" xr3:uid="{96365379-82DB-084F-8085-55ED82FE00F5}" name="Area of World         " dataDxfId="844"/>
    <tableColumn id="16" xr3:uid="{7F56B626-BE55-E343-AED6-7494588C29E8}" name="Country/ies         " dataDxfId="843"/>
    <tableColumn id="17" xr3:uid="{14A71073-5E88-AA41-A49E-2B5FDFD9C0D6}" name="Area of World        " dataDxfId="842"/>
    <tableColumn id="18" xr3:uid="{14DE2428-3BE1-EF47-9E40-F86FCDCB6906}" name="Country/ies             " dataDxfId="841"/>
    <tableColumn id="19" xr3:uid="{224D16AC-9854-3D44-BE7C-35A37C99A4D9}" name="Area of World       " dataDxfId="840"/>
    <tableColumn id="20" xr3:uid="{6A02D211-5E48-0C4C-9982-3949FE797850}" name=" Country/ies " dataDxfId="839"/>
    <tableColumn id="21" xr3:uid="{1B9190CC-031B-414A-96FC-9FED49248430}" name="   Area of World     " dataDxfId="838"/>
    <tableColumn id="22" xr3:uid="{D3CAE10C-3AF6-D240-AD42-C12D433C073F}" name="     Country/ies     " dataDxfId="837"/>
    <tableColumn id="23" xr3:uid="{34C8BFA5-29CF-AF46-B2AF-EC589A595762}" name="     Area of World      " dataDxfId="836"/>
    <tableColumn id="24" xr3:uid="{0185F463-9E63-8C4A-BFB4-ADBF5C2F7854}" name="     Country/ies      " dataDxfId="835"/>
    <tableColumn id="25" xr3:uid="{2583A7B5-59C3-4040-BBAE-8EE20AA4BEEE}" name="       Area of World       " dataDxfId="834"/>
    <tableColumn id="26" xr3:uid="{714070A4-7EEF-D046-8D2A-668B4597B8BA}" name="     Country/ies     2" dataDxfId="833"/>
    <tableColumn id="27" xr3:uid="{115F596D-D4BB-E040-9871-9A50D65720A9}" name="      Area of World          " dataDxfId="832"/>
    <tableColumn id="28" xr3:uid="{F116811E-9287-404C-A8B6-8B8B70E9562F}" name="     Country/ies     3" dataDxfId="831"/>
    <tableColumn id="29" xr3:uid="{DA47C8FA-3E76-AA44-8607-97F8F01140B6}" name="      Area of World      " dataDxfId="830"/>
    <tableColumn id="30" xr3:uid="{8A209E38-A89A-7344-AAD1-900E9B4577DB}" name="      Country/ies       " dataDxfId="829"/>
    <tableColumn id="31" xr3:uid="{6F62A68A-B301-EA49-A39C-006791634765}" name="      Area of World       " dataDxfId="828"/>
    <tableColumn id="32" xr3:uid="{20089FBC-2D94-464B-8E73-99405A98DA45}" name="     Country/ies         " dataDxfId="827"/>
    <tableColumn id="33" xr3:uid="{5E84A987-D288-3543-8E83-F335CB0C96B5}" name="      Area of World         " dataDxfId="826"/>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543C956F-411E-49C5-83FD-FAF7BB266628}" name="Table72" displayName="Table72" ref="AK7:AL45" totalsRowShown="0" headerRowBorderDxfId="825" tableBorderDxfId="824">
  <autoFilter ref="AK7:AL45" xr:uid="{543C956F-411E-49C5-83FD-FAF7BB266628}"/>
  <tableColumns count="2">
    <tableColumn id="1" xr3:uid="{4915CFE2-5237-4156-B8FB-7349E23C3579}" name="Season #" dataDxfId="823"/>
    <tableColumn id="2" xr3:uid="{D188AF75-BF45-4678-B611-B6CCE113946A}" name="#" dataDxfId="822"/>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3F7142A-DEF4-B946-8BE8-E2EEE9B179CA}" name="Table16" displayName="Table16" ref="B12:C56" totalsRowShown="0" headerRowBorderDxfId="821">
  <autoFilter ref="B12:C56" xr:uid="{B3F7142A-DEF4-B946-8BE8-E2EEE9B179CA}"/>
  <tableColumns count="2">
    <tableColumn id="1" xr3:uid="{5BF8DE27-BA21-054A-BCB4-449BA0997FC4}" name="Season #" dataDxfId="820"/>
    <tableColumn id="2" xr3:uid="{5FE2D3B3-E34C-BB4A-8230-C148A5B7C9DA}" name="Route Inf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4E0D30F-B9D7-BC45-93BE-757B8DB0AC0B}" name="Table18" displayName="Table18" ref="B62:O106" totalsRowShown="0" headerRowDxfId="819" dataDxfId="817" headerRowBorderDxfId="818">
  <autoFilter ref="B62:O106" xr:uid="{B4E0D30F-B9D7-BC45-93BE-757B8DB0AC0B}"/>
  <tableColumns count="14">
    <tableColumn id="1" xr3:uid="{9143F281-D535-B04F-AF5B-D673F484D047}" name="# of: " dataDxfId="816" totalsRowDxfId="815"/>
    <tableColumn id="2" xr3:uid="{8CF56B0C-AA66-814E-8C81-6284E9AA0773}" name="Challenges" dataDxfId="814" totalsRowDxfId="813"/>
    <tableColumn id="3" xr3:uid="{FDD6FB8B-D574-F642-A2A2-024BE2C462CE}" name="Only Challenges" dataDxfId="812" totalsRowDxfId="811"/>
    <tableColumn id="4" xr3:uid="{2B1CAD1B-8FEC-4546-A552-956297850943}" name="Flights" dataDxfId="810" totalsRowDxfId="809"/>
    <tableColumn id="5" xr3:uid="{B54CEE0F-A40F-A949-A826-213C2F1A4C98}" name="Taxis" dataDxfId="808" totalsRowDxfId="807"/>
    <tableColumn id="6" xr3:uid="{C1FD32CB-4857-7444-A7EE-3ED20725C37F}" name="Driving" dataDxfId="806" totalsRowDxfId="805"/>
    <tableColumn id="7" xr3:uid="{296C7B1B-4202-A040-BCD6-A4EAC4552C36}" name="Trains" dataDxfId="804" totalsRowDxfId="803"/>
    <tableColumn id="8" xr3:uid="{7A80EB8F-78DA-CA4E-AEA8-825189726D6C}" name="Boats" dataDxfId="802" totalsRowDxfId="801"/>
    <tableColumn id="9" xr3:uid="{BC699350-7950-474B-8AC9-41DFF6EDF9A6}" name="Buses" dataDxfId="800" totalsRowDxfId="799"/>
    <tableColumn id="10" xr3:uid="{CE15B055-6252-A646-891C-BBEA9BCA83D7}" name="Bikes" dataDxfId="798" totalsRowDxfId="797"/>
    <tableColumn id="11" xr3:uid="{9D7B9F05-7623-DB4C-BA2C-AA5020ED4904}" name="Random Rides" dataDxfId="796" totalsRowDxfId="795"/>
    <tableColumn id="12" xr3:uid="{24123D57-A1F3-DD49-94B5-4869AC646A9E}" name="Running" dataDxfId="794" totalsRowDxfId="793"/>
    <tableColumn id="13" xr3:uid="{515325DB-CF4A-F44A-88B1-3AF83B364606}" name="Animals" dataDxfId="792" totalsRowDxfId="791"/>
    <tableColumn id="14" xr3:uid="{7246A869-C269-2243-8515-36A102A49758}" name="Total"/>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79531E2-E19D-437C-906D-E629E2A3C146}" name="Table3367" displayName="Table3367" ref="Q465:AD478" totalsRowShown="0" headerRowDxfId="790" dataDxfId="789" tableBorderDxfId="788" dataCellStyle="Percent">
  <autoFilter ref="Q465:AD478" xr:uid="{479531E2-E19D-437C-906D-E629E2A3C146}"/>
  <tableColumns count="14">
    <tableColumn id="1" xr3:uid="{D3FEBA39-E2AF-4DE5-B957-CB3DCCABCFAC}" name="Challenge #"/>
    <tableColumn id="2" xr3:uid="{7A3DDB7A-A987-45FD-B153-72C18E7EB8F7}" name="Leg 1" dataDxfId="787" dataCellStyle="Percent">
      <calculatedColumnFormula>IF(COUNTIF(C$469:C$650,$Q466)/COUNTIF(C$469:C$650, "*Challenge*")&gt;0, COUNTIF(C$469:C$650,$Q466)/COUNTIF(C$469:C$650, "*Challenge*"), "")</calculatedColumnFormula>
    </tableColumn>
    <tableColumn id="3" xr3:uid="{D32DFC9F-5FAE-4BF0-A5F5-17BB3200AC44}" name="Leg 2" dataDxfId="786" dataCellStyle="Percent">
      <calculatedColumnFormula>IF(COUNTIF(D$469:D$650,$Q466)/COUNTIF(D$469:D$650, "*Challenge*")&gt;0, COUNTIF(D$469:D$650,$Q466)/COUNTIF(D$469:D$650, "*Challenge*"), "")</calculatedColumnFormula>
    </tableColumn>
    <tableColumn id="4" xr3:uid="{4EB9D121-098B-49FD-B0AA-FE15BC55C142}" name="Leg 3" dataDxfId="785" dataCellStyle="Percent">
      <calculatedColumnFormula>IF(COUNTIF(E$469:E$650,$Q466)/COUNTIF(E$469:E$650, "*Challenge*")&gt;0, COUNTIF(E$469:E$650,$Q466)/COUNTIF(E$469:E$650, "*Challenge*"), "")</calculatedColumnFormula>
    </tableColumn>
    <tableColumn id="5" xr3:uid="{4CBDFE5D-9F35-450C-A666-16ACF60D7AB9}" name="Leg 4" dataDxfId="784" dataCellStyle="Percent">
      <calculatedColumnFormula>IF(COUNTIF(F$469:F$650,$Q466)/COUNTIF(F$469:F$650, "*Challenge*")&gt;0, COUNTIF(F$469:F$650,$Q466)/COUNTIF(F$469:F$650, "*Challenge*"), "")</calculatedColumnFormula>
    </tableColumn>
    <tableColumn id="6" xr3:uid="{AED92B5A-BF4F-4B2A-A366-CBE8A044CE48}" name="Leg 5" dataDxfId="783" dataCellStyle="Percent">
      <calculatedColumnFormula>IF(COUNTIF(G$469:G$650,$Q466)/COUNTIF(G$469:G$650, "*Challenge*")&gt;0, COUNTIF(G$469:G$650,$Q466)/COUNTIF(G$469:G$650, "*Challenge*"), "")</calculatedColumnFormula>
    </tableColumn>
    <tableColumn id="7" xr3:uid="{65F532A1-0B8E-4EC1-8461-08CFE5466D98}" name="Leg 6" dataDxfId="782" dataCellStyle="Percent">
      <calculatedColumnFormula>IF(COUNTIF(H$469:H$650,$Q466)/COUNTIF(H$469:H$650, "*Challenge*")&gt;0, COUNTIF(H$469:H$650,$Q466)/COUNTIF(H$469:H$650, "*Challenge*"), "")</calculatedColumnFormula>
    </tableColumn>
    <tableColumn id="8" xr3:uid="{A5B6A36C-33F3-45D4-BCBD-209F755653E2}" name="Leg 7" dataDxfId="781" dataCellStyle="Percent">
      <calculatedColumnFormula>IF(COUNTIF(I$469:I$650,$Q466)/COUNTIF(I$469:I$650, "*Challenge*")&gt;0, COUNTIF(I$469:I$650,$Q466)/COUNTIF(I$469:I$650, "*Challenge*"), "")</calculatedColumnFormula>
    </tableColumn>
    <tableColumn id="9" xr3:uid="{9BBAB68A-D601-412E-BC7B-3F33AF10D078}" name="Leg 8" dataDxfId="780" dataCellStyle="Percent">
      <calculatedColumnFormula>IF(COUNTIF(J$469:J$650,$Q466)/COUNTIF(J$469:J$650, "*Challenge*")&gt;0, COUNTIF(J$469:J$650,$Q466)/COUNTIF(J$469:J$650, "*Challenge*"), "")</calculatedColumnFormula>
    </tableColumn>
    <tableColumn id="10" xr3:uid="{08285355-B46B-48B2-8C88-766BED0A63B1}" name="Leg 9" dataDxfId="779" dataCellStyle="Percent">
      <calculatedColumnFormula>IF(COUNTIF(K$469:K$650,$Q466)/COUNTIF(K$469:K$650, "*Challenge*")&gt;0, COUNTIF(K$469:K$650,$Q466)/COUNTIF(K$469:K$650, "*Challenge*"), "")</calculatedColumnFormula>
    </tableColumn>
    <tableColumn id="11" xr3:uid="{7F36CC0C-0729-4754-95FB-CF9D0CABF571}" name="Leg 10" dataDxfId="778" dataCellStyle="Percent">
      <calculatedColumnFormula>IF(COUNTIF(L$469:L$650,$Q466)/COUNTIF(L$469:L$650, "*Challenge*")&gt;0, COUNTIF(L$469:L$650,$Q466)/COUNTIF(L$469:L$650, "*Challenge*"), "")</calculatedColumnFormula>
    </tableColumn>
    <tableColumn id="12" xr3:uid="{3971441D-3C3B-46EB-B2C6-F1D477B5FE10}" name="Leg 11" dataDxfId="777" dataCellStyle="Percent">
      <calculatedColumnFormula>IF(COUNTIF(M$469:M$650,$Q466)/COUNTIF(M$469:M$650, "*Challenge*")&gt;0, COUNTIF(M$469:M$650,$Q466)/COUNTIF(M$469:M$650, "*Challenge*"), "")</calculatedColumnFormula>
    </tableColumn>
    <tableColumn id="13" xr3:uid="{C270744A-5397-4846-BDFA-C5EC4F9804FA}" name="Leg 12" dataDxfId="776" dataCellStyle="Percent">
      <calculatedColumnFormula>IF(COUNTIF(N$469:N$650,$Q466)/COUNTIF(N$469:N$650, "*Challenge*")&gt;0, COUNTIF(N$469:N$650,$Q466)/COUNTIF(N$469:N$650, "*Challenge*"), "")</calculatedColumnFormula>
    </tableColumn>
    <tableColumn id="14" xr3:uid="{EF2E156A-049A-40EA-B270-4DC33C02F699}" name="Leg 13" dataDxfId="775" dataCellStyle="Percent">
      <calculatedColumnFormula>IF(COUNTIF(O$469:O$650,$Q466)/COUNTIF(O$469:O$650, "*Challenge*")&gt;0, COUNTIF(O$469:O$650,$Q466)/COUNTIF(O$469:O$650, "*Challenge*"), "")</calculatedColumnFormula>
    </tableColumn>
  </tableColumns>
  <tableStyleInfo name="TableStyleMedium1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E0365CF-3B94-443D-9AD8-6A03D7C94C65}" name="Table4168" displayName="Table4168" ref="Q481:AE520" totalsRowShown="0" headerRowDxfId="774" tableBorderDxfId="773">
  <autoFilter ref="Q481:AE520" xr:uid="{0E0365CF-3B94-443D-9AD8-6A03D7C94C65}"/>
  <tableColumns count="15">
    <tableColumn id="1" xr3:uid="{EB789F3C-23DD-4FC0-8735-1F41E60E573B}" name="Season #"/>
    <tableColumn id="2" xr3:uid="{DED5C981-381A-4229-8464-412992EDA34B}" name="Challenge 1"/>
    <tableColumn id="3" xr3:uid="{CAB48AB0-A013-4C6E-A0D5-26AEC014CF1B}" name="Challenge 2"/>
    <tableColumn id="4" xr3:uid="{18C5E2DD-6786-465C-98BA-DD591D93C78B}" name="Challenge 3"/>
    <tableColumn id="5" xr3:uid="{57386895-3668-4C72-B0B1-7708AE48AEFC}" name="Challenge 4"/>
    <tableColumn id="6" xr3:uid="{FCFB8A67-F18B-47E0-AA24-4FA3FC35F574}" name="Challenge 5"/>
    <tableColumn id="7" xr3:uid="{2222A0D6-1469-408B-AD53-E827C47D81CA}" name="Challenge 6"/>
    <tableColumn id="8" xr3:uid="{344E455C-A0F3-4C20-B96A-44F777EF7BC0}" name="Challenge 7"/>
    <tableColumn id="9" xr3:uid="{B0B8A932-487C-4D87-BCD1-835869F16301}" name="Challenge 8"/>
    <tableColumn id="10" xr3:uid="{21471CD4-8CB1-44A6-9070-6C01E7638240}" name="Challenge 9"/>
    <tableColumn id="11" xr3:uid="{B86E38A2-9D36-4D0E-8EEF-F7254A3E545D}" name="Challenge 10"/>
    <tableColumn id="12" xr3:uid="{3A17BEEF-3E65-4073-AD94-45AD2AC1F320}" name="Challenge 11"/>
    <tableColumn id="13" xr3:uid="{CBEBC3B7-59D4-425A-8856-F90E6C0BB855}" name="Challenge 12"/>
    <tableColumn id="14" xr3:uid="{5B9DD076-1C21-42B0-93A8-6788B60E318B}" name="Challenge 13"/>
    <tableColumn id="15" xr3:uid="{F4885E07-AD29-4425-83D6-5BDF6017A5F4}" name="Challenge 14" dataDxfId="772">
      <calculatedColumnFormula>SUM(Table4168[[#This Row],[Challenge 1]:[Challenge 13]])</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F8B770A-1EFC-4D22-8014-E7CE6B28BFD3}" name="Table3469" displayName="Table3469" ref="Q523:AE551" totalsRowShown="0" headerRowDxfId="771" tableBorderDxfId="770">
  <autoFilter ref="Q523:AE551" xr:uid="{EF8B770A-1EFC-4D22-8014-E7CE6B28BFD3}"/>
  <tableColumns count="15">
    <tableColumn id="1" xr3:uid="{01353A66-60AD-411D-BFF9-1B8CADDBE6AF}" name="Keywords"/>
    <tableColumn id="2" xr3:uid="{E7A4B59C-E184-4624-A65B-6DBE02EB11EA}" name="Leg 1" dataDxfId="769">
      <calculatedColumnFormula>IF(COUNTIF(C$469:C$650,$Q524)&gt;0, COUNTIF(C$469:C$650,$Q524), "")</calculatedColumnFormula>
    </tableColumn>
    <tableColumn id="3" xr3:uid="{395B779C-AFDC-4FBC-B495-CA665865E49C}" name="Leg 2" dataDxfId="768">
      <calculatedColumnFormula>IF(COUNTIF(D$469:D$650,$Q524)&gt;0, COUNTIF(D$469:D$650,$Q524), "")</calculatedColumnFormula>
    </tableColumn>
    <tableColumn id="4" xr3:uid="{8582F7BE-7DD1-4715-8456-8C5ACA74EB0D}" name="Leg 3" dataDxfId="767">
      <calculatedColumnFormula>IF(COUNTIF(E$469:E$650,$Q524)&gt;0, COUNTIF(E$469:E$650,$Q524), "")</calculatedColumnFormula>
    </tableColumn>
    <tableColumn id="5" xr3:uid="{A9E5175D-1519-4471-BD52-B00FB6C2B3D3}" name="Leg 4" dataDxfId="766">
      <calculatedColumnFormula>IF(COUNTIF(F$469:F$650,$Q524)&gt;0, COUNTIF(F$469:F$650,$Q524), "")</calculatedColumnFormula>
    </tableColumn>
    <tableColumn id="6" xr3:uid="{C591ABED-4144-437C-B279-792DD050A590}" name="Leg 5" dataDxfId="765">
      <calculatedColumnFormula>IF(COUNTIF(G$469:G$650,$Q524)&gt;0, COUNTIF(G$469:G$650,$Q524), "")</calculatedColumnFormula>
    </tableColumn>
    <tableColumn id="7" xr3:uid="{D75FF9DF-7B17-465C-98F7-931DBC9B0D2F}" name="Leg 6" dataDxfId="764">
      <calculatedColumnFormula>IF(COUNTIF(H$469:H$650,$Q524)&gt;0, COUNTIF(H$469:H$650,$Q524), "")</calculatedColumnFormula>
    </tableColumn>
    <tableColumn id="8" xr3:uid="{AB3F4900-2AF1-428B-A94D-8BFE27E2453C}" name="Leg 7" dataDxfId="763">
      <calculatedColumnFormula>IF(COUNTIF(I$469:I$650,$Q524)&gt;0, COUNTIF(I$469:I$650,$Q524), "")</calculatedColumnFormula>
    </tableColumn>
    <tableColumn id="9" xr3:uid="{CF6A206B-AFE2-4DE2-865F-D13E1E5FFA62}" name="Leg 8" dataDxfId="762">
      <calculatedColumnFormula>IF(COUNTIF(J$469:J$650,$Q524)&gt;0, COUNTIF(J$469:J$650,$Q524), "")</calculatedColumnFormula>
    </tableColumn>
    <tableColumn id="10" xr3:uid="{71C8C298-B031-4393-84DC-2F885DCB6617}" name="Leg 9" dataDxfId="761">
      <calculatedColumnFormula>IF(COUNTIF(K$469:K$650,$Q524)&gt;0, COUNTIF(K$469:K$650,$Q524), "")</calculatedColumnFormula>
    </tableColumn>
    <tableColumn id="11" xr3:uid="{D010CDF3-FB33-4A32-AEBE-B0D72AE2D34F}" name="Leg 10" dataDxfId="760">
      <calculatedColumnFormula>IF(COUNTIF(L$469:L$650,$Q524)&gt;0, COUNTIF(L$469:L$650,$Q524), "")</calculatedColumnFormula>
    </tableColumn>
    <tableColumn id="12" xr3:uid="{68CC746E-2ECC-4E2E-BAE8-0C2BFC03CC98}" name="Leg 11" dataDxfId="759">
      <calculatedColumnFormula>IF(COUNTIF(M$469:M$650,$Q524)&gt;0, COUNTIF(M$469:M$650,$Q524), "")</calculatedColumnFormula>
    </tableColumn>
    <tableColumn id="13" xr3:uid="{2CD1D076-0C4F-4613-B9F7-AA3A9D91C29A}" name="Leg 12" dataDxfId="758">
      <calculatedColumnFormula>IF(COUNTIF(N$469:N$650,$Q524)&gt;0, COUNTIF(N$469:N$650,$Q524), "")</calculatedColumnFormula>
    </tableColumn>
    <tableColumn id="14" xr3:uid="{E316147E-03EE-4484-93FE-0989F253AB15}" name="Leg 13" dataDxfId="757">
      <calculatedColumnFormula>IF(COUNTIF(O$469:O$650,$Q524)&gt;0, COUNTIF(O$469:O$650,$Q524), "")</calculatedColumnFormula>
    </tableColumn>
    <tableColumn id="15" xr3:uid="{CE8F1029-BC99-428F-917E-CA6CCD96EC11}" name="Totals" dataDxfId="756">
      <calculatedColumnFormula>SUM(R524:AD524)</calculatedColumnFormula>
    </tableColumn>
  </tableColumns>
  <tableStyleInfo name="TableStyleMedium1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1D088FA6-8D11-42BB-AFE5-A1BE4C70EB89}" name="Table346970" displayName="Table346970" ref="Q554:AD582" totalsRowShown="0" headerRowDxfId="755" tableBorderDxfId="754">
  <autoFilter ref="Q554:AD582" xr:uid="{1D088FA6-8D11-42BB-AFE5-A1BE4C70EB89}"/>
  <tableColumns count="14">
    <tableColumn id="1" xr3:uid="{2CE4E3E7-564D-40EC-B443-FA316A8E6E97}" name="Keywords"/>
    <tableColumn id="2" xr3:uid="{6C82C948-9A22-48C0-BEE7-4339338A5570}" name="Leg 1" dataDxfId="753">
      <calculatedColumnFormula>IF(COUNTIF(C$469:C$650, $Q555)&gt;0, COUNTIF(C$469:C$650, $Q555)/COUNTIF(C$469:C$650, "*Challenge*"), "")</calculatedColumnFormula>
    </tableColumn>
    <tableColumn id="3" xr3:uid="{B907829C-2090-4FD4-8C54-4192A24A8FA1}" name="Leg 2" dataDxfId="752">
      <calculatedColumnFormula>IF(COUNTIF(D$469:D$650, $Q555)&gt;0, COUNTIF(D$469:D$650, $Q555)/COUNTIF(D$469:D$650, "*Challenge*"), "")</calculatedColumnFormula>
    </tableColumn>
    <tableColumn id="4" xr3:uid="{53577331-AE63-411D-BAA3-86551A81E420}" name="Leg 3" dataDxfId="751">
      <calculatedColumnFormula>IF(COUNTIF(E$469:E$650, $Q555)&gt;0, COUNTIF(E$469:E$650, $Q555)/COUNTIF(E$469:E$650, "*Challenge*"), "")</calculatedColumnFormula>
    </tableColumn>
    <tableColumn id="5" xr3:uid="{F460DB86-0511-4D24-B3D1-33F1DE705D96}" name="Leg 4" dataDxfId="750">
      <calculatedColumnFormula>IF(COUNTIF(F$469:F$650, $Q555)&gt;0, COUNTIF(F$469:F$650, $Q555)/COUNTIF(F$469:F$650, "*Challenge*"), "")</calculatedColumnFormula>
    </tableColumn>
    <tableColumn id="6" xr3:uid="{7D09A2A3-9EDF-47D4-BCB7-65D59FCB171D}" name="Leg 5" dataDxfId="749">
      <calculatedColumnFormula>IF(COUNTIF(G$469:G$650, $Q555)&gt;0, COUNTIF(G$469:G$650, $Q555)/COUNTIF(G$469:G$650, "*Challenge*"), "")</calculatedColumnFormula>
    </tableColumn>
    <tableColumn id="7" xr3:uid="{EED46CE9-2D0E-42DE-9CBA-F78CD9AD687C}" name="Leg 6" dataDxfId="748">
      <calculatedColumnFormula>IF(COUNTIF(H$469:H$650, $Q555)&gt;0, COUNTIF(H$469:H$650, $Q555)/COUNTIF(H$469:H$650, "*Challenge*"), "")</calculatedColumnFormula>
    </tableColumn>
    <tableColumn id="8" xr3:uid="{BF2A64CA-C1EE-461E-A39C-24DD53F82CA8}" name="Leg 7" dataDxfId="747">
      <calculatedColumnFormula>IF(COUNTIF(I$469:I$650, $Q555)&gt;0, COUNTIF(I$469:I$650, $Q555)/COUNTIF(I$469:I$650, "*Challenge*"), "")</calculatedColumnFormula>
    </tableColumn>
    <tableColumn id="9" xr3:uid="{EC13DFD2-CC04-4916-BDAF-5F7D9BB35314}" name="Leg 8" dataDxfId="746">
      <calculatedColumnFormula>IF(COUNTIF(J$469:J$650, $Q555)&gt;0, COUNTIF(J$469:J$650, $Q555)/COUNTIF(J$469:J$650, "*Challenge*"), "")</calculatedColumnFormula>
    </tableColumn>
    <tableColumn id="10" xr3:uid="{3A8CAFAD-7BD7-4D05-8811-3E16708DDF79}" name="Leg 9" dataDxfId="745">
      <calculatedColumnFormula>IF(COUNTIF(K$469:K$650, $Q555)&gt;0, COUNTIF(K$469:K$650, $Q555)/COUNTIF(K$469:K$650, "*Challenge*"), "")</calculatedColumnFormula>
    </tableColumn>
    <tableColumn id="11" xr3:uid="{FE1F9ED2-25AD-4C14-BA24-B94E592AE7FA}" name="Leg 10" dataDxfId="744">
      <calculatedColumnFormula>IF(COUNTIF(L$469:L$650, $Q555)&gt;0, COUNTIF(L$469:L$650, $Q555)/COUNTIF(L$469:L$650, "*Challenge*"), "")</calculatedColumnFormula>
    </tableColumn>
    <tableColumn id="12" xr3:uid="{811E9D48-B3C8-4714-91DF-F2D28BF3AFFE}" name="Leg 11" dataDxfId="743">
      <calculatedColumnFormula>IF(COUNTIF(M$469:M$650, $Q555)&gt;0, COUNTIF(M$469:M$650, $Q555)/COUNTIF(M$469:M$650, "*Challenge*"), "")</calculatedColumnFormula>
    </tableColumn>
    <tableColumn id="13" xr3:uid="{539CA9A9-1548-4230-8338-8D21AECE485B}" name="Leg 12" dataDxfId="742">
      <calculatedColumnFormula>IF(COUNTIF(N$469:N$650, $Q555)&gt;0, COUNTIF(N$469:N$650, $Q555)/COUNTIF(N$469:N$650, "*Challenge*"), "")</calculatedColumnFormula>
    </tableColumn>
    <tableColumn id="14" xr3:uid="{4E30DA7B-E693-4F0E-B3F4-5B1CE9ACEAAC}" name="Leg 13" dataDxfId="741">
      <calculatedColumnFormula>IF(COUNTIF(O$469:O$650, $Q555)&gt;0, COUNTIF(O$469:O$650, $Q555)/COUNTIF(O$469:O$650, "*Challenge*"), "")</calculatedColumnFormula>
    </tableColumn>
  </tableColumns>
  <tableStyleInfo name="TableStyleMedium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3C3AB5DB-E9AA-43F6-8DFD-57174D831B17}" name="Table4071" displayName="Table4071" ref="AF555:AG583" totalsRowShown="0" headerRowDxfId="740" headerRowBorderDxfId="739" tableBorderDxfId="738">
  <autoFilter ref="AF555:AG583" xr:uid="{3C3AB5DB-E9AA-43F6-8DFD-57174D831B17}"/>
  <tableColumns count="2">
    <tableColumn id="1" xr3:uid="{4129E52C-6FB7-4847-9F8B-F13F546AD49D}" name="Keyword"/>
    <tableColumn id="2" xr3:uid="{AE6400F8-ADB1-4C12-9B79-7039A8F43790}" name="%" dataDxfId="737" dataCellStyle="Percent">
      <calculatedColumnFormula>IF(COUNTIF($C$469:$O$650, AF556)&gt;0, COUNTIF($C$469:$O$650, AF556)/COUNTIF($C$469:$O$650, "*Challenge*"), "")</calculatedColumnFormula>
    </tableColumn>
  </tableColumns>
  <tableStyleInfo name="TableStyleMedium1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640EDB2-D1E4-48A7-A9C4-929700C2235E}" name="Table414872" displayName="Table414872" ref="Q586:AS627" totalsRowShown="0" headerRowDxfId="736" tableBorderDxfId="735">
  <autoFilter ref="Q586:AS627" xr:uid="{3640EDB2-D1E4-48A7-A9C4-929700C2235E}"/>
  <tableColumns count="29">
    <tableColumn id="1" xr3:uid="{697971AB-EEEA-49EA-8E0C-583713AB10B4}" name="Season #"/>
    <tableColumn id="2" xr3:uid="{D1F53D81-DC1A-4BF0-9C2A-E583EFEB0AAC}" name="Animals" dataDxfId="734"/>
    <tableColumn id="3" xr3:uid="{C9F958BF-9574-4792-A7AF-C2344A3416F6}" name="ATD" dataDxfId="733"/>
    <tableColumn id="4" xr3:uid="{6B97E969-423F-4821-8252-B3407B42D4A6}" name="Balance" dataDxfId="732"/>
    <tableColumn id="5" xr3:uid="{CC4C7C69-62E0-4F84-95C1-5A3BF08101DC}" name="Biking" dataDxfId="731"/>
    <tableColumn id="6" xr3:uid="{3B257ABD-30EA-42BD-B033-50B9366373B3}" name="Building" dataDxfId="730"/>
    <tableColumn id="7" xr3:uid="{5FBD7263-B559-4067-9232-8A97816E320E}" name="Cooking" dataDxfId="729"/>
    <tableColumn id="8" xr3:uid="{784122E1-7243-4216-AA0B-F3E51C59E71C}" name="Counting" dataDxfId="728"/>
    <tableColumn id="9" xr3:uid="{1C4294D1-F98B-4AAD-8A8D-EF8CA1F00EE1}" name="Dancing" dataDxfId="727"/>
    <tableColumn id="10" xr3:uid="{2CE9F877-2889-49E5-A85A-1A00A55D8E29}" name="Driving" dataDxfId="726"/>
    <tableColumn id="11" xr3:uid="{C72144B3-2AB7-4664-9FD1-B30C7C188D42}" name="Flags" dataDxfId="725"/>
    <tableColumn id="12" xr3:uid="{5CFB78E7-93D7-4DD1-8D16-F25995949475}" name="Food"/>
    <tableColumn id="13" xr3:uid="{8B77B0AF-F332-4CEF-B63A-9CE5EE029E8D}" name="Geography"/>
    <tableColumn id="14" xr3:uid="{FAB2DE35-6CAA-4407-B93C-BAB97755D310}" name="HEC" dataDxfId="724"/>
    <tableColumn id="15" xr3:uid="{8588D743-FC00-46A1-A565-7C0521FC0548}" name="Heights" dataDxfId="723"/>
    <tableColumn id="16" xr3:uid="{391B2D16-6F6F-4F50-BF81-3FC845D9F1C7}" name="Language" dataDxfId="722"/>
    <tableColumn id="17" xr3:uid="{315D5340-EF4E-412D-989E-D46ADCF293E7}" name="Math" dataDxfId="721"/>
    <tableColumn id="18" xr3:uid="{21286517-B27D-4B63-B4DA-AC6F6F846F9C}" name="Memory" dataDxfId="720"/>
    <tableColumn id="19" xr3:uid="{1B5CAED4-B6AE-46A4-8EE4-7DB3BC473FD2}" name="Music" dataDxfId="719"/>
    <tableColumn id="20" xr3:uid="{DD67BA69-F250-4881-B70F-65E61D348C08}" name="Navigation" dataDxfId="718"/>
    <tableColumn id="21" xr3:uid="{67EBD7E1-BEAA-4D2A-A2BE-66D2ED0CBEB4}" name="Pain" dataDxfId="717"/>
    <tableColumn id="22" xr3:uid="{7F24191B-9669-419E-ABCC-0D94543BDD19}" name="Painting" dataDxfId="716"/>
    <tableColumn id="23" xr3:uid="{39B1CBCD-1E84-42E3-B356-6718BFAB9698}" name="PS" dataDxfId="715"/>
    <tableColumn id="24" xr3:uid="{04F4EF1E-233D-4C99-BDEA-EDD6C7A5218C}" name="Puzzle" dataDxfId="714"/>
    <tableColumn id="25" xr3:uid="{4B3CAA43-236C-4B1D-AC86-83ABE982B1B4}" name="Searching" dataDxfId="713"/>
    <tableColumn id="26" xr3:uid="{E7FB0AAA-CFD3-4E92-8375-F3C22D601BDB}" name="Selling" dataDxfId="712"/>
    <tableColumn id="27" xr3:uid="{6614F5BD-9E08-4AD7-A077-66065C19E990}" name="Singing"/>
    <tableColumn id="28" xr3:uid="{583BF991-EB8B-425B-8315-8B0E5CB527B8}" name="Swimming" dataDxfId="711"/>
    <tableColumn id="29" xr3:uid="{633A663B-199C-42DF-A81C-B7E8C0ADE808}" name="Travel Issue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AEAE39-C26B-E94A-AC54-ED62A25781B5}" name="Table19" displayName="Table19" ref="B9:C53" totalsRowShown="0" headerRowBorderDxfId="710">
  <autoFilter ref="B9:C53" xr:uid="{62AEAE39-C26B-E94A-AC54-ED62A25781B5}"/>
  <tableColumns count="2">
    <tableColumn id="1" xr3:uid="{5F3BC3D4-6972-A14C-8ACF-FBB705D997A6}" name="Season #" dataDxfId="709"/>
    <tableColumn id="2" xr3:uid="{454BE8CF-E271-954B-A55E-FB0E8120D24E}" name="Road Block" dataDxfId="708"/>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9C6B31A-E58E-1849-B4BD-EB189FB5538E}" name="Table33" displayName="Table33" ref="Q59:AD72" totalsRowShown="0" headerRowDxfId="707" dataDxfId="706" tableBorderDxfId="705" dataCellStyle="Percent">
  <autoFilter ref="Q59:AD72" xr:uid="{89C6B31A-E58E-1849-B4BD-EB189FB5538E}"/>
  <tableColumns count="14">
    <tableColumn id="1" xr3:uid="{75D3499F-26AB-1B40-BEB8-8AC251D0C96F}" name="Challenge"/>
    <tableColumn id="2" xr3:uid="{AB8D9A08-0362-2443-95FD-3871A98096BF}" name="Leg 1" dataDxfId="704" dataCellStyle="Percent">
      <calculatedColumnFormula>IF(COUNTIF(C$60:C$241,$Q60)/COUNTIF(C$60:C$241, "*Challenge*")&gt;0, COUNTIF(C$60:C$241,$Q60)/COUNTIF(C$60:C$241, "*Challenge*"), "")</calculatedColumnFormula>
    </tableColumn>
    <tableColumn id="3" xr3:uid="{112AA024-E845-9B4F-AE9F-C8C301EAFE95}" name="Leg 2" dataDxfId="703" dataCellStyle="Percent">
      <calculatedColumnFormula>IF(COUNTIF(D$60:D$241,$Q60)/COUNTIF(D$60:D$241, "*Challenge*")&gt;0, COUNTIF(D$60:D$241,$Q60)/COUNTIF(D$60:D$241, "*Challenge*"), "")</calculatedColumnFormula>
    </tableColumn>
    <tableColumn id="4" xr3:uid="{7C7061D7-ED73-F947-A246-492EA3436C9A}" name="Leg 3" dataDxfId="702" dataCellStyle="Percent">
      <calculatedColumnFormula>IF(COUNTIF(E$60:E$241,$Q60)/COUNTIF(E$60:E$241, "*Challenge*")&gt;0, COUNTIF(E$60:E$241,$Q60)/COUNTIF(E$60:E$241, "*Challenge*"), "")</calculatedColumnFormula>
    </tableColumn>
    <tableColumn id="5" xr3:uid="{111A0F28-529E-9242-A20E-98823418FBCB}" name="Leg 4" dataDxfId="701" dataCellStyle="Percent">
      <calculatedColumnFormula>IF(COUNTIF(F$60:F$241,$Q60)/COUNTIF(F$60:F$241, "*Challenge*")&gt;0, COUNTIF(F$60:F$241,$Q60)/COUNTIF(F$60:F$241, "*Challenge*"), "")</calculatedColumnFormula>
    </tableColumn>
    <tableColumn id="6" xr3:uid="{0D17377A-2EE7-F949-A66E-C98618FE6456}" name="Leg 5" dataDxfId="700" dataCellStyle="Percent">
      <calculatedColumnFormula>IF(COUNTIF(G$60:G$241,$Q60)/COUNTIF(G$60:G$241, "*Challenge*")&gt;0, COUNTIF(G$60:G$241,$Q60)/COUNTIF(G$60:G$241, "*Challenge*"), "")</calculatedColumnFormula>
    </tableColumn>
    <tableColumn id="7" xr3:uid="{50497D02-C375-124D-812A-9A7752274AAC}" name="Leg 6" dataDxfId="699" dataCellStyle="Percent">
      <calculatedColumnFormula>IF(COUNTIF(H$60:H$241,$Q60)/COUNTIF(H$60:H$241, "*Challenge*")&gt;0, COUNTIF(H$60:H$241,$Q60)/COUNTIF(H$60:H$241, "*Challenge*"), "")</calculatedColumnFormula>
    </tableColumn>
    <tableColumn id="8" xr3:uid="{E1987841-7DB1-E444-ACB1-060818C5A13F}" name="Leg 7" dataDxfId="698" dataCellStyle="Percent">
      <calculatedColumnFormula>IF(COUNTIF(I$60:I$241,$Q60)/COUNTIF(I$60:I$241, "*Challenge*")&gt;0, COUNTIF(I$60:I$241,$Q60)/COUNTIF(I$60:I$241, "*Challenge*"), "")</calculatedColumnFormula>
    </tableColumn>
    <tableColumn id="9" xr3:uid="{75EADF8E-9898-BE45-8D64-3B837A50CC99}" name="Leg 8" dataDxfId="697" dataCellStyle="Percent">
      <calculatedColumnFormula>IF(COUNTIF(J$60:J$241,$Q60)/COUNTIF(J$60:J$241, "*Challenge*")&gt;0, COUNTIF(J$60:J$241,$Q60)/COUNTIF(J$60:J$241, "*Challenge*"), "")</calculatedColumnFormula>
    </tableColumn>
    <tableColumn id="10" xr3:uid="{AF47E521-16D4-C44C-A5F1-B6D2FC725E82}" name="Leg 9" dataDxfId="696" dataCellStyle="Percent">
      <calculatedColumnFormula>IF(COUNTIF(K$60:K$241,$Q60)/COUNTIF(K$60:K$241, "*Challenge*")&gt;0, COUNTIF(K$60:K$241,$Q60)/COUNTIF(K$60:K$241, "*Challenge*"), "")</calculatedColumnFormula>
    </tableColumn>
    <tableColumn id="11" xr3:uid="{B7D0884E-9B41-E74C-9228-FB4EEF29769E}" name="Leg 10" dataDxfId="695" dataCellStyle="Percent">
      <calculatedColumnFormula>IF(COUNTIF(L$60:L$241,$Q60)/COUNTIF(L$60:L$241, "*Challenge*")&gt;0, COUNTIF(L$60:L$241,$Q60)/COUNTIF(L$60:L$241, "*Challenge*"), "")</calculatedColumnFormula>
    </tableColumn>
    <tableColumn id="12" xr3:uid="{EF4AB899-AF3A-E945-A2C1-1CB018D1C721}" name="Leg 11" dataDxfId="694" dataCellStyle="Percent">
      <calculatedColumnFormula>IF(COUNTIF(M$60:M$241,$Q60)/COUNTIF(M$60:M$241, "*Challenge*")&gt;0, COUNTIF(M$60:M$241,$Q60)/COUNTIF(M$60:M$241, "*Challenge*"), "")</calculatedColumnFormula>
    </tableColumn>
    <tableColumn id="13" xr3:uid="{C634F0A5-4854-1E42-915C-1B76ABB0C0B1}" name="Leg 12" dataDxfId="693" dataCellStyle="Percent">
      <calculatedColumnFormula>IF(COUNTIF(N$60:N$241,$Q60)/COUNTIF(N$60:N$241, "*Challenge*")&gt;0, COUNTIF(N$60:N$241,$Q60)/COUNTIF(N$60:N$241, "*Challenge*"), "")</calculatedColumnFormula>
    </tableColumn>
    <tableColumn id="14" xr3:uid="{6123653E-07F2-3649-B88F-012B9032C0CF}" name="Leg 13" dataDxfId="692" dataCellStyle="Percent">
      <calculatedColumnFormula>IF(COUNTIF(O$60:O$241,$Q60)/COUNTIF(O$60:O$241, "*Challenge*")&gt;0, COUNTIF(O$60:O$241,$Q60)/COUNTIF(O$60:O$241, "*Challenge*"), "")</calculatedColumnFormula>
    </tableColumn>
  </tableColumns>
  <tableStyleInfo name="TableStyleMedium1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3A51F51-9972-4C44-81D9-7E22EC2BF338}" name="Table34" displayName="Table34" ref="Q117:AE145" totalsRowShown="0" headerRowDxfId="691" tableBorderDxfId="690">
  <autoFilter ref="Q117:AE145" xr:uid="{A3A51F51-9972-4C44-81D9-7E22EC2BF338}"/>
  <tableColumns count="15">
    <tableColumn id="1" xr3:uid="{85E61CC6-FFFD-C44D-B0E8-1C087A6389A9}" name="Keywords"/>
    <tableColumn id="2" xr3:uid="{1F58385E-B517-6746-A837-DB40C434AB87}" name="Leg 1" dataDxfId="689">
      <calculatedColumnFormula>IF(COUNTIF(C$60:C$241,$Q118)&gt;0,COUNTIF(C$60:C$241,$Q118), "")</calculatedColumnFormula>
    </tableColumn>
    <tableColumn id="3" xr3:uid="{9430F518-27FC-854E-8072-6F1CEBD3022D}" name="Leg 2" dataDxfId="688">
      <calculatedColumnFormula>IF(COUNTIF(D$60:D$241,$Q118)&gt;0,COUNTIF(D$60:D$241,$Q118), "")</calculatedColumnFormula>
    </tableColumn>
    <tableColumn id="4" xr3:uid="{A81BFF64-F323-EA48-A01C-3CC11EAF5720}" name="Leg 3" dataDxfId="687">
      <calculatedColumnFormula>IF(COUNTIF(E$60:E$241,$Q118)&gt;0,COUNTIF(E$60:E$241,$Q118), "")</calculatedColumnFormula>
    </tableColumn>
    <tableColumn id="5" xr3:uid="{CC7240B8-33A5-AB42-A7C7-41F88B3D2B6F}" name="Leg 4" dataDxfId="686">
      <calculatedColumnFormula>IF(COUNTIF(F$60:F$241,$Q118)&gt;0,COUNTIF(F$60:F$241,$Q118), "")</calculatedColumnFormula>
    </tableColumn>
    <tableColumn id="6" xr3:uid="{79EB7D8F-8A1C-9C4F-ABCF-41627F747C40}" name="Leg 5" dataDxfId="685">
      <calculatedColumnFormula>IF(COUNTIF(G$60:G$241,$Q118)&gt;0,COUNTIF(G$60:G$241,$Q118), "")</calculatedColumnFormula>
    </tableColumn>
    <tableColumn id="7" xr3:uid="{EFE915E4-A8F1-D74B-9D23-E02C4132F97B}" name="Leg 6" dataDxfId="684">
      <calculatedColumnFormula>IF(COUNTIF(H$60:H$241,$Q118)&gt;0,COUNTIF(H$60:H$241,$Q118), "")</calculatedColumnFormula>
    </tableColumn>
    <tableColumn id="8" xr3:uid="{9B12B9D1-A668-3A4D-A102-6FF1E2A20EDB}" name="Leg 7" dataDxfId="683">
      <calculatedColumnFormula>IF(COUNTIF(I$60:I$241,$Q118)&gt;0,COUNTIF(I$60:I$241,$Q118), "")</calculatedColumnFormula>
    </tableColumn>
    <tableColumn id="9" xr3:uid="{8058DB14-A936-8843-98B1-93A277C9CF64}" name="Leg 8" dataDxfId="682">
      <calculatedColumnFormula>IF(COUNTIF(J$60:J$241,$Q118)&gt;0,COUNTIF(J$60:J$241,$Q118), "")</calculatedColumnFormula>
    </tableColumn>
    <tableColumn id="10" xr3:uid="{A1FADA63-7944-204A-A6B2-28442933ABCF}" name="Leg 9" dataDxfId="681">
      <calculatedColumnFormula>IF(COUNTIF(K$60:K$241,$Q118)&gt;0,COUNTIF(K$60:K$241,$Q118), "")</calculatedColumnFormula>
    </tableColumn>
    <tableColumn id="11" xr3:uid="{C22F2C38-C3A4-CD46-8A28-2E7595827D42}" name="Leg 10" dataDxfId="680">
      <calculatedColumnFormula>IF(COUNTIF(L$60:L$241,$Q118)&gt;0,COUNTIF(L$60:L$241,$Q118), "")</calculatedColumnFormula>
    </tableColumn>
    <tableColumn id="12" xr3:uid="{77F081C3-D96D-6B42-AE4E-1DD4234AD89B}" name="Leg 11" dataDxfId="679">
      <calculatedColumnFormula>IF(COUNTIF(M$60:M$241,$Q118)&gt;0,COUNTIF(M$60:M$241,$Q118), "")</calculatedColumnFormula>
    </tableColumn>
    <tableColumn id="13" xr3:uid="{CA731224-9E85-C146-BA4E-752B11DC11CD}" name="Leg 12" dataDxfId="678">
      <calculatedColumnFormula>IF(COUNTIF(N$60:N$241,$Q118)&gt;0,COUNTIF(N$60:N$241,$Q118), "")</calculatedColumnFormula>
    </tableColumn>
    <tableColumn id="14" xr3:uid="{8946C5B1-91DB-E64D-8509-047F7CBD433C}" name="Leg 13" dataDxfId="677">
      <calculatedColumnFormula>IF(COUNTIF(O$60:O$241,$Q118)&gt;0,COUNTIF(O$60:O$241,$Q118), "")</calculatedColumnFormula>
    </tableColumn>
    <tableColumn id="15" xr3:uid="{2D3A435C-4E97-8649-B328-BF0267C46D82}" name="Totals" dataDxfId="676">
      <calculatedColumnFormula>SUM(R118:AD118)</calculatedColumnFormula>
    </tableColumn>
  </tableColumns>
  <tableStyleInfo name="TableStyleMedium1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3C932A7-5BF6-BF41-97AA-CAF42933E6DE}" name="Table3440" displayName="Table3440" ref="Q148:AD176" totalsRowShown="0" headerRowDxfId="675" tableBorderDxfId="674">
  <autoFilter ref="Q148:AD176" xr:uid="{43C932A7-5BF6-BF41-97AA-CAF42933E6DE}"/>
  <tableColumns count="14">
    <tableColumn id="1" xr3:uid="{07D8542D-8240-2248-A8E7-B88EA6E146CE}" name="Keywords"/>
    <tableColumn id="2" xr3:uid="{ECB7282B-5C44-2C46-886A-D33C81A682A7}" name="Leg 1" dataDxfId="673">
      <calculatedColumnFormula>IF(COUNTIF(C$60:C$241, $Q149)&gt;0, COUNTIF(C$60:C$241, $Q149)/COUNTIF(C$60:C$241, "*Challenge*"), "")</calculatedColumnFormula>
    </tableColumn>
    <tableColumn id="3" xr3:uid="{69337444-F696-E844-80B3-66A0C447E756}" name="Leg 2" dataDxfId="672">
      <calculatedColumnFormula>IF(COUNTIF(D$60:D$241, $Q149)&gt;0, COUNTIF(D$60:D$241, $Q149)/COUNTIF(D$60:D$241, "*Challenge*"), "")</calculatedColumnFormula>
    </tableColumn>
    <tableColumn id="4" xr3:uid="{F3EBDB03-8CC8-9446-9363-0B5964C1D6B8}" name="Leg 3" dataDxfId="671">
      <calculatedColumnFormula>IF(COUNTIF(E$60:E$241, $Q149)&gt;0, COUNTIF(E$60:E$241, $Q149)/COUNTIF(E$60:E$241, "*Challenge*"), "")</calculatedColumnFormula>
    </tableColumn>
    <tableColumn id="5" xr3:uid="{1DCD06FC-3359-EA42-9363-3FDB2C75977F}" name="Leg 4" dataDxfId="670">
      <calculatedColumnFormula>IF(COUNTIF(F$60:F$241, $Q149)&gt;0, COUNTIF(F$60:F$241, $Q149)/COUNTIF(F$60:F$241, "*Challenge*"), "")</calculatedColumnFormula>
    </tableColumn>
    <tableColumn id="6" xr3:uid="{501488FB-1EC6-394C-A35A-50BFCDC5E7E9}" name="Leg 5" dataDxfId="669">
      <calculatedColumnFormula>IF(COUNTIF(G$60:G$241, $Q149)&gt;0, COUNTIF(G$60:G$241, $Q149)/COUNTIF(G$60:G$241, "*Challenge*"), "")</calculatedColumnFormula>
    </tableColumn>
    <tableColumn id="7" xr3:uid="{336ACC65-AE92-B140-B24B-0FBD93ABF33B}" name="Leg 6" dataDxfId="668">
      <calculatedColumnFormula>IF(COUNTIF(H$60:H$241, $Q149)&gt;0, COUNTIF(H$60:H$241, $Q149)/COUNTIF(H$60:H$241, "*Challenge*"), "")</calculatedColumnFormula>
    </tableColumn>
    <tableColumn id="8" xr3:uid="{D033D550-39DE-C64C-B5F9-A21632D43486}" name="Leg 7" dataDxfId="667">
      <calculatedColumnFormula>IF(COUNTIF(I$60:I$241, $Q149)&gt;0, COUNTIF(I$60:I$241, $Q149)/COUNTIF(I$60:I$241, "*Challenge*"), "")</calculatedColumnFormula>
    </tableColumn>
    <tableColumn id="9" xr3:uid="{57E1065C-F188-6B47-91FF-B749FE725EBE}" name="Leg 8" dataDxfId="666">
      <calculatedColumnFormula>IF(COUNTIF(J$60:J$241, $Q149)&gt;0, COUNTIF(J$60:J$241, $Q149)/COUNTIF(J$60:J$241, "*Challenge*"), "")</calculatedColumnFormula>
    </tableColumn>
    <tableColumn id="10" xr3:uid="{90AB7229-8A31-BA47-82B0-F4578482C1DB}" name="Leg 9" dataDxfId="665">
      <calculatedColumnFormula>IF(COUNTIF(K$60:K$241, $Q149)&gt;0, COUNTIF(K$60:K$241, $Q149)/COUNTIF(K$60:K$241, "*Challenge*"), "")</calculatedColumnFormula>
    </tableColumn>
    <tableColumn id="11" xr3:uid="{A5188915-0F79-4349-A2FA-1B4C5D4C93FC}" name="Leg 10" dataDxfId="664">
      <calculatedColumnFormula>IF(COUNTIF(L$60:L$241, $Q149)&gt;0, COUNTIF(L$60:L$241, $Q149)/COUNTIF(L$60:L$241, "*Challenge*"), "")</calculatedColumnFormula>
    </tableColumn>
    <tableColumn id="12" xr3:uid="{AAC449DA-6A37-5642-A3A3-C015E7FAA196}" name="Leg 11" dataDxfId="663">
      <calculatedColumnFormula>IF(COUNTIF(M$60:M$241, $Q149)&gt;0, COUNTIF(M$60:M$241, $Q149)/COUNTIF(M$60:M$241, "*Challenge*"), "")</calculatedColumnFormula>
    </tableColumn>
    <tableColumn id="13" xr3:uid="{0239971D-59DF-7C46-803C-53C515B0A390}" name="Leg 12" dataDxfId="662">
      <calculatedColumnFormula>IF(COUNTIF(N$60:N$241, $Q149)&gt;0, COUNTIF(N$60:N$241, $Q149)/COUNTIF(N$60:N$241, "*Challenge*"), "")</calculatedColumnFormula>
    </tableColumn>
    <tableColumn id="14" xr3:uid="{D6D7E3FC-B373-0141-B47E-C218D1F1603C}" name="Leg 13" dataDxfId="661">
      <calculatedColumnFormula>IF(COUNTIF(O$60:O$241, $Q149)&gt;0, COUNTIF(O$60:O$241, $Q149)/COUNTIF(O$60:O$241, "*Challenge*"), "")</calculatedColumnFormula>
    </tableColumn>
  </tableColumns>
  <tableStyleInfo name="TableStyleMedium1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EFAE26F-95D5-4843-ABA4-620445FE4877}" name="Table40" displayName="Table40" ref="AF149:AG177" totalsRowShown="0" headerRowDxfId="660" headerRowBorderDxfId="659" tableBorderDxfId="658">
  <autoFilter ref="AF149:AG177" xr:uid="{AEFAE26F-95D5-4843-ABA4-620445FE4877}"/>
  <tableColumns count="2">
    <tableColumn id="1" xr3:uid="{45BF6EAE-5A13-B147-87E5-D13E322666B4}" name="Keyword"/>
    <tableColumn id="2" xr3:uid="{51C1A82F-AE52-4A4B-8F42-0DBC660CAE30}" name="%" dataDxfId="657" dataCellStyle="Percent">
      <calculatedColumnFormula>IF(COUNTIF($C$60:$O$241, AF150)&gt;0, COUNTIF($C$60:$O$241, AF150)/COUNTIF($C$60:$O$241, "*Challenge*"), "")</calculatedColumnFormula>
    </tableColumn>
  </tableColumns>
  <tableStyleInfo name="TableStyleMedium1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035755B-5676-D847-8CDC-BA2D6B340CB7}" name="Table41" displayName="Table41" ref="Q75:AD114" totalsRowShown="0" headerRowDxfId="656" tableBorderDxfId="655">
  <autoFilter ref="Q75:AD114" xr:uid="{7035755B-5676-D847-8CDC-BA2D6B340CB7}"/>
  <tableColumns count="14">
    <tableColumn id="1" xr3:uid="{AFC90D47-9225-DC40-AD8C-32FACE3289CA}" name="Season #"/>
    <tableColumn id="2" xr3:uid="{A7940F86-52A5-C144-8171-72AD000EE65A}" name="Challenge 1"/>
    <tableColumn id="3" xr3:uid="{A7CA8C50-821F-1944-A01D-966256D209A3}" name="Challenge 2"/>
    <tableColumn id="4" xr3:uid="{14E93850-4817-EA43-900B-7716D976C94F}" name="Challenge 3"/>
    <tableColumn id="5" xr3:uid="{D5EDF4C9-7563-9947-8EE0-B22F0B8602D9}" name="Challenge 4"/>
    <tableColumn id="6" xr3:uid="{BDEB2A59-3546-BB4F-8050-0A86C2D7CD68}" name="Challenge 5"/>
    <tableColumn id="7" xr3:uid="{FD582850-E393-644E-9B80-505A9EEA3EBC}" name="Challenge 6"/>
    <tableColumn id="8" xr3:uid="{807559EE-CB96-B445-B24D-A7EA134EE6D6}" name="Challenge 7"/>
    <tableColumn id="9" xr3:uid="{039A593D-E4C7-F545-80A2-7EFB3D92D08B}" name="Challenge 8"/>
    <tableColumn id="10" xr3:uid="{90989BBF-704F-8241-A69A-1FD32B8C3D5B}" name="Challenge 9"/>
    <tableColumn id="11" xr3:uid="{A236E036-342A-1C49-BCFF-7F117DCE1308}" name="Challenge 10"/>
    <tableColumn id="12" xr3:uid="{F2FB9C1C-E549-A34D-9B58-9B9C36696886}" name="Challenge 11"/>
    <tableColumn id="13" xr3:uid="{080520A4-71A5-E145-A073-869C230F0C74}" name="Challenge 12"/>
    <tableColumn id="14" xr3:uid="{7CD99402-7386-5B44-B17C-696F0B41B57C}" name="Challenge 13"/>
  </tableColumns>
  <tableStyleInfo name="TableStyleLight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E2CD314-2F87-DE44-99AA-E70CC08A2C4D}" name="Table4148" displayName="Table4148" ref="Q184:AS226" totalsRowShown="0" headerRowDxfId="654" tableBorderDxfId="653">
  <autoFilter ref="Q184:AS226" xr:uid="{5E2CD314-2F87-DE44-99AA-E70CC08A2C4D}"/>
  <tableColumns count="29">
    <tableColumn id="1" xr3:uid="{FE4F7161-BF82-C542-A974-53102355231B}" name="Season #"/>
    <tableColumn id="2" xr3:uid="{9779A0EF-37BC-BE4E-AA61-0B7940D12ECD}" name="Animals" dataDxfId="652"/>
    <tableColumn id="3" xr3:uid="{5A5CED78-E906-1745-965F-844AA79A5F74}" name="ATD" dataDxfId="651"/>
    <tableColumn id="4" xr3:uid="{A6673308-F13D-BC4A-8D89-3A74AEDA2ACB}" name="Balance" dataDxfId="650"/>
    <tableColumn id="5" xr3:uid="{F79CDC3A-F804-3E46-B8F5-2257F21D3489}" name="Biking" dataDxfId="649"/>
    <tableColumn id="6" xr3:uid="{EF1ED75E-99DB-A249-BA74-51F82377FBCE}" name="Building" dataDxfId="648"/>
    <tableColumn id="7" xr3:uid="{A031F51C-33AE-DC49-9B83-0426634D0AFA}" name="Cooking" dataDxfId="647"/>
    <tableColumn id="8" xr3:uid="{FBF891C8-F269-354F-9DA0-3048D9008F47}" name="Counting" dataDxfId="646"/>
    <tableColumn id="9" xr3:uid="{CF85AAB7-9535-2A43-82DA-A229B717FD06}" name="Dancing" dataDxfId="645"/>
    <tableColumn id="10" xr3:uid="{A5AC458C-83E0-0D49-BD30-137AD0D049D1}" name="Driving" dataDxfId="644"/>
    <tableColumn id="11" xr3:uid="{66DC0CA2-1159-4146-9BE2-DDBD61AD9C07}" name="Flags" dataDxfId="643"/>
    <tableColumn id="12" xr3:uid="{74203EB9-36E9-D34C-9131-2BECE5000980}" name="Food"/>
    <tableColumn id="13" xr3:uid="{5D1BB6C7-74B0-D145-BC62-C7C771FF96DF}" name="Geography"/>
    <tableColumn id="14" xr3:uid="{19338D2E-385F-E24C-974B-5BAD3CC68348}" name="HEC" dataDxfId="642"/>
    <tableColumn id="15" xr3:uid="{303634D7-6EC6-874B-992D-3B5C3FFBDB19}" name="Heights" dataDxfId="641"/>
    <tableColumn id="16" xr3:uid="{DD8CFE69-B339-CD4F-8B65-4AB8C3427AC8}" name="Language" dataDxfId="640"/>
    <tableColumn id="17" xr3:uid="{8210EFC7-A1D4-704B-9E73-2E294CBA6D80}" name="Math" dataDxfId="639"/>
    <tableColumn id="18" xr3:uid="{56CE1B39-A0E7-1848-BB11-D6BFFF33A88D}" name="Memory" dataDxfId="638"/>
    <tableColumn id="19" xr3:uid="{D2BAA0E2-C8C9-1840-A696-2785CCC231FC}" name="Music" dataDxfId="637"/>
    <tableColumn id="20" xr3:uid="{AF9269C8-E57D-7F42-B5A4-BEF6312FCF7C}" name="Navigation" dataDxfId="636"/>
    <tableColumn id="21" xr3:uid="{3988CEB8-29DF-2347-B614-B8DEB27BA5A9}" name="Pain" dataDxfId="635"/>
    <tableColumn id="22" xr3:uid="{F5D758DB-9F37-C244-8F83-FB42ACD3E9C1}" name="Painting" dataDxfId="634"/>
    <tableColumn id="23" xr3:uid="{974CA0A0-FBA8-F04F-8C0C-95BCF44EFE1B}" name="PS" dataDxfId="633"/>
    <tableColumn id="24" xr3:uid="{79CE23FF-A558-0845-B70B-316F068234B6}" name="Puzzle" dataDxfId="632"/>
    <tableColumn id="25" xr3:uid="{8FCE0D4D-0B1D-0D4E-9FC3-E41AEF2352A5}" name="Searching" dataDxfId="631"/>
    <tableColumn id="26" xr3:uid="{C62A6C15-FE99-F042-98F5-7977746362B8}" name="Selling" dataDxfId="630"/>
    <tableColumn id="27" xr3:uid="{615E17AC-E5D4-C04E-B37B-75D31A8E1E94}" name="Singing"/>
    <tableColumn id="28" xr3:uid="{644915A4-6FF7-BF46-8701-7153005B6489}" name="Swimming" dataDxfId="629"/>
    <tableColumn id="29" xr3:uid="{FD82BF0C-B07B-A74A-BC57-9E394B96C4CD}" name="Travel Issues"/>
  </tableColumns>
  <tableStyleInfo name="TableStyleLight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2698E3-97F6-8B4B-89A4-A888194C86E3}" name="Table20" displayName="Table20" ref="B9:C53" totalsRowShown="0" headerRowBorderDxfId="628">
  <autoFilter ref="B9:C53" xr:uid="{C22698E3-97F6-8B4B-89A4-A888194C86E3}"/>
  <tableColumns count="2">
    <tableColumn id="1" xr3:uid="{0A21D3E6-2411-9242-8877-E7724081CDB3}" name="Season #" dataDxfId="627"/>
    <tableColumn id="2" xr3:uid="{4E6F6889-0651-5447-A6AD-74BF5F668241}" name="Detour" dataDxfId="626"/>
  </tableColumns>
  <tableStyleInfo name="TableStyleMedium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39CA13B-89E5-534C-8867-BC88053F7C40}" name="Table3344" displayName="Table3344" ref="Q57:AD70" totalsRowShown="0" headerRowDxfId="625" dataDxfId="624" tableBorderDxfId="623" dataCellStyle="Percent">
  <autoFilter ref="Q57:AD70" xr:uid="{E39CA13B-89E5-534C-8867-BC88053F7C40}"/>
  <tableColumns count="14">
    <tableColumn id="1" xr3:uid="{AD1B17EE-328C-1743-9A43-A3A10503AF28}" name="Challenge #"/>
    <tableColumn id="2" xr3:uid="{A20BF2E1-44D5-2E42-B9FD-4E03E84151DD}" name="Leg 1" dataDxfId="622" dataCellStyle="Percent">
      <calculatedColumnFormula>IF(COUNTIF(C$59:C$327,$Q58)/COUNTIF(C$59:C$327, "*Challenge*") &gt; 0, COUNTIF(C$59:C$327,$Q58)/COUNTIF(C$59:C$327, "*Challenge*"), "")</calculatedColumnFormula>
    </tableColumn>
    <tableColumn id="3" xr3:uid="{8689F4BD-4CA6-6F44-BDC7-95FBB0F2F556}" name="Leg 2" dataDxfId="621" dataCellStyle="Percent">
      <calculatedColumnFormula>IF(COUNTIF(D$59:D$327,$Q58)/COUNTIF(D$59:D$327, "*Challenge*") &gt; 0, COUNTIF(D$59:D$327,$Q58)/COUNTIF(D$59:D$327, "*Challenge*"), "")</calculatedColumnFormula>
    </tableColumn>
    <tableColumn id="4" xr3:uid="{25C0AFD5-7679-314C-850C-0F85B275D9FD}" name="Leg 3" dataDxfId="620" dataCellStyle="Percent">
      <calculatedColumnFormula>IF(COUNTIF(E$59:E$327,$Q58)/COUNTIF(E$59:E$327, "*Challenge*") &gt; 0, COUNTIF(E$59:E$327,$Q58)/COUNTIF(E$59:E$327, "*Challenge*"), "")</calculatedColumnFormula>
    </tableColumn>
    <tableColumn id="5" xr3:uid="{25620864-3BA7-CB4B-BE75-ED9F2F1A6128}" name="Leg 4" dataDxfId="619" dataCellStyle="Percent">
      <calculatedColumnFormula>IF(COUNTIF(F$59:F$327,$Q58)/COUNTIF(F$59:F$327, "*Challenge*") &gt; 0, COUNTIF(F$59:F$327,$Q58)/COUNTIF(F$59:F$327, "*Challenge*"), "")</calculatedColumnFormula>
    </tableColumn>
    <tableColumn id="6" xr3:uid="{C4029D39-5A80-6144-85A3-CE7780AC9F1F}" name="Leg 5" dataDxfId="618" dataCellStyle="Percent">
      <calculatedColumnFormula>IF(COUNTIF(G$59:G$327,$Q58)/COUNTIF(G$59:G$327, "*Challenge*") &gt; 0, COUNTIF(G$59:G$327,$Q58)/COUNTIF(G$59:G$327, "*Challenge*"), "")</calculatedColumnFormula>
    </tableColumn>
    <tableColumn id="7" xr3:uid="{670FBD8D-36D9-FF4F-A565-40E21F2D8A87}" name="Leg 6" dataDxfId="617" dataCellStyle="Percent">
      <calculatedColumnFormula>IF(COUNTIF(H$59:H$327,$Q58)/COUNTIF(H$59:H$327, "*Challenge*") &gt; 0, COUNTIF(H$59:H$327,$Q58)/COUNTIF(H$59:H$327, "*Challenge*"), "")</calculatedColumnFormula>
    </tableColumn>
    <tableColumn id="8" xr3:uid="{7A694897-174B-394C-98FC-E8F007D1F57F}" name="Leg 7" dataDxfId="616" dataCellStyle="Percent">
      <calculatedColumnFormula>IF(COUNTIF(I$59:I$327,$Q58)/COUNTIF(I$59:I$327, "*Challenge*") &gt; 0, COUNTIF(I$59:I$327,$Q58)/COUNTIF(I$59:I$327, "*Challenge*"), "")</calculatedColumnFormula>
    </tableColumn>
    <tableColumn id="9" xr3:uid="{58CA1258-4B02-954E-BC36-BD61CA52F388}" name="Leg 8" dataDxfId="615" dataCellStyle="Percent">
      <calculatedColumnFormula>IF(COUNTIF(J$59:J$327,$Q58)/COUNTIF(J$59:J$327, "*Challenge*") &gt; 0, COUNTIF(J$59:J$327,$Q58)/COUNTIF(J$59:J$327, "*Challenge*"), "")</calculatedColumnFormula>
    </tableColumn>
    <tableColumn id="10" xr3:uid="{D19A5C66-3942-3E4B-99AC-1EE857F94473}" name="Leg 9" dataDxfId="614" dataCellStyle="Percent">
      <calculatedColumnFormula>IF(COUNTIF(K$59:K$327,$Q58)/COUNTIF(K$59:K$327, "*Challenge*") &gt; 0, COUNTIF(K$59:K$327,$Q58)/COUNTIF(K$59:K$327, "*Challenge*"), "")</calculatedColumnFormula>
    </tableColumn>
    <tableColumn id="11" xr3:uid="{BE44B6D8-7D14-754F-870B-583E56BB5D42}" name="Leg 10" dataDxfId="613" dataCellStyle="Percent">
      <calculatedColumnFormula>IF(COUNTIF(L$59:L$327,$Q58)/COUNTIF(L$59:L$327, "*Challenge*") &gt; 0, COUNTIF(L$59:L$327,$Q58)/COUNTIF(L$59:L$327, "*Challenge*"), "")</calculatedColumnFormula>
    </tableColumn>
    <tableColumn id="12" xr3:uid="{00CC28CF-67F6-3B4E-9A0B-545CE2E413C6}" name="Leg 11" dataDxfId="612" dataCellStyle="Percent">
      <calculatedColumnFormula>IF(COUNTIF(M$59:M$327,$Q58)/COUNTIF(M$59:M$327, "*Challenge*") &gt; 0, COUNTIF(M$59:M$327,$Q58)/COUNTIF(M$59:M$327, "*Challenge*"), "")</calculatedColumnFormula>
    </tableColumn>
    <tableColumn id="13" xr3:uid="{8682FE45-D283-B44C-A279-7963C62A7592}" name="Leg 12" dataDxfId="611" dataCellStyle="Percent">
      <calculatedColumnFormula>IF(COUNTIF(N$59:N$327,$Q58)/COUNTIF(N$59:N$327, "*Challenge*") &gt; 0, COUNTIF(N$59:N$327,$Q58)/COUNTIF(N$59:N$327, "*Challenge*"), "")</calculatedColumnFormula>
    </tableColumn>
    <tableColumn id="14" xr3:uid="{AACA721B-C07C-F143-A0E8-490C24D03C04}" name="Leg 13" dataDxfId="610" dataCellStyle="Percent">
      <calculatedColumnFormula>IF(COUNTIF(O$59:O$327,$Q58)/COUNTIF(O$59:O$327, "*Challenge*") &gt; 0, COUNTIF(O$59:O$327,$Q58)/COUNTIF(O$59:O$327, "*Challenge*"), "")</calculatedColumnFormula>
    </tableColumn>
  </tableColumns>
  <tableStyleInfo name="TableStyleMedium1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FFE999E-81AE-D947-B9E9-BDF39C632FD0}" name="Table4143" displayName="Table4143" ref="Q73:AD112" totalsRowShown="0" headerRowDxfId="609" tableBorderDxfId="608">
  <autoFilter ref="Q73:AD112" xr:uid="{EFFE999E-81AE-D947-B9E9-BDF39C632FD0}"/>
  <tableColumns count="14">
    <tableColumn id="1" xr3:uid="{4887E3F4-14A5-694E-81CC-4B992BE59A05}" name="Season #"/>
    <tableColumn id="2" xr3:uid="{0C9F488B-3667-2C49-9989-A6A3D40B11A2}" name="Challenge 1"/>
    <tableColumn id="3" xr3:uid="{0FFF2E3D-E0C9-CE43-A0B7-4A9CE00C5E47}" name="Challenge 2"/>
    <tableColumn id="4" xr3:uid="{324AEE02-286B-DF4A-AEC1-DE44A084A15A}" name="Challenge 3"/>
    <tableColumn id="5" xr3:uid="{FD1BB645-6159-EC4B-AFDD-F4B4BB9678DD}" name="Challenge 4"/>
    <tableColumn id="6" xr3:uid="{753F6A2F-8604-0649-B74E-B73B2C278B2C}" name="Challenge 5"/>
    <tableColumn id="7" xr3:uid="{BFC17F5E-30BE-7048-9A9B-93F9D48B5308}" name="Challenge 6"/>
    <tableColumn id="8" xr3:uid="{3F1CBB8A-EFC6-0D48-9287-A4D1C046545A}" name="Challenge 7"/>
    <tableColumn id="9" xr3:uid="{B6E00FBD-3310-324E-9F8A-9851643D59DD}" name="Challenge 8"/>
    <tableColumn id="10" xr3:uid="{3590739A-1F01-9848-98AE-456C4E9B40FF}" name="Challenge 9"/>
    <tableColumn id="11" xr3:uid="{150A6503-C842-5C4D-B88B-25FAEB436D3E}" name="Challenge 10"/>
    <tableColumn id="12" xr3:uid="{DC41187F-2E86-994F-9B2B-339D2BCEEB93}" name="Challenge 11"/>
    <tableColumn id="13" xr3:uid="{A67033F9-616F-EA4F-B972-79EB750D7DB9}" name="Challenge 12"/>
    <tableColumn id="14" xr3:uid="{F393B8F9-74AB-8244-87D0-4C062832210C}" name="Challenge 13"/>
  </tableColumns>
  <tableStyleInfo name="TableStyleLight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D46F08B-FAD8-BD45-A413-6E2B7B566877}" name="Table3445" displayName="Table3445" ref="Q115:AE143" totalsRowShown="0" headerRowDxfId="607" tableBorderDxfId="606">
  <autoFilter ref="Q115:AE143" xr:uid="{4D46F08B-FAD8-BD45-A413-6E2B7B566877}"/>
  <tableColumns count="15">
    <tableColumn id="1" xr3:uid="{823D27B0-C200-AB4A-A490-D01A86DA8968}" name="Keywords"/>
    <tableColumn id="2" xr3:uid="{737AB2DE-072B-784B-99CB-747C698436FB}" name="Leg 1" dataDxfId="605">
      <calculatedColumnFormula>IF(COUNTIF(C$58:C$327,$Q116)&gt;0,COUNTIF(C$58:C$327,$Q116), "")</calculatedColumnFormula>
    </tableColumn>
    <tableColumn id="3" xr3:uid="{9FA63AAC-27AF-1F4E-9BD9-A2FB4CA2FF40}" name="Leg 2" dataDxfId="604">
      <calculatedColumnFormula>IF(COUNTIF(D$60:D$241,$Q116)&gt;0,COUNTIF(D$60:D$241,$Q116), "")</calculatedColumnFormula>
    </tableColumn>
    <tableColumn id="4" xr3:uid="{775522D6-3BBB-2C4F-9795-DDBB8CA4C3E8}" name="Leg 3" dataDxfId="603">
      <calculatedColumnFormula>IF(COUNTIF(E$60:E$241,$Q116)&gt;0,COUNTIF(E$60:E$241,$Q116), "")</calculatedColumnFormula>
    </tableColumn>
    <tableColumn id="5" xr3:uid="{D7950D77-8D62-CF49-B228-60186707FD15}" name="Leg 4" dataDxfId="602">
      <calculatedColumnFormula>IF(COUNTIF(F$58:F$327,$Q116)&gt;0,COUNTIF(F$58:F$327,$Q116), "")</calculatedColumnFormula>
    </tableColumn>
    <tableColumn id="6" xr3:uid="{B251E762-2907-D742-808D-1ECB42F41280}" name="Leg 5" dataDxfId="601">
      <calculatedColumnFormula>IF(COUNTIF(G$60:G$241,$Q116)&gt;0,COUNTIF(G$60:G$241,$Q116), "")</calculatedColumnFormula>
    </tableColumn>
    <tableColumn id="7" xr3:uid="{6627A55C-B9F1-F949-B939-E7D59719E30F}" name="Leg 6" dataDxfId="600">
      <calculatedColumnFormula>IF(COUNTIF(H$60:H$241,$Q116)&gt;0,COUNTIF(H$60:H$241,$Q116), "")</calculatedColumnFormula>
    </tableColumn>
    <tableColumn id="8" xr3:uid="{102E5E45-88CD-A347-A595-7B109E8245EE}" name="Leg 7" dataDxfId="599">
      <calculatedColumnFormula>IF(COUNTIF(I$60:I$241,$Q116)&gt;0,COUNTIF(I$60:I$241,$Q116), "")</calculatedColumnFormula>
    </tableColumn>
    <tableColumn id="9" xr3:uid="{427C269A-207D-2D44-8BCD-323BDB4B13B6}" name="Leg 8" dataDxfId="598">
      <calculatedColumnFormula>IF(COUNTIF(J$60:J$241,$Q116)&gt;0,COUNTIF(J$60:J$241,$Q116), "")</calculatedColumnFormula>
    </tableColumn>
    <tableColumn id="10" xr3:uid="{095BBDD0-DBAD-7345-848D-357E3081885B}" name="Leg 9" dataDxfId="597">
      <calculatedColumnFormula>IF(COUNTIF(K$60:K$241,$Q116)&gt;0,COUNTIF(K$60:K$241,$Q116), "")</calculatedColumnFormula>
    </tableColumn>
    <tableColumn id="11" xr3:uid="{14903F85-5DF8-AE46-B8C1-D1DBEB85C7FF}" name="Leg 10" dataDxfId="596">
      <calculatedColumnFormula>IF(COUNTIF(L$60:L$241,$Q116)&gt;0,COUNTIF(L$60:L$241,$Q116), "")</calculatedColumnFormula>
    </tableColumn>
    <tableColumn id="12" xr3:uid="{31652846-F50B-564A-911E-8450D315920B}" name="Leg 11" dataDxfId="595">
      <calculatedColumnFormula>IF(COUNTIF(M$60:M$241,$Q116)&gt;0,COUNTIF(M$60:M$241,$Q116), "")</calculatedColumnFormula>
    </tableColumn>
    <tableColumn id="13" xr3:uid="{A3BC265D-6CAF-F648-86E9-2711363D024C}" name="Leg 12" dataDxfId="594">
      <calculatedColumnFormula>IF(COUNTIF(N$60:N$241,$Q116)&gt;0,COUNTIF(N$60:N$241,$Q116), "")</calculatedColumnFormula>
    </tableColumn>
    <tableColumn id="14" xr3:uid="{F983A2A0-1E14-B349-A197-9DB93488DD34}" name="Leg 13" dataDxfId="593">
      <calculatedColumnFormula>IF(COUNTIF(O$60:O$241,$Q116)&gt;0,COUNTIF(O$60:O$241,$Q116), "")</calculatedColumnFormula>
    </tableColumn>
    <tableColumn id="15" xr3:uid="{A3FEFFBD-5529-2248-98F6-959AA179FDA7}" name="Totals" dataDxfId="592">
      <calculatedColumnFormula>SUM(R116:AD116)</calculatedColumnFormula>
    </tableColumn>
  </tableColumns>
  <tableStyleInfo name="TableStyleMedium1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F106C04-8DC8-9145-852C-C7A038D7F47B}" name="Table344046" displayName="Table344046" ref="Q146:AD174" totalsRowShown="0" headerRowDxfId="591" tableBorderDxfId="590">
  <autoFilter ref="Q146:AD174" xr:uid="{BF106C04-8DC8-9145-852C-C7A038D7F47B}"/>
  <tableColumns count="14">
    <tableColumn id="1" xr3:uid="{89D79199-0BDB-F746-8D4E-9917F73F2DBA}" name="Keywords"/>
    <tableColumn id="2" xr3:uid="{AD6AE342-5633-F044-8B79-D61DD73CE1AF}" name="Leg 1" dataDxfId="589">
      <calculatedColumnFormula>IF(COUNTIF(C$59:C$327, $Q147)&gt;0, COUNTIF(C$59:C$327, $Q147)/COUNTIF(C$59:C$327, "*Challenge*"), "")</calculatedColumnFormula>
    </tableColumn>
    <tableColumn id="3" xr3:uid="{9B81E5CC-33B1-C542-A82F-CC681B5D7159}" name="Leg 2" dataDxfId="588">
      <calculatedColumnFormula>IF(COUNTIF(D$60:D$241, $Q147)&gt;0, COUNTIF(D$60:D$241, $Q147)/COUNTIF(D$60:D$241, "*Challenge*"), "")</calculatedColumnFormula>
    </tableColumn>
    <tableColumn id="4" xr3:uid="{B93EB5B1-BDF4-CD4B-A2FC-32F935A40993}" name="Leg 3" dataDxfId="587">
      <calculatedColumnFormula>IF(COUNTIF(E$60:E$241, $Q147)&gt;0, COUNTIF(E$60:E$241, $Q147)/COUNTIF(E$60:E$241, "*Challenge*"), "")</calculatedColumnFormula>
    </tableColumn>
    <tableColumn id="5" xr3:uid="{55180B82-151F-F04C-96BC-5B16449760AE}" name="Leg 4" dataDxfId="586">
      <calculatedColumnFormula>IF(COUNTIF(F$60:F$241, $Q147)&gt;0, COUNTIF(F$60:F$241, $Q147)/COUNTIF(F$60:F$241, "*Challenge*"), "")</calculatedColumnFormula>
    </tableColumn>
    <tableColumn id="6" xr3:uid="{B6D3F4FB-0F13-264D-8B7F-4C9894F19866}" name="Leg 5" dataDxfId="585">
      <calculatedColumnFormula>IF(COUNTIF(G$60:G$241, $Q147)&gt;0, COUNTIF(G$60:G$241, $Q147)/COUNTIF(G$60:G$241, "*Challenge*"), "")</calculatedColumnFormula>
    </tableColumn>
    <tableColumn id="7" xr3:uid="{7DC0C3D0-DEBA-6D40-84F7-036BE40DFA30}" name="Leg 6" dataDxfId="584">
      <calculatedColumnFormula>IF(COUNTIF(H$60:H$241, $Q147)&gt;0, COUNTIF(H$60:H$241, $Q147)/COUNTIF(H$60:H$241, "*Challenge*"), "")</calculatedColumnFormula>
    </tableColumn>
    <tableColumn id="8" xr3:uid="{3789B30A-F78D-1446-A293-C265239B629C}" name="Leg 7" dataDxfId="583">
      <calculatedColumnFormula>IF(COUNTIF(I$60:I$241, $Q147)&gt;0, COUNTIF(I$60:I$241, $Q147)/COUNTIF(I$60:I$241, "*Challenge*"), "")</calculatedColumnFormula>
    </tableColumn>
    <tableColumn id="9" xr3:uid="{4F614003-AACF-494C-BE91-BBD38B666432}" name="Leg 8" dataDxfId="582">
      <calculatedColumnFormula>IF(COUNTIF(J$60:J$241, $Q147)&gt;0, COUNTIF(J$60:J$241, $Q147)/COUNTIF(J$60:J$241, "*Challenge*"), "")</calculatedColumnFormula>
    </tableColumn>
    <tableColumn id="10" xr3:uid="{1D7E5E4D-6C78-4343-B3A6-0CFFFB3AD7CA}" name="Leg 9" dataDxfId="581">
      <calculatedColumnFormula>IF(COUNTIF(K$60:K$241, $Q147)&gt;0, COUNTIF(K$60:K$241, $Q147)/COUNTIF(K$60:K$241, "*Challenge*"), "")</calculatedColumnFormula>
    </tableColumn>
    <tableColumn id="11" xr3:uid="{A0C4EBCE-A068-9548-9C89-A8EA565CFF76}" name="Leg 10" dataDxfId="580">
      <calculatedColumnFormula>IF(COUNTIF(L$60:L$241, $Q147)&gt;0, COUNTIF(L$60:L$241, $Q147)/COUNTIF(L$60:L$241, "*Challenge*"), "")</calculatedColumnFormula>
    </tableColumn>
    <tableColumn id="12" xr3:uid="{1A376C94-0634-B146-9D8A-D7636AF44D91}" name="Leg 11" dataDxfId="579">
      <calculatedColumnFormula>IF(COUNTIF(M$60:M$241, $Q147)&gt;0, COUNTIF(M$60:M$241, $Q147)/COUNTIF(M$60:M$241, "*Challenge*"), "")</calculatedColumnFormula>
    </tableColumn>
    <tableColumn id="13" xr3:uid="{31E4E239-7B73-614E-9DE4-35CCB771A970}" name="Leg 12" dataDxfId="578">
      <calculatedColumnFormula>IF(COUNTIF(N$60:N$241, $Q147)&gt;0, COUNTIF(N$60:N$241, $Q147)/COUNTIF(N$60:N$241, "*Challenge*"), "")</calculatedColumnFormula>
    </tableColumn>
    <tableColumn id="14" xr3:uid="{18E34088-8902-6248-A4E8-CC979ECAFE61}" name="Leg 13" dataDxfId="577">
      <calculatedColumnFormula>IF(COUNTIF(O$60:O$241, $Q147)&gt;0, COUNTIF(O$60:O$241, $Q147)/COUNTIF(O$60:O$241, "*Challenge*"), "")</calculatedColumnFormula>
    </tableColumn>
  </tableColumns>
  <tableStyleInfo name="TableStyleMedium1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322CE8B-A56C-1E4A-ACCF-B826E6B0CC9C}" name="Table4047" displayName="Table4047" ref="AF147:AG175" totalsRowShown="0" headerRowDxfId="576" headerRowBorderDxfId="575" tableBorderDxfId="574">
  <autoFilter ref="AF147:AG175" xr:uid="{7322CE8B-A56C-1E4A-ACCF-B826E6B0CC9C}"/>
  <tableColumns count="2">
    <tableColumn id="1" xr3:uid="{ED2DE8A0-C889-9E46-A8C7-9FE36DDF0FEE}" name="Keyword"/>
    <tableColumn id="2" xr3:uid="{658C2D67-6FF1-2B4B-878A-4566D2247F05}" name="%" dataDxfId="573" dataCellStyle="Percent">
      <calculatedColumnFormula>IF(COUNTIF($C$58:$O$327, AF148)&gt;0, COUNTIF($C$58:$O$327, AF148)/COUNTIF($C$58:$O$327, "*Challenge*"), "")</calculatedColumnFormula>
    </tableColumn>
  </tableColumns>
  <tableStyleInfo name="TableStyleMedium1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2C367E-6C75-AD4D-878D-D1C1C4B7A87A}" name="Table48" displayName="Table48" ref="Q209:S237" totalsRowShown="0" headerRowDxfId="572" tableBorderDxfId="571">
  <autoFilter ref="Q209:S237" xr:uid="{F72C367E-6C75-AD4D-878D-D1C1C4B7A87A}"/>
  <tableColumns count="3">
    <tableColumn id="1" xr3:uid="{9184CF4F-BAE2-6E4D-A329-5D707B74DC5E}" name="Keywords"/>
    <tableColumn id="2" xr3:uid="{E0217E70-47BF-F249-84A3-3E837C1649B1}" name="1st Half" dataDxfId="570">
      <calculatedColumnFormula>SUM(V211,X211,Z211,AB211,AD211,AF211,AH211,AJ211,AL211,AN211,AP211,AR211,AT211,AV211,AX211,AZ211,BB211,BD211,BF211,BH211,BJ211,BL211,BN211,BP211,BR211,BT211,BV211,BX211,BZ211,CB211,CD211,CF211,CH211,CJ211,CL211,CN211,CP211,CR211)</calculatedColumnFormula>
    </tableColumn>
    <tableColumn id="3" xr3:uid="{CC8860C2-40A3-254A-B9CD-F5AED8FF3ACA}" name="2nd Half" dataDxfId="569">
      <calculatedColumnFormula>SUM(W211,Y211,AA211,AC211,AE211,AG211,AI211,AK211,AM211,AO211,AQ211,AS211,AU211,AW211,AY211,BA211,BC211,BE211,BG211,BI211,BK211,BM211,BO211,BQ211,BS211,BU211,BW211,BY211,CA211,CC211,CE211,CG211,CI211,CK211,CM211,CO211,CQ211,CS211)</calculatedColumnFormula>
    </tableColumn>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22C4563D-4008-1244-9164-E9274FAC7C05}" name="Table51" displayName="Table51" ref="U210:CS238" totalsRowShown="0" headerRowDxfId="568" headerRowBorderDxfId="567">
  <autoFilter ref="U210:CS238" xr:uid="{22C4563D-4008-1244-9164-E9274FAC7C05}"/>
  <tableColumns count="77">
    <tableColumn id="1" xr3:uid="{0A3E355C-AFAA-6746-A85A-2C5D67596CEE}" name="Keywords"/>
    <tableColumn id="2" xr3:uid="{9050BCE2-702E-C94C-AAB1-0B2778C23E5E}" name="1st Half" dataDxfId="566">
      <calculatedColumnFormula>IF(COUNTIF(C$59:O$60,$U211)&gt;0,COUNTIF(C$59:O$60,$U211), "")</calculatedColumnFormula>
    </tableColumn>
    <tableColumn id="3" xr3:uid="{F1CF0224-8C75-5C4B-9D71-B9DDEED43216}" name="2nd Half" dataDxfId="565">
      <calculatedColumnFormula>IF(COUNTIF(C$62:O$63,$U211)&gt;0,COUNTIF(C$62:O$63,$U211), "")</calculatedColumnFormula>
    </tableColumn>
    <tableColumn id="4" xr3:uid="{ADB58CB0-C7C1-B145-9B39-D63004BC5A51}" name="1st Half2" dataDxfId="564">
      <calculatedColumnFormula>IF(COUNTIF(C$65:O$66,$U211)&gt;0,COUNTIF(C$65:O$66,$U211), "")</calculatedColumnFormula>
    </tableColumn>
    <tableColumn id="5" xr3:uid="{3880C880-A18A-BD4F-A33A-9130ABA9DDE8}" name="2nd Half3" dataDxfId="563">
      <calculatedColumnFormula>IF(COUNTIF(C$68:O$69,$U211)&gt;0,COUNTIF(C$68:O$69,$U211), "")</calculatedColumnFormula>
    </tableColumn>
    <tableColumn id="6" xr3:uid="{3F5BE5E7-6C03-9D46-9AD2-66C8F8E63FD6}" name="1st Half4" dataDxfId="562">
      <calculatedColumnFormula>IF(COUNTIF(C$71:O$72,$U211)&gt;0,COUNTIF(C$71:O$72,$U211), "")</calculatedColumnFormula>
    </tableColumn>
    <tableColumn id="7" xr3:uid="{27336537-9A36-2442-99B6-A64321652365}" name="2nd Half5" dataDxfId="561">
      <calculatedColumnFormula>IF(COUNTIF(C$74:O$76,$U211)&gt;0,COUNTIF(C$74:O$76,$U211), "")</calculatedColumnFormula>
    </tableColumn>
    <tableColumn id="8" xr3:uid="{23801337-C25C-4248-9472-06FD0F1FF0DB}" name="1st Half6" dataDxfId="560">
      <calculatedColumnFormula>IF(COUNTIF(C$78:O$80,$U211)&gt;0,COUNTIF(C$78:O$80,$U211), "")</calculatedColumnFormula>
    </tableColumn>
    <tableColumn id="9" xr3:uid="{9C65CFBC-73FF-B145-9354-0340572546A1}" name="2nd Half7" dataDxfId="559">
      <calculatedColumnFormula>IF(COUNTIF(C$82:O$83,$U211)&gt;0,COUNTIF(C$82:O$83,$U211), "")</calculatedColumnFormula>
    </tableColumn>
    <tableColumn id="10" xr3:uid="{AB757603-7F19-9C4F-B71D-41774ED49E54}" name="1st Half8" dataDxfId="558">
      <calculatedColumnFormula>IF(COUNTIF(C$85:O$86,$U211)&gt;0,COUNTIF(C$85:O$86,$U211), "")</calculatedColumnFormula>
    </tableColumn>
    <tableColumn id="11" xr3:uid="{E01674BC-0D69-CA4A-986B-036C4A0A824D}" name="2nd Half9" dataDxfId="557">
      <calculatedColumnFormula>IF(COUNTIF(C$88:O$89,$U211)&gt;0,COUNTIF(C$88:O$89,$U211), "")</calculatedColumnFormula>
    </tableColumn>
    <tableColumn id="12" xr3:uid="{19FC034E-38F8-E344-BAE9-6624867D9D7F}" name="1st Half10" dataDxfId="556">
      <calculatedColumnFormula>IF(COUNTIF(C$91:O$92,$U211)+COUNTIF(C$97:O$98,$U211)&gt;0,COUNTIF(C$91:O$92,$U211)+COUNTIF(C$97:O$98,$U211), "")</calculatedColumnFormula>
    </tableColumn>
    <tableColumn id="13" xr3:uid="{9BB9B78C-CBDB-414B-B09B-F5B79F9140A3}" name="2nd Half11" dataDxfId="555">
      <calculatedColumnFormula>IF(COUNTIF(C$100:O$100,$U211)+COUNTIF(C$94:O$95,$U211)&gt;0,COUNTIF(C$94:O$95,$U211)+COUNTIF(C$100:O$100,$U211), "")</calculatedColumnFormula>
    </tableColumn>
    <tableColumn id="14" xr3:uid="{832D0221-278D-FE4C-8032-D9ADE4A4D37B}" name="1st Half12" dataDxfId="554">
      <calculatedColumnFormula>IF(COUNTIF(C$102:O$103,$U211)&gt;0,COUNTIF(C$102:O$103,$U211), "")</calculatedColumnFormula>
    </tableColumn>
    <tableColumn id="15" xr3:uid="{1519CBDA-8703-1947-B062-406E5A7910E5}" name="2nd Half13" dataDxfId="553">
      <calculatedColumnFormula>IF(COUNTIF(C$105:O$106,$U211)&gt;0,COUNTIF(C$105:O$106,$U211), "")</calculatedColumnFormula>
    </tableColumn>
    <tableColumn id="16" xr3:uid="{804133F6-4562-C243-82CB-0F08ACEA0102}" name="1st Half14" dataDxfId="552">
      <calculatedColumnFormula>IF(COUNTIF(C$108:O$109,$U211)&gt;0,COUNTIF(C$108:O$109,$U211), "")</calculatedColumnFormula>
    </tableColumn>
    <tableColumn id="17" xr3:uid="{3D43ED42-DCA4-984E-8E72-BFF3757EBAF0}" name="2nd Half15" dataDxfId="551">
      <calculatedColumnFormula>IF(COUNTIF(C$111:O$112,$U211)&gt;0,COUNTIF(C$111:O$112,$U211), "")</calculatedColumnFormula>
    </tableColumn>
    <tableColumn id="18" xr3:uid="{2E55D6AA-BB1A-5B45-9CC1-302032F542AE}" name="1st Half16" dataDxfId="550">
      <calculatedColumnFormula>IF(COUNTIF(C$114:O$115,$U211)&gt;0,COUNTIF(C$114:O$115,$U211), "")</calculatedColumnFormula>
    </tableColumn>
    <tableColumn id="19" xr3:uid="{0D3282D2-4745-B444-B1DE-38BFFB5F4CD2}" name="2nd Half17" dataDxfId="549">
      <calculatedColumnFormula>IF(COUNTIF(C$117:O$119,$U211)&gt;0,COUNTIF(C$117:O$119,$U211), "")</calculatedColumnFormula>
    </tableColumn>
    <tableColumn id="20" xr3:uid="{5BFBF2B6-FF9C-FB4A-8356-8EFAEE69E0A9}" name="1st Half18" dataDxfId="548">
      <calculatedColumnFormula>IF(COUNTIF(C$127:O$127,$U211)+COUNTIF(C$121:O$122,$U211)&gt;0,COUNTIF(C$121:O$122,$U211)+COUNTIF(C$127:O$127,$U211), "")</calculatedColumnFormula>
    </tableColumn>
    <tableColumn id="21" xr3:uid="{DEFC2C32-4901-C84C-8FB2-541A40B94C9C}" name="2nd Half19" dataDxfId="547">
      <calculatedColumnFormula>IF(COUNTIF(C$129:O$129,$U211)+COUNTIF(C$124:O$125,$U211)&gt;0,COUNTIF(C$124:O$125,$U211)+COUNTIF(C$129:O$129,$U211), "")</calculatedColumnFormula>
    </tableColumn>
    <tableColumn id="22" xr3:uid="{3DDE1C37-61D4-8347-9821-E69BDF6BBD92}" name="1st Half20" dataDxfId="546">
      <calculatedColumnFormula>IF(COUNTIF(C$131:O$132,$U211)&gt;0,COUNTIF(C$131:O$132,$U211), "")</calculatedColumnFormula>
    </tableColumn>
    <tableColumn id="23" xr3:uid="{3CAF5383-678D-8E4C-892F-DC4739457985}" name="2nd Half21" dataDxfId="545">
      <calculatedColumnFormula>IF(COUNTIF(C$134:O$135,$U211)&gt;0,COUNTIF(C$134:O$135,$U211), "")</calculatedColumnFormula>
    </tableColumn>
    <tableColumn id="24" xr3:uid="{D7B02816-0468-8841-A2AF-5B88CE7872C9}" name="1st Half22" dataDxfId="544">
      <calculatedColumnFormula>IF(COUNTIF(C$137:O$138,$U211)&gt;0,COUNTIF(C$137:O$138,$U211), "")</calculatedColumnFormula>
    </tableColumn>
    <tableColumn id="25" xr3:uid="{C25ACCF3-63F7-3749-9019-25055270334D}" name="2nd Half23" dataDxfId="543">
      <calculatedColumnFormula>IF(COUNTIF(C$140:O$141,$U211)&gt;0,COUNTIF(C$140:O$141,$U211), "")</calculatedColumnFormula>
    </tableColumn>
    <tableColumn id="26" xr3:uid="{A334C9DE-B7C4-BF4A-B68C-E8D0CF95371F}" name="1st Half24" dataDxfId="542">
      <calculatedColumnFormula>IF(COUNTIF(C$143:O$144,$U211)&gt;0,COUNTIF(C$143:O$144,$U211), "")</calculatedColumnFormula>
    </tableColumn>
    <tableColumn id="27" xr3:uid="{EDCF4F34-A538-6647-A8B5-2EBAF50B3A3C}" name="2nd Half25" dataDxfId="541">
      <calculatedColumnFormula>IF(COUNTIF(C$146:O$147,$U211)&gt;0,COUNTIF(C$146:O$147,$U211), "")</calculatedColumnFormula>
    </tableColumn>
    <tableColumn id="28" xr3:uid="{409A7771-4EC0-5E4A-85FB-92C7FAB7896F}" name="1st Half26" dataDxfId="540">
      <calculatedColumnFormula>IF(COUNTIF(C$149:O$150,$U211)&gt;0,COUNTIF(C$149:O$150,$U211), "")</calculatedColumnFormula>
    </tableColumn>
    <tableColumn id="29" xr3:uid="{1A1D2731-57AE-C143-96C3-DD4FD190665F}" name="2nd Half27" dataDxfId="539">
      <calculatedColumnFormula>IF(COUNTIF(C$152:O$153,$U211)&gt;0,COUNTIF(C$152:O$153,$U211), "")</calculatedColumnFormula>
    </tableColumn>
    <tableColumn id="30" xr3:uid="{455A8E97-AE55-7240-A45B-5137B8F1B647}" name="1st Half28" dataDxfId="538">
      <calculatedColumnFormula>IF(COUNTIF(C$155:O$157,$U211)&gt;0,COUNTIF(C$155:O$157,$U211), "")</calculatedColumnFormula>
    </tableColumn>
    <tableColumn id="31" xr3:uid="{FF794D36-2393-DC4D-850D-ADC6A5ED6536}" name="2nd Half29" dataDxfId="537">
      <calculatedColumnFormula>IF(COUNTIF(C$159:O$160,$U211)&gt;0,COUNTIF(C$159:O$160,$U211), "")</calculatedColumnFormula>
    </tableColumn>
    <tableColumn id="32" xr3:uid="{335C56BB-2742-7D45-97CF-729E6AED6988}" name="1st Half30" dataDxfId="536">
      <calculatedColumnFormula>IF(COUNTIF(C$162:O$163,$U211)&gt;0,COUNTIF(C$162:O$163,$U211), "")</calculatedColumnFormula>
    </tableColumn>
    <tableColumn id="33" xr3:uid="{39C800E6-152A-6C47-9730-314641B173FE}" name="2nd Half31" dataDxfId="535">
      <calculatedColumnFormula>IF(COUNTIF(C$165:O$166,$U211)&gt;0,COUNTIF(C$165:O$166,$U211), "")</calculatedColumnFormula>
    </tableColumn>
    <tableColumn id="34" xr3:uid="{491A51CB-7A08-3044-92FD-C6D9DC8974BB}" name="1st Half32" dataDxfId="534">
      <calculatedColumnFormula>IF(COUNTIF(C$168:O$169,$U211)&gt;0,COUNTIF(C$168:O$169,$U211), "")</calculatedColumnFormula>
    </tableColumn>
    <tableColumn id="35" xr3:uid="{13E6E949-9DD5-8947-8C47-3207F2A1330B}" name="2nd Half33" dataDxfId="533">
      <calculatedColumnFormula>IF(COUNTIF(C$171:O$172,$U211)&gt;0,COUNTIF(C$171:O$172,$U211), "")</calculatedColumnFormula>
    </tableColumn>
    <tableColumn id="36" xr3:uid="{6575463C-65D9-FA4D-93C6-1D5009198022}" name="1st Half34" dataDxfId="532">
      <calculatedColumnFormula>IF(COUNTIF(C$174:O$175,$U211)&gt;0,COUNTIF(C$174:O$175,$U211), "")</calculatedColumnFormula>
    </tableColumn>
    <tableColumn id="37" xr3:uid="{C8E57508-99A0-434D-8D88-538264A2A01E}" name="2nd Half35" dataDxfId="531">
      <calculatedColumnFormula>IF(COUNTIF(C$177:O$178,$U211)&gt;0,COUNTIF(C$177:O$178,$U211), "")</calculatedColumnFormula>
    </tableColumn>
    <tableColumn id="38" xr3:uid="{A3A5CD13-D2C4-B74B-B998-7E45DDB17159}" name="1st Half36" dataDxfId="530">
      <calculatedColumnFormula>IF(COUNTIF(C$180:O$182,$U211)&gt;0,COUNTIF(C$180:O$182,$U211), "")</calculatedColumnFormula>
    </tableColumn>
    <tableColumn id="39" xr3:uid="{E5DB75C6-E449-CE4A-802F-DD8454BE83C6}" name="2nd Half37" dataDxfId="529">
      <calculatedColumnFormula>IF(COUNTIF(C$184:O$185,$U211)&gt;0,COUNTIF(C$184:O$185,$U211), "")</calculatedColumnFormula>
    </tableColumn>
    <tableColumn id="40" xr3:uid="{4D83A210-E89A-824D-8B99-42BEFE90EAB3}" name="1st Half38" dataDxfId="528">
      <calculatedColumnFormula>IF(COUNTIF(C$187:O$188,$U211)&gt;0,COUNTIF(C$187:O$188,$U211), "")</calculatedColumnFormula>
    </tableColumn>
    <tableColumn id="41" xr3:uid="{18A986E7-04F7-F647-9D6E-C39E4991E70A}" name="2nd Half39" dataDxfId="527">
      <calculatedColumnFormula>IF(COUNTIF(C$190:O$191,$U211)&gt;0,COUNTIF(C$190:O$191,$U211), "")</calculatedColumnFormula>
    </tableColumn>
    <tableColumn id="42" xr3:uid="{9EF313C5-2B25-5542-BB46-2D5833F298D2}" name="1st Half40" dataDxfId="526">
      <calculatedColumnFormula>IF(COUNTIF(C$193:O$195,$U211)&gt;0,COUNTIF(C$193:O$195,$U211), "")</calculatedColumnFormula>
    </tableColumn>
    <tableColumn id="43" xr3:uid="{6DD291DC-90BA-004B-BA08-217D6CC9CC92}" name="2nd Half41" dataDxfId="525">
      <calculatedColumnFormula>IF(COUNTIF(C$197:O$198,$U211)&gt;0,COUNTIF(C$197:O$198,$U211), "")</calculatedColumnFormula>
    </tableColumn>
    <tableColumn id="44" xr3:uid="{18DE2BDA-8065-494E-B3ED-09CF219493A3}" name="1st Half42" dataDxfId="524">
      <calculatedColumnFormula>IF(COUNTIF(C$200:O$201,$U211)&gt;0,COUNTIF(C$200:O$201,$U211), "")</calculatedColumnFormula>
    </tableColumn>
    <tableColumn id="45" xr3:uid="{2AF5743D-D6D1-2949-8FCA-0EB698848C5E}" name="2nd Half43" dataDxfId="523">
      <calculatedColumnFormula>IF(COUNTIF(C$203:O$204,$U211)&gt;0,COUNTIF(C$203:O$204,$U211), "")</calculatedColumnFormula>
    </tableColumn>
    <tableColumn id="46" xr3:uid="{9A51B9DA-E70F-1643-B9E4-7BBFFF79AB81}" name="1st Half44" dataDxfId="522">
      <calculatedColumnFormula>IF(COUNTIF(C$206:O$207,$U211)&gt;0,COUNTIF(C$206:O$207,$U211), "")</calculatedColumnFormula>
    </tableColumn>
    <tableColumn id="47" xr3:uid="{B8A12541-327F-D94A-8034-3D3128FC06CE}" name="2nd Half45" dataDxfId="521">
      <calculatedColumnFormula>IF(COUNTIF(C$209:O$210,$U211)&gt;0,COUNTIF(C$209:O$210,$U211), "")</calculatedColumnFormula>
    </tableColumn>
    <tableColumn id="48" xr3:uid="{08861E22-EFC3-4847-A5C7-A4B5FE48C853}" name="1st Half46" dataDxfId="520">
      <calculatedColumnFormula>IF(COUNTIF(C$212:O$213,$U211)&gt;0,COUNTIF(C$212:O$213,$U211), "")</calculatedColumnFormula>
    </tableColumn>
    <tableColumn id="49" xr3:uid="{DFAAD12F-207A-F54D-98AB-40DD02DE932F}" name="2nd Half47" dataDxfId="519">
      <calculatedColumnFormula>IF(COUNTIF(C$215:O$216,$U211)&gt;0,COUNTIF(C$215:O$216,$U211), "")</calculatedColumnFormula>
    </tableColumn>
    <tableColumn id="50" xr3:uid="{F5B2205C-EC65-AD43-AA2B-D3411155FBBB}" name="1st Half48" dataDxfId="518">
      <calculatedColumnFormula>IF(COUNTIF(C$218:O$219,$U211)&gt;0,COUNTIF(C$218:O$219,$U211), "")</calculatedColumnFormula>
    </tableColumn>
    <tableColumn id="51" xr3:uid="{BB8792A7-33DB-9146-83F5-DDCFA8806D09}" name="2nd Half49" dataDxfId="517">
      <calculatedColumnFormula>IF(COUNTIF(C$221:O$222,$U211)&gt;0,COUNTIF(C$221:O$222,$U211), "")</calculatedColumnFormula>
    </tableColumn>
    <tableColumn id="52" xr3:uid="{124B2ED2-1FD9-4049-B1C4-06B85FB3186E}" name="1st Half50" dataDxfId="516">
      <calculatedColumnFormula>IF(COUNTIF(C$224:O$226,$U211)&gt;0,COUNTIF(C$224:O$226,$U211), "")</calculatedColumnFormula>
    </tableColumn>
    <tableColumn id="53" xr3:uid="{80B17EAC-EB99-E549-B8C7-388018A367F6}" name="2nd Half51" dataDxfId="515">
      <calculatedColumnFormula>IF(COUNTIF(C$228:O$229,$U211)&gt;0,COUNTIF(C$228:O$229,$U211), "")</calculatedColumnFormula>
    </tableColumn>
    <tableColumn id="54" xr3:uid="{9DCFFBE9-6AB9-414E-9041-7B40838FB5D6}" name="1st Half52" dataDxfId="514">
      <calculatedColumnFormula>IF(COUNTIF(C$231:O$232,$U211)&gt;0,COUNTIF(C$231:O$232,$U211), "")</calculatedColumnFormula>
    </tableColumn>
    <tableColumn id="55" xr3:uid="{4584D201-0600-5740-82A7-4312D951334C}" name="2nd Half53" dataDxfId="513">
      <calculatedColumnFormula>IF(COUNTIF(C$234:O$235,$U211)&gt;0,COUNTIF(C$234:O$235,$U211), "")</calculatedColumnFormula>
    </tableColumn>
    <tableColumn id="56" xr3:uid="{87CA2E80-E79C-C24D-885F-5CA07F6D35E6}" name="1st Half54" dataDxfId="512">
      <calculatedColumnFormula>IF(COUNTIF(C$237:O$238,$U211)&gt;0,COUNTIF(C$237:O$238,$U211), "")</calculatedColumnFormula>
    </tableColumn>
    <tableColumn id="57" xr3:uid="{D96F6A2F-C0B7-9743-9774-B5575FD672DE}" name="2nd Half55" dataDxfId="511">
      <calculatedColumnFormula>IF(COUNTIF(C$240:O$241,$U211)&gt;0,COUNTIF(C$240:O$241,$U211), "")</calculatedColumnFormula>
    </tableColumn>
    <tableColumn id="58" xr3:uid="{4E216586-92BC-9747-9FCB-FED121E237C9}" name="1st Half56" dataDxfId="510">
      <calculatedColumnFormula>IF(COUNTIF(C$243:O$244,$U211)&gt;0,COUNTIF(C$243:O$244,$U211), "")</calculatedColumnFormula>
    </tableColumn>
    <tableColumn id="59" xr3:uid="{0F1DCCF7-63D8-CE42-A9EE-328976801D6B}" name="2nd Half57" dataDxfId="509">
      <calculatedColumnFormula>IF(COUNTIF(C$246:O$247,$U211)&gt;0,COUNTIF(C$246:O$247,$U211), "")</calculatedColumnFormula>
    </tableColumn>
    <tableColumn id="60" xr3:uid="{7A8D6B02-2C7A-CA46-8FC3-67FA1F8D04E8}" name="1st Half58" dataDxfId="508">
      <calculatedColumnFormula>IF(COUNTIF(C$249:O$251,$U211)&gt;0,COUNTIF(C$249:O$251,$U211), "")</calculatedColumnFormula>
    </tableColumn>
    <tableColumn id="61" xr3:uid="{D77B99DE-0CEB-AC41-AADB-0704BCF67280}" name="2nd Half59" dataDxfId="507">
      <calculatedColumnFormula>IF(COUNTIF(C$253:O$254,$U211)&gt;0,COUNTIF(C$253:O$254,$U211), "")</calculatedColumnFormula>
    </tableColumn>
    <tableColumn id="62" xr3:uid="{47F1F8D2-5CFD-B342-A238-89BAB6CDD2C3}" name="1st Half60" dataDxfId="506">
      <calculatedColumnFormula>IF(COUNTIF(C$256:O$257,$U211)&gt;0,COUNTIF(C$256:O$257,$U211), "")</calculatedColumnFormula>
    </tableColumn>
    <tableColumn id="63" xr3:uid="{1975BEE6-24FE-554C-A5D3-73F25435BE56}" name="2nd Half61" dataDxfId="505">
      <calculatedColumnFormula>IF(COUNTIF(C$259:O$260,$U211)&gt;0,COUNTIF(C$259:O$260,$U211), "")</calculatedColumnFormula>
    </tableColumn>
    <tableColumn id="64" xr3:uid="{128B15DA-68A2-5943-8303-2150C6AB9E62}" name="1st Half62" dataDxfId="504">
      <calculatedColumnFormula>IF(COUNTIF(C$262:O$263,$U211)+COUNTIF(C$268:O$269,$U211)&gt;0,COUNTIF(C$262:O$263,$U211)+COUNTIF(C$268:O$269,$U211),"")</calculatedColumnFormula>
    </tableColumn>
    <tableColumn id="65" xr3:uid="{5E4D8281-8FDD-4548-8569-07B7A4CC81BF}" name="2nd Half63" dataDxfId="503">
      <calculatedColumnFormula>IF(COUNTIF(C$265:O$266,$U211)+COUNTIF(C$271:O$272,$U211)&gt;0,COUNTIF(C$265:O$266,$U211)+COUNTIF(C$271:O$272,$U211),"")</calculatedColumnFormula>
    </tableColumn>
    <tableColumn id="66" xr3:uid="{74052405-7CFE-AE44-88D8-C23D93AD8CE0}" name="1st Half64" dataDxfId="502">
      <calculatedColumnFormula>IF(COUNTIF(C$274:O$276,$U211)&gt;0,COUNTIF(C$274:O$276,$U211), "")</calculatedColumnFormula>
    </tableColumn>
    <tableColumn id="67" xr3:uid="{8A6AA86E-E9F5-654A-9129-32B5B590C626}" name="2nd Half65" dataDxfId="501">
      <calculatedColumnFormula>IF(COUNTIF(C$278:O$280,$U211)&gt;0,COUNTIF(C$278:O$280,$U211), "")</calculatedColumnFormula>
    </tableColumn>
    <tableColumn id="68" xr3:uid="{5516D25E-83B2-2B49-AB9A-CD8F266A0482}" name="1st Half66" dataDxfId="500">
      <calculatedColumnFormula>IF(COUNTIF(C$282:O$283,$U211)+COUNTIF(C$288:O$289,$U211)&gt;0,COUNTIF(C$282:O$283,$U211)+COUNTIF(C$288:O$289,$U211),"")</calculatedColumnFormula>
    </tableColumn>
    <tableColumn id="69" xr3:uid="{22D9BB1F-29B9-814B-8B2A-9D175BFB041C}" name="2nd Half67" dataDxfId="499">
      <calculatedColumnFormula>IF(COUNTIF(C$285:O$286,$U211)+COUNTIF(C$291:O$292,$U211)&gt;0,COUNTIF(C$285:O$286,$U211)+COUNTIF(C$291:O$292,$U211),"")</calculatedColumnFormula>
    </tableColumn>
    <tableColumn id="70" xr3:uid="{8BAB6EE9-5E92-904D-91AB-64483A9ACF6F}" name="1st Half68" dataDxfId="498">
      <calculatedColumnFormula>IF(COUNTIF(C$294:O$295,$U211)&gt;0,COUNTIF(C$294:O$295,$U211), "")</calculatedColumnFormula>
    </tableColumn>
    <tableColumn id="71" xr3:uid="{CE4F59D7-8B0F-374C-B1EB-6A4A014D0446}" name="2nd Half69" dataDxfId="497">
      <calculatedColumnFormula>IF(COUNTIF(C$297:O$298,$U211)&gt;0,COUNTIF(C$297:O$298,$U211),"")</calculatedColumnFormula>
    </tableColumn>
    <tableColumn id="72" xr3:uid="{DDD7B79E-0DFE-7F4B-8F1F-4AC0D3AB29A9}" name="1st Half70" dataDxfId="496">
      <calculatedColumnFormula>IF(COUNTIF(C$300:O$301,$U211)+COUNTIF(C$306:O$307,$U211)&gt;0,COUNTIF(C$300:O$301,$U211)+COUNTIF(C$306:O$307,$U211),"")</calculatedColumnFormula>
    </tableColumn>
    <tableColumn id="73" xr3:uid="{DE855FF4-082A-FA46-96AC-39AAB011461E}" name="2nd Half71" dataDxfId="495">
      <calculatedColumnFormula>IF(COUNTIF(C$303:O$304,$U211)+COUNTIF(C$309:O$310,$U211)&gt;0,COUNTIF(C$309:O$310,$U211)+COUNTIF(C$303:O$304,$U211),"")</calculatedColumnFormula>
    </tableColumn>
    <tableColumn id="74" xr3:uid="{737345B8-BD8F-0A44-9816-7056FC0AE9CA}" name="1st Half72" dataDxfId="494">
      <calculatedColumnFormula>IF(COUNTIF(C$312:O$313,$U211)&gt;0,COUNTIF(C$312:O$313,$U211), "")</calculatedColumnFormula>
    </tableColumn>
    <tableColumn id="75" xr3:uid="{E409810B-1B49-084E-9888-354DC4F6E039}" name="2nd Half73" dataDxfId="493">
      <calculatedColumnFormula>IF(COUNTIF(C$315:O$317,$U211)&gt;0,COUNTIF(C$315:O$317,$U211), "")</calculatedColumnFormula>
    </tableColumn>
    <tableColumn id="76" xr3:uid="{1B92BCDB-7BF4-3D4C-A1E5-EB4EC081B735}" name="1st Half74" dataDxfId="492">
      <calculatedColumnFormula>IF(COUNTIF(C$319:O$322,$U211)&gt;0,COUNTIF(C$319:O$322,$U211), "")</calculatedColumnFormula>
    </tableColumn>
    <tableColumn id="77" xr3:uid="{F2E78C6E-FF96-6148-AE97-442A49F513B8}" name="2nd Half75" dataDxfId="491">
      <calculatedColumnFormula>IF(COUNTIF(C$324:O$326,$U211)&gt;0,COUNTIF(C$324:O$326,$U211), "")</calculatedColumnFormula>
    </tableColumn>
  </tableColumns>
  <tableStyleInfo name="TableStyleMedium25"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08F97F7-64EF-8444-9D36-8D478F109D25}" name="Table4854" displayName="Table4854" ref="Q177:BH205" totalsRowShown="0" headerRowDxfId="490" tableBorderDxfId="489">
  <autoFilter ref="Q177:BH205" xr:uid="{908F97F7-64EF-8444-9D36-8D478F109D25}"/>
  <tableColumns count="44">
    <tableColumn id="1" xr3:uid="{6DD39C24-6E00-8148-BDA9-EDA72BC0D4D0}" name="Keywords"/>
    <tableColumn id="40" xr3:uid="{C49E6999-3DD7-F14F-88EA-59D960A2CD19}" name="Totals" dataDxfId="488">
      <calculatedColumnFormula>SUM(W178:BH178)</calculatedColumnFormula>
    </tableColumn>
    <tableColumn id="41" xr3:uid="{61721276-9A1A-ED44-A705-BDFF6B3D1244}" name="Averages" dataDxfId="487" dataCellStyle="Percent">
      <calculatedColumnFormula>AVERAGE(Table4854[[#This Row],[Season 1]:[Season 38]])</calculatedColumnFormula>
    </tableColumn>
    <tableColumn id="42" xr3:uid="{A06B43EC-B67F-0E43-8EDA-8889A8B63A35}" name="Modes" dataDxfId="486" dataCellStyle="Percent">
      <calculatedColumnFormula>MODE(Table4854[[#This Row],[Season 1]:[Season 38]])</calculatedColumnFormula>
    </tableColumn>
    <tableColumn id="43" xr3:uid="{77BCEFAD-1AFB-E745-A334-86DE4D995B33}" name="Maximums" dataDxfId="485" dataCellStyle="Percent">
      <calculatedColumnFormula>MAX(Table4854[[#This Row],[Season 1]:[Season 38]])</calculatedColumnFormula>
    </tableColumn>
    <tableColumn id="44" xr3:uid="{CE7BC7DE-5687-C944-A356-C05E6CFDD28D}" name="Minimum" dataDxfId="484">
      <calculatedColumnFormula>MIN(Table4854[[#This Row],[Season 1]:[Season 38]])</calculatedColumnFormula>
    </tableColumn>
    <tableColumn id="2" xr3:uid="{598F56BE-C55E-EF45-B8B6-A7B40738B171}" name="Season 1" dataDxfId="483">
      <calculatedColumnFormula>SUM(V211:W211)</calculatedColumnFormula>
    </tableColumn>
    <tableColumn id="3" xr3:uid="{94CB10E7-5F54-4F4E-B0A6-7B8010B99E8E}" name="Season 2" dataDxfId="482">
      <calculatedColumnFormula>SUM(X211:Y211)</calculatedColumnFormula>
    </tableColumn>
    <tableColumn id="4" xr3:uid="{A3985456-4E43-9642-B2B6-3423CC2952EA}" name="Season 3" dataDxfId="481">
      <calculatedColumnFormula>SUM(Z211:AA211)</calculatedColumnFormula>
    </tableColumn>
    <tableColumn id="5" xr3:uid="{0FF37142-30A7-314C-95EA-07C67BABFA79}" name="Season 4" dataDxfId="480">
      <calculatedColumnFormula>SUM(AB211:AC211)</calculatedColumnFormula>
    </tableColumn>
    <tableColumn id="6" xr3:uid="{A711C88C-2940-3243-96A0-97381B639B57}" name="Season 5" dataDxfId="479">
      <calculatedColumnFormula>SUM(AD211:AE211)</calculatedColumnFormula>
    </tableColumn>
    <tableColumn id="7" xr3:uid="{4A8A8F2C-6453-794B-B583-550B19EB3ABB}" name="Season 6" dataDxfId="478">
      <calculatedColumnFormula>SUM(AF211:AG211)</calculatedColumnFormula>
    </tableColumn>
    <tableColumn id="8" xr3:uid="{0ED3B36D-FAF5-444C-9308-03DE96EA997A}" name="Season 7" dataDxfId="477">
      <calculatedColumnFormula>SUM(AH211:AI211)</calculatedColumnFormula>
    </tableColumn>
    <tableColumn id="9" xr3:uid="{5E2BEB31-1712-454C-8D51-3BC66361AAC8}" name="Season 8" dataDxfId="476">
      <calculatedColumnFormula>SUM(AJ211:AK211)</calculatedColumnFormula>
    </tableColumn>
    <tableColumn id="10" xr3:uid="{7F54E0BA-7973-1243-A3E6-A095D25C4F5A}" name="Season 9" dataDxfId="475">
      <calculatedColumnFormula>SUM(AL211:AM211)</calculatedColumnFormula>
    </tableColumn>
    <tableColumn id="11" xr3:uid="{50FC21F6-CBDA-F449-B04B-5EEA7D906F57}" name="Season 10" dataDxfId="474">
      <calculatedColumnFormula>SUM(AN211:AO211)</calculatedColumnFormula>
    </tableColumn>
    <tableColumn id="12" xr3:uid="{0932546F-05A4-664B-96B7-557CEFAAD190}" name="Season 11" dataDxfId="473">
      <calculatedColumnFormula>SUM(AP211:AQ211)</calculatedColumnFormula>
    </tableColumn>
    <tableColumn id="13" xr3:uid="{9FD1B8C1-5FF2-0044-9C28-396F062EB89B}" name="Season 12" dataDxfId="472">
      <calculatedColumnFormula>SUM(AR211:AS211)</calculatedColumnFormula>
    </tableColumn>
    <tableColumn id="14" xr3:uid="{792F29DD-0FC9-C247-87FA-DDBF12A35B6F}" name="Season 13" dataDxfId="471">
      <calculatedColumnFormula>SUM(AT211:AU211)</calculatedColumnFormula>
    </tableColumn>
    <tableColumn id="15" xr3:uid="{D2967707-C41C-7C49-9EE9-A5D9B835E2D6}" name="Season 14" dataDxfId="470">
      <calculatedColumnFormula>SUM(AV211:AW211)</calculatedColumnFormula>
    </tableColumn>
    <tableColumn id="16" xr3:uid="{101CBC2C-9FFD-D245-B619-85431566E459}" name="Season 15" dataDxfId="469">
      <calculatedColumnFormula>SUM(AX211:AY211)</calculatedColumnFormula>
    </tableColumn>
    <tableColumn id="17" xr3:uid="{7784229F-D8AF-924C-9F08-E55072A506AE}" name="Season 16" dataDxfId="468">
      <calculatedColumnFormula>SUM(AZ211:BA211)</calculatedColumnFormula>
    </tableColumn>
    <tableColumn id="18" xr3:uid="{E5F367AC-CD25-7545-8242-0795FC4668D1}" name="Season 17" dataDxfId="467">
      <calculatedColumnFormula>SUM(BB211:BC211)</calculatedColumnFormula>
    </tableColumn>
    <tableColumn id="19" xr3:uid="{46E43866-8B57-2B42-8781-27289FA0CF7F}" name="Season 18" dataDxfId="466">
      <calculatedColumnFormula>SUM(BD211:BE211)</calculatedColumnFormula>
    </tableColumn>
    <tableColumn id="20" xr3:uid="{346181E1-44D3-5D44-873A-A0E7FA7BDD49}" name="Season 19" dataDxfId="465">
      <calculatedColumnFormula>SUM(BF211:BG211)</calculatedColumnFormula>
    </tableColumn>
    <tableColumn id="21" xr3:uid="{AD6C28CE-FF12-D04E-A31D-12C4ABB1C2F7}" name="Season 20" dataDxfId="464">
      <calculatedColumnFormula>SUM(BH211:BI211)</calculatedColumnFormula>
    </tableColumn>
    <tableColumn id="22" xr3:uid="{299B3222-015A-1645-A994-2553DDBA37B3}" name="Season 21" dataDxfId="463">
      <calculatedColumnFormula>SUM(BJ211:BK211)</calculatedColumnFormula>
    </tableColumn>
    <tableColumn id="23" xr3:uid="{9FEFC7FF-5861-164A-BB09-4620614699BE}" name="Season 22" dataDxfId="462">
      <calculatedColumnFormula>SUM(BL211:BM211)</calculatedColumnFormula>
    </tableColumn>
    <tableColumn id="24" xr3:uid="{BF1B2386-7EEF-5F49-A0F4-715964B0C639}" name="Season 23" dataDxfId="461">
      <calculatedColumnFormula>SUM(BN211:BO211)</calculatedColumnFormula>
    </tableColumn>
    <tableColumn id="25" xr3:uid="{F11CE3C0-44AF-A647-8461-A35A6543D2E2}" name="Season 24" dataDxfId="460">
      <calculatedColumnFormula>SUM(BP211:BQ211)</calculatedColumnFormula>
    </tableColumn>
    <tableColumn id="26" xr3:uid="{C837A472-0C68-F843-A236-664DAB329122}" name="Season 25" dataDxfId="459">
      <calculatedColumnFormula>SUM(BR211:BS211)</calculatedColumnFormula>
    </tableColumn>
    <tableColumn id="27" xr3:uid="{295F9654-2B64-7549-9503-E3F484FB6A39}" name="Season 26" dataDxfId="458">
      <calculatedColumnFormula>SUM(BT211:BU211)</calculatedColumnFormula>
    </tableColumn>
    <tableColumn id="28" xr3:uid="{993AD7DB-675C-B64B-998E-1671A9EEEBAC}" name="Season 27" dataDxfId="457">
      <calculatedColumnFormula>SUM(BV211:BW211)</calculatedColumnFormula>
    </tableColumn>
    <tableColumn id="29" xr3:uid="{130C3D9F-4CD0-724F-80AD-83A338D86619}" name="Season 28" dataDxfId="456">
      <calculatedColumnFormula>SUM(BX211:BY211)</calculatedColumnFormula>
    </tableColumn>
    <tableColumn id="30" xr3:uid="{B5426317-79DC-5942-B010-DEEF35156AED}" name="Season 29" dataDxfId="455">
      <calculatedColumnFormula>SUM(BZ211:CA211)</calculatedColumnFormula>
    </tableColumn>
    <tableColumn id="31" xr3:uid="{73022D6D-0F1C-E64C-9BFC-DE20AA94F4F1}" name="Season 30" dataDxfId="454">
      <calculatedColumnFormula>SUM(CB211:CC211)</calculatedColumnFormula>
    </tableColumn>
    <tableColumn id="32" xr3:uid="{0FC53FA4-B536-2F4A-92AD-3C174FDD7582}" name="Season 31" dataDxfId="453">
      <calculatedColumnFormula>SUM(CD211:CE211)</calculatedColumnFormula>
    </tableColumn>
    <tableColumn id="33" xr3:uid="{3DDDDB7C-2206-D94D-98D9-E851BC46AE23}" name="Season 32" dataDxfId="452">
      <calculatedColumnFormula>SUM(CF211:CG211)</calculatedColumnFormula>
    </tableColumn>
    <tableColumn id="34" xr3:uid="{10CD0130-B2B2-7541-AEEA-55AEF2349F0E}" name="Season 33" dataDxfId="451">
      <calculatedColumnFormula>SUM(CH211:CI211)</calculatedColumnFormula>
    </tableColumn>
    <tableColumn id="35" xr3:uid="{C5FFD3E7-91F7-9748-BCE3-AFBC6C558B7F}" name="Season 34" dataDxfId="450">
      <calculatedColumnFormula>SUM(CJ211:CK211)</calculatedColumnFormula>
    </tableColumn>
    <tableColumn id="36" xr3:uid="{103037A2-AE8B-E94F-9302-5EE9B5FA3728}" name="Season 35" dataDxfId="449">
      <calculatedColumnFormula>SUM(CL211:CM211)</calculatedColumnFormula>
    </tableColumn>
    <tableColumn id="37" xr3:uid="{5440A050-9119-8B4D-8F69-603132344E59}" name="Season 36" dataDxfId="448">
      <calculatedColumnFormula>SUM(CN211:CO211)</calculatedColumnFormula>
    </tableColumn>
    <tableColumn id="38" xr3:uid="{A51CBEF5-49DE-F248-B2ED-F24AC01DDF84}" name="Season 37" dataDxfId="447">
      <calculatedColumnFormula>SUM(CP211:CQ211)</calculatedColumnFormula>
    </tableColumn>
    <tableColumn id="39" xr3:uid="{076DF922-5AB2-574E-A206-568E96325983}" name="Season 38" dataDxfId="446">
      <calculatedColumnFormula>SUM(CR211:CS211)</calculatedColumnFormula>
    </tableColumn>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91A1F5-05FB-E34A-BC45-EF6F08994FC2}" name="Table21" displayName="Table21" ref="B9:C45" totalsRowShown="0" headerRowBorderDxfId="445">
  <autoFilter ref="B9:C45" xr:uid="{4A91A1F5-05FB-E34A-BC45-EF6F08994FC2}"/>
  <tableColumns count="2">
    <tableColumn id="1" xr3:uid="{3A183BAE-946F-6D44-895E-EE54B468425E}" name="Season #" dataDxfId="444"/>
    <tableColumn id="2" xr3:uid="{A2FFDE1D-572C-0848-8BAD-D3BFBFCB30A2}" name="Fast Forward" dataDxfId="443"/>
  </tableColumns>
  <tableStyleInfo name="TableStyleLight2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1D236CC-EF2F-463A-AFF3-82580370A1DD}" name="Table3350" displayName="Table3350" ref="Q50:AD63" totalsRowShown="0" headerRowDxfId="442" dataDxfId="441" tableBorderDxfId="440" dataCellStyle="Percent">
  <autoFilter ref="Q50:AD63" xr:uid="{31D236CC-EF2F-463A-AFF3-82580370A1DD}"/>
  <tableColumns count="14">
    <tableColumn id="1" xr3:uid="{2DCB9B4E-0452-488B-9643-402B3B392EF8}" name="Challenge #"/>
    <tableColumn id="2" xr3:uid="{E3D95FFF-3F6D-481E-9CAE-31C2A32D09D8}" name="Leg 1" dataDxfId="439" dataCellStyle="Percent">
      <calculatedColumnFormula>IF(COUNTIF(C$52:C$233,$Q51)/COUNTIF(C$52:C$233, "*Challenge*")&gt;0, COUNTIF(C$52:C$233,$Q51)/COUNTIF(C$52:C$233, "*Challenge*"), "")</calculatedColumnFormula>
    </tableColumn>
    <tableColumn id="3" xr3:uid="{FE45751C-F8B6-41AB-BA33-E34D44FF0969}" name="Leg 2" dataDxfId="438" dataCellStyle="Percent">
      <calculatedColumnFormula>IF(COUNTIF(D$52:D$233,$Q51)/COUNTIF(D$52:D$233, "*Challenge*")&gt;0, COUNTIF(D$52:D$233,$Q51)/COUNTIF(D$52:D$233, "*Challenge*"), "")</calculatedColumnFormula>
    </tableColumn>
    <tableColumn id="4" xr3:uid="{6392C4A1-EF65-4085-B85C-0C0AE2CD01D4}" name="Leg 3" dataDxfId="437" dataCellStyle="Percent">
      <calculatedColumnFormula>IF(COUNTIF(E$52:E$233,$Q51)/COUNTIF(E$52:E$233, "*Challenge*")&gt;0, COUNTIF(E$52:E$233,$Q51)/COUNTIF(E$52:E$233, "*Challenge*"), "")</calculatedColumnFormula>
    </tableColumn>
    <tableColumn id="5" xr3:uid="{8BB67021-5932-436F-A6F1-61DE5D53BD3E}" name="Leg 4" dataDxfId="436" dataCellStyle="Percent">
      <calculatedColumnFormula>IF(COUNTIF(F$52:F$233,$Q51)/COUNTIF(F$52:F$233, "*Challenge*")&gt;0, COUNTIF(F$52:F$233,$Q51)/COUNTIF(F$52:F$233, "*Challenge*"), "")</calculatedColumnFormula>
    </tableColumn>
    <tableColumn id="6" xr3:uid="{8D075F38-0CAD-4D0B-900D-C1CCF9064056}" name="Leg 5" dataDxfId="435" dataCellStyle="Percent">
      <calculatedColumnFormula>IF(COUNTIF(G$52:G$233,$Q51)/COUNTIF(G$52:G$233, "*Challenge*")&gt;0, COUNTIF(G$52:G$233,$Q51)/COUNTIF(G$52:G$233, "*Challenge*"), "")</calculatedColumnFormula>
    </tableColumn>
    <tableColumn id="7" xr3:uid="{898AD9D0-E297-40BB-804E-B4E364BDD757}" name="Leg 6" dataDxfId="434" dataCellStyle="Percent">
      <calculatedColumnFormula>IF(COUNTIF(H$52:H$233,$Q51)/COUNTIF(H$52:H$233, "*Challenge*")&gt;0, COUNTIF(H$52:H$233,$Q51)/COUNTIF(H$52:H$233, "*Challenge*"), "")</calculatedColumnFormula>
    </tableColumn>
    <tableColumn id="8" xr3:uid="{2364615C-422C-4E6F-888B-4290B540259C}" name="Leg 7" dataDxfId="433" dataCellStyle="Percent">
      <calculatedColumnFormula>IF(COUNTIF(I$52:I$233,$Q51)/COUNTIF(I$52:I$233, "*Challenge*")&gt;0, COUNTIF(I$52:I$233,$Q51)/COUNTIF(I$52:I$233, "*Challenge*"), "")</calculatedColumnFormula>
    </tableColumn>
    <tableColumn id="9" xr3:uid="{AA5A6184-041D-4184-855F-BB27A1F5CBAF}" name="Leg 8" dataDxfId="432" dataCellStyle="Percent">
      <calculatedColumnFormula>IF(COUNTIF(J$52:J$233,$Q51)/COUNTIF(J$52:J$233, "*Challenge*")&gt;0, COUNTIF(J$52:J$233,$Q51)/COUNTIF(J$52:J$233, "*Challenge*"), "")</calculatedColumnFormula>
    </tableColumn>
    <tableColumn id="10" xr3:uid="{3EABCA0A-190B-4183-8119-DA32672F75DF}" name="Leg 9" dataDxfId="431" dataCellStyle="Percent">
      <calculatedColumnFormula>IF(COUNTIF(K$52:K$233,$Q51)/COUNTIF(K$52:K$233, "*Challenge*")&gt;0, COUNTIF(K$52:K$233,$Q51)/COUNTIF(K$52:K$233, "*Challenge*"), "")</calculatedColumnFormula>
    </tableColumn>
    <tableColumn id="11" xr3:uid="{6FA867AC-B38C-4965-A6F6-AC87FA204784}" name="Leg 10" dataDxfId="430" dataCellStyle="Percent">
      <calculatedColumnFormula>IF(COUNTIF(L$52:L$233,$Q51)/COUNTIF(L$52:L$233, "*Challenge*")&gt;0, COUNTIF(L$52:L$233,$Q51)/COUNTIF(L$52:L$233, "*Challenge*"), "")</calculatedColumnFormula>
    </tableColumn>
    <tableColumn id="12" xr3:uid="{F9058D44-7092-4AED-AA97-6FD6A1459239}" name="Leg 11" dataDxfId="429" dataCellStyle="Percent">
      <calculatedColumnFormula>IF(COUNTIF(M$52:M$233,$Q51)/COUNTIF(M$52:M$233, "*Challenge*")&gt;0, COUNTIF(M$52:M$233,$Q51)/COUNTIF(M$52:M$233, "*Challenge*"), "")</calculatedColumnFormula>
    </tableColumn>
    <tableColumn id="13" xr3:uid="{8EEEB69E-A857-4562-8912-1FD12A74D778}" name="Leg 12" dataDxfId="428" dataCellStyle="Percent"/>
    <tableColumn id="14" xr3:uid="{2EB258D2-3B73-4308-A619-FABA2D8EA8BB}" name="Leg 13" dataDxfId="427" dataCellStyle="Percent"/>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12E5F02-F739-4268-B321-1D987159978C}" name="Table4151" displayName="Table4151" ref="Q66:AD105" totalsRowShown="0" headerRowDxfId="426" tableBorderDxfId="425">
  <autoFilter ref="Q66:AD105" xr:uid="{512E5F02-F739-4268-B321-1D987159978C}"/>
  <tableColumns count="14">
    <tableColumn id="1" xr3:uid="{375B2CE9-0EB1-4E03-912F-1661DAA4FBE1}" name="Season #"/>
    <tableColumn id="2" xr3:uid="{C4BE3EF8-AFF0-4B87-89CF-941644A04024}" name="Challenge 1"/>
    <tableColumn id="3" xr3:uid="{EB481337-3368-4862-ADCD-4E2EF067DB7C}" name="Challenge 2"/>
    <tableColumn id="4" xr3:uid="{16E60650-015B-4BAA-B995-C042F2887E98}" name="Challenge 3"/>
    <tableColumn id="5" xr3:uid="{3AF5CC4E-E156-4500-A594-5D7F7928983F}" name="Challenge 4"/>
    <tableColumn id="6" xr3:uid="{6D8567AC-DE26-4D61-AE28-207FEFCB13CD}" name="Challenge 5"/>
    <tableColumn id="7" xr3:uid="{E4366426-A29B-424D-8662-A4441C8D6321}" name="Challenge 6"/>
    <tableColumn id="8" xr3:uid="{952770DD-157B-4C80-B596-953AB9B691F2}" name="Challenge 7"/>
    <tableColumn id="9" xr3:uid="{A24ED005-D219-403F-A33D-3DDC8FAEE6B5}" name="Challenge 8"/>
    <tableColumn id="10" xr3:uid="{4148E07F-BD10-4567-B939-ADD4F25E827D}" name="Challenge 9"/>
    <tableColumn id="11" xr3:uid="{D0D8C145-D217-41EC-A44A-DFD94537C266}" name="Challenge 10"/>
    <tableColumn id="12" xr3:uid="{09049FB9-CBCA-42C2-B662-A01BC7A3BEF8}" name="Challenge 11"/>
    <tableColumn id="13" xr3:uid="{FC31AAF9-E708-42C2-A5F7-DCD8940A04B5}" name="Challenge 12"/>
    <tableColumn id="14" xr3:uid="{4BC46349-0F96-4270-8614-2376B3D89661}" name="Challenge 13"/>
  </tableColumns>
  <tableStyleInfo name="TableStyleLight10"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A75785B-9A04-448F-B9BF-99BCDC9B9FB2}" name="Table3453" displayName="Table3453" ref="Q108:AE136" totalsRowShown="0" headerRowDxfId="424" tableBorderDxfId="423">
  <autoFilter ref="Q108:AE136" xr:uid="{CA75785B-9A04-448F-B9BF-99BCDC9B9FB2}"/>
  <tableColumns count="15">
    <tableColumn id="1" xr3:uid="{10651BCA-3DAE-40D6-B4F3-FE9158D4EF59}" name="Keywords"/>
    <tableColumn id="2" xr3:uid="{4BF9C7D2-2D10-4D6A-A99E-A4E144739267}" name="Leg 1" dataDxfId="422">
      <calculatedColumnFormula>IF(COUNTIF(C$52:C$233,$Q109)&gt;0,COUNTIF(C$52:C$233,$Q109), "")</calculatedColumnFormula>
    </tableColumn>
    <tableColumn id="3" xr3:uid="{5365F2CF-EE70-45A6-B5E3-2E4C69C28D03}" name="Leg 2" dataDxfId="421">
      <calculatedColumnFormula>IF(COUNTIF(D$60:D$241,$Q109)&gt;0,COUNTIF(D$60:D$241,$Q109), "")</calculatedColumnFormula>
    </tableColumn>
    <tableColumn id="4" xr3:uid="{D9AA92C9-F134-48A8-8F5E-ADCA59E046E8}" name="Leg 3" dataDxfId="420">
      <calculatedColumnFormula>IF(COUNTIF(E$60:E$241,$Q109)&gt;0,COUNTIF(E$60:E$241,$Q109), "")</calculatedColumnFormula>
    </tableColumn>
    <tableColumn id="5" xr3:uid="{0F9C3A2E-8179-4C7E-A3BD-EBE4190383B4}" name="Leg 4" dataDxfId="419">
      <calculatedColumnFormula>IF(COUNTIF(F$60:F$241,$Q109)&gt;0,COUNTIF(F$60:F$241,$Q109), "")</calculatedColumnFormula>
    </tableColumn>
    <tableColumn id="6" xr3:uid="{580EFB21-AB8F-4864-A431-EEF02DB125F0}" name="Leg 5" dataDxfId="418">
      <calculatedColumnFormula>IF(COUNTIF(G$60:G$241,$Q109)&gt;0,COUNTIF(G$60:G$241,$Q109), "")</calculatedColumnFormula>
    </tableColumn>
    <tableColumn id="7" xr3:uid="{D0BA43B5-7990-4869-B470-6C92AB48D612}" name="Leg 6" dataDxfId="417">
      <calculatedColumnFormula>IF(COUNTIF(H$60:H$241,$Q109)&gt;0,COUNTIF(H$60:H$241,$Q109), "")</calculatedColumnFormula>
    </tableColumn>
    <tableColumn id="8" xr3:uid="{11F2E1DF-BD0B-412C-AAF9-85E68A2D4AC8}" name="Leg 7" dataDxfId="416">
      <calculatedColumnFormula>IF(COUNTIF(I$60:I$241,$Q109)&gt;0,COUNTIF(I$60:I$241,$Q109), "")</calculatedColumnFormula>
    </tableColumn>
    <tableColumn id="9" xr3:uid="{69952B6C-258D-4082-ACD3-4216B4D6FA7C}" name="Leg 8" dataDxfId="415">
      <calculatedColumnFormula>IF(COUNTIF(J$60:J$241,$Q109)&gt;0,COUNTIF(J$60:J$241,$Q109), "")</calculatedColumnFormula>
    </tableColumn>
    <tableColumn id="10" xr3:uid="{F7F2AF10-046B-42B0-99CD-38921859783A}" name="Leg 9" dataDxfId="414">
      <calculatedColumnFormula>IF(COUNTIF(K$60:K$241,$Q109)&gt;0,COUNTIF(K$60:K$241,$Q109), "")</calculatedColumnFormula>
    </tableColumn>
    <tableColumn id="11" xr3:uid="{459EC91C-CAEE-4CDF-806A-B798CB40F1F0}" name="Leg 10" dataDxfId="413">
      <calculatedColumnFormula>IF(COUNTIF(L$60:L$241,$Q109)&gt;0,COUNTIF(L$60:L$241,$Q109), "")</calculatedColumnFormula>
    </tableColumn>
    <tableColumn id="12" xr3:uid="{0B93A902-6982-4350-8FC8-BCFE46CF2C93}" name="Leg 11" dataDxfId="412">
      <calculatedColumnFormula>IF(COUNTIF(M$60:M$241,$Q109)&gt;0,COUNTIF(M$60:M$241,$Q109), "")</calculatedColumnFormula>
    </tableColumn>
    <tableColumn id="13" xr3:uid="{3F8A3D57-2505-4703-9E8A-7D145FAE9E65}" name="Leg 12" dataDxfId="411">
      <calculatedColumnFormula>IF(COUNTIF(N$60:N$241,$Q109)&gt;0,COUNTIF(N$60:N$241,$Q109), "")</calculatedColumnFormula>
    </tableColumn>
    <tableColumn id="14" xr3:uid="{759AB46A-2F72-494F-A18C-1A6DBD119345}" name="Leg 13" dataDxfId="410">
      <calculatedColumnFormula>IF(COUNTIF(O$60:O$241,$Q109)&gt;0,COUNTIF(O$60:O$241,$Q109), "")</calculatedColumnFormula>
    </tableColumn>
    <tableColumn id="15" xr3:uid="{F74681F8-81AB-4F1A-A5F6-004E3AE16AD9}" name="Totals" dataDxfId="409">
      <calculatedColumnFormula>SUM(R109:AD109)</calculatedColumnFormula>
    </tableColumn>
  </tableColumns>
  <tableStyleInfo name="TableStyleMedium1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81F9AFA7-4E54-46F7-B97C-4EF05BF64B5D}" name="Table344055" displayName="Table344055" ref="Q139:AD167" totalsRowShown="0" headerRowDxfId="408" tableBorderDxfId="407">
  <autoFilter ref="Q139:AD167" xr:uid="{81F9AFA7-4E54-46F7-B97C-4EF05BF64B5D}"/>
  <tableColumns count="14">
    <tableColumn id="1" xr3:uid="{F917B5F0-834F-47D3-ADE9-DDE217737F4C}" name="Keywords"/>
    <tableColumn id="2" xr3:uid="{361F4AE2-2417-4A6C-9E07-1530E9B97868}" name="Leg 1" dataDxfId="406">
      <calculatedColumnFormula>IF(COUNTIF(C$52:C$233, $Q140)&gt;0, COUNTIF(C$52:C$233, $Q140)/COUNTIF(C$52:C$233, "*Challenge*"), "")</calculatedColumnFormula>
    </tableColumn>
    <tableColumn id="3" xr3:uid="{5DDB6FEE-0F20-43CB-8298-6E913F00EA8B}" name="Leg 2" dataDxfId="405">
      <calculatedColumnFormula>IF(COUNTIF(D$52:D$233, $Q140)&gt;0, COUNTIF(D$52:D$233, $Q140)/COUNTIF(D$52:D$233, "*Challenge*"), "")</calculatedColumnFormula>
    </tableColumn>
    <tableColumn id="4" xr3:uid="{09B98D19-F345-4EC4-A08C-FC85DB234147}" name="Leg 3" dataDxfId="404">
      <calculatedColumnFormula>IF(COUNTIF(E$52:E$233, $Q140)&gt;0, COUNTIF(E$52:E$233, $Q140)/COUNTIF(E$52:E$233, "*Challenge*"), "")</calculatedColumnFormula>
    </tableColumn>
    <tableColumn id="5" xr3:uid="{5E0C7242-66DA-49A4-9597-0023E48BBB50}" name="Leg 4" dataDxfId="403">
      <calculatedColumnFormula>IF(COUNTIF(F$52:F$233, $Q140)&gt;0, COUNTIF(F$52:F$233, $Q140)/COUNTIF(F$52:F$233, "*Challenge*"), "")</calculatedColumnFormula>
    </tableColumn>
    <tableColumn id="6" xr3:uid="{2DBECD15-5D3D-474B-A1DE-D91EC0F1D0C6}" name="Leg 5" dataDxfId="402">
      <calculatedColumnFormula>IF(COUNTIF(G$52:G$233, $Q140)&gt;0, COUNTIF(G$52:G$233, $Q140)/COUNTIF(G$52:G$233, "*Challenge*"), "")</calculatedColumnFormula>
    </tableColumn>
    <tableColumn id="7" xr3:uid="{DB4351FF-FD0A-43DB-A36A-F7E04C26BA0F}" name="Leg 6" dataDxfId="401">
      <calculatedColumnFormula>IF(COUNTIF(H$52:H$233, $Q140)&gt;0, COUNTIF(H$52:H$233, $Q140)/COUNTIF(H$52:H$233, "*Challenge*"), "")</calculatedColumnFormula>
    </tableColumn>
    <tableColumn id="8" xr3:uid="{702E4945-1CE7-4227-802E-7225BD7C736C}" name="Leg 7" dataDxfId="400">
      <calculatedColumnFormula>IF(COUNTIF(I$52:I$233, $Q140)&gt;0, COUNTIF(I$52:I$233, $Q140)/COUNTIF(I$52:I$233, "*Challenge*"), "")</calculatedColumnFormula>
    </tableColumn>
    <tableColumn id="9" xr3:uid="{AEF8F2D4-12C0-4E52-8354-80F14DC313D0}" name="Leg 8" dataDxfId="399">
      <calculatedColumnFormula>IF(COUNTIF(J$52:J$233, $Q140)&gt;0, COUNTIF(J$52:J$233, $Q140)/COUNTIF(J$52:J$233, "*Challenge*"), "")</calculatedColumnFormula>
    </tableColumn>
    <tableColumn id="10" xr3:uid="{A2FAD0DF-3DDE-4DDF-9D0C-5F36C7AF78AD}" name="Leg 9" dataDxfId="398">
      <calculatedColumnFormula>IF(COUNTIF(K$52:K$233, $Q140)&gt;0, COUNTIF(K$52:K$233, $Q140)/COUNTIF(K$52:K$233, "*Challenge*"), "")</calculatedColumnFormula>
    </tableColumn>
    <tableColumn id="11" xr3:uid="{5B376EAD-B6C8-468E-9528-6096B00B5FAE}" name="Leg 10" dataDxfId="397">
      <calculatedColumnFormula>IF(COUNTIF(L$52:L$233, $Q140)&gt;0, COUNTIF(L$52:L$233, $Q140)/COUNTIF(L$52:L$233, "*Challenge*"), "")</calculatedColumnFormula>
    </tableColumn>
    <tableColumn id="12" xr3:uid="{6A914B46-4A70-49D0-BF65-B3D98E088B2D}" name="Leg 11" dataDxfId="396">
      <calculatedColumnFormula>IF(COUNTIF(M$52:M$233, $Q140)&gt;0, COUNTIF(M$52:M$233, $Q140)/COUNTIF(M$52:M$233, "*Challenge*"), "")</calculatedColumnFormula>
    </tableColumn>
    <tableColumn id="13" xr3:uid="{C5743A62-64E8-4F26-BC71-E5E849314CDC}" name="Leg 12" dataDxfId="395">
      <calculatedColumnFormula>IF(COUNTIF(N$52:N$233, $Q140)&gt;0, COUNTIF(N$52:N$233, $Q140)/COUNTIF(N$52:N$233, "*Challenge*"), "")</calculatedColumnFormula>
    </tableColumn>
    <tableColumn id="14" xr3:uid="{387C0070-29F4-4CB4-A0A1-427E54075A42}" name="Leg 13" dataDxfId="394">
      <calculatedColumnFormula>IF(COUNTIF(O$52:O$233, $Q140)&gt;0, COUNTIF(O$52:O$233, $Q140)/COUNTIF(O$52:O$233, "*Challenge*"), "")</calculatedColumnFormula>
    </tableColumn>
  </tableColumns>
  <tableStyleInfo name="TableStyleMedium1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499E475B-F058-42E2-9073-28806E5E988D}" name="Table4056" displayName="Table4056" ref="AF140:AG168" totalsRowShown="0" headerRowDxfId="393" headerRowBorderDxfId="392" tableBorderDxfId="391">
  <autoFilter ref="AF140:AG168" xr:uid="{499E475B-F058-42E2-9073-28806E5E988D}"/>
  <tableColumns count="2">
    <tableColumn id="1" xr3:uid="{42EB2680-5CBE-4933-9FAD-C90CDFCA45F0}" name="Keyword"/>
    <tableColumn id="2" xr3:uid="{358AC652-1FBC-49DB-9EA3-6A9B273A9CA8}" name="%" dataDxfId="390" dataCellStyle="Percent">
      <calculatedColumnFormula>IF(COUNTIF($C$51:$O$232, AF141)&gt;0, COUNTIF($C$51:$O$232, AF141)/COUNTIF($C$51:$O$232, "*Challenge*"), "")</calculatedColumnFormula>
    </tableColumn>
  </tableColumns>
  <tableStyleInfo name="TableStyleMedium1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4301770-ADD1-442A-8410-D8EDA9DF444F}" name="Table414857" displayName="Table414857" ref="Q170:AS211" totalsRowShown="0" headerRowDxfId="389" tableBorderDxfId="388">
  <autoFilter ref="Q170:AS211" xr:uid="{24301770-ADD1-442A-8410-D8EDA9DF444F}"/>
  <tableColumns count="29">
    <tableColumn id="1" xr3:uid="{01AD285C-FFAE-462D-B1D9-4F5DFA1F28CC}" name="Season #"/>
    <tableColumn id="2" xr3:uid="{8DC6C6C3-19BB-44CB-8113-488A7F62CB71}" name="Animals" dataDxfId="387"/>
    <tableColumn id="3" xr3:uid="{50CC4AE2-1CC5-477C-9441-D04153626779}" name="ATD" dataDxfId="386"/>
    <tableColumn id="4" xr3:uid="{36EB54A1-5EA7-45DE-94B9-673FFD98CBE7}" name="Balance" dataDxfId="385"/>
    <tableColumn id="5" xr3:uid="{352C5C96-9506-46FE-8336-92EDB4313934}" name="Biking" dataDxfId="384"/>
    <tableColumn id="6" xr3:uid="{9C40ED67-8990-4A20-A7E0-A469BAB42A1A}" name="Building" dataDxfId="383"/>
    <tableColumn id="7" xr3:uid="{88760177-D32E-4CB3-B1BE-0808412D68C6}" name="Cooking" dataDxfId="382"/>
    <tableColumn id="8" xr3:uid="{CD334595-A049-4507-A8F7-FC7E93DE704D}" name="Counting" dataDxfId="381"/>
    <tableColumn id="9" xr3:uid="{AFD009D2-5BC1-44F1-8513-2897CAFAC451}" name="Dancing" dataDxfId="380"/>
    <tableColumn id="10" xr3:uid="{FBC31768-8FFF-4C31-A9AD-5E26BDA16AE3}" name="Driving" dataDxfId="379"/>
    <tableColumn id="11" xr3:uid="{6EB7E815-54B1-4B3A-A2E8-D303C1BB3604}" name="Flags" dataDxfId="378"/>
    <tableColumn id="12" xr3:uid="{0A4662CB-DBA5-4286-AA9C-B09DA14E398A}" name="Food"/>
    <tableColumn id="13" xr3:uid="{7B697BE6-AE9A-4584-9CBC-2506962273BF}" name="Geography"/>
    <tableColumn id="14" xr3:uid="{C63DEC7D-50CD-4A01-BFFF-0EEF81AAF393}" name="HEC" dataDxfId="377"/>
    <tableColumn id="15" xr3:uid="{407CE93F-C275-422D-841E-B0D48CDC5C76}" name="Heights" dataDxfId="376"/>
    <tableColumn id="16" xr3:uid="{7653B6C1-95C9-44F2-9DD9-A23330E58DDA}" name="Language" dataDxfId="375"/>
    <tableColumn id="17" xr3:uid="{6161904A-1E0D-49BA-B960-2FBD248521D5}" name="Math" dataDxfId="374"/>
    <tableColumn id="18" xr3:uid="{710EB2D4-882D-44B4-9CF0-61E90356BE83}" name="Memory" dataDxfId="373"/>
    <tableColumn id="19" xr3:uid="{9883FA64-675C-4AE2-8BAC-2B87940E3A8E}" name="Music" dataDxfId="372"/>
    <tableColumn id="20" xr3:uid="{3794C72D-FA4C-40FC-881D-2A0163205EDC}" name="Navigation" dataDxfId="371"/>
    <tableColumn id="21" xr3:uid="{B4042761-653E-45AC-B003-39E91171915A}" name="Pain" dataDxfId="370"/>
    <tableColumn id="22" xr3:uid="{AA47C54A-B254-4714-8DCE-F1224C75611B}" name="Painting" dataDxfId="369"/>
    <tableColumn id="23" xr3:uid="{A70FF3A3-D131-40E5-908B-F18E2C6A9CC5}" name="PS" dataDxfId="368"/>
    <tableColumn id="24" xr3:uid="{68486B9C-81ED-42E7-BA8F-88761F4DC893}" name="Puzzle" dataDxfId="367"/>
    <tableColumn id="25" xr3:uid="{7011FAAD-3FFB-4A57-BEA8-77DE51B1BDDF}" name="Searching" dataDxfId="366"/>
    <tableColumn id="26" xr3:uid="{27CC9150-3240-4196-9E41-68DB865E734F}" name="Selling" dataDxfId="365"/>
    <tableColumn id="27" xr3:uid="{35C69564-5D20-4D09-9111-75AB0B2C5C55}" name="Singing"/>
    <tableColumn id="28" xr3:uid="{01CD5C54-B6A5-472F-A43B-1A13F634BED3}" name="Swimming" dataDxfId="364"/>
    <tableColumn id="29" xr3:uid="{FE658E27-F182-4264-AFC2-851772E4764D}" name="Travel Issues"/>
  </tableColumns>
  <tableStyleInfo name="TableStyleLight10"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28A2473-C842-4171-8B2E-6FB0E9796FD9}" name="Table405658" displayName="Table405658" ref="AS140:AU168" totalsRowShown="0" headerRowDxfId="363" headerRowBorderDxfId="362" tableBorderDxfId="361">
  <autoFilter ref="AS140:AU168" xr:uid="{A28A2473-C842-4171-8B2E-6FB0E9796FD9}"/>
  <tableColumns count="3">
    <tableColumn id="1" xr3:uid="{5CE5518F-CBB7-4A89-8BC4-E8B25CFEBB2C}" name="Keyword"/>
    <tableColumn id="2" xr3:uid="{F26B1425-68B8-4EB3-98F9-FF472B97338F}" name="%1-4" dataDxfId="360" dataCellStyle="Percent">
      <calculatedColumnFormula>IF(COUNTIF($C$52:$O$65, AS141)&gt;0, COUNTIF($C$52:$O$65, AS141)/COUNTIF($C$52:$O$65, "*Challenge*"), "")</calculatedColumnFormula>
    </tableColumn>
    <tableColumn id="4" xr3:uid="{D0F623F9-631F-400C-B836-794F180C3FE7}" name="% 5-38'" dataDxfId="359" dataCellStyle="Percent">
      <calculatedColumnFormula>IF(COUNTIF($C$66:$O$167, AS141)&gt;0, COUNTIF($C$66:$O$167, AS141)/COUNTIF($C$66:$O$167, "*Challenge*"), "")</calculatedColumnFormula>
    </tableColumn>
  </tableColumns>
  <tableStyleInfo name="TableStyleMedium1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46D3267-2255-A84E-82E9-4192267AC3C0}" name="Table22" displayName="Table22" ref="B9:C37" totalsRowShown="0" headerRowBorderDxfId="358">
  <autoFilter ref="B9:C37" xr:uid="{946D3267-2255-A84E-82E9-4192267AC3C0}"/>
  <tableColumns count="2">
    <tableColumn id="1" xr3:uid="{DB1F01CD-FCC2-0C4B-BA93-D7BA27104329}" name="Season #" dataDxfId="357"/>
    <tableColumn id="2" xr3:uid="{4AF272A8-F78C-5040-AB07-731A4CADEF33}" name="Speed Bump" dataDxfId="356"/>
  </tableColumns>
  <tableStyleInfo name="TableStyleLight2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8A1E9C7A-5CE5-4B06-BB27-4E15180A1023}" name="Table335059" displayName="Table335059" ref="Q44:AD57" totalsRowShown="0" headerRowDxfId="355" dataDxfId="354" tableBorderDxfId="353" dataCellStyle="Percent">
  <autoFilter ref="Q44:AD57" xr:uid="{8A1E9C7A-5CE5-4B06-BB27-4E15180A1023}"/>
  <tableColumns count="14">
    <tableColumn id="1" xr3:uid="{E69F796E-A792-443B-8580-F4997E81C664}" name="Challenge #"/>
    <tableColumn id="2" xr3:uid="{0C5F2BEA-C2BD-482E-BA20-2AF675CD5674}" name="Leg 1" dataDxfId="352" dataCellStyle="Percent">
      <calculatedColumnFormula>IF(COUNTIF(C$44:C$160, "*Challenge*")&gt;0, IF(COUNTIF(C$44:C$224,$Q45)/COUNTIF(C$44:C$224, "*Challenge*")&gt;0, COUNTIF(C$44:C$224,$Q45)/COUNTIF(C$44:C$224, "*Challenge*"), ""), "")</calculatedColumnFormula>
    </tableColumn>
    <tableColumn id="3" xr3:uid="{92E4A4F3-B709-42A7-8199-5106857CC69D}" name="Leg 2" dataDxfId="351" dataCellStyle="Percent">
      <calculatedColumnFormula>IF(COUNTIF(D$44:D$160, "*Challenge*")&gt;0, IF(COUNTIF(D$44:D$224,$Q45)/COUNTIF(D$44:D$224, "*Challenge*")&gt;0, COUNTIF(D$44:D$224,$Q45)/COUNTIF(D$44:D$224, "*Challenge*"), ""), "")</calculatedColumnFormula>
    </tableColumn>
    <tableColumn id="4" xr3:uid="{957B9055-D987-4AE5-84A8-8C9E260736B2}" name="Leg 3" dataDxfId="350" dataCellStyle="Percent">
      <calculatedColumnFormula>IF(COUNTIF(E$44:E$160, "*Challenge*")&gt;0, IF(COUNTIF(E$44:E$224,$Q45)/COUNTIF(E$44:E$224, "*Challenge*")&gt;0, COUNTIF(E$44:E$224,$Q45)/COUNTIF(E$44:E$224, "*Challenge*"), ""), "")</calculatedColumnFormula>
    </tableColumn>
    <tableColumn id="5" xr3:uid="{B6584FE7-1EAF-44F3-90A6-BFAFA4BE25F0}" name="Leg 4" dataDxfId="349" dataCellStyle="Percent">
      <calculatedColumnFormula>IF(COUNTIF(F$44:F$160, "*Challenge*")&gt;0, IF(COUNTIF(F$44:F$224,$Q45)/COUNTIF(F$44:F$224, "*Challenge*")&gt;0, COUNTIF(F$44:F$224,$Q45)/COUNTIF(F$44:F$224, "*Challenge*"), ""), "")</calculatedColumnFormula>
    </tableColumn>
    <tableColumn id="6" xr3:uid="{57D1C1E4-F028-45DE-B25C-D936256654C2}" name="Leg 5" dataDxfId="348" dataCellStyle="Percent">
      <calculatedColumnFormula>IF(COUNTIF(G$44:G$160, "*Challenge*")&gt;0, IF(COUNTIF(G$44:G$224,$Q45)/COUNTIF(G$44:G$224, "*Challenge*")&gt;0, COUNTIF(G$44:G$224,$Q45)/COUNTIF(G$44:G$224, "*Challenge*"), ""), "")</calculatedColumnFormula>
    </tableColumn>
    <tableColumn id="7" xr3:uid="{DEF7571F-6A6A-4E84-9AF7-2A2CF4028918}" name="Leg 6" dataDxfId="347" dataCellStyle="Percent">
      <calculatedColumnFormula>IF(COUNTIF(H$44:H$160, "*Challenge*")&gt;0, IF(COUNTIF(H$44:H$224,$Q45)/COUNTIF(H$44:H$224, "*Challenge*")&gt;0, COUNTIF(H$44:H$224,$Q45)/COUNTIF(H$44:H$224, "*Challenge*"), ""), "")</calculatedColumnFormula>
    </tableColumn>
    <tableColumn id="8" xr3:uid="{FD79B4BF-CB5D-46ED-B4C3-6ADCFA62EEF6}" name="Leg 7" dataDxfId="346" dataCellStyle="Percent">
      <calculatedColumnFormula>IF(COUNTIF(I$44:I$160, "*Challenge*")&gt;0, IF(COUNTIF(I$44:I$224,$Q45)/COUNTIF(I$44:I$224, "*Challenge*")&gt;0, COUNTIF(I$44:I$224,$Q45)/COUNTIF(I$44:I$224, "*Challenge*"), ""), "")</calculatedColumnFormula>
    </tableColumn>
    <tableColumn id="9" xr3:uid="{B1B5F0E4-F78E-4ECF-9C92-F93FD96CBA4C}" name="Leg 8" dataDxfId="345" dataCellStyle="Percent">
      <calculatedColumnFormula>IF(COUNTIF(J$44:J$160, "*Challenge*")&gt;0, IF(COUNTIF(J$44:J$224,$Q45)/COUNTIF(J$44:J$224, "*Challenge*")&gt;0, COUNTIF(J$44:J$224,$Q45)/COUNTIF(J$44:J$224, "*Challenge*"), ""), "")</calculatedColumnFormula>
    </tableColumn>
    <tableColumn id="10" xr3:uid="{FC9C86F4-A7EE-4636-8FF9-74F667C6D2CD}" name="Leg 9" dataDxfId="344" dataCellStyle="Percent">
      <calculatedColumnFormula>IF(COUNTIF(K$44:K$160, "*Challenge*")&gt;0, IF(COUNTIF(K$44:K$224,$Q45)/COUNTIF(K$44:K$224, "*Challenge*")&gt;0, COUNTIF(K$44:K$224,$Q45)/COUNTIF(K$44:K$224, "*Challenge*"), ""), "")</calculatedColumnFormula>
    </tableColumn>
    <tableColumn id="11" xr3:uid="{8F76D6B3-88C2-4D70-A79A-839D5C8B6AA1}" name="Leg 10" dataDxfId="343" dataCellStyle="Percent">
      <calculatedColumnFormula>IF(COUNTIF(L$44:L$160, "*Challenge*")&gt;0, IF(COUNTIF(L$44:L$224,$Q45)/COUNTIF(L$44:L$224, "*Challenge*")&gt;0, COUNTIF(L$44:L$224,$Q45)/COUNTIF(L$44:L$224, "*Challenge*"), ""), "")</calculatedColumnFormula>
    </tableColumn>
    <tableColumn id="12" xr3:uid="{63C516A1-437C-4F45-BA61-07B35F16CC66}" name="Leg 11" dataDxfId="342" dataCellStyle="Percent">
      <calculatedColumnFormula>IF(COUNTIF(M$44:M$160, "*Challenge*")&gt;0, IF(COUNTIF(M$44:M$224,$Q45)/COUNTIF(M$44:M$224, "*Challenge*")&gt;0, COUNTIF(M$44:M$224,$Q45)/COUNTIF(M$44:M$224, "*Challenge*"), ""), "")</calculatedColumnFormula>
    </tableColumn>
    <tableColumn id="13" xr3:uid="{91A15060-BA7C-4D98-9814-0FEDDF829D58}" name="Leg 12" dataDxfId="341" dataCellStyle="Percent">
      <calculatedColumnFormula>IF(COUNTIF(N$44:N$160, "*Challenge*")&gt;0, IF(COUNTIF(N$44:N$224,$Q45)/COUNTIF(N$44:N$224, "*Challenge*")&gt;0, COUNTIF(N$44:N$224,$Q45)/COUNTIF(N$44:N$224, "*Challenge*"), ""), "")</calculatedColumnFormula>
    </tableColumn>
    <tableColumn id="14" xr3:uid="{C8AEFC01-9838-49A0-84AF-7EF58EF40556}" name="Leg 13" dataDxfId="340" dataCellStyle="Percent">
      <calculatedColumnFormula>IF(COUNTIF(O$44:O$160, "*Challenge*")&gt;0, IF(COUNTIF(O$44:O$224,$Q45)/COUNTIF(O$44:O$224, "*Challenge*")&gt;0, COUNTIF(O$44:O$224,$Q45)/COUNTIF(O$44:O$224, "*Challenge*"), ""), "")</calculatedColumnFormula>
    </tableColumn>
  </tableColumns>
  <tableStyleInfo name="TableStyleMedium1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F7F0EA49-21E5-41D8-B4A7-9088757B145A}" name="Table415160" displayName="Table415160" ref="Q60:AD98" totalsRowShown="0" headerRowDxfId="339" tableBorderDxfId="338">
  <autoFilter ref="Q60:AD98" xr:uid="{F7F0EA49-21E5-41D8-B4A7-9088757B145A}"/>
  <tableColumns count="14">
    <tableColumn id="1" xr3:uid="{45C39004-B9C6-4E79-B136-DDBDD40F2C1E}" name="Season #"/>
    <tableColumn id="2" xr3:uid="{5F07B65B-B6F3-4BE0-83AF-ECB03049FDED}" name="Challenge 1"/>
    <tableColumn id="3" xr3:uid="{E8BA51E8-B861-49E3-BB21-012041007DCE}" name="Challenge 2"/>
    <tableColumn id="4" xr3:uid="{24F1471F-89B8-4254-A956-06D34F28BE84}" name="Challenge 3"/>
    <tableColumn id="5" xr3:uid="{FA5BB9EB-FFD8-492F-A845-5127E9416418}" name="Challenge 4"/>
    <tableColumn id="6" xr3:uid="{8AB1CB65-F664-4A38-9AAB-BFDE808420EB}" name="Challenge 5"/>
    <tableColumn id="7" xr3:uid="{7B8F0C72-997D-4D69-9796-1FBE06226D8D}" name="Challenge 6"/>
    <tableColumn id="8" xr3:uid="{19256912-13B6-49B1-9D0F-2AE0B62F6D3B}" name="Challenge 7"/>
    <tableColumn id="9" xr3:uid="{4D434858-1897-43B9-91B9-AA2D9D6C7ED1}" name="Challenge 8"/>
    <tableColumn id="10" xr3:uid="{B9D124EA-F661-4200-8E2B-756F856E27DB}" name="Challenge 9"/>
    <tableColumn id="11" xr3:uid="{189A5110-3B84-4DC2-BFF8-6C140CC3901B}" name="Challenge 10"/>
    <tableColumn id="12" xr3:uid="{095A3C5D-37C5-492E-BA26-F241F65A89DC}" name="Challenge 11"/>
    <tableColumn id="13" xr3:uid="{4CF6CC46-F066-421A-9566-8E015A39EA3A}" name="Challenge 12"/>
    <tableColumn id="14" xr3:uid="{CFCB92A9-6B36-45C0-9AC6-73B3894D637C}" name="Challenge 13"/>
  </tableColumns>
  <tableStyleInfo name="TableStyleLight10"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1CDA8348-026E-46FF-8596-72C8D5890FDB}" name="Table345361" displayName="Table345361" ref="Q102:AE130" totalsRowShown="0" headerRowDxfId="337" tableBorderDxfId="336">
  <autoFilter ref="Q102:AE130" xr:uid="{1CDA8348-026E-46FF-8596-72C8D5890FDB}"/>
  <tableColumns count="15">
    <tableColumn id="1" xr3:uid="{F6A23DAC-5E87-4810-A36B-8C8E3195EAF7}" name="Keywords"/>
    <tableColumn id="2" xr3:uid="{14A4738C-F1A3-44BC-9A81-7F0D8F5AB9B3}" name="Leg 1" dataDxfId="335">
      <calculatedColumnFormula>IF(COUNTIF(C$44:C$224,$Q103)&gt;0,COUNTIF(C$44:C$224,$Q103), "")</calculatedColumnFormula>
    </tableColumn>
    <tableColumn id="3" xr3:uid="{1AB8BAB8-50EA-4813-9E37-286FA6509BA4}" name="Leg 2" dataDxfId="334">
      <calculatedColumnFormula>IF(COUNTIF(D$44:D$224,$Q103)&gt;0,COUNTIF(D$44:D$224,$Q103), "")</calculatedColumnFormula>
    </tableColumn>
    <tableColumn id="4" xr3:uid="{890CEE69-E843-4D63-A3B8-ACD03FD4CB50}" name="Leg 3" dataDxfId="333">
      <calculatedColumnFormula>IF(COUNTIF(E$44:E$224,$Q103)&gt;0,COUNTIF(E$44:E$224,$Q103), "")</calculatedColumnFormula>
    </tableColumn>
    <tableColumn id="5" xr3:uid="{934FFFA3-90C3-433F-9CE6-E6E33F4D96AA}" name="Leg 4" dataDxfId="332">
      <calculatedColumnFormula>IF(COUNTIF(F$44:F$224,$Q103)&gt;0,COUNTIF(F$44:F$224,$Q103), "")</calculatedColumnFormula>
    </tableColumn>
    <tableColumn id="6" xr3:uid="{3DD37686-EEA5-4DAC-BFAB-E0091E00A4F1}" name="Leg 5" dataDxfId="331">
      <calculatedColumnFormula>IF(COUNTIF(G$44:G$224,$Q103)&gt;0,COUNTIF(G$44:G$224,$Q103), "")</calculatedColumnFormula>
    </tableColumn>
    <tableColumn id="7" xr3:uid="{CCD42FC2-D9FE-4CD3-AD8B-F67BF9C674D5}" name="Leg 6" dataDxfId="330">
      <calculatedColumnFormula>IF(COUNTIF(H$44:H$224,$Q103)&gt;0,COUNTIF(H$44:H$224,$Q103), "")</calculatedColumnFormula>
    </tableColumn>
    <tableColumn id="8" xr3:uid="{7F211F38-C924-4DAE-AF44-279DB53C30D3}" name="Leg 7" dataDxfId="329">
      <calculatedColumnFormula>IF(COUNTIF(I$44:I$224,$Q103)&gt;0,COUNTIF(I$44:I$224,$Q103), "")</calculatedColumnFormula>
    </tableColumn>
    <tableColumn id="9" xr3:uid="{F3078849-2DE5-4542-8E1A-A8EE29CD9112}" name="Leg 8" dataDxfId="328">
      <calculatedColumnFormula>IF(COUNTIF(J$44:J$224,$Q103)&gt;0,COUNTIF(J$44:J$224,$Q103), "")</calculatedColumnFormula>
    </tableColumn>
    <tableColumn id="10" xr3:uid="{8C8CFA2C-9BE5-465E-81A9-C9F5EA01B5A7}" name="Leg 9" dataDxfId="327">
      <calculatedColumnFormula>IF(COUNTIF(K$44:K$224,$Q103)&gt;0,COUNTIF(K$44:K$224,$Q103), "")</calculatedColumnFormula>
    </tableColumn>
    <tableColumn id="11" xr3:uid="{C9C3DC7C-C641-41E5-BD46-DCED6C634CAD}" name="Leg 10" dataDxfId="326">
      <calculatedColumnFormula>IF(COUNTIF(L$44:L$224,$Q103)&gt;0,COUNTIF(L$44:L$224,$Q103), "")</calculatedColumnFormula>
    </tableColumn>
    <tableColumn id="12" xr3:uid="{59F48D96-ACAD-4E79-B1A2-CD8FC4E5A96F}" name="Leg 11" dataDxfId="325">
      <calculatedColumnFormula>IF(COUNTIF(M$44:M$224,$Q103)&gt;0,COUNTIF(M$44:M$224,$Q103), "")</calculatedColumnFormula>
    </tableColumn>
    <tableColumn id="13" xr3:uid="{ABB19D62-324D-4131-8906-9B2BCA9A2964}" name="Leg 12" dataDxfId="324">
      <calculatedColumnFormula>IF(COUNTIF(N$44:N$224,$Q103)&gt;0,COUNTIF(N$44:N$224,$Q103), "")</calculatedColumnFormula>
    </tableColumn>
    <tableColumn id="14" xr3:uid="{ED59C566-E163-4D8C-8AA9-6260FB39CE6A}" name="Leg 13" dataDxfId="323">
      <calculatedColumnFormula>IF(COUNTIF(O$44:O$224,$Q103)&gt;0,COUNTIF(O$44:O$224,$Q103), "")</calculatedColumnFormula>
    </tableColumn>
    <tableColumn id="15" xr3:uid="{8BDB089E-4B08-46DA-87C9-E681D37577AA}" name="Totals" dataDxfId="322">
      <calculatedColumnFormula>SUM(R103:AD103)</calculatedColumnFormula>
    </tableColumn>
  </tableColumns>
  <tableStyleInfo name="TableStyleMedium1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79D2D62-209D-4064-ACE4-0A50F4B66201}" name="Table34405562" displayName="Table34405562" ref="Q133:AD161" totalsRowShown="0" headerRowDxfId="321" tableBorderDxfId="320">
  <autoFilter ref="Q133:AD161" xr:uid="{D79D2D62-209D-4064-ACE4-0A50F4B66201}"/>
  <tableColumns count="14">
    <tableColumn id="1" xr3:uid="{E3C98A93-D038-4F52-B80D-D6F1B4B2FB27}" name="Keywords"/>
    <tableColumn id="2" xr3:uid="{B8E65B99-BD36-46B5-906F-FB221A91CCC5}" name="Leg 1" dataDxfId="319">
      <calculatedColumnFormula>IF(COUNTIF(C$44:C$224, $Q134)&gt;0, COUNTIF(C$44:C$224, $Q134)/COUNTIF(C$44:C$224, "*Challenge*"), "")</calculatedColumnFormula>
    </tableColumn>
    <tableColumn id="3" xr3:uid="{E5D6D166-CD26-4809-897D-6152C60235FA}" name="Leg 2" dataDxfId="318">
      <calculatedColumnFormula>IF(COUNTIF(D$44:D$224, $Q134)&gt;0, COUNTIF(D$44:D$224, $Q134)/COUNTIF(D$44:D$224, "*Challenge*"), "")</calculatedColumnFormula>
    </tableColumn>
    <tableColumn id="4" xr3:uid="{D9EF7E21-B8BB-4734-B4EC-FE055A444CB6}" name="Leg 3" dataDxfId="317">
      <calculatedColumnFormula>IF(COUNTIF(E$44:E$224, $Q134)&gt;0, COUNTIF(E$44:E$224, $Q134)/COUNTIF(E$44:E$224, "*Challenge*"), "")</calculatedColumnFormula>
    </tableColumn>
    <tableColumn id="5" xr3:uid="{6E0DC13B-AA6D-4B08-BC07-7AC2DDD56807}" name="Leg 4" dataDxfId="316">
      <calculatedColumnFormula>IF(COUNTIF(F$44:F$224, $Q134)&gt;0, COUNTIF(F$44:F$224, $Q134)/COUNTIF(F$44:F$224, "*Challenge*"), "")</calculatedColumnFormula>
    </tableColumn>
    <tableColumn id="6" xr3:uid="{156CBF61-9292-409E-B092-22171F3F121A}" name="Leg 5" dataDxfId="315">
      <calculatedColumnFormula>IF(COUNTIF(G$44:G$224, $Q134)&gt;0, COUNTIF(G$44:G$224, $Q134)/COUNTIF(G$44:G$224, "*Challenge*"), "")</calculatedColumnFormula>
    </tableColumn>
    <tableColumn id="7" xr3:uid="{490F4B0B-AF91-42C6-A772-4CC6071D79E8}" name="Leg 6" dataDxfId="314">
      <calculatedColumnFormula>IF(COUNTIF(H$44:H$224, $Q134)&gt;0, COUNTIF(H$44:H$224, $Q134)/COUNTIF(H$44:H$224, "*Challenge*"), "")</calculatedColumnFormula>
    </tableColumn>
    <tableColumn id="8" xr3:uid="{77B7E323-D1F7-44AE-AECD-3AB7BE3104C5}" name="Leg 7" dataDxfId="313">
      <calculatedColumnFormula>IF(COUNTIF(I$44:I$224, $Q134)&gt;0, COUNTIF(I$44:I$224, $Q134)/COUNTIF(I$44:I$224, "*Challenge*"), "")</calculatedColumnFormula>
    </tableColumn>
    <tableColumn id="9" xr3:uid="{7D430C32-D343-475B-91A5-78A5B379BCEC}" name="Leg 8" dataDxfId="312">
      <calculatedColumnFormula>IF(COUNTIF(J$44:J$224, $Q134)&gt;0, COUNTIF(J$44:J$224, $Q134)/COUNTIF(J$44:J$224, "*Challenge*"), "")</calculatedColumnFormula>
    </tableColumn>
    <tableColumn id="10" xr3:uid="{9B8F27A2-4CA4-4BE4-99AE-DC5603DD4BAA}" name="Leg 9" dataDxfId="311">
      <calculatedColumnFormula>IF(COUNTIF(K$44:K$224, $Q134)&gt;0, COUNTIF(K$44:K$224, $Q134)/COUNTIF(K$44:K$224, "*Challenge*"), "")</calculatedColumnFormula>
    </tableColumn>
    <tableColumn id="11" xr3:uid="{20B8F9A9-C984-4D82-B881-DDAF25748BF0}" name="Leg 10" dataDxfId="310">
      <calculatedColumnFormula>IF(COUNTIF(L$44:L$224, $Q134)&gt;0, COUNTIF(L$44:L$224, $Q134)/COUNTIF(L$44:L$224, "*Challenge*"), "")</calculatedColumnFormula>
    </tableColumn>
    <tableColumn id="12" xr3:uid="{FE89EE18-064C-4AB6-AA28-0362F96724B1}" name="Leg 11" dataDxfId="309">
      <calculatedColumnFormula>IF(COUNTIF(M$44:M$224, $Q134)&gt;0, COUNTIF(M$44:M$224, $Q134)/COUNTIF(M$44:M$224, "*Challenge*"), "")</calculatedColumnFormula>
    </tableColumn>
    <tableColumn id="13" xr3:uid="{88BBB033-78AB-4E64-802E-0476F7BCA6EC}" name="Leg 12" dataDxfId="308">
      <calculatedColumnFormula>IF(COUNTIF(N$44:N$224, $Q134)&gt;0, COUNTIF(N$44:N$224, $Q134)/COUNTIF(N$44:N$224, "*Challenge*"), "")</calculatedColumnFormula>
    </tableColumn>
    <tableColumn id="14" xr3:uid="{CC976935-AB40-47D5-A6DD-8E34C0B21676}" name="Leg 13" dataDxfId="307">
      <calculatedColumnFormula>IF(COUNTIF(O$44:O$224, $Q134)&gt;0, COUNTIF(O$44:O$224, $Q134)/COUNTIF(O$44:O$224, "*Challenge*"), "")</calculatedColumnFormula>
    </tableColumn>
  </tableColumns>
  <tableStyleInfo name="TableStyleMedium1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5FD1440-2E7B-49DA-A007-9FD55042F6D2}" name="Table405663" displayName="Table405663" ref="AF134:AG162" totalsRowShown="0" headerRowDxfId="306" headerRowBorderDxfId="305" tableBorderDxfId="304">
  <autoFilter ref="AF134:AG162" xr:uid="{F5FD1440-2E7B-49DA-A007-9FD55042F6D2}"/>
  <tableColumns count="2">
    <tableColumn id="1" xr3:uid="{4DEA6CAF-3F34-4BF5-A3B1-973B9664650D}" name="Keyword"/>
    <tableColumn id="2" xr3:uid="{7A290B94-F7ED-4FE1-BFAC-91B07E2C9100}" name="%" dataDxfId="303" dataCellStyle="Percent">
      <calculatedColumnFormula>IF(COUNTIF($C$44:$O$224, AF135)&gt;0, COUNTIF($C$44:$O$224, AF135)/COUNTIF($C$44:$O$224, "*Challenge*"), "")</calculatedColumnFormula>
    </tableColumn>
  </tableColumns>
  <tableStyleInfo name="TableStyleMedium1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FD480D6B-DD59-462B-97DF-39F6004DE9F9}" name="Table41485764" displayName="Table41485764" ref="Q166:AS207" totalsRowShown="0" headerRowDxfId="302" tableBorderDxfId="301">
  <autoFilter ref="Q166:AS207" xr:uid="{FD480D6B-DD59-462B-97DF-39F6004DE9F9}"/>
  <tableColumns count="29">
    <tableColumn id="1" xr3:uid="{3ECB1392-BF18-4993-8C82-864F89927C01}" name="Season #"/>
    <tableColumn id="2" xr3:uid="{E0FFB163-B7C2-41B5-A924-B5034456A98D}" name="Animals" dataDxfId="300"/>
    <tableColumn id="3" xr3:uid="{FE53EECD-6844-4AEE-81FC-D69F545B22AB}" name="ATD" dataDxfId="299"/>
    <tableColumn id="4" xr3:uid="{D053F194-994F-4DD8-85A7-0639C0353F63}" name="Balance" dataDxfId="298"/>
    <tableColumn id="5" xr3:uid="{77DF0935-E449-4E32-85B8-B382FA00ED12}" name="Biking" dataDxfId="297"/>
    <tableColumn id="6" xr3:uid="{24DFACBF-B3F2-4BD4-9B66-6B72DBB5A838}" name="Building" dataDxfId="296"/>
    <tableColumn id="7" xr3:uid="{59A51A75-7096-449E-B394-6034D8BBC046}" name="Cooking" dataDxfId="295"/>
    <tableColumn id="8" xr3:uid="{3EBB1B2E-E214-4A69-BAFA-C02B5939517E}" name="Counting" dataDxfId="294"/>
    <tableColumn id="9" xr3:uid="{051CCB16-5273-457C-A782-AC9286CCBE9D}" name="Dancing" dataDxfId="293"/>
    <tableColumn id="10" xr3:uid="{21D48F79-7CBE-478F-9F70-47EB73138690}" name="Driving" dataDxfId="292"/>
    <tableColumn id="11" xr3:uid="{8D0F3B38-45DF-4A1E-BC5D-DA0152711F07}" name="Flags" dataDxfId="291"/>
    <tableColumn id="12" xr3:uid="{F6AD5226-53C9-4C4B-9B4C-DC7472364A2B}" name="Food"/>
    <tableColumn id="13" xr3:uid="{3A8AD92D-60CF-45EE-BFDE-06CA5A92AD77}" name="Geography"/>
    <tableColumn id="14" xr3:uid="{8C4512C8-15C9-44B7-A357-DD1CEC68BFB0}" name="HEC" dataDxfId="290"/>
    <tableColumn id="15" xr3:uid="{16E030E2-8204-443C-89EA-DBA087A5377B}" name="Heights" dataDxfId="289"/>
    <tableColumn id="16" xr3:uid="{7E9E9F00-83B6-4C54-B5A5-D90151597FBD}" name="Language" dataDxfId="288"/>
    <tableColumn id="17" xr3:uid="{2DADC759-91BE-45AB-A2C4-110EFB03714E}" name="Math" dataDxfId="287"/>
    <tableColumn id="18" xr3:uid="{E4B5B4D9-AD98-4842-9A0B-7866BCABEAA3}" name="Memory" dataDxfId="286"/>
    <tableColumn id="19" xr3:uid="{E9238F32-85B7-4E7A-8D3B-D428A8F4CDB1}" name="Music" dataDxfId="285"/>
    <tableColumn id="20" xr3:uid="{3FB9A468-7BB0-4E4F-A3BE-A45D7BE62CB8}" name="Navigation" dataDxfId="284"/>
    <tableColumn id="21" xr3:uid="{E07257C1-6E14-4E35-BBC2-2769710D6C16}" name="Pain" dataDxfId="283"/>
    <tableColumn id="22" xr3:uid="{0088A15B-62E9-490B-BEFC-5D47C869BC4E}" name="Painting" dataDxfId="282"/>
    <tableColumn id="23" xr3:uid="{4DF562A8-51F7-43CB-AAB3-BFEF448E69DC}" name="PS" dataDxfId="281"/>
    <tableColumn id="24" xr3:uid="{5D9E40B2-A42C-4AAA-BDA9-3B5CEF2048E3}" name="Puzzle" dataDxfId="280"/>
    <tableColumn id="25" xr3:uid="{28B854D3-3903-4BAC-9B84-90246335220B}" name="Searching" dataDxfId="279"/>
    <tableColumn id="26" xr3:uid="{83F9A041-616F-4577-9C25-0E73DACC2CE1}" name="Selling" dataDxfId="278"/>
    <tableColumn id="27" xr3:uid="{82A9DC8C-99D2-46A7-85C7-0400A2C6E0E5}" name="Singing"/>
    <tableColumn id="28" xr3:uid="{555E914B-864D-49CD-A405-BACB4EF35FE6}" name="Swimming" dataDxfId="277"/>
    <tableColumn id="29" xr3:uid="{B5029F24-E9BB-4CE0-B6C1-FBE22DCF1A10}" name="Travel Issues"/>
  </tableColumns>
  <tableStyleInfo name="TableStyleLight10"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1D9B9E3-C89F-EA40-93B4-379AC9FD7867}" name="Table23" displayName="Table23" ref="B11:N25" totalsRowShown="0" headerRowDxfId="276" totalsRowDxfId="274" headerRowBorderDxfId="275">
  <autoFilter ref="B11:N25" xr:uid="{A1D9B9E3-C89F-EA40-93B4-379AC9FD7867}"/>
  <tableColumns count="13">
    <tableColumn id="1" xr3:uid="{AB6C8A14-8A41-904F-94E0-797E6002A4E3}" name="Leg #" dataDxfId="273" totalsRowDxfId="272"/>
    <tableColumn id="2" xr3:uid="{026723A3-0156-5A40-B6E8-A2E53E61EA8E}" name="Total #" dataDxfId="271" totalsRowDxfId="270"/>
    <tableColumn id="3" xr3:uid="{7CA20104-D2E9-9847-AD1A-303ED27BF3C8}" name="Avg #" dataDxfId="269" totalsRowDxfId="268"/>
    <tableColumn id="4" xr3:uid="{A1C4A39E-BF6E-E144-860C-1DD74258ADDF}" name="Total # " dataDxfId="267" totalsRowDxfId="266"/>
    <tableColumn id="5" xr3:uid="{4DEBACA8-02E3-3D4B-B832-2AC21CEC0C45}" name="Avg # " dataDxfId="265" totalsRowDxfId="264"/>
    <tableColumn id="6" xr3:uid="{59698975-C8EC-4D4E-BF10-EC97F26BE464}" name="Total #  " dataDxfId="263" totalsRowDxfId="262"/>
    <tableColumn id="7" xr3:uid="{41CFA26B-9F3B-AC4F-842A-9D81A8D4E29F}" name=" Avg # " dataDxfId="261" totalsRowDxfId="260"/>
    <tableColumn id="8" xr3:uid="{1000362A-04E0-654A-B09B-04CFF1F40839}" name="Total #   " dataDxfId="259" totalsRowDxfId="258"/>
    <tableColumn id="9" xr3:uid="{4E0A3A74-132E-7541-B852-CDC952861ABA}" name="Avg #   " dataDxfId="257" totalsRowDxfId="256"/>
    <tableColumn id="10" xr3:uid="{DADFF647-FD55-6D41-91D4-B1B86C372809}" name="Total #   2" dataDxfId="255" totalsRowDxfId="254"/>
    <tableColumn id="11" xr3:uid="{7F39A834-1BD4-EC4E-902D-37ECB4A76A4B}" name="Avg #    " dataDxfId="253" totalsRowDxfId="252"/>
    <tableColumn id="12" xr3:uid="{494491E4-1F3E-8E4F-82B4-1259D9EB0798}" name="   Total #   " dataDxfId="251" totalsRowDxfId="250"/>
    <tableColumn id="13" xr3:uid="{0D90A912-8BD4-4E43-83C4-1496F149999A}" name="    Avg #    " dataDxfId="249" totalsRowDxfId="248"/>
  </tableColumns>
  <tableStyleInfo name="TableStyleMedium2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67848F-3E5B-0648-8944-662081495086}" name="Table2" displayName="Table2" ref="B49:AP63" totalsRowShown="0" headerRowBorderDxfId="247">
  <autoFilter ref="B49:AP63" xr:uid="{8267848F-3E5B-0648-8944-662081495086}"/>
  <tableColumns count="41">
    <tableColumn id="1" xr3:uid="{D2B02963-00E2-D04F-A785-BA4D905C9854}" name="Leg #" dataDxfId="246"/>
    <tableColumn id="39" xr3:uid="{9B329A3E-C745-3B46-A872-A982ACF96047}" name="Totals" dataDxfId="245">
      <calculatedColumnFormula>SUM(E50:AP50)</calculatedColumnFormula>
    </tableColumn>
    <tableColumn id="40" xr3:uid="{F7E08E2C-2178-6A44-A6F6-BD5F951FF4E5}" name="Average" dataDxfId="244"/>
    <tableColumn id="2" xr3:uid="{5109A462-DF70-6B41-8FAC-413742BC6333}" name="Season 1" dataDxfId="243"/>
    <tableColumn id="3" xr3:uid="{3115BF95-D37E-3C41-9020-BDF3A9297AAD}" name="Season 2"/>
    <tableColumn id="4" xr3:uid="{41ADD8ED-61C5-6D4B-BD3F-6FA1FCE20173}" name="Season 3"/>
    <tableColumn id="5" xr3:uid="{A51EBC69-86CD-E243-A806-5D992E841793}" name="Season 4"/>
    <tableColumn id="6" xr3:uid="{56AB4E47-01E9-0148-9D77-0F12FB2427E8}" name="Season 5"/>
    <tableColumn id="7" xr3:uid="{D86EDF94-06BD-534E-8665-68C1A55E0DC5}" name="Season 6"/>
    <tableColumn id="8" xr3:uid="{0B01BA8C-A7A6-2744-8BFF-3A648C2B93AA}" name="Season 7"/>
    <tableColumn id="9" xr3:uid="{31CF40F2-B0D3-6C40-9BF5-203086647125}" name="Season 8"/>
    <tableColumn id="10" xr3:uid="{4B42A9CC-5566-AB43-964A-D72E90D4427B}" name="Season 9"/>
    <tableColumn id="11" xr3:uid="{49E52864-61A3-1848-B5AF-06A74CB148BC}" name="Season 10"/>
    <tableColumn id="12" xr3:uid="{409271C9-843D-F849-91C7-CB958B3FED59}" name="Season 11"/>
    <tableColumn id="13" xr3:uid="{2378A21D-289B-FE4D-9D7C-E56F0C35B50E}" name="Season 12"/>
    <tableColumn id="14" xr3:uid="{553BFE2B-FD61-F140-AE22-A1AD70DD410F}" name="Season 13"/>
    <tableColumn id="15" xr3:uid="{1B9A88C1-E8D5-4045-9F53-D20674BD8F57}" name="Season 14"/>
    <tableColumn id="16" xr3:uid="{958C9E42-F980-3E44-ABE4-6742FFF6DB8F}" name="Season 15"/>
    <tableColumn id="17" xr3:uid="{8CBFA3DD-50BE-EA4F-9D79-0281DE4F7CCE}" name="Season 16"/>
    <tableColumn id="18" xr3:uid="{98887893-812B-8844-8BDF-712E3EE1277B}" name="Season 17"/>
    <tableColumn id="19" xr3:uid="{E164F750-D2A1-064B-969B-2354586221F8}" name="Season 18"/>
    <tableColumn id="20" xr3:uid="{4FB552AF-506D-B249-B576-EDAC7CD7C3CD}" name="Season 19"/>
    <tableColumn id="21" xr3:uid="{0D16C3F1-621D-0F43-BAF8-2CE78FBF914B}" name="Season 20"/>
    <tableColumn id="22" xr3:uid="{16CF1137-6905-CE44-9DDA-41DF02690473}" name="Season 21"/>
    <tableColumn id="23" xr3:uid="{9DE64896-FB10-9F46-894D-5E23B7F35A06}" name="Season 22"/>
    <tableColumn id="24" xr3:uid="{8FCC29FD-9F2A-B845-BD18-C11E017ACFC4}" name="Season 23"/>
    <tableColumn id="25" xr3:uid="{52733192-2DBF-964D-A94C-48B0AEEF28CC}" name="Season 24"/>
    <tableColumn id="26" xr3:uid="{3907EF69-8DE2-C147-B20A-67BB54DF0060}" name="Season 25"/>
    <tableColumn id="27" xr3:uid="{A18923DF-C8A3-CD4F-A822-43C501B7B7BF}" name="Season 26"/>
    <tableColumn id="28" xr3:uid="{973488D6-E5B3-E946-AAC1-13A9E63285C1}" name="Season 27"/>
    <tableColumn id="29" xr3:uid="{E3CD6B21-3E9B-5647-8812-3A8165C3D11C}" name="Season 28"/>
    <tableColumn id="30" xr3:uid="{233433FE-8D6A-8E47-885B-EEED8BFDB82D}" name="Season 29"/>
    <tableColumn id="31" xr3:uid="{B60A64F8-AC0A-6D48-AE40-DEDB65748644}" name="Season 30"/>
    <tableColumn id="32" xr3:uid="{247DB635-7510-C64C-BE0F-969274F3E0F6}" name="Season 31"/>
    <tableColumn id="33" xr3:uid="{4F5AC545-C75C-6148-9A92-0EF7A040F37E}" name="Season 32"/>
    <tableColumn id="34" xr3:uid="{4C1234CC-1362-B045-8102-E74A7B129B5B}" name="Season 33"/>
    <tableColumn id="35" xr3:uid="{D62DDF53-A9C2-5749-B795-82FF97A9F7F6}" name="Season 34"/>
    <tableColumn id="36" xr3:uid="{657D6499-1EA5-6849-94F4-B3206D71C599}" name="Season 35"/>
    <tableColumn id="37" xr3:uid="{8CA31574-12C3-3F46-BD5D-AADC2C482367}" name="Season 36"/>
    <tableColumn id="38" xr3:uid="{6D44F1A8-1FEA-F144-A811-1D8E84B7AEC3}" name="Season 37"/>
    <tableColumn id="41" xr3:uid="{00304146-9B62-7140-BDD4-9CAB02A128D1}" name="Season 38" dataDxfId="242">
      <calculatedColumnFormula>STDEV(Table2[[#This Row],[Season 1]:[Season 37]])</calculatedColumnFormula>
    </tableColumn>
  </tableColumns>
  <tableStyleInfo name="TableStyleLight1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3543F0-8C87-7644-8BE4-CEB8C4A39764}" name="Table5" displayName="Table5" ref="B66:AP79" totalsRowShown="0" headerRowBorderDxfId="241">
  <autoFilter ref="B66:AP79" xr:uid="{E43543F0-8C87-7644-8BE4-CEB8C4A39764}"/>
  <tableColumns count="41">
    <tableColumn id="1" xr3:uid="{3FC78C99-9649-F645-B8C8-EE86B44F30C2}" name="# of Challenges" dataDxfId="240"/>
    <tableColumn id="39" xr3:uid="{ED7A8EF4-9AFF-4944-930B-2246C54AE5F8}" name="Totals" dataDxfId="239">
      <calculatedColumnFormula>SUM(E67:AO67)</calculatedColumnFormula>
    </tableColumn>
    <tableColumn id="41" xr3:uid="{F03EB675-E728-AF41-AD4C-E4870782FCEF}" name="%" dataDxfId="238" dataCellStyle="Percent">
      <calculatedColumnFormula>$C67/SUM($C$67:$C$79)</calculatedColumnFormula>
    </tableColumn>
    <tableColumn id="2" xr3:uid="{1E1370BF-354C-F848-80CF-5F786D64D955}" name="Season 1" dataDxfId="237">
      <calculatedColumnFormula>COUNTIF(E$50:E$62, $B67)</calculatedColumnFormula>
    </tableColumn>
    <tableColumn id="3" xr3:uid="{3074D3D7-FFCA-4D4C-AE15-39F0563C7519}" name="Season 2">
      <calculatedColumnFormula>COUNTIF(F$50:F$62, $B67)</calculatedColumnFormula>
    </tableColumn>
    <tableColumn id="4" xr3:uid="{D76285EB-A281-A143-9DFC-6BDC8BAA893F}" name="Season 3" dataDxfId="236">
      <calculatedColumnFormula>COUNTIF(G$50:G$62, $B67)</calculatedColumnFormula>
    </tableColumn>
    <tableColumn id="5" xr3:uid="{60009209-169F-404A-859A-5A13FDAE6CE4}" name="Season 4">
      <calculatedColumnFormula>COUNTIF(H$50:H$62, $B67)</calculatedColumnFormula>
    </tableColumn>
    <tableColumn id="6" xr3:uid="{FAEAF77F-970B-0347-B5AF-89D7686B3E72}" name="Season 5">
      <calculatedColumnFormula>COUNTIF(I$50:I$62, $B67)</calculatedColumnFormula>
    </tableColumn>
    <tableColumn id="7" xr3:uid="{2671EBE7-7F1D-2144-A09C-2E7BC3FC9365}" name="Season 6">
      <calculatedColumnFormula>COUNTIF(J$50:J$62, $B67)</calculatedColumnFormula>
    </tableColumn>
    <tableColumn id="8" xr3:uid="{C4E1D87B-AB50-6441-A4A8-3FC01C29B1ED}" name="Season 7">
      <calculatedColumnFormula>COUNTIF(K$50:K$62, $B67)</calculatedColumnFormula>
    </tableColumn>
    <tableColumn id="9" xr3:uid="{ECA22A27-116E-D940-A395-0C7D06058E45}" name="Season 8">
      <calculatedColumnFormula>COUNTIF(L$50:L$62, $B67)</calculatedColumnFormula>
    </tableColumn>
    <tableColumn id="10" xr3:uid="{E9B6481B-2FB9-DB42-BDDE-5239B7CB3608}" name="Season 9">
      <calculatedColumnFormula>COUNTIF(M$50:M$62, $B67)</calculatedColumnFormula>
    </tableColumn>
    <tableColumn id="11" xr3:uid="{5E6C4EF5-00F3-1346-BD96-475DC3E06375}" name="Season 10">
      <calculatedColumnFormula>COUNTIF(N$50:N$62, $B67)</calculatedColumnFormula>
    </tableColumn>
    <tableColumn id="12" xr3:uid="{71D6B993-2DF7-FF43-BEAA-D5581808BBDC}" name="Season 11">
      <calculatedColumnFormula>COUNTIF(O$50:O$62, $B67)</calculatedColumnFormula>
    </tableColumn>
    <tableColumn id="13" xr3:uid="{BAF6EFD9-FB29-D64A-B079-ACC73514ABC0}" name="Season 12">
      <calculatedColumnFormula>COUNTIF(P$50:P$62, $B67)</calculatedColumnFormula>
    </tableColumn>
    <tableColumn id="14" xr3:uid="{74603038-835E-3B41-81F0-A026356204BD}" name="Season 13">
      <calculatedColumnFormula>COUNTIF(Q$50:Q$62, $B67)</calculatedColumnFormula>
    </tableColumn>
    <tableColumn id="15" xr3:uid="{2DD36032-552C-E847-8663-A37E4CC0A20A}" name="Season 14">
      <calculatedColumnFormula>COUNTIF(R$50:R$62, $B67)</calculatedColumnFormula>
    </tableColumn>
    <tableColumn id="16" xr3:uid="{8328AF41-2115-7C40-927C-8F2F70714911}" name="Season 15">
      <calculatedColumnFormula>COUNTIF(S$50:S$62, $B67)</calculatedColumnFormula>
    </tableColumn>
    <tableColumn id="17" xr3:uid="{AB3C0383-0C9B-FE42-B739-9E2D8F246B3D}" name="Season 16">
      <calculatedColumnFormula>COUNTIF(T$50:T$62, $B67)</calculatedColumnFormula>
    </tableColumn>
    <tableColumn id="18" xr3:uid="{47F03711-32C9-E64F-8F6E-D1FC04288BCC}" name="Season 17">
      <calculatedColumnFormula>COUNTIF(U$50:U$62, $B67)</calculatedColumnFormula>
    </tableColumn>
    <tableColumn id="19" xr3:uid="{32244BC3-ED2D-1B4A-8EBF-9F658763A8FC}" name="Season 18">
      <calculatedColumnFormula>COUNTIF(V$50:V$62, $B67)</calculatedColumnFormula>
    </tableColumn>
    <tableColumn id="20" xr3:uid="{82762A2C-D658-864E-A591-F1F9DFC73BDD}" name="Season 19">
      <calculatedColumnFormula>COUNTIF(W$50:W$62, $B67)</calculatedColumnFormula>
    </tableColumn>
    <tableColumn id="21" xr3:uid="{58AD2318-C79D-E94E-9A92-4F52523D9E01}" name="Season 20">
      <calculatedColumnFormula>COUNTIF(X$50:X$62, $B67)</calculatedColumnFormula>
    </tableColumn>
    <tableColumn id="22" xr3:uid="{1A38F315-5227-0C4F-AC8D-12B6ABB7A892}" name="Season 21">
      <calculatedColumnFormula>COUNTIF(Y$50:Y$62, $B67)</calculatedColumnFormula>
    </tableColumn>
    <tableColumn id="23" xr3:uid="{CABB46C7-43A1-0E46-AEE8-AE144177D887}" name="Season 22">
      <calculatedColumnFormula>COUNTIF(Z$50:Z$62, $B67)</calculatedColumnFormula>
    </tableColumn>
    <tableColumn id="24" xr3:uid="{F105F750-7750-E04D-B1B8-48C1098E8027}" name="Season 23">
      <calculatedColumnFormula>COUNTIF(AA$50:AA$62, $B67)</calculatedColumnFormula>
    </tableColumn>
    <tableColumn id="25" xr3:uid="{ADE871FB-CE0D-7943-8E21-5B19E57F7136}" name="Season 24">
      <calculatedColumnFormula>COUNTIF(AB$50:AB$62, $B67)</calculatedColumnFormula>
    </tableColumn>
    <tableColumn id="26" xr3:uid="{7A39566E-C041-C14C-A22C-9EE5D1F8DB1C}" name="Season 25">
      <calculatedColumnFormula>COUNTIF(AC$50:AC$62, $B67)</calculatedColumnFormula>
    </tableColumn>
    <tableColumn id="27" xr3:uid="{B4484856-0F53-B541-88CB-D8C5542A57F1}" name="Season 26">
      <calculatedColumnFormula>COUNTIF(AD$50:AD$62, $B67)</calculatedColumnFormula>
    </tableColumn>
    <tableColumn id="28" xr3:uid="{4FA5E4D1-B7D8-D149-AA86-3008639413C9}" name="Season 27">
      <calculatedColumnFormula>COUNTIF(AE$50:AE$62, $B67)</calculatedColumnFormula>
    </tableColumn>
    <tableColumn id="29" xr3:uid="{231A749D-E6E0-E848-ACA1-C5F40C745A06}" name="Season 28">
      <calculatedColumnFormula>COUNTIF(AF$50:AF$62, $B67)</calculatedColumnFormula>
    </tableColumn>
    <tableColumn id="30" xr3:uid="{08BA6AB3-77BF-C44E-B187-BC9CE03D78DA}" name="Season 29">
      <calculatedColumnFormula>COUNTIF(AG$50:AG$62, $B67)</calculatedColumnFormula>
    </tableColumn>
    <tableColumn id="31" xr3:uid="{6D39DE3E-6331-7C48-89C4-6774CD913EA1}" name="Season 30">
      <calculatedColumnFormula>COUNTIF(AH$50:AH$62, $B67)</calculatedColumnFormula>
    </tableColumn>
    <tableColumn id="32" xr3:uid="{E7BE0479-FE0E-C64E-9B80-195B4717139F}" name="Season 31">
      <calculatedColumnFormula>COUNTIF(AI$50:AI$62, $B67)</calculatedColumnFormula>
    </tableColumn>
    <tableColumn id="33" xr3:uid="{3798DE04-FD8D-1A49-86F0-78E9349D2535}" name="Season 32">
      <calculatedColumnFormula>COUNTIF(AJ$50:AJ$62, $B67)</calculatedColumnFormula>
    </tableColumn>
    <tableColumn id="34" xr3:uid="{174A0DB2-6FD5-5A40-A0DA-F7C2DD3FDB87}" name="Season 33">
      <calculatedColumnFormula>COUNTIF(AK$50:AK$62, $B67)</calculatedColumnFormula>
    </tableColumn>
    <tableColumn id="35" xr3:uid="{9EFEB2C2-6053-FA4F-B177-08C2340B39F0}" name="Season 34">
      <calculatedColumnFormula>COUNTIF(AL$50:AL$62, $B67)</calculatedColumnFormula>
    </tableColumn>
    <tableColumn id="36" xr3:uid="{071B5891-A137-8243-AFC1-F76E116EFF7D}" name="Season 35">
      <calculatedColumnFormula>COUNTIF(AM$50:AM$62, $B67)</calculatedColumnFormula>
    </tableColumn>
    <tableColumn id="37" xr3:uid="{E8A30633-3CCC-B74F-A127-4808F932BB5A}" name="Season 36">
      <calculatedColumnFormula>COUNTIF(AN$50:AN$62, $B67)</calculatedColumnFormula>
    </tableColumn>
    <tableColumn id="38" xr3:uid="{70AE4E8E-EE60-494F-8CED-9A59583C1CBC}" name="Season 37" dataDxfId="235">
      <calculatedColumnFormula>COUNTIF(AO$50:AO$62, $B67)</calculatedColumnFormula>
    </tableColumn>
    <tableColumn id="40" xr3:uid="{AB05BEA8-75B3-DB4C-A1F4-BBCA3C0E2C28}" name="Season 38" dataDxfId="234">
      <calculatedColumnFormula>COUNTIF(AP$50:AP$62, $B67)</calculatedColumnFormula>
    </tableColumn>
  </tableColumns>
  <tableStyleInfo name="TableStyleLight17"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152722-73C0-104F-9336-8A70A0AE98EF}" name="Table10" displayName="Table10" ref="B82:O95" totalsRowShown="0" headerRowDxfId="233" dataDxfId="231" headerRowBorderDxfId="232" dataCellStyle="Percent">
  <autoFilter ref="B82:O95" xr:uid="{1B152722-73C0-104F-9336-8A70A0AE98EF}"/>
  <tableColumns count="14">
    <tableColumn id="1" xr3:uid="{0DCE8DF6-648D-F246-9B53-6684B32B3DC9}" name="# of Challenges" dataDxfId="230"/>
    <tableColumn id="2" xr3:uid="{4B484ED6-7514-3243-8050-000B3C94F090}" name="1" dataDxfId="229" dataCellStyle="Percent">
      <calculatedColumnFormula>COUNTIF($E50:$AP50, C$82)/COUNTA($E50:$AP50)</calculatedColumnFormula>
    </tableColumn>
    <tableColumn id="3" xr3:uid="{DA6E6059-3EE4-A940-AA82-1CE41D1CA2FE}" name="2" dataDxfId="228" dataCellStyle="Percent">
      <calculatedColumnFormula>COUNTIF($E50:$AP50, D$82)/COUNTA($E50:$AP50)</calculatedColumnFormula>
    </tableColumn>
    <tableColumn id="4" xr3:uid="{890C0C8F-1AE0-7945-A8D0-4FE5CD00FF70}" name="3" dataDxfId="227" dataCellStyle="Percent">
      <calculatedColumnFormula>COUNTIF($E50:$AP50, E$82)/COUNTA($E50:$AP50)</calculatedColumnFormula>
    </tableColumn>
    <tableColumn id="5" xr3:uid="{A9513950-8B5F-5249-807A-29CB785430E2}" name="4" dataDxfId="226" dataCellStyle="Percent">
      <calculatedColumnFormula>COUNTIF($E50:$AP50, F$82)/COUNTA($E50:$AP50)</calculatedColumnFormula>
    </tableColumn>
    <tableColumn id="6" xr3:uid="{BBE9198E-B630-3E48-88CB-8E22ACC2FC36}" name="5" dataDxfId="225" dataCellStyle="Percent">
      <calculatedColumnFormula>COUNTIF($E50:$AP50, G$82)/COUNTA($E50:$AP50)</calculatedColumnFormula>
    </tableColumn>
    <tableColumn id="7" xr3:uid="{D142F5E6-ABC2-3043-94A0-675BE638BDE2}" name="6" dataDxfId="224" dataCellStyle="Percent">
      <calculatedColumnFormula>COUNTIF($E50:$AP50, H$82)/COUNTA($E50:$AP50)</calculatedColumnFormula>
    </tableColumn>
    <tableColumn id="8" xr3:uid="{EDF67F0A-F299-D642-AB4F-42C2107CD0E1}" name="7" dataDxfId="223" dataCellStyle="Percent">
      <calculatedColumnFormula>COUNTIF($E50:$AP50, I$82)/COUNTA($E50:$AP50)</calculatedColumnFormula>
    </tableColumn>
    <tableColumn id="9" xr3:uid="{42F20419-3505-C24F-AF92-BA3A98017D50}" name="8" dataDxfId="222" dataCellStyle="Percent">
      <calculatedColumnFormula>COUNTIF($E50:$AP50, J$82)/COUNTA($E50:$AP50)</calculatedColumnFormula>
    </tableColumn>
    <tableColumn id="10" xr3:uid="{7ED4C4E4-507F-6449-A53E-4FC8464F2E8B}" name="9" dataDxfId="221" dataCellStyle="Percent">
      <calculatedColumnFormula>COUNTIF($E50:$AP50, K$82)/COUNTA($E50:$AP50)</calculatedColumnFormula>
    </tableColumn>
    <tableColumn id="11" xr3:uid="{EDB14A8F-D269-D14D-B89D-13586B6DDA62}" name="10" dataDxfId="220" dataCellStyle="Percent">
      <calculatedColumnFormula>COUNTIF($E50:$AP50, L$82)/COUNTA($E50:$AP50)</calculatedColumnFormula>
    </tableColumn>
    <tableColumn id="12" xr3:uid="{6948FF1C-E006-3348-9262-BEBA8007CB12}" name="11" dataDxfId="219" dataCellStyle="Percent">
      <calculatedColumnFormula>COUNTIF($E50:$AP50, M$82)/COUNTA($E50:$AP50)</calculatedColumnFormula>
    </tableColumn>
    <tableColumn id="13" xr3:uid="{25C4532E-6F5B-8E4B-9FD9-DD2B8D28F9C1}" name="12" dataDxfId="218" dataCellStyle="Percent">
      <calculatedColumnFormula>COUNTIF($E50:$AP50, N$82)/COUNTA($E50:$AP50)</calculatedColumnFormula>
    </tableColumn>
    <tableColumn id="14" xr3:uid="{FD5023A7-D0D1-9448-8071-699B1BE906A4}" name="13" dataDxfId="217" dataCellStyle="Percent">
      <calculatedColumnFormula>COUNTIF($E50:$AP50, O$82)/COUNTA($E50:$AP50)</calculatedColumnFormula>
    </tableColumn>
  </tableColumns>
  <tableStyleInfo name="TableStyleLight17"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D261E3C-AEC8-8742-99CC-605CAA8B48A2}" name="Table12" displayName="Table12" ref="B155:O163" totalsRowShown="0" headerRowDxfId="216" dataDxfId="215">
  <autoFilter ref="B155:O163" xr:uid="{9D261E3C-AEC8-8742-99CC-605CAA8B48A2}"/>
  <tableColumns count="14">
    <tableColumn id="1" xr3:uid="{3D9E7759-9302-5B48-8D6D-A4AB84E26C26}" name="Season #"/>
    <tableColumn id="2" xr3:uid="{EC8E06BA-E803-9344-9F8B-180F1E823594}" name="Leg 1" dataDxfId="214"/>
    <tableColumn id="3" xr3:uid="{2FF95392-160E-5147-A0C2-7C940FA6C3F6}" name="Leg 2" dataDxfId="213"/>
    <tableColumn id="4" xr3:uid="{F1B1B622-7454-264E-A897-01106566D076}" name="Leg 3" dataDxfId="212"/>
    <tableColumn id="5" xr3:uid="{ECA13C2A-9625-5241-AEC4-42FFD43F8B51}" name="Leg 4" dataDxfId="211"/>
    <tableColumn id="6" xr3:uid="{56A3EB6A-B34F-B043-8966-1D2B9C84E60D}" name="Leg 5" dataDxfId="210"/>
    <tableColumn id="7" xr3:uid="{5DC9C0E1-C545-9F42-A0A2-360D0E8AB0A3}" name="Leg 6" dataDxfId="209"/>
    <tableColumn id="8" xr3:uid="{EFDCD9D0-8387-6747-819D-F2FBA99D84C7}" name="Leg 7" dataDxfId="208"/>
    <tableColumn id="9" xr3:uid="{CCFC16B0-DDA8-EC45-9873-09A57EB51AE7}" name="Leg 8" dataDxfId="207"/>
    <tableColumn id="10" xr3:uid="{54475801-4E77-0B40-BD97-2EE66FE07C20}" name="Leg 9" dataDxfId="206"/>
    <tableColumn id="11" xr3:uid="{7CB8009E-10DB-EC41-91D6-DC96B6F9ACF3}" name="Leg 10" dataDxfId="205"/>
    <tableColumn id="12" xr3:uid="{6257D8EB-E585-CD4C-B5EF-63FA2AC44AC0}" name="Leg 11" dataDxfId="204"/>
    <tableColumn id="13" xr3:uid="{5DE860DB-C74F-6041-89AB-A6810E33481A}" name="Leg 12" dataDxfId="203"/>
    <tableColumn id="14" xr3:uid="{16083193-C8FE-8949-BC1E-7C99BB4A39D3}" name="Leg 13" dataDxfId="202"/>
  </tableColumns>
  <tableStyleInfo name="TableStyleLight17"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71129F-1986-7F41-83CE-748EE55F69FD}" name="Table13" displayName="Table13" ref="B166:O205" totalsRowShown="0" headerRowDxfId="201" dataDxfId="200">
  <autoFilter ref="B166:O205" xr:uid="{8D71129F-1986-7F41-83CE-748EE55F69FD}"/>
  <tableColumns count="14">
    <tableColumn id="1" xr3:uid="{CD1BC7ED-9D3B-F34A-A386-1246C55F7EA2}" name="Season #" dataDxfId="199"/>
    <tableColumn id="2" xr3:uid="{1E07807B-2DF5-9149-9C30-E7820E0184BC}" name="Leg 1" dataDxfId="198"/>
    <tableColumn id="3" xr3:uid="{67E2F638-B4CC-7445-8306-F336563E2ADF}" name="Leg 2" dataDxfId="197"/>
    <tableColumn id="4" xr3:uid="{D36D2E22-85D1-134A-B0FA-B684F9E04467}" name="Leg 3" dataDxfId="196"/>
    <tableColumn id="5" xr3:uid="{B94B0A1E-53FE-7940-8C51-C6B0BE4A41C7}" name="Leg 4" dataDxfId="195"/>
    <tableColumn id="6" xr3:uid="{EA5CC7D1-168C-E644-8C5E-5FEF631DB277}" name="Leg 5" dataDxfId="194"/>
    <tableColumn id="7" xr3:uid="{012F301F-AB0B-1E4F-9F9B-74C08D06B1AC}" name="Leg 6" dataDxfId="193"/>
    <tableColumn id="8" xr3:uid="{A2EA16C3-A964-BF42-A8A4-8B70C45D315A}" name="Leg 7" dataDxfId="192"/>
    <tableColumn id="9" xr3:uid="{9E11C2DF-E530-C54E-97BE-139D6F9EBF24}" name="Leg 8" dataDxfId="191"/>
    <tableColumn id="10" xr3:uid="{E0043300-EC45-7949-94A1-C24F507C4C86}" name="Leg 9" dataDxfId="190"/>
    <tableColumn id="11" xr3:uid="{2E5E9BAB-F7FF-574D-99AF-02E7C0CD39BE}" name="Leg 10" dataDxfId="189"/>
    <tableColumn id="12" xr3:uid="{F5A3EC38-8A94-3B44-B932-D7209D66A378}" name="Leg 11" dataDxfId="188"/>
    <tableColumn id="13" xr3:uid="{2B34497A-B2AC-3B4F-B2CE-FED76D983FA5}" name="Leg 12" dataDxfId="187"/>
    <tableColumn id="14" xr3:uid="{6024843D-9353-A642-889A-EE7AA8AA1F03}" name="Leg 13" dataDxfId="186"/>
  </tableColumns>
  <tableStyleInfo name="TableStyleLight17"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EA1420E-6486-6544-BDC7-442264325889}" name="Table14" displayName="Table14" ref="B208:O247" totalsRowShown="0" headerRowDxfId="185" dataDxfId="184">
  <autoFilter ref="B208:O247" xr:uid="{CEA1420E-6486-6544-BDC7-442264325889}"/>
  <tableColumns count="14">
    <tableColumn id="1" xr3:uid="{0D869B77-C720-7245-BE71-12EF573AC9CF}" name="Season #" dataDxfId="183"/>
    <tableColumn id="2" xr3:uid="{BE3C65E8-E8D5-8240-9548-49363CCFDB78}" name="Leg 1" dataDxfId="182"/>
    <tableColumn id="3" xr3:uid="{8D11C3B2-1EFF-7644-9961-A092434E4CFF}" name="Leg 2" dataDxfId="181"/>
    <tableColumn id="4" xr3:uid="{E1E147CE-476B-694A-BA97-33CF1C8132B4}" name="Leg 3" dataDxfId="180"/>
    <tableColumn id="5" xr3:uid="{AD77445E-FBF8-AA4E-B160-C4B807533F80}" name="Leg 4" dataDxfId="179"/>
    <tableColumn id="6" xr3:uid="{7F9A752A-144F-4A4F-A7CC-D51E9A2E1701}" name="Leg 5" dataDxfId="178"/>
    <tableColumn id="7" xr3:uid="{6D54FFC1-3F6E-FC47-BFF6-B2DA95728814}" name="Leg 6" dataDxfId="177"/>
    <tableColumn id="8" xr3:uid="{73A7935B-7896-A04B-AD30-C970BA8A6099}" name="Leg 7" dataDxfId="176"/>
    <tableColumn id="9" xr3:uid="{890BC869-8165-AA48-8363-CAFECC96E8B7}" name="Leg 8" dataDxfId="175"/>
    <tableColumn id="10" xr3:uid="{50DFC64C-8B7B-084D-936D-DC1B7F93212D}" name="Leg 9" dataDxfId="174"/>
    <tableColumn id="11" xr3:uid="{04481705-6148-F74C-AD2E-B88ED7CDAB8F}" name="Leg 10" dataDxfId="173"/>
    <tableColumn id="12" xr3:uid="{DB38E0EC-0126-B744-A6BB-5A8C348E44A0}" name="Leg 11" dataDxfId="172"/>
    <tableColumn id="13" xr3:uid="{A69EF7B3-AA8A-1F49-9A2B-93ADB93D8819}" name="Leg 12" dataDxfId="171"/>
    <tableColumn id="14" xr3:uid="{7670EB85-DC6C-BA4A-BE53-F7E9E6C59828}" name="Leg 13" dataDxfId="170"/>
  </tableColumns>
  <tableStyleInfo name="TableStyleLight17"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7E580A1-13B7-AD47-BCE1-D3A97C5EACAE}" name="Table1412" displayName="Table1412" ref="B250:O289" totalsRowShown="0" headerRowDxfId="169" dataDxfId="168">
  <autoFilter ref="B250:O289" xr:uid="{C7E580A1-13B7-AD47-BCE1-D3A97C5EACAE}"/>
  <tableColumns count="14">
    <tableColumn id="1" xr3:uid="{C1D383E2-CF31-F440-A16D-6F6B8F8AEA68}" name="Season #" dataDxfId="167"/>
    <tableColumn id="2" xr3:uid="{5A8B9334-E126-6148-84E5-5C13E4C2C9EA}" name="Leg 1" dataDxfId="166"/>
    <tableColumn id="3" xr3:uid="{44F362F0-5090-F14E-91B9-B13E1C7FA15D}" name="Leg 2" dataDxfId="165"/>
    <tableColumn id="4" xr3:uid="{999A0070-9E71-7C49-8682-8355029E2CBF}" name="Leg 3" dataDxfId="164"/>
    <tableColumn id="5" xr3:uid="{7120CB9F-693F-4F48-8B0E-96EEF3C2357A}" name="Leg 4" dataDxfId="163"/>
    <tableColumn id="6" xr3:uid="{8E182FDF-AF12-BF42-8719-DAEA407A3DEA}" name="Leg 5" dataDxfId="162"/>
    <tableColumn id="7" xr3:uid="{B5593505-CFB4-0945-94FA-56D43ED0DE01}" name="Leg 6" dataDxfId="161"/>
    <tableColumn id="8" xr3:uid="{3E0EE688-6296-9845-974C-A8D4EF1977C7}" name="Leg 7" dataDxfId="160"/>
    <tableColumn id="9" xr3:uid="{D533CB7A-3F0D-8E4B-B4D7-58E9678C5616}" name="Leg 8" dataDxfId="159"/>
    <tableColumn id="10" xr3:uid="{BDBC1E12-7488-6440-BAEB-558F1D7C2CF3}" name="Leg 9" dataDxfId="158"/>
    <tableColumn id="11" xr3:uid="{6D024CF4-427D-F646-828C-C63459A2A552}" name="Leg 10" dataDxfId="157"/>
    <tableColumn id="12" xr3:uid="{4318E03D-2EB2-4F40-B711-24B646F9B9F4}" name="Leg 11" dataDxfId="156"/>
    <tableColumn id="13" xr3:uid="{44B90E31-5B87-0940-8AEE-37CEC460F4D0}" name="Leg 12" dataDxfId="155"/>
    <tableColumn id="14" xr3:uid="{00B8BDC9-AE8C-9040-BE1C-4B309B7D88DC}" name="Leg 13" dataDxfId="154"/>
  </tableColumns>
  <tableStyleInfo name="TableStyleLight17"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395D06F-A030-294D-9D39-77799A2854B6}" name="Table28" displayName="Table28" ref="B98:D151" totalsRowShown="0" headerRowBorderDxfId="153">
  <autoFilter ref="B98:D151" xr:uid="{6395D06F-A030-294D-9D39-77799A2854B6}"/>
  <tableColumns count="3">
    <tableColumn id="1" xr3:uid="{C7746849-F09C-6840-BB19-846B70B4AE9C}" name="Season #"/>
    <tableColumn id="2" xr3:uid="{1293CA4D-23AA-CD40-8FD8-E50B26EA18C9}" name="Leg #"/>
    <tableColumn id="3" xr3:uid="{A97A7E59-6DA0-0741-A3BA-192BF7978CE1}" name="Challenge #" dataDxfId="152" dataCellStyle="Percent"/>
  </tableColumns>
  <tableStyleInfo name="TableStyleMedium10"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4071714-9263-E846-8E32-9C0132BA91DC}" name="Table29" displayName="Table29" ref="F100:G113" totalsRowShown="0" headerRowDxfId="151" dataDxfId="150" headerRowCellStyle="Percent" dataCellStyle="Percent">
  <autoFilter ref="F100:G113" xr:uid="{B4071714-9263-E846-8E32-9C0132BA91DC}"/>
  <tableColumns count="2">
    <tableColumn id="1" xr3:uid="{460E3B0C-9EC0-8046-8BE1-3B4E3D7F05DD}" name="Leg #" dataDxfId="149" dataCellStyle="Percent"/>
    <tableColumn id="2" xr3:uid="{158B68AF-68B4-0449-A81F-22321EAD6E5C}" name="# of Seasons" dataDxfId="148" dataCellStyle="Percent">
      <calculatedColumnFormula>COUNTIF($C$99:$C$147, F101)</calculatedColumnFormula>
    </tableColumn>
  </tableColumns>
  <tableStyleInfo name="TableStyleMedium3"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2C3B6F-955C-154E-99A1-72D03E7FA5FB}" name="Table2931" displayName="Table2931" ref="F116:G129" totalsRowShown="0" headerRowDxfId="147" dataDxfId="146" headerRowCellStyle="Percent" dataCellStyle="Percent">
  <autoFilter ref="F116:G129" xr:uid="{952C3B6F-955C-154E-99A1-72D03E7FA5FB}"/>
  <tableColumns count="2">
    <tableColumn id="1" xr3:uid="{806CEEC1-86CF-E44D-AF59-5A2F705988D9}" name="Challenge #" dataDxfId="145" dataCellStyle="Percent"/>
    <tableColumn id="2" xr3:uid="{4FEEBC57-FFE1-0D43-A9AA-B2150C47AF8F}" name="# of Seasons" dataDxfId="144" dataCellStyle="Percent">
      <calculatedColumnFormula>COUNTIF($D$99:$D$147, Table2931[[#This Row],[Challenge '#]])</calculatedColumnFormula>
    </tableColumn>
  </tableColumns>
  <tableStyleInfo name="TableStyleMedium3"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773C2D6-B463-BA44-95FA-1247CBADC2AE}" name="Table24" displayName="Table24" ref="B11:U25" totalsRowShown="0" headerRowBorderDxfId="143">
  <autoFilter ref="B11:U25" xr:uid="{A773C2D6-B463-BA44-95FA-1247CBADC2AE}"/>
  <tableColumns count="20">
    <tableColumn id="1" xr3:uid="{89A05322-537A-004C-BC99-1975C16753CE}" name="Challenge #" dataDxfId="142"/>
    <tableColumn id="2" xr3:uid="{9603578F-2D78-844F-9E0A-D6E9F58FA260}" name="Total #" dataDxfId="141"/>
    <tableColumn id="3" xr3:uid="{218F4C7B-DED6-1F4F-B62F-AFE245D65AB4}" name="%" dataDxfId="140" dataCellStyle="Percent"/>
    <tableColumn id="4" xr3:uid="{0D0AF720-19E3-A34D-AD0C-AB9FCDA4E38D}" name="% of Chal" dataDxfId="139" dataCellStyle="Percent"/>
    <tableColumn id="5" xr3:uid="{EA961AE9-D0E6-9446-8AA8-0ACC50AE37F8}" name="Total # " dataDxfId="138"/>
    <tableColumn id="6" xr3:uid="{ABFCD8E5-FBA8-DB4E-9663-12456D9DCD8C}" name="% " dataDxfId="137" dataCellStyle="Percent"/>
    <tableColumn id="7" xr3:uid="{7B7383CE-DF67-3945-8042-3FFD5E98D255}" name="% of Chal " dataDxfId="136" dataCellStyle="Percent"/>
    <tableColumn id="8" xr3:uid="{643FC3B2-9A70-A546-B1C9-C2EE408088FD}" name="Total #   " dataDxfId="135"/>
    <tableColumn id="9" xr3:uid="{84752A48-8FEE-814F-A852-BACAC8E1959D}" name="%  " dataDxfId="134" dataCellStyle="Percent"/>
    <tableColumn id="10" xr3:uid="{5A5FDBA6-4F5E-894F-BBA6-1704468A538A}" name="% of Chal  " dataDxfId="133" dataCellStyle="Percent"/>
    <tableColumn id="11" xr3:uid="{BA14F072-6379-A242-88A0-C57CBCEBA293}" name="Total #   2" dataDxfId="132"/>
    <tableColumn id="12" xr3:uid="{9EBF5682-0BFF-7546-B570-6BA9CC6258B1}" name="%   " dataDxfId="131" dataCellStyle="Percent"/>
    <tableColumn id="13" xr3:uid="{AE9DCCCF-0DD5-1C41-BD9D-30135ED3F4CF}" name=" % of Chal  " dataDxfId="130" dataCellStyle="Percent"/>
    <tableColumn id="14" xr3:uid="{2B436C47-341D-CC41-9572-2DF63E051A4A}" name="  Total #    " dataDxfId="129"/>
    <tableColumn id="15" xr3:uid="{75BBA1DF-C2B3-2743-B126-93983260F5B2}" name="%    " dataDxfId="128" dataCellStyle="Percent"/>
    <tableColumn id="16" xr3:uid="{EFA44574-B206-6648-8F35-FC35C3FC0B62}" name="% of Chal   " dataDxfId="127" dataCellStyle="Percent"/>
    <tableColumn id="17" xr3:uid="{0CD85336-FE51-314F-852A-A428CDCB0FB8}" name="Total #    " dataDxfId="126"/>
    <tableColumn id="18" xr3:uid="{3F5F7F74-E6AF-EB4D-8344-0D97BADF061C}" name="  %    " dataDxfId="125" dataCellStyle="Percent"/>
    <tableColumn id="19" xr3:uid="{C6315A3D-ECEB-D64A-96D1-1D94B9B84E85}" name="   % of Chal   " dataDxfId="124" dataCellStyle="Percent"/>
    <tableColumn id="20" xr3:uid="{6269F375-EBF6-3A44-AF0B-54B97D073041}" name="Total #    2" dataDxfId="123"/>
  </tableColumns>
  <tableStyleInfo name="TableStyleMedium24"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74DB1C-2C4E-804C-B515-DC660ED86394}" name="Table1" displayName="Table1" ref="B9:D53" totalsRowShown="0">
  <autoFilter ref="B9:D53" xr:uid="{8874DB1C-2C4E-804C-B515-DC660ED86394}"/>
  <tableColumns count="3">
    <tableColumn id="1" xr3:uid="{1C60E721-F2F0-2440-9777-E004E78F81CC}" name="Season" dataDxfId="122"/>
    <tableColumn id="2" xr3:uid="{59C6FB4B-98B3-C343-B78A-C7290DB1C3C8}" name="Elim" dataDxfId="121"/>
    <tableColumn id="3" xr3:uid="{84B8DD7B-24A8-8448-BC1D-EABAA8495177}" name="NonElim" dataDxfId="120"/>
  </tableColumns>
  <tableStyleInfo name="TableStyleMedium7"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F2E010-88E3-4B49-85B7-780F4754B88D}" name="Table4" displayName="Table4" ref="F57:L69" totalsRowShown="0" headerRowDxfId="119" headerRowBorderDxfId="118">
  <autoFilter ref="F57:L69" xr:uid="{E5F2E010-88E3-4B49-85B7-780F4754B88D}"/>
  <tableColumns count="7">
    <tableColumn id="1" xr3:uid="{986E7163-C731-B84E-B922-7CA0523244DD}" name="Leg #" dataDxfId="117"/>
    <tableColumn id="2" xr3:uid="{E19BDB05-08CC-5E47-8953-BB0891F3895C}" name="Total #" dataDxfId="116"/>
    <tableColumn id="3" xr3:uid="{5F35EA0E-EF34-274E-9C11-8F75DA7AA28F}" name="% of Total" dataDxfId="115" dataCellStyle="Percent">
      <calculatedColumnFormula>$G58/$C$48</calculatedColumnFormula>
    </tableColumn>
    <tableColumn id="4" xr3:uid="{7F4ABD96-E6C2-F746-B67E-7B9E1A4450DE}" name="% per Leg" dataDxfId="114" dataCellStyle="Percent">
      <calculatedColumnFormula>G58/SUM(G58,J58)</calculatedColumnFormula>
    </tableColumn>
    <tableColumn id="5" xr3:uid="{CCA9D1DF-C693-7F45-AFE2-D6A1352291F2}" name="Total # " dataDxfId="113"/>
    <tableColumn id="6" xr3:uid="{1FAC5D31-8DC1-4743-B6C6-32977B9146E5}" name="% of Total " dataDxfId="112" dataCellStyle="Percent">
      <calculatedColumnFormula>$J58/$D$48</calculatedColumnFormula>
    </tableColumn>
    <tableColumn id="7" xr3:uid="{32FF0A1E-7142-E249-A8E1-46A97ACE6129}" name="% per Leg " dataDxfId="111" dataCellStyle="Percent">
      <calculatedColumnFormula>J58/SUM(G58,J58)</calculatedColumnFormula>
    </tableColumn>
  </tableColumns>
  <tableStyleInfo name="TableStyleLight7"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ADA289-280D-E545-9BC9-61FC3E125A83}" name="Table6" displayName="Table6" ref="N59:S101" totalsRowShown="0" headerRowDxfId="110" headerRowBorderDxfId="109">
  <autoFilter ref="N59:S101" xr:uid="{E8ADA289-280D-E545-9BC9-61FC3E125A83}"/>
  <tableColumns count="6">
    <tableColumn id="1" xr3:uid="{CA5DA9CA-22A3-E546-B4B7-F7887D51B9AD}" name="Season" dataDxfId="108"/>
    <tableColumn id="2" xr3:uid="{F6FC82C4-0450-3545-9481-BFBE8E239982}" name="First Gap"/>
    <tableColumn id="3" xr3:uid="{EF792E60-F568-134A-AC17-0489903046F5}" name="Second Gap"/>
    <tableColumn id="4" xr3:uid="{954CA60C-D6EC-A64E-8622-4ABF7DFD2941}" name="Third Gap"/>
    <tableColumn id="5" xr3:uid="{90D37314-42EB-8741-B112-7EACA165C3D5}" name="Final Gap"/>
    <tableColumn id="6" xr3:uid="{B3ABC16C-3464-CE49-A018-04C4D5989D7D}" name="Average"/>
  </tableColumns>
  <tableStyleInfo name="TableStyleMedium2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848F6E-DC00-5D48-92A6-036E0C75935D}" name="Table7" displayName="Table7" ref="U58:V101" totalsRowShown="0" headerRowBorderDxfId="107">
  <autoFilter ref="U58:V101" xr:uid="{C1848F6E-DC00-5D48-92A6-036E0C75935D}"/>
  <tableColumns count="2">
    <tableColumn id="1" xr3:uid="{4019F8F5-9EB1-0245-9AAC-D1E325E29D25}" name="Season" dataDxfId="106"/>
    <tableColumn id="2" xr3:uid="{76D2E53B-9DCD-134B-9374-6B264DD7FD14}" name="First Leg"/>
  </tableColumns>
  <tableStyleInfo name="TableStyleMedium21"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F22920-382A-3240-A4F7-7835C492BF73}" name="Table8" displayName="Table8" ref="D108:R111" totalsRowShown="0" headerRowDxfId="105" headerRowBorderDxfId="104">
  <autoFilter ref="D108:R111" xr:uid="{C2F22920-382A-3240-A4F7-7835C492BF73}"/>
  <tableColumns count="15">
    <tableColumn id="1" xr3:uid="{EF0D3BD3-F7D3-3145-B792-EC8AD81737D5}" name=" "/>
    <tableColumn id="2" xr3:uid="{B9ABF71A-0F50-6245-A7D8-FCE0F507A389}" name="Reasons" dataDxfId="103"/>
    <tableColumn id="4" xr3:uid="{EED21E19-EFB7-C348-9B49-3D16D895B01A}" name="Bad on challenge" dataDxfId="102"/>
    <tableColumn id="3" xr3:uid="{4998E49E-99F0-F741-8EB4-01FDD50486FC}" name="Travel Issues"/>
    <tableColumn id="5" xr3:uid="{024D3578-86A0-8742-90F7-4A893DC9387E}" name="Didn't do as good"/>
    <tableColumn id="6" xr3:uid="{142EF853-3735-8A4C-BB08-E0C4785988B0}" name="U-Turned"/>
    <tableColumn id="7" xr3:uid="{98CA95F1-43DF-464D-911E-A8EE97954817}" name="Clue Issue"/>
    <tableColumn id="8" xr3:uid="{2C269ACF-9B9C-BD47-A559-758771B88FEF}" name="Outran"/>
    <tableColumn id="9" xr3:uid="{CF25D689-E1B5-2C4E-B86E-C3C9B092EBF5}" name="Money Issue"/>
    <tableColumn id="10" xr3:uid="{BBB14FE6-7995-A444-9788-0A8147C149E1}" name="Injury"/>
    <tableColumn id="11" xr3:uid="{6CBCE8B5-5025-FB46-ACD6-0C6F7C41B04D}" name="Bag Issue"/>
    <tableColumn id="12" xr3:uid="{8C31A738-7B25-0E4E-B610-DA634D181CF8}" name="Fast Forward"/>
    <tableColumn id="13" xr3:uid="{A56BE7F0-2AD3-F74E-85D5-34894FC1A43B}" name="Speed Bump"/>
    <tableColumn id="14" xr3:uid="{A4B2D588-AE5F-DD46-8DA0-A778277B5C64}" name="Yielded"/>
    <tableColumn id="15" xr3:uid="{DD69891F-729E-634E-9DDF-1A843122389A}" name="Passport Issue"/>
  </tableColumns>
  <tableStyleInfo name="TableStyleMedium28"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436249-47B3-9A49-9608-7E0BFFB6B929}" name="Table9" displayName="Table9" ref="D113:P151" totalsRowShown="0" headerRowBorderDxfId="101">
  <autoFilter ref="D113:P151" xr:uid="{4B436249-47B3-9A49-9608-7E0BFFB6B929}"/>
  <tableColumns count="13">
    <tableColumn id="1" xr3:uid="{4B336456-208E-0846-8FEF-DAA92666A022}" name="Season #" dataDxfId="100"/>
    <tableColumn id="2" xr3:uid="{F2029302-993F-E54E-98D1-234F9FF6AE25}" name="Leg 1" dataDxfId="99"/>
    <tableColumn id="3" xr3:uid="{3795F157-3243-364D-B40F-E1B3771B8B7F}" name="Leg 2" dataDxfId="98"/>
    <tableColumn id="4" xr3:uid="{C67C90CA-99E4-F647-91AC-D06E312A8850}" name="Leg 3" dataDxfId="97"/>
    <tableColumn id="5" xr3:uid="{6C1614D8-2E3F-D240-AB1F-388E630088D1}" name="Leg 4" dataDxfId="96"/>
    <tableColumn id="6" xr3:uid="{AEE732ED-9E11-DD4D-A007-634447CC80B0}" name="Leg 5" dataDxfId="95"/>
    <tableColumn id="7" xr3:uid="{FBA2CB01-412E-4E4E-A7BE-969BF4F4448E}" name="Leg 6" dataDxfId="94"/>
    <tableColumn id="8" xr3:uid="{285B647B-C2AE-AC49-BDCB-548D3BB356E4}" name="Leg 7" dataDxfId="93"/>
    <tableColumn id="9" xr3:uid="{38E4BA9A-C9A8-5C46-A962-17BBDE6CE952}" name="Leg 8" dataDxfId="92"/>
    <tableColumn id="10" xr3:uid="{4C509B27-6350-164A-8DE6-2C301290BEB1}" name="Leg 9" dataDxfId="91"/>
    <tableColumn id="11" xr3:uid="{554C58DB-EC3D-A449-9D0F-4F26C7A21311}" name="Leg 10" dataDxfId="90"/>
    <tableColumn id="12" xr3:uid="{6D6C3389-A9AB-A94B-943E-3D59D0E3FA81}" name="Leg 11" dataDxfId="89"/>
    <tableColumn id="13" xr3:uid="{B9690BD6-1CBC-E045-ABBD-DF32BA0F6831}" name="Leg 12" dataDxfId="88"/>
  </tableColumns>
  <tableStyleInfo name="TableStyleMedium28"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C1C1346-E344-0F48-8B87-E925F3A21A09}" name="Table25" displayName="Table25" ref="B10:M49" totalsRowShown="0" headerRowBorderDxfId="87" tableBorderDxfId="86">
  <autoFilter ref="B10:M49" xr:uid="{AC1C1346-E344-0F48-8B87-E925F3A21A09}"/>
  <tableColumns count="12">
    <tableColumn id="1" xr3:uid="{0DD9B94E-1413-C34F-9ED5-F73543985A85}" name="Season #" dataDxfId="85"/>
    <tableColumn id="12" xr3:uid="{2B068805-3003-4E6B-8D14-0DD980BC9561}" name="Team" dataDxfId="84"/>
    <tableColumn id="2" xr3:uid="{EA106341-5B33-E247-9E89-2CBF66B51808}" name="Member_1" dataDxfId="83"/>
    <tableColumn id="3" xr3:uid="{859A8AB3-F368-BA42-A1BC-7AA48AEF3D3F}" name="Age" dataDxfId="82"/>
    <tableColumn id="4" xr3:uid="{019A6661-A169-4346-AF29-C9B18353D536}" name="Gender" dataDxfId="81"/>
    <tableColumn id="5" xr3:uid="{C9E8FFB6-D189-DC49-A446-FEFFA01C1015}" name="Member_2" dataDxfId="80"/>
    <tableColumn id="6" xr3:uid="{D6E91E22-63CA-7E4A-9613-76DA4373DA8C}" name="Age "/>
    <tableColumn id="7" xr3:uid="{6B52E14C-F4EB-904F-9587-47ED169E5F09}" name="Gender " dataDxfId="79"/>
    <tableColumn id="8" xr3:uid="{C9F77B35-DE01-A745-9AE7-9A514C88F956}" name="Relationship" dataDxfId="78"/>
    <tableColumn id="9" xr3:uid="{816B44A0-0F84-E748-8F3F-DD0292D7B246}" name="Residence" dataDxfId="77"/>
    <tableColumn id="11" xr3:uid="{9A30E48B-FA9B-42D0-8D78-E0B1CB7910D1}" name="Team Color" dataDxfId="76"/>
    <tableColumn id="10" xr3:uid="{D68AAF0F-8C40-0E44-8135-2602900E7045}" name="Occupation(s)" dataDxfId="75"/>
  </tableColumns>
  <tableStyleInfo name="TableStyleLight19"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130AB7-966E-D04F-8051-35DE3D96250C}" name="Table26" displayName="Table26" ref="O10:AC48" totalsRowShown="0" headerRowDxfId="74" headerRowBorderDxfId="73" tableBorderDxfId="72">
  <autoFilter ref="O10:AC48" xr:uid="{4D130AB7-966E-D04F-8051-35DE3D96250C}"/>
  <tableColumns count="15">
    <tableColumn id="1" xr3:uid="{9692D55F-085B-6743-AFA1-7971265DDE04}" name="Teams" dataDxfId="71"/>
    <tableColumn id="2" xr3:uid="{C00843CB-A7E8-B043-803B-139E7B42392B}" name="Leg 1" dataDxfId="70"/>
    <tableColumn id="3" xr3:uid="{C4212EDE-54D3-9E4C-A842-3BC07B282B88}" name="Leg 2" dataDxfId="69"/>
    <tableColumn id="4" xr3:uid="{3F9D4AC9-9C16-9C4C-B620-CFF0A1EC5400}" name="Leg 3" dataDxfId="68"/>
    <tableColumn id="5" xr3:uid="{26FC1DC3-2E63-AC42-9C5C-6735BE9E2F52}" name="Leg 4" dataDxfId="67"/>
    <tableColumn id="6" xr3:uid="{12A3202D-04FE-9740-B65B-E7C7D7BFA7AA}" name="Leg 5" dataDxfId="66"/>
    <tableColumn id="7" xr3:uid="{6C2E0B61-826D-E049-84F0-44B4D511926F}" name="Leg 6" dataDxfId="65"/>
    <tableColumn id="8" xr3:uid="{037D257C-19A0-434C-A58F-FFAC584E856A}" name="Leg 7" dataDxfId="64"/>
    <tableColumn id="9" xr3:uid="{5000D382-4FB3-9D4A-8778-2AC0C601C1DD}" name="Leg 8" dataDxfId="63"/>
    <tableColumn id="10" xr3:uid="{7E590B25-D5FE-F14D-ABBD-D61B2BFD68BE}" name="Leg 9" dataDxfId="62"/>
    <tableColumn id="11" xr3:uid="{E84623B6-E446-1145-A11B-5E2915D9433F}" name="Leg 10" dataDxfId="61"/>
    <tableColumn id="12" xr3:uid="{59B4AEAF-62F8-7C4D-8CA4-979B6F8C5EB8}" name="Leg 11" dataDxfId="60"/>
    <tableColumn id="13" xr3:uid="{D052754B-5AF9-B14D-AAC8-BA4B6C9AFB9D}" name="Leg 12"/>
    <tableColumn id="14" xr3:uid="{93073115-FFA3-9F4A-A277-1A6E5A0F6A9C}" name="Leg 13" dataDxfId="59"/>
    <tableColumn id="15" xr3:uid="{B0085B8E-CBAC-EF43-8C1F-02F3053B516B}" name="Average" dataDxfId="58">
      <calculatedColumnFormula>AVERAGE($P11:$AB11)</calculatedColumnFormula>
    </tableColumn>
  </tableColumns>
  <tableStyleInfo name="TableStyleLight19"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D9EFA6B-80E7-A941-9F66-F7411BDEA00D}" name="Table27" displayName="Table27" ref="AE10:AF48" totalsRowShown="0" dataDxfId="56" headerRowBorderDxfId="57" tableBorderDxfId="55">
  <autoFilter ref="AE10:AF48" xr:uid="{FD9EFA6B-80E7-A941-9F66-F7411BDEA00D}"/>
  <sortState xmlns:xlrd2="http://schemas.microsoft.com/office/spreadsheetml/2017/richdata2" ref="AE11:AF48">
    <sortCondition ref="AF48"/>
  </sortState>
  <tableColumns count="2">
    <tableColumn id="1" xr3:uid="{302D9EE9-C217-774B-96D9-2AC552A0EC56}" name="Team" dataDxfId="54"/>
    <tableColumn id="2" xr3:uid="{DFC99B80-C9C7-2B42-B50D-D4459165E459}" name="Average" dataDxfId="53"/>
  </tableColumns>
  <tableStyleInfo name="TableStyleLight19"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B5D010-200B-6D4A-BFCE-774B10B0DB66}" name="Table31" displayName="Table31" ref="AK10:AN49" totalsRowShown="0" headerRowDxfId="52" headerRowBorderDxfId="51" tableBorderDxfId="50">
  <autoFilter ref="AK10:AN49" xr:uid="{FAB5D010-200B-6D4A-BFCE-774B10B0DB66}"/>
  <tableColumns count="4">
    <tableColumn id="1" xr3:uid="{A7579364-FD9B-3640-B1CF-C1DB6386266E}" name="Youngest Member" dataDxfId="49"/>
    <tableColumn id="2" xr3:uid="{0FEBA576-A4E7-5148-B1FE-4044486C531C}" name="Age" dataDxfId="48"/>
    <tableColumn id="3" xr3:uid="{C39B7D71-208A-B341-94A7-EF15020FB7B2}" name="Oldest Member" dataDxfId="47"/>
    <tableColumn id="4" xr3:uid="{639C8277-4FE0-A949-9BB8-0C87DEEE2660}" name="Age " dataDxfId="46"/>
  </tableColumns>
  <tableStyleInfo name="TableStyleLight19"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522999C-7E04-E44B-870E-C4F950293234}" name="Table32" displayName="Table32" ref="B52:K65" totalsRowShown="0" headerRowDxfId="45" totalsRowDxfId="42" headerRowBorderDxfId="44" tableBorderDxfId="43">
  <autoFilter ref="B52:K65" xr:uid="{5522999C-7E04-E44B-870E-C4F950293234}"/>
  <tableColumns count="10">
    <tableColumn id="1" xr3:uid="{E768241F-7BB8-3745-9A31-DCEA50F32848}" name="Gender" totalsRowDxfId="41"/>
    <tableColumn id="2" xr3:uid="{93579F91-6A58-904F-B14C-B8D2E917038D}" name="#" totalsRowDxfId="40"/>
    <tableColumn id="3" xr3:uid="{2650F474-CA75-6A4F-9984-6BE1209E3927}" name="Relationship" totalsRowDxfId="39"/>
    <tableColumn id="4" xr3:uid="{EC3CDA26-A25D-0E4E-9FB6-A4ADB8B1886D}" name="# " dataDxfId="38" totalsRowDxfId="37"/>
    <tableColumn id="5" xr3:uid="{CC59F483-D0EE-9341-B76D-CA6F96067287}" name="Ages" dataDxfId="36" totalsRowDxfId="35"/>
    <tableColumn id="6" xr3:uid="{2E1C1958-96A0-1A4F-83C2-27578A5F5A31}" name=" " dataDxfId="34" totalsRowDxfId="33"/>
    <tableColumn id="7" xr3:uid="{29CBD777-3DB0-1147-828B-615277FB2FF5}" name="States" totalsRowDxfId="32"/>
    <tableColumn id="8" xr3:uid="{3A63564E-660F-A847-AF8A-6CCD321B958D}" name="#    " dataDxfId="31" totalsRowDxfId="30">
      <calculatedColumnFormula>COUNTIF($K$11:$K$49,"*"&amp;$H53&amp;"*")</calculatedColumnFormula>
    </tableColumn>
    <tableColumn id="9" xr3:uid="{40ADC7EB-85F2-426A-9D48-6AF68307C4AD}" name="Team Colors" totalsRowDxfId="29"/>
    <tableColumn id="10" xr3:uid="{F0463483-027B-4E97-876A-3CFD216AC770}" name="#'" dataDxfId="28" totalsRowDxfId="27">
      <calculatedColumnFormula>COUNTIF(Table25[Team Color], Table32[[#This Row],[Team Colors]])</calculatedColumnFormula>
    </tableColumn>
  </tableColumns>
  <tableStyleInfo name="TableStyleLight19"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F9D365C-C1F7-E643-83A3-F7FE6566C7CD}" name="Table17" displayName="Table17" ref="AH10:AI48" totalsRowShown="0" tableBorderDxfId="26">
  <autoFilter ref="AH10:AI48" xr:uid="{AF9D365C-C1F7-E643-83A3-F7FE6566C7CD}"/>
  <sortState xmlns:xlrd2="http://schemas.microsoft.com/office/spreadsheetml/2017/richdata2" ref="AH11:AI48">
    <sortCondition descending="1" ref="AI48"/>
  </sortState>
  <tableColumns count="2">
    <tableColumn id="1" xr3:uid="{A1935854-BAAA-A541-8DCA-5D7C9253756F}" name="Team" dataDxfId="25"/>
    <tableColumn id="2" xr3:uid="{DF6632A1-1B21-4146-800C-03BC2A34E0DD}" name="# of 1sts" dataDxfId="24"/>
  </tableColumns>
  <tableStyleInfo name="TableStyleLight19"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B999DE7-B2B4-444D-B311-C3CEEF369F41}" name="Table35" displayName="Table35" ref="I13:M18" totalsRowShown="0" headerRowBorderDxfId="23">
  <autoFilter ref="I13:M18" xr:uid="{EB999DE7-B2B4-444D-B311-C3CEEF369F41}"/>
  <tableColumns count="5">
    <tableColumn id="1" xr3:uid="{EF2556D0-2F13-504B-B913-58834F01D22C}" name="Season #" dataDxfId="22"/>
    <tableColumn id="2" xr3:uid="{FD4DCBA4-BB07-F347-BAF0-151A59D3AB52}" name="Route Info" dataDxfId="21"/>
    <tableColumn id="3" xr3:uid="{E62B026B-6582-3248-B56B-C28CD1E29DE7}" name="Road Block" dataDxfId="20"/>
    <tableColumn id="4" xr3:uid="{6A327870-3F62-BE48-AB2F-F0B7F125789E}" name="Detour" dataDxfId="19"/>
    <tableColumn id="5" xr3:uid="{1D0DAE89-56BB-1C42-859B-3726E630BBC3}" name="Totals" dataDxfId="18"/>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0215C99-ECC5-3A40-B177-A6B645AED19F}" name="Table36" displayName="Table36" ref="I24:AK32" totalsRowShown="0" headerRowBorderDxfId="17">
  <autoFilter ref="I24:AK32" xr:uid="{30215C99-ECC5-3A40-B177-A6B645AED19F}"/>
  <tableColumns count="29">
    <tableColumn id="1" xr3:uid="{55C3BF86-CF38-8B42-BC7A-3E0A7802EF08}" name="Season #"/>
    <tableColumn id="2" xr3:uid="{E676B5F6-754F-294E-A83C-4CA55249C80A}" name="Animals"/>
    <tableColumn id="3" xr3:uid="{A44F9E77-EFD5-D340-8CD4-96DD12D238A3}" name="ATD"/>
    <tableColumn id="4" xr3:uid="{6EFA5821-1FE8-9F42-8EEA-EAA729488A0C}" name="Balance"/>
    <tableColumn id="5" xr3:uid="{11814B7B-6E2C-5D40-BBC4-1CED8F9CB123}" name="Biking"/>
    <tableColumn id="6" xr3:uid="{55877DE9-EF12-D646-AEB2-86344A19D696}" name="Cooking"/>
    <tableColumn id="7" xr3:uid="{2A88A6C6-747A-3F49-8895-E6C95CCBE7ED}" name="Counting"/>
    <tableColumn id="8" xr3:uid="{29B6A425-BFCE-3440-A41C-6F30FFE3EC6D}" name="Dancing"/>
    <tableColumn id="9" xr3:uid="{F37DDE5D-8A8F-F84D-A5D8-4557D430B82D}" name="Driving"/>
    <tableColumn id="10" xr3:uid="{A1D02EE6-4DD4-8945-9189-36628D7187FD}" name="Fishing"/>
    <tableColumn id="11" xr3:uid="{45778C1F-4255-CA43-A97B-CE99D3C076C8}" name="Flags"/>
    <tableColumn id="12" xr3:uid="{280FC543-71BC-DF4C-B66C-CF015D1F28F7}" name="Food"/>
    <tableColumn id="13" xr3:uid="{C6A84EC0-80D9-7541-80E4-20D760EFF02E}" name="Geography"/>
    <tableColumn id="14" xr3:uid="{34EF8C63-ADCD-2E4D-B757-77DD51C26834}" name="HEC"/>
    <tableColumn id="15" xr3:uid="{DF847A9A-90CB-1B40-9864-51CB712C01B4}" name="Heights"/>
    <tableColumn id="16" xr3:uid="{35935DE2-30F2-1E47-A58A-E3095FB7F563}" name="Language"/>
    <tableColumn id="17" xr3:uid="{120E38A5-7FBE-CC4E-9FC7-27205B56EE49}" name="Math"/>
    <tableColumn id="18" xr3:uid="{A7978D3E-43AC-9943-A225-B0C81D852678}" name="Memory"/>
    <tableColumn id="19" xr3:uid="{F8F1BAD0-A101-2247-B16F-D61C5BBE047F}" name="Music"/>
    <tableColumn id="20" xr3:uid="{9CEA0DE4-3E02-934D-9F4D-377AE1392A64}" name="Navigation"/>
    <tableColumn id="21" xr3:uid="{05EBD3A9-6995-2149-8A61-E5822FB872E0}" name="Pain"/>
    <tableColumn id="22" xr3:uid="{58AD9137-B1BD-0848-845A-790F1313F9FF}" name="Painting"/>
    <tableColumn id="23" xr3:uid="{293BFF3F-9297-474A-B9EF-A0F9AF05A34B}" name="PS"/>
    <tableColumn id="24" xr3:uid="{463F5764-0B53-1841-80CE-B090030EC27D}" name="Puzzle"/>
    <tableColumn id="25" xr3:uid="{D9D183DA-14A0-C942-846A-E66E21A0518A}" name="Searching"/>
    <tableColumn id="26" xr3:uid="{F8897497-2E76-784F-91EA-7124E7BA9055}" name="Selling"/>
    <tableColumn id="27" xr3:uid="{B336ECC4-C81E-C142-95B3-EAAF7D7F0978}" name="Singing"/>
    <tableColumn id="28" xr3:uid="{1A60565F-5706-2048-8FED-DD746908CC9F}" name="Swimming"/>
    <tableColumn id="29" xr3:uid="{C41F90E5-6A48-324C-953F-BF58B4218B62}" name="Travel Issues"/>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EA5C87-615B-D240-B479-566E5A224BAE}" name="Table15" displayName="Table15" ref="H22:T23" totalsRowShown="0" headerRowDxfId="16" headerRowBorderDxfId="15">
  <autoFilter ref="H22:T23" xr:uid="{46EA5C87-615B-D240-B479-566E5A224BAE}"/>
  <tableColumns count="13">
    <tableColumn id="1" xr3:uid="{21DD6C30-EDCF-204F-B234-D167E5BD114F}" name="Leg #" dataDxfId="14"/>
    <tableColumn id="2" xr3:uid="{9B9E5F94-115C-244F-AA50-13CD124EDF73}" name="Leg 1"/>
    <tableColumn id="3" xr3:uid="{B3D8FD5E-FE3D-8F4A-A4D8-4D436EE15475}" name="Leg 2"/>
    <tableColumn id="4" xr3:uid="{2476A6D3-E33F-9446-9F1F-A7DEDC9EC284}" name="Leg 3"/>
    <tableColumn id="5" xr3:uid="{2753331F-B9B3-3045-ACE8-EA480D5245D2}" name="Leg 4"/>
    <tableColumn id="6" xr3:uid="{F253835A-6FF5-9243-A72B-65613001BE91}" name="Leg 5"/>
    <tableColumn id="7" xr3:uid="{0A70A086-5618-864B-869E-9B195057050A}" name="Leg 6"/>
    <tableColumn id="8" xr3:uid="{3C94ECFD-1548-794C-B912-B68755DC0E6D}" name="Leg 7"/>
    <tableColumn id="9" xr3:uid="{9B3436EE-05F0-2948-A291-F1C2BFCB9164}" name="Leg 8"/>
    <tableColumn id="10" xr3:uid="{3E9F7B5B-9A8F-DB49-954A-3819E4E4E340}" name="Leg 9"/>
    <tableColumn id="11" xr3:uid="{176A27E6-1429-D148-B2A0-BFC14EAD31B1}" name="Leg 10"/>
    <tableColumn id="12" xr3:uid="{C1B432B7-B05B-5C42-A2DE-908A85683A50}" name="Leg 11"/>
    <tableColumn id="13" xr3:uid="{5A3E7E28-532F-4B42-9055-BCC3944A4ABE}" name="Final Leg"/>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AD20E9-FB84-F742-A3E5-693575F4860F}">
  <we:reference id="wa200007924" version="1.0.0.0" store="en-US" storeType="OMEX"/>
  <we:alternateReferences>
    <we:reference id="wa200007924" version="1.0.0.0" store="wa200007924"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_xldudf_SQLOOKUP</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drawing" Target="../drawings/drawing5.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drawing" Target="../drawings/drawing6.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6.xml"/><Relationship Id="rId3" Type="http://schemas.openxmlformats.org/officeDocument/2006/relationships/table" Target="../tables/table21.xml"/><Relationship Id="rId7" Type="http://schemas.openxmlformats.org/officeDocument/2006/relationships/table" Target="../tables/table25.xml"/><Relationship Id="rId2" Type="http://schemas.openxmlformats.org/officeDocument/2006/relationships/table" Target="../tables/table20.xml"/><Relationship Id="rId1" Type="http://schemas.openxmlformats.org/officeDocument/2006/relationships/drawing" Target="../drawings/drawing7.xml"/><Relationship Id="rId6" Type="http://schemas.openxmlformats.org/officeDocument/2006/relationships/table" Target="../tables/table24.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4.xml"/><Relationship Id="rId3" Type="http://schemas.openxmlformats.org/officeDocument/2006/relationships/table" Target="../tables/table29.xml"/><Relationship Id="rId7" Type="http://schemas.openxmlformats.org/officeDocument/2006/relationships/table" Target="../tables/table33.xml"/><Relationship Id="rId2" Type="http://schemas.openxmlformats.org/officeDocument/2006/relationships/drawing" Target="../drawings/drawing8.xml"/><Relationship Id="rId1" Type="http://schemas.openxmlformats.org/officeDocument/2006/relationships/printerSettings" Target="../printerSettings/printerSettings1.bin"/><Relationship Id="rId6" Type="http://schemas.openxmlformats.org/officeDocument/2006/relationships/table" Target="../tables/table32.xml"/><Relationship Id="rId5" Type="http://schemas.openxmlformats.org/officeDocument/2006/relationships/table" Target="../tables/table3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drawing" Target="../drawings/drawing9.xml"/><Relationship Id="rId1" Type="http://schemas.openxmlformats.org/officeDocument/2006/relationships/printerSettings" Target="../printerSettings/printerSettings2.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 Id="rId9" Type="http://schemas.openxmlformats.org/officeDocument/2006/relationships/table" Target="../tables/table43.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50.xml"/><Relationship Id="rId3" Type="http://schemas.openxmlformats.org/officeDocument/2006/relationships/table" Target="../tables/table45.xml"/><Relationship Id="rId7" Type="http://schemas.openxmlformats.org/officeDocument/2006/relationships/table" Target="../tables/table49.xml"/><Relationship Id="rId12" Type="http://schemas.openxmlformats.org/officeDocument/2006/relationships/table" Target="../tables/table54.xml"/><Relationship Id="rId2" Type="http://schemas.openxmlformats.org/officeDocument/2006/relationships/table" Target="../tables/table44.xml"/><Relationship Id="rId1" Type="http://schemas.openxmlformats.org/officeDocument/2006/relationships/drawing" Target="../drawings/drawing10.xml"/><Relationship Id="rId6" Type="http://schemas.openxmlformats.org/officeDocument/2006/relationships/table" Target="../tables/table48.xml"/><Relationship Id="rId11" Type="http://schemas.openxmlformats.org/officeDocument/2006/relationships/table" Target="../tables/table53.xml"/><Relationship Id="rId5" Type="http://schemas.openxmlformats.org/officeDocument/2006/relationships/table" Target="../tables/table47.xml"/><Relationship Id="rId10" Type="http://schemas.openxmlformats.org/officeDocument/2006/relationships/table" Target="../tables/table52.xml"/><Relationship Id="rId4" Type="http://schemas.openxmlformats.org/officeDocument/2006/relationships/table" Target="../tables/table46.xml"/><Relationship Id="rId9" Type="http://schemas.openxmlformats.org/officeDocument/2006/relationships/table" Target="../tables/table5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7.xml"/><Relationship Id="rId7" Type="http://schemas.openxmlformats.org/officeDocument/2006/relationships/table" Target="../tables/table61.xml"/><Relationship Id="rId2" Type="http://schemas.openxmlformats.org/officeDocument/2006/relationships/table" Target="../tables/table56.xml"/><Relationship Id="rId1" Type="http://schemas.openxmlformats.org/officeDocument/2006/relationships/drawing" Target="../drawings/drawing12.xml"/><Relationship Id="rId6" Type="http://schemas.openxmlformats.org/officeDocument/2006/relationships/table" Target="../tables/table60.xml"/><Relationship Id="rId5" Type="http://schemas.openxmlformats.org/officeDocument/2006/relationships/table" Target="../tables/table59.xml"/><Relationship Id="rId4" Type="http://schemas.openxmlformats.org/officeDocument/2006/relationships/table" Target="../tables/table58.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drawing" Target="../drawings/drawing13.xml"/><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amazingrace.fandom.com/wiki/Finish_Line"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table" Target="../tables/table68.xml"/><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C29A-C3B3-A44C-93BF-EBED10B498ED}">
  <sheetPr codeName="Sheet1">
    <tabColor rgb="FFFF8592"/>
  </sheetPr>
  <dimension ref="B3:Q92"/>
  <sheetViews>
    <sheetView topLeftCell="A28" workbookViewId="0">
      <selection activeCell="Q73" sqref="Q73"/>
    </sheetView>
  </sheetViews>
  <sheetFormatPr defaultColWidth="10.875" defaultRowHeight="15.75"/>
  <cols>
    <col min="1" max="3" width="10.875" style="26"/>
    <col min="4" max="4" width="10.875" style="26" customWidth="1"/>
    <col min="5" max="16384" width="10.875" style="26"/>
  </cols>
  <sheetData>
    <row r="3" spans="2:17" ht="87.75">
      <c r="B3" s="414" t="s">
        <v>448</v>
      </c>
    </row>
    <row r="4" spans="2:17" ht="20.25">
      <c r="B4" s="415" t="s">
        <v>1642</v>
      </c>
    </row>
    <row r="5" spans="2:17" ht="18">
      <c r="B5" s="416" t="s">
        <v>1641</v>
      </c>
    </row>
    <row r="7" spans="2:17" ht="15.95" customHeight="1">
      <c r="B7" s="417" t="s">
        <v>1651</v>
      </c>
    </row>
    <row r="8" spans="2:17" ht="15.95" customHeight="1">
      <c r="B8" s="1609" t="s">
        <v>1668</v>
      </c>
      <c r="C8" s="1609"/>
      <c r="D8" s="1609"/>
      <c r="E8" s="1609"/>
      <c r="F8" s="1609"/>
      <c r="G8" s="1609"/>
      <c r="H8" s="1609"/>
      <c r="I8" s="1609"/>
      <c r="J8" s="1609"/>
      <c r="K8" s="1609"/>
      <c r="L8" s="1609"/>
      <c r="M8" s="1609"/>
      <c r="N8" s="1609"/>
      <c r="O8" s="1609"/>
      <c r="P8" s="1609"/>
      <c r="Q8" s="1609"/>
    </row>
    <row r="9" spans="2:17">
      <c r="B9" s="1609"/>
      <c r="C9" s="1609"/>
      <c r="D9" s="1609"/>
      <c r="E9" s="1609"/>
      <c r="F9" s="1609"/>
      <c r="G9" s="1609"/>
      <c r="H9" s="1609"/>
      <c r="I9" s="1609"/>
      <c r="J9" s="1609"/>
      <c r="K9" s="1609"/>
      <c r="L9" s="1609"/>
      <c r="M9" s="1609"/>
      <c r="N9" s="1609"/>
      <c r="O9" s="1609"/>
      <c r="P9" s="1609"/>
      <c r="Q9" s="1609"/>
    </row>
    <row r="10" spans="2:17">
      <c r="B10" s="1609"/>
      <c r="C10" s="1609"/>
      <c r="D10" s="1609"/>
      <c r="E10" s="1609"/>
      <c r="F10" s="1609"/>
      <c r="G10" s="1609"/>
      <c r="H10" s="1609"/>
      <c r="I10" s="1609"/>
      <c r="J10" s="1609"/>
      <c r="K10" s="1609"/>
      <c r="L10" s="1609"/>
      <c r="M10" s="1609"/>
      <c r="N10" s="1609"/>
      <c r="O10" s="1609"/>
      <c r="P10" s="1609"/>
      <c r="Q10" s="1609"/>
    </row>
    <row r="11" spans="2:17">
      <c r="B11" s="1609"/>
      <c r="C11" s="1609"/>
      <c r="D11" s="1609"/>
      <c r="E11" s="1609"/>
      <c r="F11" s="1609"/>
      <c r="G11" s="1609"/>
      <c r="H11" s="1609"/>
      <c r="I11" s="1609"/>
      <c r="J11" s="1609"/>
      <c r="K11" s="1609"/>
      <c r="L11" s="1609"/>
      <c r="M11" s="1609"/>
      <c r="N11" s="1609"/>
      <c r="O11" s="1609"/>
      <c r="P11" s="1609"/>
      <c r="Q11" s="1609"/>
    </row>
    <row r="12" spans="2:17">
      <c r="B12" s="1609"/>
      <c r="C12" s="1609"/>
      <c r="D12" s="1609"/>
      <c r="E12" s="1609"/>
      <c r="F12" s="1609"/>
      <c r="G12" s="1609"/>
      <c r="H12" s="1609"/>
      <c r="I12" s="1609"/>
      <c r="J12" s="1609"/>
      <c r="K12" s="1609"/>
      <c r="L12" s="1609"/>
      <c r="M12" s="1609"/>
      <c r="N12" s="1609"/>
      <c r="O12" s="1609"/>
      <c r="P12" s="1609"/>
      <c r="Q12" s="1609"/>
    </row>
    <row r="13" spans="2:17">
      <c r="B13" s="1609"/>
      <c r="C13" s="1609"/>
      <c r="D13" s="1609"/>
      <c r="E13" s="1609"/>
      <c r="F13" s="1609"/>
      <c r="G13" s="1609"/>
      <c r="H13" s="1609"/>
      <c r="I13" s="1609"/>
      <c r="J13" s="1609"/>
      <c r="K13" s="1609"/>
      <c r="L13" s="1609"/>
      <c r="M13" s="1609"/>
      <c r="N13" s="1609"/>
      <c r="O13" s="1609"/>
      <c r="P13" s="1609"/>
      <c r="Q13" s="1609"/>
    </row>
    <row r="14" spans="2:17">
      <c r="B14" s="1609"/>
      <c r="C14" s="1609"/>
      <c r="D14" s="1609"/>
      <c r="E14" s="1609"/>
      <c r="F14" s="1609"/>
      <c r="G14" s="1609"/>
      <c r="H14" s="1609"/>
      <c r="I14" s="1609"/>
      <c r="J14" s="1609"/>
      <c r="K14" s="1609"/>
      <c r="L14" s="1609"/>
      <c r="M14" s="1609"/>
      <c r="N14" s="1609"/>
      <c r="O14" s="1609"/>
      <c r="P14" s="1609"/>
      <c r="Q14" s="1609"/>
    </row>
    <row r="15" spans="2:17">
      <c r="B15" s="1609"/>
      <c r="C15" s="1609"/>
      <c r="D15" s="1609"/>
      <c r="E15" s="1609"/>
      <c r="F15" s="1609"/>
      <c r="G15" s="1609"/>
      <c r="H15" s="1609"/>
      <c r="I15" s="1609"/>
      <c r="J15" s="1609"/>
      <c r="K15" s="1609"/>
      <c r="L15" s="1609"/>
      <c r="M15" s="1609"/>
      <c r="N15" s="1609"/>
      <c r="O15" s="1609"/>
      <c r="P15" s="1609"/>
      <c r="Q15" s="1609"/>
    </row>
    <row r="16" spans="2:17">
      <c r="B16" s="1609"/>
      <c r="C16" s="1609"/>
      <c r="D16" s="1609"/>
      <c r="E16" s="1609"/>
      <c r="F16" s="1609"/>
      <c r="G16" s="1609"/>
      <c r="H16" s="1609"/>
      <c r="I16" s="1609"/>
      <c r="J16" s="1609"/>
      <c r="K16" s="1609"/>
      <c r="L16" s="1609"/>
      <c r="M16" s="1609"/>
      <c r="N16" s="1609"/>
      <c r="O16" s="1609"/>
      <c r="P16" s="1609"/>
      <c r="Q16" s="1609"/>
    </row>
    <row r="17" spans="2:17">
      <c r="B17" s="1609"/>
      <c r="C17" s="1609"/>
      <c r="D17" s="1609"/>
      <c r="E17" s="1609"/>
      <c r="F17" s="1609"/>
      <c r="G17" s="1609"/>
      <c r="H17" s="1609"/>
      <c r="I17" s="1609"/>
      <c r="J17" s="1609"/>
      <c r="K17" s="1609"/>
      <c r="L17" s="1609"/>
      <c r="M17" s="1609"/>
      <c r="N17" s="1609"/>
      <c r="O17" s="1609"/>
      <c r="P17" s="1609"/>
      <c r="Q17" s="1609"/>
    </row>
    <row r="18" spans="2:17">
      <c r="B18" s="1609"/>
      <c r="C18" s="1609"/>
      <c r="D18" s="1609"/>
      <c r="E18" s="1609"/>
      <c r="F18" s="1609"/>
      <c r="G18" s="1609"/>
      <c r="H18" s="1609"/>
      <c r="I18" s="1609"/>
      <c r="J18" s="1609"/>
      <c r="K18" s="1609"/>
      <c r="L18" s="1609"/>
      <c r="M18" s="1609"/>
      <c r="N18" s="1609"/>
      <c r="O18" s="1609"/>
      <c r="P18" s="1609"/>
      <c r="Q18" s="1609"/>
    </row>
    <row r="19" spans="2:17">
      <c r="B19" s="1609"/>
      <c r="C19" s="1609"/>
      <c r="D19" s="1609"/>
      <c r="E19" s="1609"/>
      <c r="F19" s="1609"/>
      <c r="G19" s="1609"/>
      <c r="H19" s="1609"/>
      <c r="I19" s="1609"/>
      <c r="J19" s="1609"/>
      <c r="K19" s="1609"/>
      <c r="L19" s="1609"/>
      <c r="M19" s="1609"/>
      <c r="N19" s="1609"/>
      <c r="O19" s="1609"/>
      <c r="P19" s="1609"/>
      <c r="Q19" s="1609"/>
    </row>
    <row r="20" spans="2:17">
      <c r="B20" s="1609"/>
      <c r="C20" s="1609"/>
      <c r="D20" s="1609"/>
      <c r="E20" s="1609"/>
      <c r="F20" s="1609"/>
      <c r="G20" s="1609"/>
      <c r="H20" s="1609"/>
      <c r="I20" s="1609"/>
      <c r="J20" s="1609"/>
      <c r="K20" s="1609"/>
      <c r="L20" s="1609"/>
      <c r="M20" s="1609"/>
      <c r="N20" s="1609"/>
      <c r="O20" s="1609"/>
      <c r="P20" s="1609"/>
      <c r="Q20" s="1609"/>
    </row>
    <row r="21" spans="2:17">
      <c r="B21" s="1609"/>
      <c r="C21" s="1609"/>
      <c r="D21" s="1609"/>
      <c r="E21" s="1609"/>
      <c r="F21" s="1609"/>
      <c r="G21" s="1609"/>
      <c r="H21" s="1609"/>
      <c r="I21" s="1609"/>
      <c r="J21" s="1609"/>
      <c r="K21" s="1609"/>
      <c r="L21" s="1609"/>
      <c r="M21" s="1609"/>
      <c r="N21" s="1609"/>
      <c r="O21" s="1609"/>
      <c r="P21" s="1609"/>
      <c r="Q21" s="1609"/>
    </row>
    <row r="46" spans="2:4" ht="18.75">
      <c r="B46" s="418" t="s">
        <v>1643</v>
      </c>
    </row>
    <row r="47" spans="2:4">
      <c r="B47" s="1620" t="s">
        <v>1644</v>
      </c>
      <c r="C47" s="1620"/>
      <c r="D47" s="26" t="s">
        <v>1653</v>
      </c>
    </row>
    <row r="48" spans="2:4">
      <c r="B48" s="1614" t="s">
        <v>19</v>
      </c>
      <c r="C48" s="1614"/>
      <c r="D48" s="26" t="s">
        <v>1652</v>
      </c>
    </row>
    <row r="49" spans="2:4">
      <c r="B49" s="1615" t="s">
        <v>1645</v>
      </c>
      <c r="C49" s="1615"/>
      <c r="D49" s="26" t="s">
        <v>1665</v>
      </c>
    </row>
    <row r="50" spans="2:4">
      <c r="B50" s="1616" t="s">
        <v>0</v>
      </c>
      <c r="C50" s="1616"/>
      <c r="D50" s="26" t="s">
        <v>1654</v>
      </c>
    </row>
    <row r="51" spans="2:4">
      <c r="B51" s="1617" t="s">
        <v>12</v>
      </c>
      <c r="C51" s="1617"/>
      <c r="D51" s="26" t="s">
        <v>1655</v>
      </c>
    </row>
    <row r="52" spans="2:4">
      <c r="B52" s="1618" t="s">
        <v>14</v>
      </c>
      <c r="C52" s="1618"/>
      <c r="D52" s="26" t="s">
        <v>1656</v>
      </c>
    </row>
    <row r="53" spans="2:4">
      <c r="B53" s="1619" t="s">
        <v>13</v>
      </c>
      <c r="C53" s="1619"/>
      <c r="D53" s="26" t="s">
        <v>1657</v>
      </c>
    </row>
    <row r="54" spans="2:4">
      <c r="B54" s="1610" t="s">
        <v>71</v>
      </c>
      <c r="C54" s="1610"/>
      <c r="D54" s="26" t="s">
        <v>1658</v>
      </c>
    </row>
    <row r="55" spans="2:4">
      <c r="B55" s="1611" t="s">
        <v>49</v>
      </c>
      <c r="C55" s="1611"/>
      <c r="D55" s="26" t="s">
        <v>1659</v>
      </c>
    </row>
    <row r="56" spans="2:4">
      <c r="B56" s="1612" t="s">
        <v>455</v>
      </c>
      <c r="C56" s="1612"/>
      <c r="D56" s="26" t="s">
        <v>1646</v>
      </c>
    </row>
    <row r="57" spans="2:4">
      <c r="B57" s="1613" t="s">
        <v>456</v>
      </c>
      <c r="C57" s="1613"/>
      <c r="D57" s="26" t="s">
        <v>1647</v>
      </c>
    </row>
    <row r="58" spans="2:4">
      <c r="B58" s="1617" t="s">
        <v>2746</v>
      </c>
      <c r="C58" s="1617"/>
      <c r="D58" s="26" t="s">
        <v>2845</v>
      </c>
    </row>
    <row r="59" spans="2:4">
      <c r="B59" s="1625" t="s">
        <v>454</v>
      </c>
      <c r="C59" s="1625"/>
      <c r="D59" s="26" t="s">
        <v>1660</v>
      </c>
    </row>
    <row r="60" spans="2:4">
      <c r="B60" s="1627" t="s">
        <v>1438</v>
      </c>
      <c r="C60" s="1627"/>
      <c r="D60" s="26" t="s">
        <v>2846</v>
      </c>
    </row>
    <row r="61" spans="2:4">
      <c r="B61" s="1626" t="s">
        <v>450</v>
      </c>
      <c r="C61" s="1626"/>
      <c r="D61" s="26" t="s">
        <v>1661</v>
      </c>
    </row>
    <row r="62" spans="2:4">
      <c r="B62" s="1621" t="s">
        <v>1562</v>
      </c>
      <c r="C62" s="1621"/>
      <c r="D62" s="26" t="s">
        <v>1648</v>
      </c>
    </row>
    <row r="63" spans="2:4">
      <c r="B63" s="1622" t="s">
        <v>59</v>
      </c>
      <c r="C63" s="1622"/>
      <c r="D63" s="26" t="s">
        <v>1662</v>
      </c>
    </row>
    <row r="64" spans="2:4">
      <c r="B64" s="1608" t="s">
        <v>2056</v>
      </c>
      <c r="C64" s="1608"/>
      <c r="D64" s="26" t="s">
        <v>2840</v>
      </c>
    </row>
    <row r="65" spans="2:4">
      <c r="B65" s="1623" t="s">
        <v>1593</v>
      </c>
      <c r="C65" s="1623"/>
      <c r="D65" s="26" t="s">
        <v>1649</v>
      </c>
    </row>
    <row r="66" spans="2:4">
      <c r="B66" s="1624" t="s">
        <v>184</v>
      </c>
      <c r="C66" s="1624"/>
      <c r="D66" s="26" t="s">
        <v>1650</v>
      </c>
    </row>
    <row r="67" spans="2:4">
      <c r="B67" s="1607" t="s">
        <v>1742</v>
      </c>
      <c r="C67" s="1607"/>
      <c r="D67" s="26" t="s">
        <v>2054</v>
      </c>
    </row>
    <row r="69" spans="2:4" ht="18.75">
      <c r="B69" s="418" t="s">
        <v>1663</v>
      </c>
    </row>
    <row r="70" spans="2:4">
      <c r="B70" s="26" t="s">
        <v>1667</v>
      </c>
    </row>
    <row r="71" spans="2:4">
      <c r="B71" s="419"/>
    </row>
    <row r="72" spans="2:4">
      <c r="B72" s="419" t="s">
        <v>1664</v>
      </c>
    </row>
    <row r="73" spans="2:4">
      <c r="B73" s="419" t="s">
        <v>2051</v>
      </c>
    </row>
    <row r="74" spans="2:4">
      <c r="B74" s="419" t="s">
        <v>1666</v>
      </c>
    </row>
    <row r="75" spans="2:4">
      <c r="B75" s="419" t="s">
        <v>2071</v>
      </c>
    </row>
    <row r="76" spans="2:4">
      <c r="B76" s="419" t="s">
        <v>2578</v>
      </c>
    </row>
    <row r="77" spans="2:4">
      <c r="B77" s="419" t="s">
        <v>2707</v>
      </c>
    </row>
    <row r="90" spans="2:2">
      <c r="B90" s="421"/>
    </row>
    <row r="92" spans="2:2">
      <c r="B92"/>
    </row>
  </sheetData>
  <mergeCells count="22">
    <mergeCell ref="B65:C65"/>
    <mergeCell ref="B66:C66"/>
    <mergeCell ref="B59:C59"/>
    <mergeCell ref="B61:C61"/>
    <mergeCell ref="B58:C58"/>
    <mergeCell ref="B60:C60"/>
    <mergeCell ref="B67:C67"/>
    <mergeCell ref="B64:C64"/>
    <mergeCell ref="B8:Q21"/>
    <mergeCell ref="B54:C54"/>
    <mergeCell ref="B55:C55"/>
    <mergeCell ref="B56:C56"/>
    <mergeCell ref="B57:C57"/>
    <mergeCell ref="B48:C48"/>
    <mergeCell ref="B49:C49"/>
    <mergeCell ref="B50:C50"/>
    <mergeCell ref="B51:C51"/>
    <mergeCell ref="B52:C52"/>
    <mergeCell ref="B53:C53"/>
    <mergeCell ref="B47:C47"/>
    <mergeCell ref="B62:C62"/>
    <mergeCell ref="B63:C63"/>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D15C-ABC0-6F46-A787-83C0050D678B}">
  <sheetPr codeName="Sheet2">
    <tabColor rgb="FF002060"/>
  </sheetPr>
  <dimension ref="A1:CU685"/>
  <sheetViews>
    <sheetView topLeftCell="A128" zoomScaleNormal="100" workbookViewId="0">
      <selection activeCell="I157" sqref="I157"/>
    </sheetView>
  </sheetViews>
  <sheetFormatPr defaultColWidth="11" defaultRowHeight="15.75"/>
  <cols>
    <col min="2" max="2" width="17.125" customWidth="1"/>
    <col min="3" max="3" width="12.125" customWidth="1"/>
    <col min="4" max="5" width="11.875" customWidth="1"/>
    <col min="6" max="6" width="12.125" bestFit="1" customWidth="1"/>
    <col min="7" max="13" width="12" bestFit="1" customWidth="1"/>
    <col min="14" max="14" width="10.625" bestFit="1" customWidth="1"/>
    <col min="15" max="15" width="12" customWidth="1"/>
    <col min="16" max="16" width="5.5" customWidth="1"/>
    <col min="17" max="17" width="32.375" bestFit="1" customWidth="1"/>
    <col min="18" max="18" width="28.875" bestFit="1" customWidth="1"/>
    <col min="19" max="19" width="29.875" bestFit="1" customWidth="1"/>
    <col min="20" max="20" width="27.375" bestFit="1" customWidth="1"/>
    <col min="21" max="21" width="28" bestFit="1" customWidth="1"/>
    <col min="22" max="22" width="25.625" bestFit="1" customWidth="1"/>
    <col min="23" max="24" width="30" bestFit="1" customWidth="1"/>
    <col min="25" max="25" width="33.5" bestFit="1" customWidth="1"/>
    <col min="26" max="26" width="32.125" bestFit="1" customWidth="1"/>
    <col min="27" max="27" width="27.625" bestFit="1" customWidth="1"/>
    <col min="28" max="28" width="24.625" bestFit="1" customWidth="1"/>
    <col min="29" max="29" width="31.125" bestFit="1" customWidth="1"/>
    <col min="72" max="72" width="20.625" bestFit="1" customWidth="1"/>
    <col min="85" max="85" width="13" customWidth="1"/>
    <col min="86" max="86" width="5" customWidth="1"/>
  </cols>
  <sheetData>
    <row r="1" spans="1:99" ht="26.25">
      <c r="A1" s="2"/>
    </row>
    <row r="4" spans="1:99" ht="33.75">
      <c r="B4" s="1628" t="s">
        <v>457</v>
      </c>
      <c r="C4" s="1628"/>
      <c r="D4" s="1628"/>
    </row>
    <row r="5" spans="1:99">
      <c r="K5" t="s">
        <v>61</v>
      </c>
    </row>
    <row r="6" spans="1:99" ht="21">
      <c r="B6" s="1" t="s">
        <v>126</v>
      </c>
      <c r="BT6" s="1" t="s">
        <v>38</v>
      </c>
    </row>
    <row r="7" spans="1:99">
      <c r="B7" s="21" t="s">
        <v>1086</v>
      </c>
      <c r="C7" s="13"/>
      <c r="E7" s="45" t="s">
        <v>565</v>
      </c>
      <c r="Q7" s="10" t="s">
        <v>19</v>
      </c>
      <c r="BT7" s="21" t="s">
        <v>18</v>
      </c>
      <c r="BU7" s="13"/>
      <c r="BW7" s="45" t="s">
        <v>564</v>
      </c>
      <c r="CI7" s="10" t="s">
        <v>19</v>
      </c>
    </row>
    <row r="8" spans="1:99">
      <c r="B8" s="9" t="s">
        <v>0</v>
      </c>
      <c r="C8" s="20" t="s">
        <v>1</v>
      </c>
      <c r="D8" s="20" t="s">
        <v>2</v>
      </c>
      <c r="E8" s="20" t="s">
        <v>3</v>
      </c>
      <c r="F8" s="20" t="s">
        <v>4</v>
      </c>
      <c r="G8" s="20" t="s">
        <v>5</v>
      </c>
      <c r="H8" s="20" t="s">
        <v>6</v>
      </c>
      <c r="I8" s="20" t="s">
        <v>7</v>
      </c>
      <c r="J8" s="20" t="s">
        <v>8</v>
      </c>
      <c r="K8" s="20" t="s">
        <v>9</v>
      </c>
      <c r="L8" s="20" t="s">
        <v>10</v>
      </c>
      <c r="M8" s="20" t="s">
        <v>36</v>
      </c>
      <c r="N8" s="20" t="s">
        <v>37</v>
      </c>
      <c r="O8" s="20" t="s">
        <v>344</v>
      </c>
      <c r="Q8" s="11" t="s">
        <v>1</v>
      </c>
      <c r="R8" s="11" t="s">
        <v>2</v>
      </c>
      <c r="S8" s="11" t="s">
        <v>3</v>
      </c>
      <c r="T8" s="11" t="s">
        <v>4</v>
      </c>
      <c r="U8" s="11" t="s">
        <v>5</v>
      </c>
      <c r="V8" s="11" t="s">
        <v>6</v>
      </c>
      <c r="W8" s="11" t="s">
        <v>7</v>
      </c>
      <c r="X8" s="11" t="s">
        <v>8</v>
      </c>
      <c r="Y8" s="11" t="s">
        <v>9</v>
      </c>
      <c r="Z8" s="1506" t="s">
        <v>10</v>
      </c>
      <c r="AA8" s="1506" t="s">
        <v>36</v>
      </c>
      <c r="AB8" s="1506" t="s">
        <v>37</v>
      </c>
      <c r="AC8" s="1506" t="s">
        <v>344</v>
      </c>
      <c r="BT8" s="9" t="s">
        <v>0</v>
      </c>
      <c r="BU8" s="20" t="s">
        <v>1</v>
      </c>
      <c r="BV8" s="20" t="s">
        <v>2</v>
      </c>
      <c r="BW8" s="20" t="s">
        <v>3</v>
      </c>
      <c r="BX8" s="20" t="s">
        <v>4</v>
      </c>
      <c r="BY8" s="20" t="s">
        <v>5</v>
      </c>
      <c r="BZ8" s="20" t="s">
        <v>6</v>
      </c>
      <c r="CA8" s="20" t="s">
        <v>7</v>
      </c>
      <c r="CB8" s="20" t="s">
        <v>8</v>
      </c>
      <c r="CC8" s="20" t="s">
        <v>9</v>
      </c>
      <c r="CD8" s="20" t="s">
        <v>10</v>
      </c>
      <c r="CE8" s="20" t="s">
        <v>36</v>
      </c>
      <c r="CF8" s="20" t="s">
        <v>37</v>
      </c>
      <c r="CG8" s="20" t="s">
        <v>344</v>
      </c>
      <c r="CI8" s="1506" t="s">
        <v>1</v>
      </c>
      <c r="CJ8" s="11" t="s">
        <v>2</v>
      </c>
      <c r="CK8" s="11" t="s">
        <v>3</v>
      </c>
      <c r="CL8" s="11" t="s">
        <v>4</v>
      </c>
      <c r="CM8" s="11" t="s">
        <v>5</v>
      </c>
      <c r="CN8" s="11" t="s">
        <v>6</v>
      </c>
      <c r="CO8" s="11" t="s">
        <v>7</v>
      </c>
      <c r="CP8" s="11" t="s">
        <v>8</v>
      </c>
      <c r="CQ8" s="11" t="s">
        <v>9</v>
      </c>
      <c r="CR8" s="1506" t="s">
        <v>10</v>
      </c>
      <c r="CS8" s="1506" t="s">
        <v>36</v>
      </c>
      <c r="CT8" s="1506" t="s">
        <v>37</v>
      </c>
      <c r="CU8" s="1506" t="s">
        <v>344</v>
      </c>
    </row>
    <row r="9" spans="1:99">
      <c r="B9" s="8">
        <v>1</v>
      </c>
      <c r="C9" s="3" t="s">
        <v>12</v>
      </c>
      <c r="D9" s="19" t="s">
        <v>71</v>
      </c>
      <c r="E9" s="19" t="s">
        <v>71</v>
      </c>
      <c r="F9" s="19" t="s">
        <v>71</v>
      </c>
      <c r="G9" s="19" t="s">
        <v>71</v>
      </c>
      <c r="H9" s="3" t="s">
        <v>12</v>
      </c>
      <c r="I9" s="19" t="s">
        <v>71</v>
      </c>
      <c r="J9" s="3" t="s">
        <v>12</v>
      </c>
      <c r="K9" s="19" t="s">
        <v>71</v>
      </c>
      <c r="L9" s="19" t="s">
        <v>71</v>
      </c>
      <c r="M9" s="19" t="s">
        <v>71</v>
      </c>
      <c r="N9" s="3" t="s">
        <v>12</v>
      </c>
      <c r="O9" s="3" t="s">
        <v>12</v>
      </c>
      <c r="Q9" s="17" t="s">
        <v>24</v>
      </c>
      <c r="R9" s="15" t="s">
        <v>21</v>
      </c>
      <c r="S9" s="188" t="s">
        <v>109</v>
      </c>
      <c r="T9" s="16" t="s">
        <v>23</v>
      </c>
      <c r="U9" s="17" t="s">
        <v>24</v>
      </c>
      <c r="V9" s="27" t="s">
        <v>44</v>
      </c>
      <c r="W9" s="27" t="s">
        <v>44</v>
      </c>
      <c r="X9" s="27" t="s">
        <v>44</v>
      </c>
      <c r="Y9" s="62" t="s">
        <v>397</v>
      </c>
      <c r="Z9" s="19" t="s">
        <v>25</v>
      </c>
      <c r="AA9" s="191" t="s">
        <v>244</v>
      </c>
      <c r="AB9" s="19" t="s">
        <v>25</v>
      </c>
      <c r="AC9" s="19" t="s">
        <v>25</v>
      </c>
      <c r="BT9" s="8">
        <v>1</v>
      </c>
      <c r="BU9" s="12"/>
      <c r="BV9" s="12"/>
      <c r="BW9" s="12"/>
      <c r="BX9" s="12"/>
      <c r="BY9" s="12"/>
      <c r="BZ9" s="12"/>
      <c r="CA9" s="12"/>
      <c r="CB9" s="12"/>
      <c r="CC9" s="12"/>
      <c r="CI9" s="12"/>
      <c r="CK9" s="12"/>
      <c r="CP9" s="12"/>
    </row>
    <row r="10" spans="1:99">
      <c r="B10" s="8">
        <v>2</v>
      </c>
      <c r="C10" s="3" t="s">
        <v>12</v>
      </c>
      <c r="D10" s="3" t="s">
        <v>12</v>
      </c>
      <c r="E10" s="3" t="s">
        <v>12</v>
      </c>
      <c r="F10" s="3" t="s">
        <v>12</v>
      </c>
      <c r="G10" s="3" t="s">
        <v>12</v>
      </c>
      <c r="H10" s="19" t="s">
        <v>71</v>
      </c>
      <c r="I10" s="4" t="s">
        <v>13</v>
      </c>
      <c r="J10" s="19" t="s">
        <v>71</v>
      </c>
      <c r="K10" s="3" t="s">
        <v>12</v>
      </c>
      <c r="L10" s="3" t="s">
        <v>12</v>
      </c>
      <c r="M10" s="3" t="s">
        <v>12</v>
      </c>
      <c r="N10" s="3" t="s">
        <v>12</v>
      </c>
      <c r="O10" s="4" t="s">
        <v>13</v>
      </c>
      <c r="Q10" s="15" t="s">
        <v>21</v>
      </c>
      <c r="R10" s="19" t="s">
        <v>25</v>
      </c>
      <c r="S10" s="19" t="s">
        <v>25</v>
      </c>
      <c r="T10" s="15" t="s">
        <v>21</v>
      </c>
      <c r="U10" s="14" t="s">
        <v>20</v>
      </c>
      <c r="V10" s="15" t="s">
        <v>21</v>
      </c>
      <c r="W10" s="190" t="s">
        <v>120</v>
      </c>
      <c r="X10" s="22" t="s">
        <v>27</v>
      </c>
      <c r="Y10" s="27" t="s">
        <v>44</v>
      </c>
      <c r="Z10" s="15" t="s">
        <v>21</v>
      </c>
      <c r="AA10" s="188" t="s">
        <v>109</v>
      </c>
      <c r="AB10" s="27" t="s">
        <v>44</v>
      </c>
      <c r="AC10" s="22" t="s">
        <v>27</v>
      </c>
      <c r="BT10" s="8">
        <v>2</v>
      </c>
      <c r="BU10" s="12"/>
      <c r="BV10" s="12"/>
      <c r="BW10" s="12"/>
      <c r="BX10" s="12"/>
      <c r="BY10" s="12"/>
      <c r="CB10" s="12"/>
      <c r="CC10" s="12"/>
      <c r="CJ10" s="12"/>
      <c r="CL10" s="12"/>
    </row>
    <row r="11" spans="1:99">
      <c r="B11" s="8">
        <v>3</v>
      </c>
      <c r="C11" s="19" t="s">
        <v>71</v>
      </c>
      <c r="D11" s="4" t="s">
        <v>13</v>
      </c>
      <c r="E11" s="4" t="s">
        <v>13</v>
      </c>
      <c r="F11" s="4" t="s">
        <v>13</v>
      </c>
      <c r="G11" s="4" t="s">
        <v>13</v>
      </c>
      <c r="H11" s="3" t="s">
        <v>12</v>
      </c>
      <c r="I11" s="3" t="s">
        <v>12</v>
      </c>
      <c r="J11" s="3" t="s">
        <v>12</v>
      </c>
      <c r="K11" s="4" t="s">
        <v>13</v>
      </c>
      <c r="L11" s="4" t="s">
        <v>13</v>
      </c>
      <c r="M11" s="4" t="s">
        <v>13</v>
      </c>
      <c r="N11" s="4" t="s">
        <v>13</v>
      </c>
      <c r="O11" s="5" t="s">
        <v>14</v>
      </c>
      <c r="Q11" s="19" t="s">
        <v>25</v>
      </c>
      <c r="R11" s="14" t="s">
        <v>20</v>
      </c>
      <c r="T11" s="27" t="s">
        <v>44</v>
      </c>
      <c r="U11" s="27" t="s">
        <v>44</v>
      </c>
      <c r="V11" s="17" t="s">
        <v>24</v>
      </c>
      <c r="W11" s="5" t="s">
        <v>26</v>
      </c>
      <c r="X11" s="15" t="s">
        <v>21</v>
      </c>
      <c r="Y11" s="22" t="s">
        <v>27</v>
      </c>
      <c r="Z11" s="5" t="s">
        <v>26</v>
      </c>
      <c r="AA11" s="27" t="s">
        <v>44</v>
      </c>
      <c r="AB11" s="17" t="s">
        <v>24</v>
      </c>
      <c r="AC11" s="197" t="s">
        <v>124</v>
      </c>
      <c r="BT11" s="8">
        <v>3</v>
      </c>
      <c r="BV11" s="12"/>
      <c r="BW11" s="12"/>
      <c r="BX11" s="12"/>
      <c r="BZ11" s="12"/>
      <c r="CA11" s="12"/>
      <c r="CB11" s="12"/>
      <c r="CC11" s="12"/>
      <c r="CL11" s="12"/>
      <c r="CM11" s="12"/>
      <c r="CN11" s="12"/>
      <c r="CO11" s="12"/>
      <c r="CQ11" s="12"/>
    </row>
    <row r="12" spans="1:99">
      <c r="B12" s="8">
        <v>4</v>
      </c>
      <c r="C12" s="3" t="s">
        <v>12</v>
      </c>
      <c r="D12" s="3" t="s">
        <v>12</v>
      </c>
      <c r="E12" s="3" t="s">
        <v>12</v>
      </c>
      <c r="F12" s="3" t="s">
        <v>12</v>
      </c>
      <c r="G12" s="3" t="s">
        <v>12</v>
      </c>
      <c r="H12" s="4" t="s">
        <v>13</v>
      </c>
      <c r="I12" s="5" t="s">
        <v>14</v>
      </c>
      <c r="J12" s="4" t="s">
        <v>13</v>
      </c>
      <c r="K12" s="5" t="s">
        <v>14</v>
      </c>
      <c r="L12" s="3" t="s">
        <v>12</v>
      </c>
      <c r="M12" s="3" t="s">
        <v>12</v>
      </c>
      <c r="N12" s="3" t="s">
        <v>12</v>
      </c>
      <c r="O12" s="3" t="s">
        <v>12</v>
      </c>
      <c r="Q12" s="5" t="s">
        <v>26</v>
      </c>
      <c r="R12" s="17" t="s">
        <v>24</v>
      </c>
      <c r="T12" s="197" t="s">
        <v>124</v>
      </c>
      <c r="U12" s="22" t="s">
        <v>27</v>
      </c>
      <c r="V12" s="198" t="s">
        <v>234</v>
      </c>
      <c r="W12" s="198" t="s">
        <v>234</v>
      </c>
      <c r="Z12" s="27" t="s">
        <v>44</v>
      </c>
      <c r="AA12" s="24" t="s">
        <v>29</v>
      </c>
      <c r="AB12" s="15" t="s">
        <v>21</v>
      </c>
      <c r="BT12" s="8">
        <v>4</v>
      </c>
      <c r="BU12" s="12"/>
      <c r="BW12" s="12"/>
      <c r="BX12" s="12"/>
      <c r="BY12" s="12"/>
      <c r="BZ12" s="12"/>
      <c r="CA12" s="12"/>
      <c r="CB12" s="12"/>
    </row>
    <row r="13" spans="1:99">
      <c r="B13" s="8">
        <v>5</v>
      </c>
      <c r="C13" s="4" t="s">
        <v>13</v>
      </c>
      <c r="D13" s="5" t="s">
        <v>14</v>
      </c>
      <c r="E13" s="5" t="s">
        <v>14</v>
      </c>
      <c r="F13" s="5" t="s">
        <v>14</v>
      </c>
      <c r="G13" s="5" t="s">
        <v>14</v>
      </c>
      <c r="H13" s="3" t="s">
        <v>12</v>
      </c>
      <c r="I13" s="3" t="s">
        <v>12</v>
      </c>
      <c r="J13" s="3" t="s">
        <v>12</v>
      </c>
      <c r="K13" s="3" t="s">
        <v>12</v>
      </c>
      <c r="L13" s="5" t="s">
        <v>14</v>
      </c>
      <c r="M13" s="3" t="s">
        <v>12</v>
      </c>
      <c r="N13" s="3" t="s">
        <v>12</v>
      </c>
      <c r="O13" s="3" t="s">
        <v>12</v>
      </c>
      <c r="R13" s="27" t="s">
        <v>44</v>
      </c>
      <c r="T13" s="22" t="s">
        <v>27</v>
      </c>
      <c r="U13" s="19" t="s">
        <v>25</v>
      </c>
      <c r="W13" s="15" t="s">
        <v>21</v>
      </c>
      <c r="Z13" s="195" t="s">
        <v>216</v>
      </c>
      <c r="AA13" s="15" t="s">
        <v>21</v>
      </c>
      <c r="BT13" s="8">
        <v>5</v>
      </c>
      <c r="BU13" s="12"/>
      <c r="BV13" s="12"/>
      <c r="BZ13" s="12"/>
      <c r="CA13" s="12"/>
      <c r="CB13" s="12"/>
    </row>
    <row r="14" spans="1:99">
      <c r="B14" s="8">
        <v>6</v>
      </c>
      <c r="C14" s="3" t="s">
        <v>12</v>
      </c>
      <c r="E14" s="3" t="s">
        <v>12</v>
      </c>
      <c r="G14" s="3" t="s">
        <v>12</v>
      </c>
      <c r="H14" s="5" t="s">
        <v>14</v>
      </c>
      <c r="J14" s="5" t="s">
        <v>14</v>
      </c>
      <c r="L14" s="3" t="s">
        <v>12</v>
      </c>
      <c r="M14" s="5" t="s">
        <v>14</v>
      </c>
      <c r="N14" s="3" t="s">
        <v>12</v>
      </c>
      <c r="U14" s="198" t="s">
        <v>234</v>
      </c>
      <c r="BT14" s="8">
        <v>6</v>
      </c>
      <c r="BW14" s="12"/>
      <c r="BX14" s="12"/>
      <c r="CB14" s="12"/>
    </row>
    <row r="15" spans="1:99">
      <c r="B15" s="8">
        <v>7</v>
      </c>
      <c r="C15" s="12"/>
      <c r="J15" s="3" t="s">
        <v>12</v>
      </c>
      <c r="L15" s="3" t="s">
        <v>12</v>
      </c>
      <c r="N15" s="5" t="s">
        <v>14</v>
      </c>
      <c r="BT15" s="8">
        <v>7</v>
      </c>
    </row>
    <row r="16" spans="1:99">
      <c r="B16" s="8">
        <v>8</v>
      </c>
      <c r="N16" s="3" t="s">
        <v>12</v>
      </c>
      <c r="BT16" s="8">
        <v>8</v>
      </c>
    </row>
    <row r="17" spans="2:99">
      <c r="B17" s="8">
        <v>9</v>
      </c>
      <c r="Q17" s="25" t="s">
        <v>30</v>
      </c>
      <c r="BT17" s="8">
        <v>9</v>
      </c>
      <c r="CI17" s="25" t="s">
        <v>30</v>
      </c>
    </row>
    <row r="18" spans="2:99">
      <c r="B18" s="8">
        <v>10</v>
      </c>
      <c r="Q18" s="1507" t="s">
        <v>1</v>
      </c>
      <c r="R18" s="20" t="s">
        <v>2</v>
      </c>
      <c r="S18" s="20" t="s">
        <v>3</v>
      </c>
      <c r="T18" s="20" t="s">
        <v>4</v>
      </c>
      <c r="U18" s="20" t="s">
        <v>5</v>
      </c>
      <c r="V18" s="20" t="s">
        <v>6</v>
      </c>
      <c r="W18" s="20" t="s">
        <v>7</v>
      </c>
      <c r="X18" s="20" t="s">
        <v>8</v>
      </c>
      <c r="Y18" s="20" t="s">
        <v>9</v>
      </c>
      <c r="Z18" s="20" t="s">
        <v>10</v>
      </c>
      <c r="AA18" s="20" t="s">
        <v>36</v>
      </c>
      <c r="AB18" s="20" t="s">
        <v>37</v>
      </c>
      <c r="AC18" s="20" t="s">
        <v>344</v>
      </c>
      <c r="BT18" s="8">
        <v>10</v>
      </c>
      <c r="CI18" s="20" t="s">
        <v>1</v>
      </c>
      <c r="CJ18" s="20" t="s">
        <v>2</v>
      </c>
      <c r="CK18" s="20" t="s">
        <v>3</v>
      </c>
      <c r="CL18" s="20" t="s">
        <v>4</v>
      </c>
      <c r="CM18" s="20" t="s">
        <v>5</v>
      </c>
      <c r="CN18" s="20" t="s">
        <v>6</v>
      </c>
      <c r="CO18" s="20" t="s">
        <v>7</v>
      </c>
      <c r="CP18" s="20" t="s">
        <v>8</v>
      </c>
      <c r="CQ18" s="20" t="s">
        <v>9</v>
      </c>
      <c r="CR18" s="20" t="s">
        <v>10</v>
      </c>
      <c r="CS18" s="20" t="s">
        <v>36</v>
      </c>
      <c r="CT18" s="20" t="s">
        <v>37</v>
      </c>
      <c r="CU18" s="20" t="s">
        <v>344</v>
      </c>
    </row>
    <row r="19" spans="2:99">
      <c r="B19" t="s">
        <v>15</v>
      </c>
      <c r="C19" s="6" t="s">
        <v>16</v>
      </c>
      <c r="D19" s="6" t="s">
        <v>16</v>
      </c>
      <c r="E19" s="6" t="s">
        <v>16</v>
      </c>
      <c r="F19" s="6" t="s">
        <v>16</v>
      </c>
      <c r="G19" s="6" t="s">
        <v>16</v>
      </c>
      <c r="H19" s="7" t="s">
        <v>17</v>
      </c>
      <c r="I19" s="6" t="s">
        <v>16</v>
      </c>
      <c r="J19" s="7" t="s">
        <v>17</v>
      </c>
      <c r="K19" s="6" t="s">
        <v>16</v>
      </c>
      <c r="L19" s="7" t="s">
        <v>17</v>
      </c>
      <c r="M19" s="6" t="s">
        <v>16</v>
      </c>
      <c r="N19" s="7" t="s">
        <v>17</v>
      </c>
      <c r="O19" s="13" t="s">
        <v>59</v>
      </c>
      <c r="Q19" t="s">
        <v>118</v>
      </c>
      <c r="R19" t="s">
        <v>1090</v>
      </c>
      <c r="S19" t="s">
        <v>52</v>
      </c>
      <c r="T19" t="s">
        <v>1023</v>
      </c>
      <c r="U19" t="s">
        <v>1092</v>
      </c>
      <c r="V19" t="s">
        <v>1095</v>
      </c>
      <c r="W19" t="s">
        <v>1098</v>
      </c>
      <c r="X19" t="s">
        <v>103</v>
      </c>
      <c r="Y19" t="s">
        <v>1101</v>
      </c>
      <c r="Z19" t="s">
        <v>1103</v>
      </c>
      <c r="AA19" t="s">
        <v>1104</v>
      </c>
      <c r="AB19" t="s">
        <v>353</v>
      </c>
      <c r="AC19" t="s">
        <v>1107</v>
      </c>
      <c r="BT19" t="s">
        <v>15</v>
      </c>
      <c r="BU19" s="12"/>
      <c r="BV19" s="12"/>
      <c r="BW19" s="12"/>
      <c r="BX19" s="12"/>
      <c r="BY19" s="12"/>
      <c r="BZ19" s="12"/>
      <c r="CA19" s="12"/>
      <c r="CB19" s="12"/>
    </row>
    <row r="20" spans="2:99">
      <c r="Q20" t="s">
        <v>1089</v>
      </c>
      <c r="R20" t="s">
        <v>979</v>
      </c>
      <c r="S20" t="s">
        <v>1023</v>
      </c>
      <c r="T20" t="s">
        <v>1091</v>
      </c>
      <c r="U20" t="s">
        <v>1093</v>
      </c>
      <c r="V20" t="s">
        <v>1096</v>
      </c>
      <c r="W20" t="s">
        <v>1099</v>
      </c>
      <c r="X20" t="s">
        <v>351</v>
      </c>
      <c r="Y20" t="s">
        <v>406</v>
      </c>
      <c r="Z20" t="s">
        <v>834</v>
      </c>
      <c r="AA20" t="s">
        <v>353</v>
      </c>
      <c r="AB20" t="s">
        <v>1105</v>
      </c>
      <c r="AC20" t="s">
        <v>1108</v>
      </c>
      <c r="BT20" t="s">
        <v>41</v>
      </c>
    </row>
    <row r="21" spans="2:99">
      <c r="Q21" t="s">
        <v>979</v>
      </c>
      <c r="R21" t="s">
        <v>52</v>
      </c>
      <c r="T21" t="s">
        <v>1092</v>
      </c>
      <c r="U21" t="s">
        <v>1094</v>
      </c>
      <c r="V21" t="s">
        <v>177</v>
      </c>
      <c r="W21" t="s">
        <v>360</v>
      </c>
      <c r="X21" t="s">
        <v>764</v>
      </c>
      <c r="Y21" t="s">
        <v>1102</v>
      </c>
      <c r="Z21" t="s">
        <v>1104</v>
      </c>
      <c r="AB21" t="s">
        <v>1106</v>
      </c>
      <c r="AC21" t="s">
        <v>118</v>
      </c>
      <c r="BT21" t="s">
        <v>64</v>
      </c>
    </row>
    <row r="22" spans="2:99">
      <c r="Q22" t="s">
        <v>1090</v>
      </c>
      <c r="V22" t="s">
        <v>1097</v>
      </c>
      <c r="W22" t="s">
        <v>103</v>
      </c>
      <c r="X22" t="s">
        <v>1100</v>
      </c>
      <c r="Y22" t="s">
        <v>1103</v>
      </c>
      <c r="AB22" t="s">
        <v>1107</v>
      </c>
    </row>
    <row r="23" spans="2:99">
      <c r="V23" t="s">
        <v>1098</v>
      </c>
      <c r="X23" t="s">
        <v>1101</v>
      </c>
    </row>
    <row r="24" spans="2:99" ht="21">
      <c r="B24" s="1" t="s">
        <v>127</v>
      </c>
    </row>
    <row r="25" spans="2:99">
      <c r="B25" s="21" t="s">
        <v>544</v>
      </c>
      <c r="C25" s="13"/>
      <c r="E25" s="45" t="s">
        <v>566</v>
      </c>
      <c r="Q25" s="10" t="s">
        <v>19</v>
      </c>
    </row>
    <row r="26" spans="2:99">
      <c r="B26" s="9" t="s">
        <v>0</v>
      </c>
      <c r="C26" s="20" t="s">
        <v>1</v>
      </c>
      <c r="D26" s="20" t="s">
        <v>2</v>
      </c>
      <c r="E26" s="20" t="s">
        <v>3</v>
      </c>
      <c r="F26" s="20" t="s">
        <v>4</v>
      </c>
      <c r="G26" s="20" t="s">
        <v>5</v>
      </c>
      <c r="H26" s="20" t="s">
        <v>6</v>
      </c>
      <c r="I26" s="20" t="s">
        <v>7</v>
      </c>
      <c r="J26" s="20" t="s">
        <v>8</v>
      </c>
      <c r="K26" s="20" t="s">
        <v>9</v>
      </c>
      <c r="L26" s="20" t="s">
        <v>10</v>
      </c>
      <c r="M26" s="20" t="s">
        <v>36</v>
      </c>
      <c r="N26" s="20" t="s">
        <v>37</v>
      </c>
      <c r="O26" s="20" t="s">
        <v>344</v>
      </c>
      <c r="Q26" s="11" t="s">
        <v>1</v>
      </c>
      <c r="R26" s="11" t="s">
        <v>2</v>
      </c>
      <c r="S26" s="11" t="s">
        <v>3</v>
      </c>
      <c r="T26" s="11" t="s">
        <v>4</v>
      </c>
      <c r="U26" s="11" t="s">
        <v>5</v>
      </c>
      <c r="V26" s="11" t="s">
        <v>6</v>
      </c>
      <c r="W26" s="11" t="s">
        <v>7</v>
      </c>
      <c r="X26" s="11" t="s">
        <v>8</v>
      </c>
      <c r="Y26" s="11" t="s">
        <v>9</v>
      </c>
      <c r="Z26" s="1506" t="s">
        <v>10</v>
      </c>
      <c r="AA26" s="1506" t="s">
        <v>36</v>
      </c>
      <c r="AB26" s="1506" t="s">
        <v>37</v>
      </c>
      <c r="AC26" s="1506" t="s">
        <v>344</v>
      </c>
    </row>
    <row r="27" spans="2:99">
      <c r="B27" s="8">
        <v>1</v>
      </c>
      <c r="C27" s="3" t="s">
        <v>12</v>
      </c>
      <c r="D27" s="3" t="s">
        <v>12</v>
      </c>
      <c r="E27" s="3" t="s">
        <v>12</v>
      </c>
      <c r="F27" s="3" t="s">
        <v>12</v>
      </c>
      <c r="G27" s="19" t="s">
        <v>71</v>
      </c>
      <c r="H27" s="19" t="s">
        <v>71</v>
      </c>
      <c r="I27" s="3" t="s">
        <v>12</v>
      </c>
      <c r="J27" s="19" t="s">
        <v>71</v>
      </c>
      <c r="K27" s="19" t="s">
        <v>71</v>
      </c>
      <c r="L27" s="19" t="s">
        <v>71</v>
      </c>
      <c r="M27" s="3" t="s">
        <v>12</v>
      </c>
      <c r="N27" s="3" t="s">
        <v>12</v>
      </c>
      <c r="O27" s="3" t="s">
        <v>12</v>
      </c>
      <c r="Q27" s="17" t="s">
        <v>24</v>
      </c>
      <c r="R27" s="191" t="s">
        <v>244</v>
      </c>
      <c r="S27" s="193" t="s">
        <v>155</v>
      </c>
      <c r="T27" s="17" t="s">
        <v>24</v>
      </c>
      <c r="U27" s="15" t="s">
        <v>21</v>
      </c>
      <c r="V27" s="27" t="s">
        <v>44</v>
      </c>
      <c r="W27" s="27" t="s">
        <v>44</v>
      </c>
      <c r="X27" s="19" t="s">
        <v>25</v>
      </c>
      <c r="Y27" s="5" t="s">
        <v>26</v>
      </c>
      <c r="Z27" s="17" t="s">
        <v>24</v>
      </c>
      <c r="AA27" s="17" t="s">
        <v>24</v>
      </c>
      <c r="AB27" s="17" t="s">
        <v>24</v>
      </c>
      <c r="AC27" s="17" t="s">
        <v>24</v>
      </c>
    </row>
    <row r="28" spans="2:99">
      <c r="B28" s="8">
        <v>2</v>
      </c>
      <c r="C28" s="3" t="s">
        <v>12</v>
      </c>
      <c r="D28" s="19" t="s">
        <v>71</v>
      </c>
      <c r="E28" s="19" t="s">
        <v>71</v>
      </c>
      <c r="F28" s="3" t="s">
        <v>12</v>
      </c>
      <c r="G28" s="3" t="s">
        <v>12</v>
      </c>
      <c r="H28" s="3" t="s">
        <v>12</v>
      </c>
      <c r="I28" s="3" t="s">
        <v>12</v>
      </c>
      <c r="J28" s="3" t="s">
        <v>12</v>
      </c>
      <c r="K28" s="3" t="s">
        <v>12</v>
      </c>
      <c r="L28" s="3" t="s">
        <v>12</v>
      </c>
      <c r="M28" s="19" t="s">
        <v>71</v>
      </c>
      <c r="N28" s="3" t="s">
        <v>12</v>
      </c>
      <c r="O28" s="3" t="s">
        <v>12</v>
      </c>
      <c r="Q28" s="5" t="s">
        <v>26</v>
      </c>
      <c r="R28" s="5" t="s">
        <v>26</v>
      </c>
      <c r="S28" s="200" t="s">
        <v>339</v>
      </c>
      <c r="T28" s="27" t="s">
        <v>44</v>
      </c>
      <c r="U28" s="27" t="s">
        <v>44</v>
      </c>
      <c r="V28" s="15" t="s">
        <v>21</v>
      </c>
      <c r="W28" s="17" t="s">
        <v>24</v>
      </c>
      <c r="X28" s="188" t="s">
        <v>109</v>
      </c>
      <c r="Y28" s="17" t="s">
        <v>24</v>
      </c>
      <c r="Z28" s="5" t="s">
        <v>26</v>
      </c>
      <c r="AA28" s="15" t="s">
        <v>21</v>
      </c>
      <c r="AB28" s="27" t="s">
        <v>44</v>
      </c>
      <c r="AC28" s="19" t="s">
        <v>25</v>
      </c>
    </row>
    <row r="29" spans="2:99">
      <c r="B29" s="8">
        <v>3</v>
      </c>
      <c r="C29" s="19" t="s">
        <v>71</v>
      </c>
      <c r="D29" s="3" t="s">
        <v>12</v>
      </c>
      <c r="E29" s="3" t="s">
        <v>12</v>
      </c>
      <c r="F29" s="19" t="s">
        <v>71</v>
      </c>
      <c r="G29" s="4" t="s">
        <v>13</v>
      </c>
      <c r="H29" s="4" t="s">
        <v>13</v>
      </c>
      <c r="I29" s="19" t="s">
        <v>71</v>
      </c>
      <c r="J29" s="3" t="s">
        <v>12</v>
      </c>
      <c r="K29" s="3" t="s">
        <v>12</v>
      </c>
      <c r="L29" s="3" t="s">
        <v>12</v>
      </c>
      <c r="M29" s="3" t="s">
        <v>12</v>
      </c>
      <c r="N29" s="3" t="s">
        <v>12</v>
      </c>
      <c r="O29" s="3" t="s">
        <v>12</v>
      </c>
      <c r="Q29" s="27" t="s">
        <v>44</v>
      </c>
      <c r="R29" s="27" t="s">
        <v>44</v>
      </c>
      <c r="S29" s="15" t="s">
        <v>21</v>
      </c>
      <c r="T29" s="19" t="s">
        <v>25</v>
      </c>
      <c r="U29" s="12"/>
      <c r="V29" s="17" t="s">
        <v>24</v>
      </c>
      <c r="W29" s="24" t="s">
        <v>29</v>
      </c>
      <c r="Y29" s="24" t="s">
        <v>29</v>
      </c>
      <c r="Z29" s="19" t="s">
        <v>25</v>
      </c>
      <c r="AA29" s="5" t="s">
        <v>26</v>
      </c>
      <c r="AB29" s="190" t="s">
        <v>120</v>
      </c>
    </row>
    <row r="30" spans="2:99">
      <c r="B30" s="8">
        <v>4</v>
      </c>
      <c r="C30" s="3" t="s">
        <v>12</v>
      </c>
      <c r="D30" s="4" t="s">
        <v>13</v>
      </c>
      <c r="E30" s="4" t="s">
        <v>13</v>
      </c>
      <c r="F30" s="3" t="s">
        <v>12</v>
      </c>
      <c r="G30" s="3" t="s">
        <v>12</v>
      </c>
      <c r="H30" s="3" t="s">
        <v>12</v>
      </c>
      <c r="I30" s="3" t="s">
        <v>12</v>
      </c>
      <c r="J30" s="4" t="s">
        <v>13</v>
      </c>
      <c r="K30" s="4" t="s">
        <v>13</v>
      </c>
      <c r="L30" s="4" t="s">
        <v>13</v>
      </c>
      <c r="M30" s="4" t="s">
        <v>13</v>
      </c>
      <c r="N30" s="4" t="s">
        <v>13</v>
      </c>
      <c r="O30" s="3" t="s">
        <v>12</v>
      </c>
      <c r="Q30" s="15" t="s">
        <v>21</v>
      </c>
      <c r="R30" s="17" t="s">
        <v>24</v>
      </c>
      <c r="S30" s="24" t="s">
        <v>29</v>
      </c>
      <c r="T30" s="195" t="s">
        <v>216</v>
      </c>
      <c r="V30" s="194" t="s">
        <v>43</v>
      </c>
      <c r="W30" s="15" t="s">
        <v>21</v>
      </c>
      <c r="Y30" s="27" t="s">
        <v>44</v>
      </c>
      <c r="Z30" s="15" t="s">
        <v>21</v>
      </c>
      <c r="AA30" s="19" t="s">
        <v>25</v>
      </c>
      <c r="AB30" s="195" t="s">
        <v>216</v>
      </c>
    </row>
    <row r="31" spans="2:99">
      <c r="B31" s="8">
        <v>5</v>
      </c>
      <c r="C31" s="4" t="s">
        <v>13</v>
      </c>
      <c r="D31" s="3" t="s">
        <v>12</v>
      </c>
      <c r="E31" s="3" t="s">
        <v>12</v>
      </c>
      <c r="F31" s="3" t="s">
        <v>12</v>
      </c>
      <c r="G31" s="5" t="s">
        <v>14</v>
      </c>
      <c r="H31" s="5" t="s">
        <v>14</v>
      </c>
      <c r="I31" s="4" t="s">
        <v>13</v>
      </c>
      <c r="J31" s="3" t="s">
        <v>12</v>
      </c>
      <c r="K31" s="3" t="s">
        <v>12</v>
      </c>
      <c r="L31" s="3" t="s">
        <v>12</v>
      </c>
      <c r="M31" s="3" t="s">
        <v>12</v>
      </c>
      <c r="N31" s="3" t="s">
        <v>12</v>
      </c>
      <c r="O31" s="3" t="s">
        <v>12</v>
      </c>
      <c r="R31" s="15" t="s">
        <v>21</v>
      </c>
      <c r="T31" s="15" t="s">
        <v>21</v>
      </c>
      <c r="V31" s="19" t="s">
        <v>25</v>
      </c>
      <c r="W31" s="191" t="s">
        <v>244</v>
      </c>
      <c r="Y31" s="19" t="s">
        <v>25</v>
      </c>
      <c r="Z31" s="22" t="s">
        <v>27</v>
      </c>
      <c r="AB31" s="19" t="s">
        <v>25</v>
      </c>
    </row>
    <row r="32" spans="2:99">
      <c r="B32" s="8">
        <v>6</v>
      </c>
      <c r="C32" s="3" t="s">
        <v>12</v>
      </c>
      <c r="D32" s="3" t="s">
        <v>12</v>
      </c>
      <c r="E32" s="5" t="s">
        <v>14</v>
      </c>
      <c r="F32" s="4" t="s">
        <v>13</v>
      </c>
      <c r="G32" s="3" t="s">
        <v>12</v>
      </c>
      <c r="H32" s="3" t="s">
        <v>12</v>
      </c>
      <c r="I32" s="3" t="s">
        <v>12</v>
      </c>
      <c r="J32" s="5" t="s">
        <v>14</v>
      </c>
      <c r="K32" s="5" t="s">
        <v>14</v>
      </c>
      <c r="L32" s="5" t="s">
        <v>14</v>
      </c>
      <c r="M32" s="5" t="s">
        <v>14</v>
      </c>
      <c r="N32" s="5" t="s">
        <v>14</v>
      </c>
      <c r="O32" s="3" t="s">
        <v>12</v>
      </c>
      <c r="R32" s="19" t="s">
        <v>25</v>
      </c>
      <c r="V32" s="22" t="s">
        <v>27</v>
      </c>
      <c r="Y32" s="191" t="s">
        <v>244</v>
      </c>
      <c r="AB32" s="15" t="s">
        <v>21</v>
      </c>
    </row>
    <row r="33" spans="2:29">
      <c r="B33" s="8">
        <v>7</v>
      </c>
      <c r="D33" s="5" t="s">
        <v>14</v>
      </c>
      <c r="F33" s="3" t="s">
        <v>12</v>
      </c>
      <c r="I33" s="5" t="s">
        <v>14</v>
      </c>
      <c r="J33" s="3" t="s">
        <v>12</v>
      </c>
      <c r="K33" s="3" t="s">
        <v>12</v>
      </c>
      <c r="M33" s="3" t="s">
        <v>12</v>
      </c>
      <c r="N33" s="3" t="s">
        <v>12</v>
      </c>
      <c r="O33" s="5" t="s">
        <v>14</v>
      </c>
    </row>
    <row r="34" spans="2:29">
      <c r="B34" s="8">
        <v>8</v>
      </c>
      <c r="D34" s="3" t="s">
        <v>12</v>
      </c>
      <c r="F34" s="3" t="s">
        <v>12</v>
      </c>
      <c r="I34" s="3" t="s">
        <v>12</v>
      </c>
      <c r="O34" s="3" t="s">
        <v>12</v>
      </c>
    </row>
    <row r="35" spans="2:29">
      <c r="B35" s="8">
        <v>9</v>
      </c>
      <c r="F35" s="5" t="s">
        <v>14</v>
      </c>
      <c r="O35" s="3" t="s">
        <v>12</v>
      </c>
      <c r="Q35" s="25" t="s">
        <v>30</v>
      </c>
    </row>
    <row r="36" spans="2:29">
      <c r="B36" s="8">
        <v>10</v>
      </c>
      <c r="F36" s="3" t="s">
        <v>12</v>
      </c>
      <c r="Q36" s="1507" t="s">
        <v>1</v>
      </c>
      <c r="R36" s="20" t="s">
        <v>2</v>
      </c>
      <c r="S36" s="20" t="s">
        <v>3</v>
      </c>
      <c r="T36" s="20" t="s">
        <v>4</v>
      </c>
      <c r="U36" s="20" t="s">
        <v>5</v>
      </c>
      <c r="V36" s="20" t="s">
        <v>6</v>
      </c>
      <c r="W36" s="20" t="s">
        <v>7</v>
      </c>
      <c r="X36" s="20" t="s">
        <v>8</v>
      </c>
      <c r="Y36" s="20" t="s">
        <v>9</v>
      </c>
      <c r="Z36" s="20" t="s">
        <v>10</v>
      </c>
      <c r="AA36" s="20" t="s">
        <v>36</v>
      </c>
      <c r="AB36" s="20" t="s">
        <v>37</v>
      </c>
      <c r="AC36" s="20" t="s">
        <v>344</v>
      </c>
    </row>
    <row r="37" spans="2:29">
      <c r="B37" t="s">
        <v>15</v>
      </c>
      <c r="C37" s="6" t="s">
        <v>16</v>
      </c>
      <c r="D37" s="6" t="s">
        <v>16</v>
      </c>
      <c r="E37" s="6" t="s">
        <v>16</v>
      </c>
      <c r="F37" s="6" t="s">
        <v>16</v>
      </c>
      <c r="G37" s="6" t="s">
        <v>16</v>
      </c>
      <c r="H37" s="7" t="s">
        <v>17</v>
      </c>
      <c r="I37" s="6" t="s">
        <v>16</v>
      </c>
      <c r="J37" s="7" t="s">
        <v>17</v>
      </c>
      <c r="K37" s="6" t="s">
        <v>16</v>
      </c>
      <c r="L37" s="7" t="s">
        <v>17</v>
      </c>
      <c r="M37" s="6" t="s">
        <v>16</v>
      </c>
      <c r="N37" s="7" t="s">
        <v>17</v>
      </c>
      <c r="O37" s="13" t="s">
        <v>59</v>
      </c>
      <c r="Q37" t="s">
        <v>545</v>
      </c>
      <c r="R37" t="s">
        <v>97</v>
      </c>
      <c r="S37" t="s">
        <v>546</v>
      </c>
      <c r="T37" t="s">
        <v>602</v>
      </c>
      <c r="U37" t="s">
        <v>112</v>
      </c>
      <c r="V37" t="s">
        <v>551</v>
      </c>
      <c r="W37" t="s">
        <v>554</v>
      </c>
      <c r="X37" t="s">
        <v>1967</v>
      </c>
      <c r="Y37" t="s">
        <v>242</v>
      </c>
      <c r="Z37" t="s">
        <v>555</v>
      </c>
      <c r="AA37" t="s">
        <v>557</v>
      </c>
      <c r="AB37" t="s">
        <v>559</v>
      </c>
      <c r="AC37" t="s">
        <v>354</v>
      </c>
    </row>
    <row r="38" spans="2:29">
      <c r="Q38" t="s">
        <v>97</v>
      </c>
      <c r="R38" t="s">
        <v>546</v>
      </c>
      <c r="S38" t="s">
        <v>547</v>
      </c>
      <c r="T38" t="s">
        <v>548</v>
      </c>
      <c r="U38" t="s">
        <v>108</v>
      </c>
      <c r="V38" t="s">
        <v>108</v>
      </c>
      <c r="W38" t="s">
        <v>169</v>
      </c>
      <c r="X38" t="s">
        <v>242</v>
      </c>
      <c r="Y38" t="s">
        <v>555</v>
      </c>
      <c r="Z38" t="s">
        <v>556</v>
      </c>
      <c r="AA38" t="s">
        <v>502</v>
      </c>
      <c r="AB38" t="s">
        <v>354</v>
      </c>
      <c r="AC38" t="s">
        <v>560</v>
      </c>
    </row>
    <row r="39" spans="2:29">
      <c r="S39" t="s">
        <v>602</v>
      </c>
      <c r="T39" t="s">
        <v>603</v>
      </c>
      <c r="U39" t="s">
        <v>550</v>
      </c>
      <c r="V39" t="s">
        <v>552</v>
      </c>
      <c r="W39" t="s">
        <v>1967</v>
      </c>
      <c r="Z39" t="s">
        <v>604</v>
      </c>
      <c r="AA39" t="s">
        <v>558</v>
      </c>
      <c r="AC39" t="s">
        <v>408</v>
      </c>
    </row>
    <row r="40" spans="2:29">
      <c r="T40" t="s">
        <v>549</v>
      </c>
      <c r="U40" t="s">
        <v>551</v>
      </c>
      <c r="V40" t="s">
        <v>553</v>
      </c>
      <c r="Z40" t="s">
        <v>557</v>
      </c>
      <c r="AA40" t="s">
        <v>559</v>
      </c>
      <c r="AC40" t="s">
        <v>561</v>
      </c>
    </row>
    <row r="41" spans="2:29">
      <c r="T41" t="s">
        <v>112</v>
      </c>
      <c r="V41" t="s">
        <v>554</v>
      </c>
      <c r="AC41" t="s">
        <v>328</v>
      </c>
    </row>
    <row r="42" spans="2:29" ht="21">
      <c r="B42" s="1" t="s">
        <v>128</v>
      </c>
    </row>
    <row r="43" spans="2:29">
      <c r="B43" s="21" t="s">
        <v>520</v>
      </c>
      <c r="C43" s="13"/>
      <c r="E43" s="45" t="s">
        <v>567</v>
      </c>
      <c r="Q43" s="10" t="s">
        <v>19</v>
      </c>
    </row>
    <row r="44" spans="2:29">
      <c r="B44" s="9" t="s">
        <v>0</v>
      </c>
      <c r="C44" s="20" t="s">
        <v>1</v>
      </c>
      <c r="D44" s="20" t="s">
        <v>2</v>
      </c>
      <c r="E44" s="20" t="s">
        <v>3</v>
      </c>
      <c r="F44" s="20" t="s">
        <v>4</v>
      </c>
      <c r="G44" s="20" t="s">
        <v>5</v>
      </c>
      <c r="H44" s="20" t="s">
        <v>6</v>
      </c>
      <c r="I44" s="20" t="s">
        <v>7</v>
      </c>
      <c r="J44" s="20" t="s">
        <v>8</v>
      </c>
      <c r="K44" s="20" t="s">
        <v>9</v>
      </c>
      <c r="L44" s="20" t="s">
        <v>10</v>
      </c>
      <c r="M44" s="20" t="s">
        <v>36</v>
      </c>
      <c r="N44" s="20" t="s">
        <v>37</v>
      </c>
      <c r="O44" s="20" t="s">
        <v>344</v>
      </c>
      <c r="Q44" s="11" t="s">
        <v>1</v>
      </c>
      <c r="R44" s="11" t="s">
        <v>2</v>
      </c>
      <c r="S44" s="11" t="s">
        <v>3</v>
      </c>
      <c r="T44" s="11" t="s">
        <v>4</v>
      </c>
      <c r="U44" s="11" t="s">
        <v>5</v>
      </c>
      <c r="V44" s="11" t="s">
        <v>6</v>
      </c>
      <c r="W44" s="11" t="s">
        <v>7</v>
      </c>
      <c r="X44" s="11" t="s">
        <v>8</v>
      </c>
      <c r="Y44" s="11" t="s">
        <v>9</v>
      </c>
      <c r="Z44" s="1506" t="s">
        <v>10</v>
      </c>
      <c r="AA44" s="1506" t="s">
        <v>36</v>
      </c>
      <c r="AB44" s="1506" t="s">
        <v>37</v>
      </c>
      <c r="AC44" s="1506" t="s">
        <v>344</v>
      </c>
    </row>
    <row r="45" spans="2:29">
      <c r="B45" s="8">
        <v>1</v>
      </c>
      <c r="C45" s="3" t="s">
        <v>12</v>
      </c>
      <c r="D45" s="19" t="s">
        <v>71</v>
      </c>
      <c r="E45" s="19" t="s">
        <v>71</v>
      </c>
      <c r="F45" s="19" t="s">
        <v>71</v>
      </c>
      <c r="G45" s="19" t="s">
        <v>71</v>
      </c>
      <c r="H45" s="3" t="s">
        <v>12</v>
      </c>
      <c r="I45" s="3" t="s">
        <v>12</v>
      </c>
      <c r="J45" s="3" t="s">
        <v>12</v>
      </c>
      <c r="K45" s="3" t="s">
        <v>12</v>
      </c>
      <c r="L45" s="3" t="s">
        <v>12</v>
      </c>
      <c r="M45" s="3" t="s">
        <v>12</v>
      </c>
      <c r="N45" s="3" t="s">
        <v>12</v>
      </c>
      <c r="O45" s="3" t="s">
        <v>12</v>
      </c>
      <c r="Q45" s="17" t="s">
        <v>24</v>
      </c>
      <c r="R45" s="17" t="s">
        <v>24</v>
      </c>
      <c r="S45" s="17" t="s">
        <v>24</v>
      </c>
      <c r="T45" s="17" t="s">
        <v>24</v>
      </c>
      <c r="U45" s="5" t="s">
        <v>26</v>
      </c>
      <c r="V45" s="27" t="s">
        <v>44</v>
      </c>
      <c r="W45" s="194" t="s">
        <v>43</v>
      </c>
      <c r="X45" s="17" t="s">
        <v>24</v>
      </c>
      <c r="Y45" s="17" t="s">
        <v>24</v>
      </c>
      <c r="Z45" s="16" t="s">
        <v>23</v>
      </c>
      <c r="AA45" s="27" t="s">
        <v>44</v>
      </c>
      <c r="AB45" s="27" t="s">
        <v>44</v>
      </c>
      <c r="AC45" s="17" t="s">
        <v>24</v>
      </c>
    </row>
    <row r="46" spans="2:29">
      <c r="B46" s="8">
        <v>2</v>
      </c>
      <c r="C46" s="3" t="s">
        <v>12</v>
      </c>
      <c r="D46" s="3" t="s">
        <v>12</v>
      </c>
      <c r="E46" s="3" t="s">
        <v>12</v>
      </c>
      <c r="F46" s="3" t="s">
        <v>12</v>
      </c>
      <c r="G46" s="3" t="s">
        <v>12</v>
      </c>
      <c r="H46" s="19" t="s">
        <v>71</v>
      </c>
      <c r="I46" s="19" t="s">
        <v>71</v>
      </c>
      <c r="J46" s="19" t="s">
        <v>71</v>
      </c>
      <c r="K46" s="19" t="s">
        <v>71</v>
      </c>
      <c r="L46" s="3" t="s">
        <v>12</v>
      </c>
      <c r="M46" s="19" t="s">
        <v>71</v>
      </c>
      <c r="N46" s="3" t="s">
        <v>12</v>
      </c>
      <c r="O46" s="3" t="s">
        <v>12</v>
      </c>
      <c r="Q46" s="5" t="s">
        <v>26</v>
      </c>
      <c r="R46" s="19" t="s">
        <v>25</v>
      </c>
      <c r="S46" s="190" t="s">
        <v>120</v>
      </c>
      <c r="T46" s="15" t="s">
        <v>21</v>
      </c>
      <c r="U46" s="19" t="s">
        <v>25</v>
      </c>
      <c r="V46" s="17" t="s">
        <v>24</v>
      </c>
      <c r="W46" s="15" t="s">
        <v>21</v>
      </c>
      <c r="X46" s="27" t="s">
        <v>44</v>
      </c>
      <c r="Y46" s="24" t="s">
        <v>29</v>
      </c>
      <c r="Z46" s="27" t="s">
        <v>44</v>
      </c>
      <c r="AA46" s="200" t="s">
        <v>339</v>
      </c>
      <c r="AB46" s="15" t="s">
        <v>21</v>
      </c>
      <c r="AC46" s="5" t="s">
        <v>26</v>
      </c>
    </row>
    <row r="47" spans="2:29">
      <c r="B47" s="8">
        <v>3</v>
      </c>
      <c r="C47" s="19" t="s">
        <v>71</v>
      </c>
      <c r="D47" s="3" t="s">
        <v>12</v>
      </c>
      <c r="E47" s="4" t="s">
        <v>13</v>
      </c>
      <c r="F47" s="3" t="s">
        <v>12</v>
      </c>
      <c r="G47" s="4" t="s">
        <v>13</v>
      </c>
      <c r="H47" s="3" t="s">
        <v>12</v>
      </c>
      <c r="I47" s="3" t="s">
        <v>12</v>
      </c>
      <c r="J47" s="3" t="s">
        <v>12</v>
      </c>
      <c r="K47" s="3" t="s">
        <v>12</v>
      </c>
      <c r="L47" s="3" t="s">
        <v>12</v>
      </c>
      <c r="M47" s="3" t="s">
        <v>12</v>
      </c>
      <c r="N47" s="4" t="s">
        <v>13</v>
      </c>
      <c r="O47" s="3" t="s">
        <v>12</v>
      </c>
      <c r="Q47" s="27" t="s">
        <v>44</v>
      </c>
      <c r="R47" s="15" t="s">
        <v>21</v>
      </c>
      <c r="S47" s="19" t="s">
        <v>25</v>
      </c>
      <c r="T47" s="191" t="s">
        <v>244</v>
      </c>
      <c r="U47" s="17" t="s">
        <v>24</v>
      </c>
      <c r="V47" s="15" t="s">
        <v>21</v>
      </c>
      <c r="W47" s="5" t="s">
        <v>26</v>
      </c>
      <c r="X47" s="62" t="s">
        <v>397</v>
      </c>
      <c r="Y47" s="5" t="s">
        <v>26</v>
      </c>
      <c r="Z47" s="195" t="s">
        <v>216</v>
      </c>
      <c r="AA47" s="190" t="s">
        <v>120</v>
      </c>
      <c r="AB47" s="194" t="s">
        <v>43</v>
      </c>
      <c r="AC47" s="19" t="s">
        <v>25</v>
      </c>
    </row>
    <row r="48" spans="2:29">
      <c r="B48" s="8">
        <v>4</v>
      </c>
      <c r="C48" s="3" t="s">
        <v>12</v>
      </c>
      <c r="D48" s="4" t="s">
        <v>13</v>
      </c>
      <c r="E48" s="3" t="s">
        <v>12</v>
      </c>
      <c r="F48" s="4" t="s">
        <v>13</v>
      </c>
      <c r="G48" s="3" t="s">
        <v>12</v>
      </c>
      <c r="H48" s="4" t="s">
        <v>13</v>
      </c>
      <c r="I48" s="4" t="s">
        <v>13</v>
      </c>
      <c r="J48" s="3" t="s">
        <v>12</v>
      </c>
      <c r="K48" s="4" t="s">
        <v>13</v>
      </c>
      <c r="L48" s="3" t="s">
        <v>12</v>
      </c>
      <c r="M48" s="4" t="s">
        <v>13</v>
      </c>
      <c r="N48" s="3" t="s">
        <v>12</v>
      </c>
      <c r="O48" s="4" t="s">
        <v>13</v>
      </c>
      <c r="Q48" s="198" t="s">
        <v>234</v>
      </c>
      <c r="R48" s="27" t="s">
        <v>44</v>
      </c>
      <c r="S48" s="15" t="s">
        <v>21</v>
      </c>
      <c r="T48" s="19" t="s">
        <v>25</v>
      </c>
      <c r="U48" s="15" t="s">
        <v>21</v>
      </c>
      <c r="V48" s="188" t="s">
        <v>109</v>
      </c>
      <c r="W48" s="17" t="s">
        <v>24</v>
      </c>
      <c r="X48" s="191" t="s">
        <v>244</v>
      </c>
      <c r="Y48" s="22" t="s">
        <v>27</v>
      </c>
      <c r="Z48" s="17" t="s">
        <v>24</v>
      </c>
      <c r="AA48" s="19" t="s">
        <v>25</v>
      </c>
      <c r="AB48" s="19" t="s">
        <v>25</v>
      </c>
      <c r="AC48" s="15" t="s">
        <v>21</v>
      </c>
    </row>
    <row r="49" spans="2:29">
      <c r="B49" s="8">
        <v>5</v>
      </c>
      <c r="C49" s="4" t="s">
        <v>13</v>
      </c>
      <c r="D49" s="3" t="s">
        <v>12</v>
      </c>
      <c r="E49" s="5" t="s">
        <v>14</v>
      </c>
      <c r="F49" s="3" t="s">
        <v>12</v>
      </c>
      <c r="G49" s="3" t="s">
        <v>12</v>
      </c>
      <c r="H49" s="3" t="s">
        <v>12</v>
      </c>
      <c r="I49" s="3" t="s">
        <v>12</v>
      </c>
      <c r="J49" s="4" t="s">
        <v>13</v>
      </c>
      <c r="K49" s="3" t="s">
        <v>12</v>
      </c>
      <c r="L49" s="4" t="s">
        <v>13</v>
      </c>
      <c r="M49" s="3" t="s">
        <v>12</v>
      </c>
      <c r="N49" s="5" t="s">
        <v>14</v>
      </c>
      <c r="O49" s="3" t="s">
        <v>12</v>
      </c>
      <c r="Q49" s="22" t="s">
        <v>27</v>
      </c>
      <c r="R49" s="195" t="s">
        <v>216</v>
      </c>
      <c r="S49" s="191" t="s">
        <v>244</v>
      </c>
      <c r="U49" s="27" t="s">
        <v>44</v>
      </c>
      <c r="V49" s="200" t="s">
        <v>339</v>
      </c>
      <c r="X49" s="19" t="s">
        <v>25</v>
      </c>
      <c r="Y49" s="189" t="s">
        <v>47</v>
      </c>
      <c r="Z49" s="15" t="s">
        <v>21</v>
      </c>
      <c r="AB49" s="190" t="s">
        <v>120</v>
      </c>
      <c r="AC49" s="23" t="s">
        <v>28</v>
      </c>
    </row>
    <row r="50" spans="2:29">
      <c r="B50" s="8">
        <v>6</v>
      </c>
      <c r="C50" s="3" t="s">
        <v>12</v>
      </c>
      <c r="D50" s="5" t="s">
        <v>14</v>
      </c>
      <c r="E50" s="3" t="s">
        <v>12</v>
      </c>
      <c r="F50" s="5" t="s">
        <v>14</v>
      </c>
      <c r="G50" s="5" t="s">
        <v>14</v>
      </c>
      <c r="H50" s="5" t="s">
        <v>14</v>
      </c>
      <c r="I50" s="5" t="s">
        <v>14</v>
      </c>
      <c r="J50" s="3" t="s">
        <v>12</v>
      </c>
      <c r="K50" s="5" t="s">
        <v>14</v>
      </c>
      <c r="L50" s="19" t="s">
        <v>71</v>
      </c>
      <c r="M50" s="5" t="s">
        <v>14</v>
      </c>
      <c r="N50" s="3" t="s">
        <v>12</v>
      </c>
      <c r="O50" s="3" t="s">
        <v>12</v>
      </c>
      <c r="Q50" s="15" t="s">
        <v>21</v>
      </c>
      <c r="R50" s="5" t="s">
        <v>26</v>
      </c>
      <c r="V50" s="22" t="s">
        <v>27</v>
      </c>
      <c r="Y50" s="13" t="s">
        <v>22</v>
      </c>
    </row>
    <row r="51" spans="2:29">
      <c r="B51" s="8">
        <v>7</v>
      </c>
      <c r="D51" s="3" t="s">
        <v>12</v>
      </c>
      <c r="F51" s="3" t="s">
        <v>12</v>
      </c>
      <c r="G51" s="3" t="s">
        <v>12</v>
      </c>
      <c r="H51" s="3" t="s">
        <v>12</v>
      </c>
      <c r="I51" s="3" t="s">
        <v>12</v>
      </c>
      <c r="J51" s="5" t="s">
        <v>14</v>
      </c>
      <c r="K51" s="3" t="s">
        <v>12</v>
      </c>
      <c r="L51" s="3" t="s">
        <v>12</v>
      </c>
      <c r="O51" s="3" t="s">
        <v>12</v>
      </c>
      <c r="Y51" s="190" t="s">
        <v>120</v>
      </c>
    </row>
    <row r="52" spans="2:29">
      <c r="B52" s="8">
        <v>8</v>
      </c>
      <c r="J52" s="3" t="s">
        <v>12</v>
      </c>
      <c r="L52" s="5" t="s">
        <v>14</v>
      </c>
      <c r="O52" s="5" t="s">
        <v>14</v>
      </c>
    </row>
    <row r="53" spans="2:29">
      <c r="B53" s="8">
        <v>9</v>
      </c>
      <c r="L53" s="3" t="s">
        <v>12</v>
      </c>
      <c r="O53" s="3" t="s">
        <v>12</v>
      </c>
      <c r="Q53" s="25" t="s">
        <v>30</v>
      </c>
    </row>
    <row r="54" spans="2:29">
      <c r="B54" s="8">
        <v>10</v>
      </c>
      <c r="Q54" s="1507" t="s">
        <v>1</v>
      </c>
      <c r="R54" s="20" t="s">
        <v>2</v>
      </c>
      <c r="S54" s="20" t="s">
        <v>3</v>
      </c>
      <c r="T54" s="20" t="s">
        <v>4</v>
      </c>
      <c r="U54" s="20" t="s">
        <v>5</v>
      </c>
      <c r="V54" s="20" t="s">
        <v>6</v>
      </c>
      <c r="W54" s="20" t="s">
        <v>7</v>
      </c>
      <c r="X54" s="20" t="s">
        <v>8</v>
      </c>
      <c r="Y54" s="20" t="s">
        <v>9</v>
      </c>
      <c r="Z54" s="20" t="s">
        <v>10</v>
      </c>
      <c r="AA54" s="20" t="s">
        <v>36</v>
      </c>
      <c r="AB54" s="20" t="s">
        <v>37</v>
      </c>
      <c r="AC54" s="20" t="s">
        <v>344</v>
      </c>
    </row>
    <row r="55" spans="2:29">
      <c r="B55" t="s">
        <v>15</v>
      </c>
      <c r="C55" s="6" t="s">
        <v>16</v>
      </c>
      <c r="D55" s="6" t="s">
        <v>16</v>
      </c>
      <c r="E55" s="6" t="s">
        <v>16</v>
      </c>
      <c r="F55" s="6" t="s">
        <v>16</v>
      </c>
      <c r="G55" s="6" t="s">
        <v>16</v>
      </c>
      <c r="H55" s="6" t="s">
        <v>16</v>
      </c>
      <c r="I55" s="6" t="s">
        <v>16</v>
      </c>
      <c r="J55" s="7" t="s">
        <v>17</v>
      </c>
      <c r="K55" s="7" t="s">
        <v>17</v>
      </c>
      <c r="L55" s="6" t="s">
        <v>16</v>
      </c>
      <c r="M55" s="6" t="s">
        <v>16</v>
      </c>
      <c r="N55" s="7" t="s">
        <v>17</v>
      </c>
      <c r="O55" s="13" t="s">
        <v>59</v>
      </c>
      <c r="Q55" t="s">
        <v>521</v>
      </c>
      <c r="R55" t="s">
        <v>605</v>
      </c>
      <c r="S55" t="s">
        <v>524</v>
      </c>
      <c r="T55" t="s">
        <v>526</v>
      </c>
      <c r="U55" t="s">
        <v>63</v>
      </c>
      <c r="V55" t="s">
        <v>530</v>
      </c>
      <c r="W55" t="s">
        <v>608</v>
      </c>
      <c r="X55" t="s">
        <v>609</v>
      </c>
      <c r="Y55" t="s">
        <v>610</v>
      </c>
      <c r="Z55" t="s">
        <v>538</v>
      </c>
      <c r="AA55" t="s">
        <v>539</v>
      </c>
      <c r="AB55" t="s">
        <v>540</v>
      </c>
      <c r="AC55" t="s">
        <v>613</v>
      </c>
    </row>
    <row r="56" spans="2:29">
      <c r="Q56" t="s">
        <v>88</v>
      </c>
      <c r="R56" t="s">
        <v>522</v>
      </c>
      <c r="S56" t="s">
        <v>607</v>
      </c>
      <c r="T56" t="s">
        <v>527</v>
      </c>
      <c r="U56" t="s">
        <v>528</v>
      </c>
      <c r="V56" t="s">
        <v>531</v>
      </c>
      <c r="W56" t="s">
        <v>110</v>
      </c>
      <c r="X56" t="s">
        <v>534</v>
      </c>
      <c r="Y56" t="s">
        <v>611</v>
      </c>
      <c r="Z56" t="s">
        <v>89</v>
      </c>
      <c r="AA56" t="s">
        <v>540</v>
      </c>
      <c r="AB56" t="s">
        <v>541</v>
      </c>
      <c r="AC56" t="s">
        <v>229</v>
      </c>
    </row>
    <row r="57" spans="2:29">
      <c r="Q57" t="s">
        <v>605</v>
      </c>
      <c r="R57" t="s">
        <v>88</v>
      </c>
      <c r="S57" t="s">
        <v>525</v>
      </c>
      <c r="T57" t="s">
        <v>63</v>
      </c>
      <c r="U57" t="s">
        <v>529</v>
      </c>
      <c r="V57" t="s">
        <v>608</v>
      </c>
      <c r="W57" t="s">
        <v>532</v>
      </c>
      <c r="X57" t="s">
        <v>157</v>
      </c>
      <c r="Y57" t="s">
        <v>535</v>
      </c>
      <c r="Z57" t="s">
        <v>379</v>
      </c>
      <c r="AA57" t="s">
        <v>337</v>
      </c>
      <c r="AB57" t="s">
        <v>542</v>
      </c>
      <c r="AC57" t="s">
        <v>543</v>
      </c>
    </row>
    <row r="58" spans="2:29">
      <c r="R58" t="s">
        <v>523</v>
      </c>
      <c r="S58" t="s">
        <v>526</v>
      </c>
      <c r="U58" t="s">
        <v>530</v>
      </c>
      <c r="W58" t="s">
        <v>609</v>
      </c>
      <c r="X58" t="s">
        <v>610</v>
      </c>
      <c r="Y58" t="s">
        <v>536</v>
      </c>
      <c r="Z58" t="s">
        <v>123</v>
      </c>
      <c r="AA58" t="s">
        <v>540</v>
      </c>
      <c r="AB58" t="s">
        <v>612</v>
      </c>
      <c r="AC58" t="s">
        <v>382</v>
      </c>
    </row>
    <row r="59" spans="2:29">
      <c r="R59" t="s">
        <v>606</v>
      </c>
      <c r="Y59" t="s">
        <v>537</v>
      </c>
      <c r="Z59" t="s">
        <v>539</v>
      </c>
      <c r="AB59" t="s">
        <v>542</v>
      </c>
    </row>
    <row r="60" spans="2:29" ht="21">
      <c r="B60" s="1" t="s">
        <v>129</v>
      </c>
    </row>
    <row r="61" spans="2:29">
      <c r="B61" s="21" t="s">
        <v>503</v>
      </c>
      <c r="C61" s="13"/>
      <c r="E61" s="45" t="s">
        <v>568</v>
      </c>
      <c r="Q61" s="10" t="s">
        <v>19</v>
      </c>
    </row>
    <row r="62" spans="2:29">
      <c r="B62" s="9" t="s">
        <v>0</v>
      </c>
      <c r="C62" s="20" t="s">
        <v>1</v>
      </c>
      <c r="D62" s="20" t="s">
        <v>2</v>
      </c>
      <c r="E62" s="20" t="s">
        <v>3</v>
      </c>
      <c r="F62" s="20" t="s">
        <v>4</v>
      </c>
      <c r="G62" s="20" t="s">
        <v>5</v>
      </c>
      <c r="H62" s="20" t="s">
        <v>6</v>
      </c>
      <c r="I62" s="20" t="s">
        <v>7</v>
      </c>
      <c r="J62" s="20" t="s">
        <v>8</v>
      </c>
      <c r="K62" s="20" t="s">
        <v>9</v>
      </c>
      <c r="L62" s="20" t="s">
        <v>10</v>
      </c>
      <c r="M62" s="20" t="s">
        <v>36</v>
      </c>
      <c r="N62" s="20" t="s">
        <v>37</v>
      </c>
      <c r="O62" s="20" t="s">
        <v>344</v>
      </c>
      <c r="Q62" s="11" t="s">
        <v>1</v>
      </c>
      <c r="R62" s="11" t="s">
        <v>2</v>
      </c>
      <c r="S62" s="11" t="s">
        <v>3</v>
      </c>
      <c r="T62" s="11" t="s">
        <v>4</v>
      </c>
      <c r="U62" s="11" t="s">
        <v>5</v>
      </c>
      <c r="V62" s="11" t="s">
        <v>6</v>
      </c>
      <c r="W62" s="11" t="s">
        <v>7</v>
      </c>
      <c r="X62" s="11" t="s">
        <v>8</v>
      </c>
      <c r="Y62" s="11" t="s">
        <v>9</v>
      </c>
      <c r="Z62" s="1506" t="s">
        <v>10</v>
      </c>
      <c r="AA62" s="1506" t="s">
        <v>36</v>
      </c>
      <c r="AB62" s="1506" t="s">
        <v>37</v>
      </c>
      <c r="AC62" s="1506" t="s">
        <v>344</v>
      </c>
    </row>
    <row r="63" spans="2:29">
      <c r="B63" s="8">
        <v>1</v>
      </c>
      <c r="C63" s="3" t="s">
        <v>12</v>
      </c>
      <c r="D63" s="3" t="s">
        <v>12</v>
      </c>
      <c r="E63" s="3" t="s">
        <v>12</v>
      </c>
      <c r="F63" s="3" t="s">
        <v>12</v>
      </c>
      <c r="G63" s="3" t="s">
        <v>12</v>
      </c>
      <c r="H63" s="3" t="s">
        <v>12</v>
      </c>
      <c r="I63" s="3" t="s">
        <v>12</v>
      </c>
      <c r="J63" s="3" t="s">
        <v>12</v>
      </c>
      <c r="K63" s="3" t="s">
        <v>12</v>
      </c>
      <c r="L63" s="3" t="s">
        <v>12</v>
      </c>
      <c r="M63" s="3" t="s">
        <v>12</v>
      </c>
      <c r="N63" s="3" t="s">
        <v>12</v>
      </c>
      <c r="O63" s="3" t="s">
        <v>12</v>
      </c>
      <c r="Q63" s="27" t="s">
        <v>44</v>
      </c>
      <c r="R63" s="27" t="s">
        <v>44</v>
      </c>
      <c r="S63" s="194" t="s">
        <v>43</v>
      </c>
      <c r="T63" s="17" t="s">
        <v>24</v>
      </c>
      <c r="U63" s="17" t="s">
        <v>24</v>
      </c>
      <c r="V63" s="190" t="s">
        <v>120</v>
      </c>
      <c r="W63" s="27" t="s">
        <v>44</v>
      </c>
      <c r="X63" s="19" t="s">
        <v>25</v>
      </c>
      <c r="Y63" s="17" t="s">
        <v>24</v>
      </c>
      <c r="Z63" s="27" t="s">
        <v>44</v>
      </c>
      <c r="AA63" s="5" t="s">
        <v>26</v>
      </c>
      <c r="AB63" s="17" t="s">
        <v>24</v>
      </c>
      <c r="AC63" s="5" t="s">
        <v>26</v>
      </c>
    </row>
    <row r="64" spans="2:29">
      <c r="B64" s="8">
        <v>2</v>
      </c>
      <c r="C64" s="3" t="s">
        <v>12</v>
      </c>
      <c r="D64" s="19" t="s">
        <v>71</v>
      </c>
      <c r="E64" s="19" t="s">
        <v>71</v>
      </c>
      <c r="F64" s="5" t="s">
        <v>14</v>
      </c>
      <c r="G64" s="19" t="s">
        <v>71</v>
      </c>
      <c r="H64" s="19" t="s">
        <v>71</v>
      </c>
      <c r="I64" s="19" t="s">
        <v>71</v>
      </c>
      <c r="J64" s="19" t="s">
        <v>71</v>
      </c>
      <c r="K64" s="19" t="s">
        <v>71</v>
      </c>
      <c r="L64" s="3" t="s">
        <v>12</v>
      </c>
      <c r="M64" s="19" t="s">
        <v>71</v>
      </c>
      <c r="N64" s="3" t="s">
        <v>12</v>
      </c>
      <c r="O64" s="3" t="s">
        <v>12</v>
      </c>
      <c r="Q64" s="17" t="s">
        <v>24</v>
      </c>
      <c r="R64" s="198" t="s">
        <v>234</v>
      </c>
      <c r="S64" s="15" t="s">
        <v>21</v>
      </c>
      <c r="T64" s="5" t="s">
        <v>26</v>
      </c>
      <c r="U64" s="27" t="s">
        <v>44</v>
      </c>
      <c r="V64" s="27" t="s">
        <v>44</v>
      </c>
      <c r="W64" s="15" t="s">
        <v>21</v>
      </c>
      <c r="X64" s="15" t="s">
        <v>21</v>
      </c>
      <c r="Y64" s="22" t="s">
        <v>27</v>
      </c>
      <c r="Z64" s="15" t="s">
        <v>21</v>
      </c>
      <c r="AA64" s="19" t="s">
        <v>25</v>
      </c>
      <c r="AB64" s="27" t="s">
        <v>44</v>
      </c>
      <c r="AC64" s="198" t="s">
        <v>234</v>
      </c>
    </row>
    <row r="65" spans="2:29">
      <c r="B65" s="8">
        <v>3</v>
      </c>
      <c r="C65" s="19" t="s">
        <v>71</v>
      </c>
      <c r="D65" s="3" t="s">
        <v>12</v>
      </c>
      <c r="E65" s="3" t="s">
        <v>12</v>
      </c>
      <c r="F65" s="3" t="s">
        <v>12</v>
      </c>
      <c r="G65" s="3" t="s">
        <v>12</v>
      </c>
      <c r="H65" s="3" t="s">
        <v>12</v>
      </c>
      <c r="I65" s="3" t="s">
        <v>12</v>
      </c>
      <c r="J65" s="3" t="s">
        <v>12</v>
      </c>
      <c r="K65" s="3" t="s">
        <v>12</v>
      </c>
      <c r="L65" s="19" t="s">
        <v>71</v>
      </c>
      <c r="M65" s="3" t="s">
        <v>12</v>
      </c>
      <c r="N65" s="3" t="s">
        <v>12</v>
      </c>
      <c r="O65" s="4" t="s">
        <v>13</v>
      </c>
      <c r="Q65" s="5" t="s">
        <v>26</v>
      </c>
      <c r="S65" s="5" t="s">
        <v>26</v>
      </c>
      <c r="T65" s="15" t="s">
        <v>21</v>
      </c>
      <c r="U65" s="19" t="s">
        <v>25</v>
      </c>
      <c r="V65" s="15" t="s">
        <v>21</v>
      </c>
      <c r="W65" s="22" t="s">
        <v>27</v>
      </c>
      <c r="X65" s="22" t="s">
        <v>27</v>
      </c>
      <c r="Y65" s="19" t="s">
        <v>25</v>
      </c>
      <c r="Z65" s="19" t="s">
        <v>25</v>
      </c>
      <c r="AA65" s="17" t="s">
        <v>24</v>
      </c>
      <c r="AB65" s="22" t="s">
        <v>27</v>
      </c>
      <c r="AC65" s="195" t="s">
        <v>216</v>
      </c>
    </row>
    <row r="66" spans="2:29">
      <c r="B66" s="8">
        <v>4</v>
      </c>
      <c r="C66" s="3" t="s">
        <v>12</v>
      </c>
      <c r="D66" s="4" t="s">
        <v>13</v>
      </c>
      <c r="E66" s="4" t="s">
        <v>13</v>
      </c>
      <c r="F66" s="19" t="s">
        <v>71</v>
      </c>
      <c r="G66" s="4" t="s">
        <v>13</v>
      </c>
      <c r="H66" s="4" t="s">
        <v>13</v>
      </c>
      <c r="I66" s="5" t="s">
        <v>14</v>
      </c>
      <c r="J66" s="4" t="s">
        <v>13</v>
      </c>
      <c r="K66" s="4" t="s">
        <v>13</v>
      </c>
      <c r="L66" s="3" t="s">
        <v>12</v>
      </c>
      <c r="M66" s="4" t="s">
        <v>13</v>
      </c>
      <c r="N66" s="3" t="s">
        <v>12</v>
      </c>
      <c r="O66" s="3" t="s">
        <v>12</v>
      </c>
      <c r="Q66" s="15" t="s">
        <v>21</v>
      </c>
      <c r="S66" s="19" t="s">
        <v>25</v>
      </c>
      <c r="T66" s="14" t="s">
        <v>20</v>
      </c>
      <c r="U66" s="22" t="s">
        <v>27</v>
      </c>
      <c r="V66" s="19" t="s">
        <v>25</v>
      </c>
      <c r="W66" s="190" t="s">
        <v>120</v>
      </c>
      <c r="X66" s="191" t="s">
        <v>244</v>
      </c>
      <c r="Y66" s="197" t="s">
        <v>124</v>
      </c>
      <c r="Z66" s="197" t="s">
        <v>124</v>
      </c>
      <c r="AA66" s="195" t="s">
        <v>216</v>
      </c>
      <c r="AB66" s="19" t="s">
        <v>25</v>
      </c>
      <c r="AC66" s="14" t="s">
        <v>20</v>
      </c>
    </row>
    <row r="67" spans="2:29">
      <c r="B67" s="8">
        <v>5</v>
      </c>
      <c r="C67" s="4" t="s">
        <v>13</v>
      </c>
      <c r="D67" s="3" t="s">
        <v>12</v>
      </c>
      <c r="E67" s="3" t="s">
        <v>12</v>
      </c>
      <c r="F67" s="3" t="s">
        <v>12</v>
      </c>
      <c r="G67" s="3" t="s">
        <v>12</v>
      </c>
      <c r="H67" s="3" t="s">
        <v>12</v>
      </c>
      <c r="I67" s="3" t="s">
        <v>12</v>
      </c>
      <c r="J67" s="3" t="s">
        <v>12</v>
      </c>
      <c r="K67" s="3" t="s">
        <v>12</v>
      </c>
      <c r="L67" s="5" t="s">
        <v>14</v>
      </c>
      <c r="M67" s="3" t="s">
        <v>12</v>
      </c>
      <c r="N67" s="4" t="s">
        <v>13</v>
      </c>
      <c r="O67" s="5" t="s">
        <v>14</v>
      </c>
      <c r="Q67" s="19" t="s">
        <v>25</v>
      </c>
      <c r="W67" s="198" t="s">
        <v>234</v>
      </c>
      <c r="Y67" s="5" t="s">
        <v>26</v>
      </c>
      <c r="Z67" s="195" t="s">
        <v>216</v>
      </c>
      <c r="AA67" s="22" t="s">
        <v>27</v>
      </c>
      <c r="AB67" s="15" t="s">
        <v>21</v>
      </c>
      <c r="AC67" s="15" t="s">
        <v>21</v>
      </c>
    </row>
    <row r="68" spans="2:29">
      <c r="B68" s="8">
        <v>6</v>
      </c>
      <c r="C68" s="3" t="s">
        <v>12</v>
      </c>
      <c r="D68" s="5" t="s">
        <v>14</v>
      </c>
      <c r="E68" s="5" t="s">
        <v>14</v>
      </c>
      <c r="F68" s="4" t="s">
        <v>13</v>
      </c>
      <c r="G68" s="5" t="s">
        <v>14</v>
      </c>
      <c r="H68" s="5" t="s">
        <v>14</v>
      </c>
      <c r="I68" s="4" t="s">
        <v>13</v>
      </c>
      <c r="J68" s="5" t="s">
        <v>14</v>
      </c>
      <c r="K68" s="5" t="s">
        <v>14</v>
      </c>
      <c r="L68" s="3" t="s">
        <v>12</v>
      </c>
      <c r="M68" s="5" t="s">
        <v>14</v>
      </c>
      <c r="N68" s="3" t="s">
        <v>12</v>
      </c>
      <c r="O68" s="3" t="s">
        <v>12</v>
      </c>
      <c r="Z68" s="24" t="s">
        <v>29</v>
      </c>
    </row>
    <row r="69" spans="2:29">
      <c r="B69" s="8">
        <v>7</v>
      </c>
      <c r="D69" s="3" t="s">
        <v>12</v>
      </c>
      <c r="E69" s="3" t="s">
        <v>12</v>
      </c>
      <c r="F69" s="3" t="s">
        <v>12</v>
      </c>
      <c r="G69" s="3" t="s">
        <v>12</v>
      </c>
      <c r="H69" s="3" t="s">
        <v>12</v>
      </c>
      <c r="I69" s="3" t="s">
        <v>12</v>
      </c>
      <c r="K69" s="3" t="s">
        <v>12</v>
      </c>
      <c r="L69" s="4" t="s">
        <v>13</v>
      </c>
      <c r="M69" s="3" t="s">
        <v>12</v>
      </c>
      <c r="N69" s="5" t="s">
        <v>14</v>
      </c>
      <c r="O69" s="3" t="s">
        <v>12</v>
      </c>
    </row>
    <row r="70" spans="2:29">
      <c r="B70" s="8">
        <v>8</v>
      </c>
      <c r="L70" s="3" t="s">
        <v>12</v>
      </c>
      <c r="N70" s="3" t="s">
        <v>12</v>
      </c>
      <c r="O70" s="3" t="s">
        <v>12</v>
      </c>
    </row>
    <row r="71" spans="2:29">
      <c r="B71" s="8">
        <v>9</v>
      </c>
      <c r="O71" s="3" t="s">
        <v>12</v>
      </c>
      <c r="Q71" s="25" t="s">
        <v>30</v>
      </c>
    </row>
    <row r="72" spans="2:29">
      <c r="B72" s="8">
        <v>10</v>
      </c>
      <c r="O72" s="3" t="s">
        <v>12</v>
      </c>
      <c r="Q72" s="1507" t="s">
        <v>1</v>
      </c>
      <c r="R72" s="20" t="s">
        <v>2</v>
      </c>
      <c r="S72" s="20" t="s">
        <v>3</v>
      </c>
      <c r="T72" s="20" t="s">
        <v>4</v>
      </c>
      <c r="U72" s="20" t="s">
        <v>5</v>
      </c>
      <c r="V72" s="20" t="s">
        <v>6</v>
      </c>
      <c r="W72" s="20" t="s">
        <v>7</v>
      </c>
      <c r="X72" s="20" t="s">
        <v>8</v>
      </c>
      <c r="Y72" s="20" t="s">
        <v>9</v>
      </c>
      <c r="Z72" s="20" t="s">
        <v>10</v>
      </c>
      <c r="AA72" s="20" t="s">
        <v>36</v>
      </c>
      <c r="AB72" s="20" t="s">
        <v>37</v>
      </c>
      <c r="AC72" s="20" t="s">
        <v>344</v>
      </c>
    </row>
    <row r="73" spans="2:29">
      <c r="B73" t="s">
        <v>15</v>
      </c>
      <c r="C73" s="6" t="s">
        <v>16</v>
      </c>
      <c r="D73" s="6" t="s">
        <v>16</v>
      </c>
      <c r="E73" s="6" t="s">
        <v>16</v>
      </c>
      <c r="F73" s="6" t="s">
        <v>16</v>
      </c>
      <c r="G73" s="6" t="s">
        <v>16</v>
      </c>
      <c r="H73" s="6" t="s">
        <v>16</v>
      </c>
      <c r="I73" s="6" t="s">
        <v>16</v>
      </c>
      <c r="J73" s="7" t="s">
        <v>17</v>
      </c>
      <c r="K73" s="6" t="s">
        <v>16</v>
      </c>
      <c r="L73" s="7" t="s">
        <v>17</v>
      </c>
      <c r="M73" s="6" t="s">
        <v>16</v>
      </c>
      <c r="N73" s="7" t="s">
        <v>17</v>
      </c>
      <c r="O73" s="13" t="s">
        <v>59</v>
      </c>
      <c r="Q73" t="s">
        <v>105</v>
      </c>
      <c r="R73" t="s">
        <v>614</v>
      </c>
      <c r="S73" t="s">
        <v>76</v>
      </c>
      <c r="T73" t="s">
        <v>615</v>
      </c>
      <c r="U73" t="s">
        <v>618</v>
      </c>
      <c r="V73" t="s">
        <v>507</v>
      </c>
      <c r="W73" t="s">
        <v>370</v>
      </c>
      <c r="X73" t="s">
        <v>509</v>
      </c>
      <c r="Y73" t="s">
        <v>621</v>
      </c>
      <c r="Z73" t="s">
        <v>511</v>
      </c>
      <c r="AA73" t="s">
        <v>82</v>
      </c>
      <c r="AB73" t="s">
        <v>513</v>
      </c>
      <c r="AC73" t="s">
        <v>517</v>
      </c>
    </row>
    <row r="74" spans="2:29">
      <c r="Q74" t="s">
        <v>75</v>
      </c>
      <c r="R74" t="s">
        <v>76</v>
      </c>
      <c r="S74" t="s">
        <v>206</v>
      </c>
      <c r="T74" t="s">
        <v>504</v>
      </c>
      <c r="U74" t="s">
        <v>113</v>
      </c>
      <c r="V74" t="s">
        <v>370</v>
      </c>
      <c r="W74" t="s">
        <v>508</v>
      </c>
      <c r="X74" t="s">
        <v>510</v>
      </c>
      <c r="Y74" t="s">
        <v>624</v>
      </c>
      <c r="Z74" t="s">
        <v>622</v>
      </c>
      <c r="AA74" t="s">
        <v>626</v>
      </c>
      <c r="AB74" t="s">
        <v>514</v>
      </c>
      <c r="AC74" t="s">
        <v>628</v>
      </c>
    </row>
    <row r="75" spans="2:29">
      <c r="Q75" t="s">
        <v>614</v>
      </c>
      <c r="S75" t="s">
        <v>615</v>
      </c>
      <c r="T75" t="s">
        <v>505</v>
      </c>
      <c r="U75" t="s">
        <v>620</v>
      </c>
      <c r="W75" t="s">
        <v>509</v>
      </c>
      <c r="X75" t="s">
        <v>621</v>
      </c>
      <c r="Y75" t="s">
        <v>511</v>
      </c>
      <c r="Z75" t="s">
        <v>82</v>
      </c>
      <c r="AA75" t="s">
        <v>512</v>
      </c>
      <c r="AB75" t="s">
        <v>627</v>
      </c>
      <c r="AC75" t="s">
        <v>518</v>
      </c>
    </row>
    <row r="76" spans="2:29">
      <c r="T76" t="s">
        <v>506</v>
      </c>
      <c r="U76" t="s">
        <v>619</v>
      </c>
      <c r="Y76" t="s">
        <v>622</v>
      </c>
      <c r="Z76" t="s">
        <v>625</v>
      </c>
      <c r="AA76" t="s">
        <v>513</v>
      </c>
      <c r="AB76" t="s">
        <v>515</v>
      </c>
      <c r="AC76" t="s">
        <v>519</v>
      </c>
    </row>
    <row r="77" spans="2:29">
      <c r="T77" t="s">
        <v>616</v>
      </c>
      <c r="U77" t="s">
        <v>507</v>
      </c>
      <c r="Y77" t="s">
        <v>623</v>
      </c>
      <c r="Z77" t="s">
        <v>82</v>
      </c>
      <c r="AB77" t="s">
        <v>516</v>
      </c>
      <c r="AC77" t="s">
        <v>428</v>
      </c>
    </row>
    <row r="78" spans="2:29" ht="21">
      <c r="B78" s="1" t="s">
        <v>130</v>
      </c>
      <c r="T78" t="s">
        <v>617</v>
      </c>
      <c r="Y78" t="s">
        <v>511</v>
      </c>
      <c r="AB78" t="s">
        <v>517</v>
      </c>
    </row>
    <row r="79" spans="2:29">
      <c r="B79" s="21" t="s">
        <v>491</v>
      </c>
      <c r="C79" s="13"/>
      <c r="E79" s="45" t="s">
        <v>569</v>
      </c>
      <c r="Q79" s="10" t="s">
        <v>19</v>
      </c>
      <c r="T79" t="s">
        <v>618</v>
      </c>
    </row>
    <row r="80" spans="2:29">
      <c r="B80" s="9" t="s">
        <v>0</v>
      </c>
      <c r="C80" s="20" t="s">
        <v>1</v>
      </c>
      <c r="D80" s="20" t="s">
        <v>2</v>
      </c>
      <c r="E80" s="20" t="s">
        <v>3</v>
      </c>
      <c r="F80" s="20" t="s">
        <v>4</v>
      </c>
      <c r="G80" s="20" t="s">
        <v>5</v>
      </c>
      <c r="H80" s="20" t="s">
        <v>6</v>
      </c>
      <c r="I80" s="20" t="s">
        <v>7</v>
      </c>
      <c r="J80" s="20" t="s">
        <v>8</v>
      </c>
      <c r="K80" s="20" t="s">
        <v>9</v>
      </c>
      <c r="L80" s="20" t="s">
        <v>10</v>
      </c>
      <c r="M80" s="20" t="s">
        <v>36</v>
      </c>
      <c r="N80" s="20" t="s">
        <v>37</v>
      </c>
      <c r="O80" s="20" t="s">
        <v>344</v>
      </c>
      <c r="Q80" s="11" t="s">
        <v>1</v>
      </c>
      <c r="R80" s="11" t="s">
        <v>2</v>
      </c>
      <c r="S80" s="11" t="s">
        <v>3</v>
      </c>
      <c r="T80" s="11" t="s">
        <v>4</v>
      </c>
      <c r="U80" s="11" t="s">
        <v>5</v>
      </c>
      <c r="V80" s="11" t="s">
        <v>6</v>
      </c>
      <c r="W80" s="11" t="s">
        <v>7</v>
      </c>
      <c r="X80" s="11" t="s">
        <v>8</v>
      </c>
      <c r="Y80" s="11" t="s">
        <v>9</v>
      </c>
      <c r="Z80" s="1506" t="s">
        <v>10</v>
      </c>
      <c r="AA80" s="1506" t="s">
        <v>36</v>
      </c>
      <c r="AB80" s="1506" t="s">
        <v>37</v>
      </c>
      <c r="AC80" s="1506" t="s">
        <v>344</v>
      </c>
    </row>
    <row r="81" spans="2:29" ht="16.5" thickBot="1">
      <c r="B81" s="8">
        <v>1</v>
      </c>
      <c r="C81" s="3" t="s">
        <v>12</v>
      </c>
      <c r="D81" s="3" t="s">
        <v>12</v>
      </c>
      <c r="E81" s="3" t="s">
        <v>12</v>
      </c>
      <c r="F81" s="3" t="s">
        <v>12</v>
      </c>
      <c r="G81" s="3" t="s">
        <v>12</v>
      </c>
      <c r="H81" s="3" t="s">
        <v>12</v>
      </c>
      <c r="I81" s="3" t="s">
        <v>12</v>
      </c>
      <c r="J81" s="3" t="s">
        <v>12</v>
      </c>
      <c r="K81" s="3" t="s">
        <v>12</v>
      </c>
      <c r="L81" s="3" t="s">
        <v>12</v>
      </c>
      <c r="M81" s="3" t="s">
        <v>12</v>
      </c>
      <c r="N81" s="3" t="s">
        <v>12</v>
      </c>
      <c r="O81" s="3" t="s">
        <v>12</v>
      </c>
      <c r="Q81" s="17" t="s">
        <v>24</v>
      </c>
      <c r="R81" s="17" t="s">
        <v>24</v>
      </c>
      <c r="S81" s="17" t="s">
        <v>24</v>
      </c>
      <c r="T81" s="17" t="s">
        <v>24</v>
      </c>
      <c r="U81" s="27" t="s">
        <v>44</v>
      </c>
      <c r="V81" s="22" t="s">
        <v>27</v>
      </c>
      <c r="W81" s="190" t="s">
        <v>120</v>
      </c>
      <c r="X81" s="17" t="s">
        <v>24</v>
      </c>
      <c r="Y81" s="17" t="s">
        <v>24</v>
      </c>
      <c r="Z81" s="17" t="s">
        <v>24</v>
      </c>
      <c r="AA81" s="17" t="s">
        <v>24</v>
      </c>
      <c r="AB81" s="27" t="s">
        <v>44</v>
      </c>
      <c r="AC81" s="19" t="s">
        <v>25</v>
      </c>
    </row>
    <row r="82" spans="2:29" ht="16.5" thickBot="1">
      <c r="B82" s="8">
        <v>2</v>
      </c>
      <c r="C82" s="3" t="s">
        <v>12</v>
      </c>
      <c r="D82" s="3" t="s">
        <v>12</v>
      </c>
      <c r="E82" s="3" t="s">
        <v>12</v>
      </c>
      <c r="F82" s="834" t="s">
        <v>13</v>
      </c>
      <c r="G82" s="3" t="s">
        <v>12</v>
      </c>
      <c r="H82" s="3" t="s">
        <v>12</v>
      </c>
      <c r="I82" s="3" t="s">
        <v>12</v>
      </c>
      <c r="J82" s="3" t="s">
        <v>12</v>
      </c>
      <c r="K82" s="3" t="s">
        <v>12</v>
      </c>
      <c r="L82" s="834" t="s">
        <v>13</v>
      </c>
      <c r="M82" s="5" t="s">
        <v>14</v>
      </c>
      <c r="N82" s="3" t="s">
        <v>12</v>
      </c>
      <c r="O82" s="3" t="s">
        <v>12</v>
      </c>
      <c r="Q82" s="19" t="s">
        <v>25</v>
      </c>
      <c r="R82" s="27" t="s">
        <v>44</v>
      </c>
      <c r="S82" s="24" t="s">
        <v>29</v>
      </c>
      <c r="T82" s="191" t="s">
        <v>244</v>
      </c>
      <c r="U82" s="19" t="s">
        <v>25</v>
      </c>
      <c r="V82" s="27" t="s">
        <v>44</v>
      </c>
      <c r="W82" s="22" t="s">
        <v>27</v>
      </c>
      <c r="X82" s="15" t="s">
        <v>21</v>
      </c>
      <c r="Y82" s="5" t="s">
        <v>26</v>
      </c>
      <c r="Z82" s="195" t="s">
        <v>216</v>
      </c>
      <c r="AA82" s="19" t="s">
        <v>25</v>
      </c>
      <c r="AB82" s="16" t="s">
        <v>23</v>
      </c>
      <c r="AC82" s="15" t="s">
        <v>21</v>
      </c>
    </row>
    <row r="83" spans="2:29" ht="16.5" thickBot="1">
      <c r="B83" s="8">
        <v>3</v>
      </c>
      <c r="C83" s="3" t="s">
        <v>12</v>
      </c>
      <c r="D83" s="834" t="s">
        <v>13</v>
      </c>
      <c r="E83" s="783" t="s">
        <v>14</v>
      </c>
      <c r="F83" s="3" t="s">
        <v>12</v>
      </c>
      <c r="G83" s="19" t="s">
        <v>71</v>
      </c>
      <c r="H83" s="834" t="s">
        <v>13</v>
      </c>
      <c r="I83" s="834" t="s">
        <v>13</v>
      </c>
      <c r="J83" s="783" t="s">
        <v>14</v>
      </c>
      <c r="K83" s="3" t="s">
        <v>12</v>
      </c>
      <c r="L83" s="3" t="s">
        <v>12</v>
      </c>
      <c r="M83" s="3" t="s">
        <v>12</v>
      </c>
      <c r="N83" s="3" t="s">
        <v>12</v>
      </c>
      <c r="O83" s="5" t="s">
        <v>14</v>
      </c>
      <c r="Q83" s="5" t="s">
        <v>26</v>
      </c>
      <c r="R83" s="198" t="s">
        <v>234</v>
      </c>
      <c r="S83" s="5" t="s">
        <v>26</v>
      </c>
      <c r="T83" s="15" t="s">
        <v>21</v>
      </c>
      <c r="U83" s="15" t="s">
        <v>21</v>
      </c>
      <c r="V83" s="15" t="s">
        <v>21</v>
      </c>
      <c r="W83" s="19" t="s">
        <v>25</v>
      </c>
      <c r="X83" s="5" t="s">
        <v>26</v>
      </c>
      <c r="Y83" s="15" t="s">
        <v>21</v>
      </c>
      <c r="Z83" s="27" t="s">
        <v>44</v>
      </c>
      <c r="AA83" s="5" t="s">
        <v>26</v>
      </c>
      <c r="AB83" s="195" t="s">
        <v>216</v>
      </c>
      <c r="AC83" s="190" t="s">
        <v>120</v>
      </c>
    </row>
    <row r="84" spans="2:29" ht="16.5" thickBot="1">
      <c r="B84" s="8">
        <v>4</v>
      </c>
      <c r="C84" s="3" t="s">
        <v>12</v>
      </c>
      <c r="D84" s="3" t="s">
        <v>12</v>
      </c>
      <c r="E84" s="3" t="s">
        <v>12</v>
      </c>
      <c r="F84" s="3" t="s">
        <v>12</v>
      </c>
      <c r="G84" s="3" t="s">
        <v>12</v>
      </c>
      <c r="H84" s="3" t="s">
        <v>12</v>
      </c>
      <c r="I84" s="3" t="s">
        <v>12</v>
      </c>
      <c r="J84" s="3" t="s">
        <v>12</v>
      </c>
      <c r="K84" s="839" t="s">
        <v>71</v>
      </c>
      <c r="L84" s="5" t="s">
        <v>14</v>
      </c>
      <c r="M84" s="3" t="s">
        <v>12</v>
      </c>
      <c r="N84" s="782" t="s">
        <v>12</v>
      </c>
      <c r="O84" s="3" t="s">
        <v>12</v>
      </c>
      <c r="Q84" s="15" t="s">
        <v>21</v>
      </c>
      <c r="R84" s="22" t="s">
        <v>27</v>
      </c>
      <c r="S84" s="190" t="s">
        <v>120</v>
      </c>
      <c r="T84" s="24" t="s">
        <v>29</v>
      </c>
      <c r="U84" s="14" t="s">
        <v>20</v>
      </c>
      <c r="V84" s="19" t="s">
        <v>25</v>
      </c>
      <c r="W84" s="11" t="s">
        <v>46</v>
      </c>
      <c r="X84" s="198" t="s">
        <v>234</v>
      </c>
      <c r="Y84" s="19" t="s">
        <v>25</v>
      </c>
      <c r="Z84" s="15" t="s">
        <v>21</v>
      </c>
      <c r="AA84" s="13" t="s">
        <v>22</v>
      </c>
      <c r="AB84" s="5" t="s">
        <v>26</v>
      </c>
      <c r="AC84" s="27" t="s">
        <v>44</v>
      </c>
    </row>
    <row r="85" spans="2:29" ht="16.5" thickBot="1">
      <c r="B85" s="8">
        <v>5</v>
      </c>
      <c r="C85" s="3" t="s">
        <v>12</v>
      </c>
      <c r="D85" s="5" t="s">
        <v>14</v>
      </c>
      <c r="E85" s="4" t="s">
        <v>13</v>
      </c>
      <c r="F85" s="5" t="s">
        <v>14</v>
      </c>
      <c r="G85" s="783" t="s">
        <v>14</v>
      </c>
      <c r="H85" s="5" t="s">
        <v>14</v>
      </c>
      <c r="I85" s="5" t="s">
        <v>14</v>
      </c>
      <c r="J85" s="4" t="s">
        <v>13</v>
      </c>
      <c r="K85" s="3" t="s">
        <v>12</v>
      </c>
      <c r="M85" s="3" t="s">
        <v>12</v>
      </c>
      <c r="N85" s="3" t="s">
        <v>12</v>
      </c>
      <c r="O85" s="3" t="s">
        <v>12</v>
      </c>
      <c r="R85" s="19" t="s">
        <v>25</v>
      </c>
      <c r="S85" s="15" t="s">
        <v>21</v>
      </c>
      <c r="U85" s="22" t="s">
        <v>27</v>
      </c>
      <c r="W85" s="24" t="s">
        <v>29</v>
      </c>
      <c r="X85" s="22" t="s">
        <v>27</v>
      </c>
      <c r="Y85" s="983" t="s">
        <v>124</v>
      </c>
      <c r="Z85" s="19" t="s">
        <v>25</v>
      </c>
      <c r="AA85" s="22" t="s">
        <v>27</v>
      </c>
      <c r="AB85" s="19" t="s">
        <v>25</v>
      </c>
    </row>
    <row r="86" spans="2:29" ht="16.5" thickBot="1">
      <c r="B86" s="8">
        <v>6</v>
      </c>
      <c r="C86" s="782" t="s">
        <v>12</v>
      </c>
      <c r="D86" s="3" t="s">
        <v>12</v>
      </c>
      <c r="E86" s="3" t="s">
        <v>12</v>
      </c>
      <c r="F86" s="3" t="s">
        <v>12</v>
      </c>
      <c r="G86" s="3" t="s">
        <v>12</v>
      </c>
      <c r="H86" s="3" t="s">
        <v>12</v>
      </c>
      <c r="I86" s="3" t="s">
        <v>12</v>
      </c>
      <c r="J86" s="3" t="s">
        <v>12</v>
      </c>
      <c r="K86" s="5" t="s">
        <v>14</v>
      </c>
      <c r="M86" s="4" t="s">
        <v>13</v>
      </c>
      <c r="N86" s="5" t="s">
        <v>14</v>
      </c>
      <c r="O86" s="4" t="s">
        <v>13</v>
      </c>
      <c r="R86" s="15" t="s">
        <v>21</v>
      </c>
      <c r="W86" s="15" t="s">
        <v>21</v>
      </c>
    </row>
    <row r="87" spans="2:29">
      <c r="B87" s="8">
        <v>7</v>
      </c>
      <c r="C87" s="4" t="s">
        <v>13</v>
      </c>
      <c r="G87" s="4" t="s">
        <v>13</v>
      </c>
      <c r="K87" s="3" t="s">
        <v>12</v>
      </c>
      <c r="M87" s="3" t="s">
        <v>12</v>
      </c>
      <c r="N87" s="3" t="s">
        <v>12</v>
      </c>
      <c r="O87" s="3" t="s">
        <v>12</v>
      </c>
    </row>
    <row r="88" spans="2:29">
      <c r="B88" s="8">
        <v>8</v>
      </c>
      <c r="C88" s="3" t="s">
        <v>12</v>
      </c>
      <c r="G88" s="3" t="s">
        <v>12</v>
      </c>
      <c r="K88" s="4" t="s">
        <v>13</v>
      </c>
      <c r="O88" s="3" t="s">
        <v>12</v>
      </c>
      <c r="Q88" s="25" t="s">
        <v>30</v>
      </c>
    </row>
    <row r="89" spans="2:29">
      <c r="B89" s="8">
        <v>9</v>
      </c>
      <c r="K89" s="3" t="s">
        <v>12</v>
      </c>
      <c r="O89" s="3" t="s">
        <v>12</v>
      </c>
      <c r="Q89" s="1507" t="s">
        <v>1</v>
      </c>
      <c r="R89" s="20" t="s">
        <v>2</v>
      </c>
      <c r="S89" s="20" t="s">
        <v>3</v>
      </c>
      <c r="T89" s="20" t="s">
        <v>4</v>
      </c>
      <c r="U89" s="20" t="s">
        <v>5</v>
      </c>
      <c r="V89" s="20" t="s">
        <v>6</v>
      </c>
      <c r="W89" s="20" t="s">
        <v>7</v>
      </c>
      <c r="X89" s="20" t="s">
        <v>8</v>
      </c>
      <c r="Y89" s="20" t="s">
        <v>9</v>
      </c>
      <c r="Z89" s="20" t="s">
        <v>10</v>
      </c>
      <c r="AA89" s="20" t="s">
        <v>36</v>
      </c>
      <c r="AB89" s="20" t="s">
        <v>37</v>
      </c>
      <c r="AC89" s="20" t="s">
        <v>344</v>
      </c>
    </row>
    <row r="90" spans="2:29">
      <c r="B90" s="8">
        <v>10</v>
      </c>
      <c r="Q90" t="s">
        <v>492</v>
      </c>
      <c r="R90" t="s">
        <v>631</v>
      </c>
      <c r="S90" t="s">
        <v>633</v>
      </c>
      <c r="T90" t="s">
        <v>635</v>
      </c>
      <c r="U90" t="s">
        <v>495</v>
      </c>
      <c r="V90" t="s">
        <v>497</v>
      </c>
      <c r="W90" t="s">
        <v>498</v>
      </c>
      <c r="X90" t="s">
        <v>500</v>
      </c>
      <c r="Y90" t="s">
        <v>637</v>
      </c>
      <c r="Z90" t="s">
        <v>245</v>
      </c>
      <c r="AA90" t="s">
        <v>638</v>
      </c>
      <c r="AB90" t="s">
        <v>642</v>
      </c>
      <c r="AC90" t="s">
        <v>643</v>
      </c>
    </row>
    <row r="91" spans="2:29">
      <c r="B91" t="s">
        <v>15</v>
      </c>
      <c r="C91" s="6" t="s">
        <v>16</v>
      </c>
      <c r="D91" s="6" t="s">
        <v>16</v>
      </c>
      <c r="E91" s="6" t="s">
        <v>16</v>
      </c>
      <c r="F91" s="6" t="s">
        <v>16</v>
      </c>
      <c r="G91" s="7" t="s">
        <v>17</v>
      </c>
      <c r="H91" s="6" t="s">
        <v>16</v>
      </c>
      <c r="I91" s="6" t="s">
        <v>16</v>
      </c>
      <c r="J91" s="7" t="s">
        <v>17</v>
      </c>
      <c r="K91" s="7" t="s">
        <v>17</v>
      </c>
      <c r="L91" s="6" t="s">
        <v>16</v>
      </c>
      <c r="M91" s="7" t="s">
        <v>17</v>
      </c>
      <c r="N91" s="6" t="s">
        <v>16</v>
      </c>
      <c r="O91" s="13" t="s">
        <v>59</v>
      </c>
      <c r="Q91" t="s">
        <v>493</v>
      </c>
      <c r="R91" t="s">
        <v>632</v>
      </c>
      <c r="S91" t="s">
        <v>494</v>
      </c>
      <c r="T91" t="s">
        <v>253</v>
      </c>
      <c r="U91" t="s">
        <v>253</v>
      </c>
      <c r="V91" t="s">
        <v>498</v>
      </c>
      <c r="W91" t="s">
        <v>226</v>
      </c>
      <c r="X91" t="s">
        <v>92</v>
      </c>
      <c r="Y91" t="s">
        <v>245</v>
      </c>
      <c r="Z91" t="s">
        <v>502</v>
      </c>
      <c r="AA91" t="s">
        <v>358</v>
      </c>
      <c r="AB91" t="s">
        <v>639</v>
      </c>
      <c r="AC91" t="s">
        <v>644</v>
      </c>
    </row>
    <row r="92" spans="2:29">
      <c r="B92" t="s">
        <v>1564</v>
      </c>
      <c r="C92" s="28" t="s">
        <v>42</v>
      </c>
      <c r="D92" s="28" t="s">
        <v>42</v>
      </c>
      <c r="E92" s="28" t="s">
        <v>42</v>
      </c>
      <c r="F92" s="28" t="s">
        <v>42</v>
      </c>
      <c r="G92" s="28" t="s">
        <v>42</v>
      </c>
      <c r="H92" s="28" t="s">
        <v>42</v>
      </c>
      <c r="I92" s="28" t="s">
        <v>42</v>
      </c>
      <c r="J92" s="28" t="s">
        <v>42</v>
      </c>
      <c r="K92" s="28" t="s">
        <v>42</v>
      </c>
      <c r="L92" s="28" t="s">
        <v>42</v>
      </c>
      <c r="M92" s="28" t="s">
        <v>42</v>
      </c>
      <c r="N92" s="28" t="s">
        <v>42</v>
      </c>
      <c r="Q92" t="s">
        <v>629</v>
      </c>
      <c r="R92" t="s">
        <v>98</v>
      </c>
      <c r="S92" t="s">
        <v>634</v>
      </c>
      <c r="T92" t="s">
        <v>495</v>
      </c>
      <c r="U92" t="s">
        <v>496</v>
      </c>
      <c r="W92" t="s">
        <v>636</v>
      </c>
      <c r="X92" t="s">
        <v>637</v>
      </c>
      <c r="Y92" t="s">
        <v>501</v>
      </c>
      <c r="Z92" t="s">
        <v>638</v>
      </c>
      <c r="AA92" t="s">
        <v>639</v>
      </c>
      <c r="AB92" t="s">
        <v>643</v>
      </c>
      <c r="AC92" t="s">
        <v>115</v>
      </c>
    </row>
    <row r="93" spans="2:29">
      <c r="B93" t="s">
        <v>2599</v>
      </c>
      <c r="Q93" t="s">
        <v>493</v>
      </c>
      <c r="R93" t="s">
        <v>633</v>
      </c>
      <c r="S93" t="s">
        <v>635</v>
      </c>
      <c r="U93" t="s">
        <v>497</v>
      </c>
      <c r="W93" t="s">
        <v>499</v>
      </c>
      <c r="Y93" t="s">
        <v>245</v>
      </c>
      <c r="AA93" t="s">
        <v>640</v>
      </c>
    </row>
    <row r="94" spans="2:29">
      <c r="Q94" t="s">
        <v>630</v>
      </c>
      <c r="W94" t="s">
        <v>500</v>
      </c>
      <c r="AA94" t="s">
        <v>641</v>
      </c>
    </row>
    <row r="95" spans="2:29">
      <c r="Q95" t="s">
        <v>493</v>
      </c>
      <c r="AA95" t="s">
        <v>642</v>
      </c>
    </row>
    <row r="96" spans="2:29">
      <c r="Q96" t="s">
        <v>631</v>
      </c>
    </row>
    <row r="97" spans="2:28" ht="21">
      <c r="B97" s="1" t="s">
        <v>131</v>
      </c>
    </row>
    <row r="98" spans="2:28">
      <c r="B98" s="21" t="s">
        <v>477</v>
      </c>
      <c r="C98" s="13"/>
      <c r="E98" s="45" t="s">
        <v>570</v>
      </c>
    </row>
    <row r="99" spans="2:28">
      <c r="B99" s="9" t="s">
        <v>0</v>
      </c>
      <c r="C99" s="20" t="s">
        <v>1</v>
      </c>
      <c r="D99" s="20" t="s">
        <v>2</v>
      </c>
      <c r="E99" s="20" t="s">
        <v>3</v>
      </c>
      <c r="F99" s="20" t="s">
        <v>4</v>
      </c>
      <c r="G99" s="20" t="s">
        <v>5</v>
      </c>
      <c r="H99" s="71" t="s">
        <v>6</v>
      </c>
      <c r="I99" s="20" t="s">
        <v>7</v>
      </c>
      <c r="J99" s="20" t="s">
        <v>8</v>
      </c>
      <c r="K99" s="20" t="s">
        <v>9</v>
      </c>
      <c r="L99" s="20" t="s">
        <v>10</v>
      </c>
      <c r="M99" s="20" t="s">
        <v>36</v>
      </c>
      <c r="N99" s="20" t="s">
        <v>37</v>
      </c>
      <c r="Q99" s="10" t="s">
        <v>19</v>
      </c>
    </row>
    <row r="100" spans="2:28">
      <c r="B100" s="8">
        <v>1</v>
      </c>
      <c r="C100" s="3" t="s">
        <v>12</v>
      </c>
      <c r="D100" s="3" t="s">
        <v>12</v>
      </c>
      <c r="E100" s="3" t="s">
        <v>12</v>
      </c>
      <c r="F100" s="3" t="s">
        <v>12</v>
      </c>
      <c r="G100" s="3" t="s">
        <v>12</v>
      </c>
      <c r="H100" s="3" t="s">
        <v>12</v>
      </c>
      <c r="I100" s="3" t="s">
        <v>12</v>
      </c>
      <c r="J100" s="3" t="s">
        <v>12</v>
      </c>
      <c r="K100" s="3" t="s">
        <v>12</v>
      </c>
      <c r="L100" s="3" t="s">
        <v>12</v>
      </c>
      <c r="M100" s="3" t="s">
        <v>12</v>
      </c>
      <c r="N100" s="3" t="s">
        <v>12</v>
      </c>
      <c r="Q100" s="11" t="s">
        <v>1</v>
      </c>
      <c r="R100" s="11" t="s">
        <v>2</v>
      </c>
      <c r="S100" s="11" t="s">
        <v>3</v>
      </c>
      <c r="T100" s="11" t="s">
        <v>4</v>
      </c>
      <c r="U100" s="11" t="s">
        <v>5</v>
      </c>
      <c r="V100" s="11" t="s">
        <v>6</v>
      </c>
      <c r="W100" s="11" t="s">
        <v>7</v>
      </c>
      <c r="X100" s="11" t="s">
        <v>8</v>
      </c>
      <c r="Y100" s="11" t="s">
        <v>9</v>
      </c>
      <c r="Z100" s="1506" t="s">
        <v>10</v>
      </c>
      <c r="AA100" s="1506" t="s">
        <v>36</v>
      </c>
      <c r="AB100" s="1506" t="s">
        <v>37</v>
      </c>
    </row>
    <row r="101" spans="2:28" ht="16.5" thickBot="1">
      <c r="B101" s="8">
        <v>2</v>
      </c>
      <c r="C101" s="3" t="s">
        <v>12</v>
      </c>
      <c r="D101" s="5" t="s">
        <v>14</v>
      </c>
      <c r="E101" s="3" t="s">
        <v>12</v>
      </c>
      <c r="F101" s="3" t="s">
        <v>12</v>
      </c>
      <c r="G101" s="3" t="s">
        <v>12</v>
      </c>
      <c r="H101" s="3" t="s">
        <v>12</v>
      </c>
      <c r="I101" s="3" t="s">
        <v>12</v>
      </c>
      <c r="J101" s="3" t="s">
        <v>12</v>
      </c>
      <c r="K101" s="3" t="s">
        <v>12</v>
      </c>
      <c r="L101" s="3" t="s">
        <v>12</v>
      </c>
      <c r="M101" s="4" t="s">
        <v>13</v>
      </c>
      <c r="N101" s="4" t="s">
        <v>13</v>
      </c>
      <c r="Q101" s="17" t="s">
        <v>24</v>
      </c>
      <c r="R101" s="5" t="s">
        <v>26</v>
      </c>
      <c r="S101" s="17" t="s">
        <v>24</v>
      </c>
      <c r="T101" s="15" t="s">
        <v>21</v>
      </c>
      <c r="U101" s="27" t="s">
        <v>44</v>
      </c>
      <c r="V101" s="5" t="s">
        <v>26</v>
      </c>
      <c r="W101" s="17" t="s">
        <v>24</v>
      </c>
      <c r="X101" s="198" t="s">
        <v>234</v>
      </c>
      <c r="Y101" s="19" t="s">
        <v>25</v>
      </c>
      <c r="Z101" s="15" t="s">
        <v>21</v>
      </c>
      <c r="AA101" s="27" t="s">
        <v>44</v>
      </c>
      <c r="AB101" s="17" t="s">
        <v>24</v>
      </c>
    </row>
    <row r="102" spans="2:28" ht="16.5" thickBot="1">
      <c r="B102" s="8">
        <v>3</v>
      </c>
      <c r="C102" s="3" t="s">
        <v>12</v>
      </c>
      <c r="D102" s="3" t="s">
        <v>12</v>
      </c>
      <c r="E102" s="3" t="s">
        <v>12</v>
      </c>
      <c r="F102" s="3" t="s">
        <v>12</v>
      </c>
      <c r="G102" s="3" t="s">
        <v>12</v>
      </c>
      <c r="H102" s="5" t="s">
        <v>14</v>
      </c>
      <c r="I102" s="19" t="s">
        <v>71</v>
      </c>
      <c r="J102" s="3" t="s">
        <v>12</v>
      </c>
      <c r="K102" s="3" t="s">
        <v>12</v>
      </c>
      <c r="L102" s="783" t="s">
        <v>14</v>
      </c>
      <c r="M102" s="3" t="s">
        <v>12</v>
      </c>
      <c r="N102" s="3" t="s">
        <v>12</v>
      </c>
      <c r="Q102" s="15" t="s">
        <v>21</v>
      </c>
      <c r="R102" s="17" t="s">
        <v>24</v>
      </c>
      <c r="S102" s="190" t="s">
        <v>120</v>
      </c>
      <c r="T102" s="22" t="s">
        <v>27</v>
      </c>
      <c r="U102" s="11" t="s">
        <v>46</v>
      </c>
      <c r="V102" s="17" t="s">
        <v>24</v>
      </c>
      <c r="W102" s="19" t="s">
        <v>25</v>
      </c>
      <c r="X102" s="19" t="s">
        <v>25</v>
      </c>
      <c r="Y102" s="5" t="s">
        <v>26</v>
      </c>
      <c r="Z102" s="5" t="s">
        <v>26</v>
      </c>
      <c r="AA102" s="19" t="s">
        <v>25</v>
      </c>
      <c r="AB102" s="27" t="s">
        <v>44</v>
      </c>
    </row>
    <row r="103" spans="2:28">
      <c r="B103" s="8">
        <v>4</v>
      </c>
      <c r="C103" s="3" t="s">
        <v>12</v>
      </c>
      <c r="D103" s="3" t="s">
        <v>12</v>
      </c>
      <c r="E103" s="4" t="s">
        <v>13</v>
      </c>
      <c r="F103" s="3" t="s">
        <v>12</v>
      </c>
      <c r="G103" s="4" t="s">
        <v>13</v>
      </c>
      <c r="H103" s="3" t="s">
        <v>12</v>
      </c>
      <c r="I103" s="3" t="s">
        <v>12</v>
      </c>
      <c r="J103" s="4" t="s">
        <v>13</v>
      </c>
      <c r="K103" s="4" t="s">
        <v>13</v>
      </c>
      <c r="L103" s="3" t="s">
        <v>12</v>
      </c>
      <c r="M103" s="3" t="s">
        <v>12</v>
      </c>
      <c r="N103" s="5" t="s">
        <v>14</v>
      </c>
      <c r="Q103" s="19" t="s">
        <v>25</v>
      </c>
      <c r="R103" s="15" t="s">
        <v>21</v>
      </c>
      <c r="S103" s="191" t="s">
        <v>244</v>
      </c>
      <c r="T103" s="19" t="s">
        <v>25</v>
      </c>
      <c r="U103" s="15" t="s">
        <v>21</v>
      </c>
      <c r="V103" s="19" t="s">
        <v>25</v>
      </c>
      <c r="W103" s="27" t="s">
        <v>44</v>
      </c>
      <c r="X103" s="22" t="s">
        <v>27</v>
      </c>
      <c r="Y103" s="22" t="s">
        <v>27</v>
      </c>
      <c r="Z103" s="19" t="s">
        <v>25</v>
      </c>
      <c r="AA103" s="15" t="s">
        <v>21</v>
      </c>
      <c r="AB103" s="19" t="s">
        <v>25</v>
      </c>
    </row>
    <row r="104" spans="2:28" ht="16.5" thickBot="1">
      <c r="B104" s="8">
        <v>5</v>
      </c>
      <c r="C104" s="3" t="s">
        <v>12</v>
      </c>
      <c r="D104" s="3" t="s">
        <v>12</v>
      </c>
      <c r="E104" s="3" t="s">
        <v>12</v>
      </c>
      <c r="F104" s="4" t="s">
        <v>13</v>
      </c>
      <c r="G104" s="3" t="s">
        <v>12</v>
      </c>
      <c r="H104" s="4" t="s">
        <v>13</v>
      </c>
      <c r="I104" s="4" t="s">
        <v>13</v>
      </c>
      <c r="J104" s="3" t="s">
        <v>12</v>
      </c>
      <c r="K104" s="3" t="s">
        <v>12</v>
      </c>
      <c r="L104" s="3" t="s">
        <v>12</v>
      </c>
      <c r="M104" s="5" t="s">
        <v>14</v>
      </c>
      <c r="N104" s="3" t="s">
        <v>12</v>
      </c>
      <c r="Q104" s="27" t="s">
        <v>44</v>
      </c>
      <c r="R104" s="191" t="s">
        <v>244</v>
      </c>
      <c r="S104" s="62" t="s">
        <v>397</v>
      </c>
      <c r="T104" s="13" t="s">
        <v>22</v>
      </c>
      <c r="U104" s="17" t="s">
        <v>24</v>
      </c>
      <c r="V104" s="24" t="s">
        <v>29</v>
      </c>
      <c r="W104" s="24" t="s">
        <v>29</v>
      </c>
      <c r="X104" s="27" t="s">
        <v>44</v>
      </c>
      <c r="Y104" s="191" t="s">
        <v>244</v>
      </c>
      <c r="Z104" s="190" t="s">
        <v>120</v>
      </c>
      <c r="AA104" s="720" t="s">
        <v>74</v>
      </c>
      <c r="AB104" s="5" t="s">
        <v>26</v>
      </c>
    </row>
    <row r="105" spans="2:28" ht="16.5" thickBot="1">
      <c r="B105" s="8">
        <v>6</v>
      </c>
      <c r="C105" s="3" t="s">
        <v>12</v>
      </c>
      <c r="D105" s="3" t="s">
        <v>12</v>
      </c>
      <c r="E105" s="783" t="s">
        <v>14</v>
      </c>
      <c r="F105" s="3" t="s">
        <v>12</v>
      </c>
      <c r="G105" s="5" t="s">
        <v>14</v>
      </c>
      <c r="H105" s="3" t="s">
        <v>12</v>
      </c>
      <c r="I105" s="3" t="s">
        <v>12</v>
      </c>
      <c r="J105" s="783" t="s">
        <v>14</v>
      </c>
      <c r="K105" s="3" t="s">
        <v>12</v>
      </c>
      <c r="L105" s="4" t="s">
        <v>13</v>
      </c>
      <c r="M105" s="3" t="s">
        <v>12</v>
      </c>
      <c r="N105" s="3" t="s">
        <v>12</v>
      </c>
      <c r="R105" s="194" t="s">
        <v>43</v>
      </c>
      <c r="S105" s="189" t="s">
        <v>47</v>
      </c>
      <c r="U105" s="19" t="s">
        <v>25</v>
      </c>
      <c r="V105" s="195" t="s">
        <v>216</v>
      </c>
      <c r="W105" s="15" t="s">
        <v>21</v>
      </c>
      <c r="X105" s="13" t="s">
        <v>22</v>
      </c>
      <c r="Y105" s="27" t="s">
        <v>44</v>
      </c>
      <c r="Z105" s="955" t="s">
        <v>234</v>
      </c>
      <c r="AB105" s="24" t="s">
        <v>29</v>
      </c>
    </row>
    <row r="106" spans="2:28">
      <c r="B106" s="8">
        <v>7</v>
      </c>
      <c r="C106" s="4" t="s">
        <v>13</v>
      </c>
      <c r="D106" s="4" t="s">
        <v>13</v>
      </c>
      <c r="E106" s="3" t="s">
        <v>12</v>
      </c>
      <c r="F106" s="5" t="s">
        <v>14</v>
      </c>
      <c r="G106" s="3" t="s">
        <v>12</v>
      </c>
      <c r="H106" s="3" t="s">
        <v>12</v>
      </c>
      <c r="I106" s="5" t="s">
        <v>14</v>
      </c>
      <c r="J106" s="3" t="s">
        <v>12</v>
      </c>
      <c r="K106" s="5" t="s">
        <v>14</v>
      </c>
      <c r="L106" s="3" t="s">
        <v>12</v>
      </c>
      <c r="N106" s="3" t="s">
        <v>12</v>
      </c>
      <c r="U106" s="898" t="s">
        <v>43</v>
      </c>
      <c r="W106" s="962" t="s">
        <v>216</v>
      </c>
      <c r="Y106" s="195" t="s">
        <v>216</v>
      </c>
    </row>
    <row r="107" spans="2:28">
      <c r="B107" s="8">
        <v>8</v>
      </c>
      <c r="C107" s="3" t="s">
        <v>12</v>
      </c>
      <c r="D107" s="3" t="s">
        <v>12</v>
      </c>
      <c r="F107" s="3" t="s">
        <v>12</v>
      </c>
      <c r="H107" s="19" t="s">
        <v>71</v>
      </c>
      <c r="I107" s="3" t="s">
        <v>12</v>
      </c>
      <c r="Y107" s="15" t="s">
        <v>21</v>
      </c>
    </row>
    <row r="108" spans="2:28">
      <c r="B108" s="8">
        <v>9</v>
      </c>
      <c r="H108" s="3" t="s">
        <v>12</v>
      </c>
    </row>
    <row r="109" spans="2:28">
      <c r="B109" s="8">
        <v>10</v>
      </c>
      <c r="H109" s="4" t="s">
        <v>13</v>
      </c>
    </row>
    <row r="110" spans="2:28">
      <c r="B110" s="8">
        <v>11</v>
      </c>
      <c r="H110" s="3" t="s">
        <v>12</v>
      </c>
      <c r="Q110" s="25" t="s">
        <v>30</v>
      </c>
    </row>
    <row r="111" spans="2:28">
      <c r="B111" s="8">
        <v>12</v>
      </c>
      <c r="H111" s="5" t="s">
        <v>14</v>
      </c>
      <c r="Q111" s="1507" t="s">
        <v>1</v>
      </c>
      <c r="R111" s="20" t="s">
        <v>2</v>
      </c>
      <c r="S111" s="20" t="s">
        <v>3</v>
      </c>
      <c r="T111" s="20" t="s">
        <v>4</v>
      </c>
      <c r="U111" s="20" t="s">
        <v>5</v>
      </c>
      <c r="V111" s="20" t="s">
        <v>6</v>
      </c>
      <c r="W111" s="20" t="s">
        <v>7</v>
      </c>
      <c r="X111" s="20" t="s">
        <v>8</v>
      </c>
      <c r="Y111" s="20" t="s">
        <v>9</v>
      </c>
      <c r="Z111" s="20" t="s">
        <v>10</v>
      </c>
      <c r="AA111" s="20" t="s">
        <v>36</v>
      </c>
      <c r="AB111" s="20" t="s">
        <v>37</v>
      </c>
    </row>
    <row r="112" spans="2:28">
      <c r="B112" s="8">
        <v>13</v>
      </c>
      <c r="H112" s="3" t="s">
        <v>12</v>
      </c>
      <c r="Q112" t="s">
        <v>83</v>
      </c>
      <c r="R112" t="s">
        <v>478</v>
      </c>
      <c r="S112" t="s">
        <v>481</v>
      </c>
      <c r="T112" t="s">
        <v>340</v>
      </c>
      <c r="U112" t="s">
        <v>651</v>
      </c>
      <c r="V112" t="s">
        <v>51</v>
      </c>
      <c r="W112" t="s">
        <v>485</v>
      </c>
      <c r="X112" t="s">
        <v>653</v>
      </c>
      <c r="Y112" t="s">
        <v>656</v>
      </c>
      <c r="Z112" t="s">
        <v>657</v>
      </c>
      <c r="AA112" t="s">
        <v>327</v>
      </c>
      <c r="AB112" t="s">
        <v>490</v>
      </c>
    </row>
    <row r="113" spans="2:29">
      <c r="B113" t="s">
        <v>15</v>
      </c>
      <c r="C113" s="6" t="s">
        <v>16</v>
      </c>
      <c r="D113" s="6" t="s">
        <v>16</v>
      </c>
      <c r="E113" s="6" t="s">
        <v>16</v>
      </c>
      <c r="F113" s="7" t="s">
        <v>17</v>
      </c>
      <c r="G113" s="6" t="s">
        <v>16</v>
      </c>
      <c r="H113" s="6" t="s">
        <v>16</v>
      </c>
      <c r="I113" s="7" t="s">
        <v>17</v>
      </c>
      <c r="J113" s="6" t="s">
        <v>16</v>
      </c>
      <c r="K113" s="6" t="s">
        <v>16</v>
      </c>
      <c r="L113" s="7" t="s">
        <v>17</v>
      </c>
      <c r="M113" s="6" t="s">
        <v>16</v>
      </c>
      <c r="N113" s="13" t="s">
        <v>59</v>
      </c>
      <c r="Q113" t="s">
        <v>646</v>
      </c>
      <c r="R113" t="s">
        <v>479</v>
      </c>
      <c r="S113" t="s">
        <v>340</v>
      </c>
      <c r="T113" t="s">
        <v>482</v>
      </c>
      <c r="U113" t="s">
        <v>51</v>
      </c>
      <c r="V113" t="s">
        <v>486</v>
      </c>
      <c r="W113" t="s">
        <v>652</v>
      </c>
      <c r="X113" t="s">
        <v>111</v>
      </c>
      <c r="Y113" t="s">
        <v>654</v>
      </c>
      <c r="Z113" t="s">
        <v>327</v>
      </c>
      <c r="AA113" t="s">
        <v>490</v>
      </c>
      <c r="AB113" t="s">
        <v>229</v>
      </c>
    </row>
    <row r="114" spans="2:29">
      <c r="B114" t="s">
        <v>1564</v>
      </c>
      <c r="E114" s="28" t="s">
        <v>42</v>
      </c>
      <c r="J114" s="28" t="s">
        <v>42</v>
      </c>
      <c r="L114" s="28" t="s">
        <v>42</v>
      </c>
      <c r="Q114" t="s">
        <v>647</v>
      </c>
      <c r="R114" t="s">
        <v>480</v>
      </c>
      <c r="S114" t="s">
        <v>649</v>
      </c>
      <c r="T114" t="s">
        <v>483</v>
      </c>
      <c r="V114" t="s">
        <v>485</v>
      </c>
      <c r="W114" t="s">
        <v>487</v>
      </c>
      <c r="X114" t="s">
        <v>654</v>
      </c>
      <c r="Y114" t="s">
        <v>175</v>
      </c>
      <c r="AA114" t="s">
        <v>658</v>
      </c>
      <c r="AB114" t="s">
        <v>83</v>
      </c>
    </row>
    <row r="115" spans="2:29">
      <c r="Q115" t="s">
        <v>648</v>
      </c>
      <c r="R115" t="s">
        <v>481</v>
      </c>
      <c r="S115" t="s">
        <v>340</v>
      </c>
      <c r="T115" t="s">
        <v>650</v>
      </c>
      <c r="W115" t="s">
        <v>488</v>
      </c>
      <c r="X115" t="s">
        <v>655</v>
      </c>
      <c r="Y115" t="s">
        <v>489</v>
      </c>
      <c r="AA115" t="s">
        <v>490</v>
      </c>
    </row>
    <row r="116" spans="2:29">
      <c r="Q116" t="s">
        <v>478</v>
      </c>
      <c r="T116" t="s">
        <v>651</v>
      </c>
      <c r="W116" t="s">
        <v>653</v>
      </c>
      <c r="X116" t="s">
        <v>656</v>
      </c>
      <c r="Y116" t="s">
        <v>657</v>
      </c>
    </row>
    <row r="117" spans="2:29" ht="21">
      <c r="B117" s="1" t="s">
        <v>132</v>
      </c>
    </row>
    <row r="118" spans="2:29">
      <c r="B118" s="21" t="s">
        <v>458</v>
      </c>
      <c r="C118" s="13"/>
      <c r="E118" s="45" t="s">
        <v>571</v>
      </c>
      <c r="Q118" s="10" t="s">
        <v>19</v>
      </c>
    </row>
    <row r="119" spans="2:29">
      <c r="B119" s="9" t="s">
        <v>0</v>
      </c>
      <c r="C119" s="20" t="s">
        <v>1</v>
      </c>
      <c r="D119" s="20" t="s">
        <v>2</v>
      </c>
      <c r="E119" s="20" t="s">
        <v>3</v>
      </c>
      <c r="F119" s="20" t="s">
        <v>4</v>
      </c>
      <c r="G119" s="20" t="s">
        <v>5</v>
      </c>
      <c r="H119" s="20" t="s">
        <v>6</v>
      </c>
      <c r="I119" s="20" t="s">
        <v>7</v>
      </c>
      <c r="J119" s="20" t="s">
        <v>8</v>
      </c>
      <c r="K119" s="20" t="s">
        <v>9</v>
      </c>
      <c r="L119" s="20" t="s">
        <v>10</v>
      </c>
      <c r="M119" s="20" t="s">
        <v>36</v>
      </c>
      <c r="N119" s="20" t="s">
        <v>37</v>
      </c>
      <c r="O119" s="20" t="s">
        <v>344</v>
      </c>
      <c r="Q119" s="11" t="s">
        <v>1</v>
      </c>
      <c r="R119" s="11" t="s">
        <v>2</v>
      </c>
      <c r="S119" s="11" t="s">
        <v>3</v>
      </c>
      <c r="T119" s="11" t="s">
        <v>4</v>
      </c>
      <c r="U119" s="11" t="s">
        <v>5</v>
      </c>
      <c r="V119" s="11" t="s">
        <v>6</v>
      </c>
      <c r="W119" s="11" t="s">
        <v>7</v>
      </c>
      <c r="X119" s="11" t="s">
        <v>8</v>
      </c>
      <c r="Y119" s="11" t="s">
        <v>9</v>
      </c>
      <c r="Z119" s="1506" t="s">
        <v>10</v>
      </c>
      <c r="AA119" s="1506" t="s">
        <v>36</v>
      </c>
      <c r="AB119" s="1506" t="s">
        <v>37</v>
      </c>
      <c r="AC119" s="1506" t="s">
        <v>344</v>
      </c>
    </row>
    <row r="120" spans="2:29" ht="16.5" thickBot="1">
      <c r="B120" s="8">
        <v>1</v>
      </c>
      <c r="C120" s="3" t="s">
        <v>12</v>
      </c>
      <c r="D120" s="3" t="s">
        <v>12</v>
      </c>
      <c r="E120" s="3" t="s">
        <v>12</v>
      </c>
      <c r="F120" s="3" t="s">
        <v>12</v>
      </c>
      <c r="G120" s="3" t="s">
        <v>12</v>
      </c>
      <c r="H120" s="3" t="s">
        <v>12</v>
      </c>
      <c r="I120" s="3" t="s">
        <v>12</v>
      </c>
      <c r="J120" s="3" t="s">
        <v>12</v>
      </c>
      <c r="K120" s="3" t="s">
        <v>12</v>
      </c>
      <c r="L120" s="3" t="s">
        <v>12</v>
      </c>
      <c r="M120" s="3" t="s">
        <v>12</v>
      </c>
      <c r="N120" s="3" t="s">
        <v>12</v>
      </c>
      <c r="O120" s="3" t="s">
        <v>12</v>
      </c>
      <c r="Q120" s="17" t="s">
        <v>24</v>
      </c>
      <c r="R120" s="15" t="s">
        <v>21</v>
      </c>
      <c r="S120" s="17" t="s">
        <v>24</v>
      </c>
      <c r="T120" s="17" t="s">
        <v>24</v>
      </c>
      <c r="U120" s="17" t="s">
        <v>24</v>
      </c>
      <c r="V120" s="17" t="s">
        <v>24</v>
      </c>
      <c r="W120" s="17" t="s">
        <v>24</v>
      </c>
      <c r="X120" s="27" t="s">
        <v>44</v>
      </c>
      <c r="Y120" s="19" t="s">
        <v>25</v>
      </c>
      <c r="Z120" s="27" t="s">
        <v>44</v>
      </c>
      <c r="AA120" s="27" t="s">
        <v>44</v>
      </c>
      <c r="AB120" s="189" t="s">
        <v>47</v>
      </c>
      <c r="AC120" s="191" t="s">
        <v>244</v>
      </c>
    </row>
    <row r="121" spans="2:29" ht="16.5" thickBot="1">
      <c r="B121" s="8">
        <v>2</v>
      </c>
      <c r="C121" s="3" t="s">
        <v>12</v>
      </c>
      <c r="D121" s="5" t="s">
        <v>14</v>
      </c>
      <c r="E121" s="834" t="s">
        <v>13</v>
      </c>
      <c r="F121" s="5" t="s">
        <v>14</v>
      </c>
      <c r="G121" s="19" t="s">
        <v>71</v>
      </c>
      <c r="H121" s="3" t="s">
        <v>12</v>
      </c>
      <c r="I121" s="4" t="s">
        <v>13</v>
      </c>
      <c r="J121" s="3" t="s">
        <v>12</v>
      </c>
      <c r="K121" s="3" t="s">
        <v>12</v>
      </c>
      <c r="L121" s="3" t="s">
        <v>12</v>
      </c>
      <c r="M121" s="3" t="s">
        <v>12</v>
      </c>
      <c r="N121" s="5" t="s">
        <v>14</v>
      </c>
      <c r="O121" s="3" t="s">
        <v>12</v>
      </c>
      <c r="Q121" s="15" t="s">
        <v>21</v>
      </c>
      <c r="R121" s="19" t="s">
        <v>25</v>
      </c>
      <c r="S121" s="190" t="s">
        <v>120</v>
      </c>
      <c r="T121" s="22" t="s">
        <v>27</v>
      </c>
      <c r="U121" s="5" t="s">
        <v>26</v>
      </c>
      <c r="V121" s="191" t="s">
        <v>244</v>
      </c>
      <c r="W121" s="194" t="s">
        <v>43</v>
      </c>
      <c r="X121" s="19" t="s">
        <v>25</v>
      </c>
      <c r="Y121" s="22" t="s">
        <v>27</v>
      </c>
      <c r="Z121" s="5" t="s">
        <v>26</v>
      </c>
      <c r="AA121" s="14" t="s">
        <v>20</v>
      </c>
      <c r="AB121" s="194" t="s">
        <v>43</v>
      </c>
      <c r="AC121" s="22" t="s">
        <v>27</v>
      </c>
    </row>
    <row r="122" spans="2:29">
      <c r="B122" s="8">
        <v>3</v>
      </c>
      <c r="C122" s="3" t="s">
        <v>12</v>
      </c>
      <c r="D122" s="3" t="s">
        <v>12</v>
      </c>
      <c r="E122" s="3" t="s">
        <v>12</v>
      </c>
      <c r="F122" s="3" t="s">
        <v>12</v>
      </c>
      <c r="G122" s="4" t="s">
        <v>13</v>
      </c>
      <c r="H122" s="5" t="s">
        <v>14</v>
      </c>
      <c r="I122" s="3" t="s">
        <v>12</v>
      </c>
      <c r="J122" s="5" t="s">
        <v>14</v>
      </c>
      <c r="K122" s="3" t="s">
        <v>12</v>
      </c>
      <c r="L122" s="4" t="s">
        <v>13</v>
      </c>
      <c r="M122" s="3" t="s">
        <v>12</v>
      </c>
      <c r="N122" s="3" t="s">
        <v>12</v>
      </c>
      <c r="O122" s="4" t="s">
        <v>13</v>
      </c>
      <c r="Q122" s="19" t="s">
        <v>25</v>
      </c>
      <c r="R122" s="27" t="s">
        <v>44</v>
      </c>
      <c r="S122" s="24" t="s">
        <v>29</v>
      </c>
      <c r="T122" s="27" t="s">
        <v>44</v>
      </c>
      <c r="U122" s="15" t="s">
        <v>21</v>
      </c>
      <c r="V122" s="19" t="s">
        <v>25</v>
      </c>
      <c r="W122" s="22" t="s">
        <v>27</v>
      </c>
      <c r="Y122" s="15" t="s">
        <v>21</v>
      </c>
      <c r="Z122" s="200" t="s">
        <v>339</v>
      </c>
      <c r="AA122" s="19" t="s">
        <v>25</v>
      </c>
      <c r="AB122" s="15" t="s">
        <v>21</v>
      </c>
      <c r="AC122" s="195" t="s">
        <v>216</v>
      </c>
    </row>
    <row r="123" spans="2:29">
      <c r="B123" s="8">
        <v>4</v>
      </c>
      <c r="C123" s="3" t="s">
        <v>12</v>
      </c>
      <c r="D123" s="4" t="s">
        <v>13</v>
      </c>
      <c r="E123" s="5" t="s">
        <v>14</v>
      </c>
      <c r="F123" s="3" t="s">
        <v>12</v>
      </c>
      <c r="G123" s="3" t="s">
        <v>12</v>
      </c>
      <c r="H123" s="3" t="s">
        <v>12</v>
      </c>
      <c r="I123" s="5" t="s">
        <v>14</v>
      </c>
      <c r="J123" s="3" t="s">
        <v>12</v>
      </c>
      <c r="K123" s="19" t="s">
        <v>71</v>
      </c>
      <c r="L123" s="3" t="s">
        <v>12</v>
      </c>
      <c r="M123" s="4" t="s">
        <v>13</v>
      </c>
      <c r="N123" s="4" t="s">
        <v>13</v>
      </c>
      <c r="O123" s="3" t="s">
        <v>12</v>
      </c>
      <c r="Q123" s="22" t="s">
        <v>27</v>
      </c>
      <c r="S123" s="15" t="s">
        <v>21</v>
      </c>
      <c r="T123" s="198" t="s">
        <v>234</v>
      </c>
      <c r="U123" s="27" t="s">
        <v>44</v>
      </c>
      <c r="V123" s="15" t="s">
        <v>21</v>
      </c>
      <c r="W123" s="15" t="s">
        <v>21</v>
      </c>
      <c r="Y123" s="27" t="s">
        <v>44</v>
      </c>
      <c r="Z123" s="19" t="s">
        <v>25</v>
      </c>
      <c r="AA123" s="17" t="s">
        <v>24</v>
      </c>
      <c r="AC123" s="17" t="s">
        <v>24</v>
      </c>
    </row>
    <row r="124" spans="2:29">
      <c r="B124" s="8">
        <v>5</v>
      </c>
      <c r="C124" s="3" t="s">
        <v>12</v>
      </c>
      <c r="D124" s="3" t="s">
        <v>12</v>
      </c>
      <c r="E124" s="3" t="s">
        <v>12</v>
      </c>
      <c r="F124" s="4" t="s">
        <v>13</v>
      </c>
      <c r="G124" s="5" t="s">
        <v>14</v>
      </c>
      <c r="H124" s="4" t="s">
        <v>13</v>
      </c>
      <c r="I124" s="3" t="s">
        <v>12</v>
      </c>
      <c r="J124" s="4" t="s">
        <v>13</v>
      </c>
      <c r="K124" s="4" t="s">
        <v>13</v>
      </c>
      <c r="L124" s="5" t="s">
        <v>14</v>
      </c>
      <c r="M124" s="3" t="s">
        <v>12</v>
      </c>
      <c r="N124" s="3" t="s">
        <v>12</v>
      </c>
      <c r="O124" s="3" t="s">
        <v>12</v>
      </c>
      <c r="Q124" s="5" t="s">
        <v>26</v>
      </c>
      <c r="Y124" s="13" t="s">
        <v>22</v>
      </c>
      <c r="Z124" s="972" t="s">
        <v>234</v>
      </c>
      <c r="AC124" s="5" t="s">
        <v>26</v>
      </c>
    </row>
    <row r="125" spans="2:29">
      <c r="B125" s="8">
        <v>6</v>
      </c>
      <c r="C125" s="4" t="s">
        <v>13</v>
      </c>
      <c r="E125" s="12"/>
      <c r="F125" s="3" t="s">
        <v>12</v>
      </c>
      <c r="G125" s="3" t="s">
        <v>12</v>
      </c>
      <c r="H125" s="3" t="s">
        <v>12</v>
      </c>
      <c r="J125" s="3" t="s">
        <v>12</v>
      </c>
      <c r="K125" s="3" t="s">
        <v>12</v>
      </c>
      <c r="L125" s="3" t="s">
        <v>12</v>
      </c>
      <c r="M125" s="5" t="s">
        <v>14</v>
      </c>
      <c r="O125" s="5" t="s">
        <v>14</v>
      </c>
      <c r="Q125" s="27" t="s">
        <v>44</v>
      </c>
      <c r="Y125" s="983" t="s">
        <v>124</v>
      </c>
      <c r="AC125" s="15" t="s">
        <v>21</v>
      </c>
    </row>
    <row r="126" spans="2:29">
      <c r="B126" s="8">
        <v>7</v>
      </c>
      <c r="C126" s="3" t="s">
        <v>12</v>
      </c>
      <c r="G126" s="3" t="s">
        <v>12</v>
      </c>
      <c r="K126" s="5" t="s">
        <v>14</v>
      </c>
      <c r="M126" s="3" t="s">
        <v>12</v>
      </c>
      <c r="O126" s="3" t="s">
        <v>12</v>
      </c>
    </row>
    <row r="127" spans="2:29">
      <c r="B127" s="8">
        <v>8</v>
      </c>
      <c r="C127" s="3" t="s">
        <v>12</v>
      </c>
      <c r="K127" s="3" t="s">
        <v>12</v>
      </c>
      <c r="O127" s="3" t="s">
        <v>12</v>
      </c>
    </row>
    <row r="128" spans="2:29">
      <c r="B128" s="8">
        <v>9</v>
      </c>
      <c r="O128" s="3" t="s">
        <v>12</v>
      </c>
      <c r="Q128" s="25" t="s">
        <v>30</v>
      </c>
    </row>
    <row r="129" spans="2:29">
      <c r="B129" s="8">
        <v>10</v>
      </c>
      <c r="Q129" s="1507" t="s">
        <v>1</v>
      </c>
      <c r="R129" s="20" t="s">
        <v>2</v>
      </c>
      <c r="S129" s="20" t="s">
        <v>3</v>
      </c>
      <c r="T129" s="20" t="s">
        <v>4</v>
      </c>
      <c r="U129" s="20" t="s">
        <v>5</v>
      </c>
      <c r="V129" s="20" t="s">
        <v>6</v>
      </c>
      <c r="W129" s="20" t="s">
        <v>7</v>
      </c>
      <c r="X129" s="20" t="s">
        <v>8</v>
      </c>
      <c r="Y129" s="20" t="s">
        <v>9</v>
      </c>
      <c r="Z129" s="20" t="s">
        <v>10</v>
      </c>
      <c r="AA129" s="20" t="s">
        <v>36</v>
      </c>
      <c r="AB129" s="20" t="s">
        <v>37</v>
      </c>
      <c r="AC129" s="20" t="s">
        <v>344</v>
      </c>
    </row>
    <row r="130" spans="2:29">
      <c r="B130" t="s">
        <v>15</v>
      </c>
      <c r="C130" s="6" t="s">
        <v>16</v>
      </c>
      <c r="D130" s="6" t="s">
        <v>16</v>
      </c>
      <c r="E130" s="6" t="s">
        <v>16</v>
      </c>
      <c r="F130" s="6" t="s">
        <v>16</v>
      </c>
      <c r="G130" s="7" t="s">
        <v>17</v>
      </c>
      <c r="H130" s="6" t="s">
        <v>16</v>
      </c>
      <c r="I130" s="6" t="s">
        <v>16</v>
      </c>
      <c r="J130" s="7" t="s">
        <v>17</v>
      </c>
      <c r="K130" s="6" t="s">
        <v>16</v>
      </c>
      <c r="L130" s="7" t="s">
        <v>17</v>
      </c>
      <c r="M130" s="6" t="s">
        <v>16</v>
      </c>
      <c r="N130" s="7" t="s">
        <v>17</v>
      </c>
      <c r="O130" s="13" t="s">
        <v>59</v>
      </c>
      <c r="Q130" t="s">
        <v>459</v>
      </c>
      <c r="R130" t="s">
        <v>461</v>
      </c>
      <c r="S130" t="s">
        <v>204</v>
      </c>
      <c r="T130" t="s">
        <v>663</v>
      </c>
      <c r="U130" t="s">
        <v>665</v>
      </c>
      <c r="V130" t="s">
        <v>465</v>
      </c>
      <c r="W130" t="s">
        <v>668</v>
      </c>
      <c r="X130" t="s">
        <v>468</v>
      </c>
      <c r="Y130" t="s">
        <v>469</v>
      </c>
      <c r="Z130" t="s">
        <v>470</v>
      </c>
      <c r="AA130" t="s">
        <v>215</v>
      </c>
      <c r="AB130" t="s">
        <v>31</v>
      </c>
      <c r="AC130" t="s">
        <v>670</v>
      </c>
    </row>
    <row r="131" spans="2:29">
      <c r="B131" t="s">
        <v>1564</v>
      </c>
      <c r="E131" s="28" t="s">
        <v>42</v>
      </c>
      <c r="Q131" t="s">
        <v>460</v>
      </c>
      <c r="R131" t="s">
        <v>462</v>
      </c>
      <c r="S131" t="s">
        <v>661</v>
      </c>
      <c r="T131" t="s">
        <v>664</v>
      </c>
      <c r="U131" t="s">
        <v>464</v>
      </c>
      <c r="V131" t="s">
        <v>666</v>
      </c>
      <c r="W131" t="s">
        <v>467</v>
      </c>
      <c r="X131" t="s">
        <v>469</v>
      </c>
      <c r="Y131" t="s">
        <v>470</v>
      </c>
      <c r="Z131" t="s">
        <v>215</v>
      </c>
      <c r="AA131" t="s">
        <v>31</v>
      </c>
      <c r="AB131" t="s">
        <v>471</v>
      </c>
      <c r="AC131" t="s">
        <v>473</v>
      </c>
    </row>
    <row r="132" spans="2:29">
      <c r="Q132" t="s">
        <v>659</v>
      </c>
      <c r="R132" t="s">
        <v>204</v>
      </c>
      <c r="S132" t="s">
        <v>662</v>
      </c>
      <c r="T132" t="s">
        <v>98</v>
      </c>
      <c r="U132" t="s">
        <v>465</v>
      </c>
      <c r="V132" t="s">
        <v>667</v>
      </c>
      <c r="W132" t="s">
        <v>669</v>
      </c>
      <c r="AB132" t="s">
        <v>670</v>
      </c>
      <c r="AC132" t="s">
        <v>671</v>
      </c>
    </row>
    <row r="133" spans="2:29">
      <c r="Q133" t="s">
        <v>660</v>
      </c>
      <c r="S133" t="s">
        <v>663</v>
      </c>
      <c r="T133" t="s">
        <v>463</v>
      </c>
      <c r="U133" t="s">
        <v>666</v>
      </c>
      <c r="V133" t="s">
        <v>466</v>
      </c>
      <c r="AC133" t="s">
        <v>472</v>
      </c>
    </row>
    <row r="134" spans="2:29">
      <c r="Q134" t="s">
        <v>461</v>
      </c>
      <c r="T134" t="s">
        <v>665</v>
      </c>
      <c r="U134" t="s">
        <v>465</v>
      </c>
      <c r="V134" t="s">
        <v>668</v>
      </c>
      <c r="AC134" t="s">
        <v>474</v>
      </c>
    </row>
    <row r="135" spans="2:29">
      <c r="AC135" t="s">
        <v>475</v>
      </c>
    </row>
    <row r="136" spans="2:29" ht="21">
      <c r="B136" s="1" t="s">
        <v>133</v>
      </c>
      <c r="AC136" t="s">
        <v>249</v>
      </c>
    </row>
    <row r="137" spans="2:29">
      <c r="B137" s="21" t="s">
        <v>409</v>
      </c>
      <c r="C137" s="13"/>
      <c r="E137" s="45" t="s">
        <v>572</v>
      </c>
      <c r="Q137" s="10" t="s">
        <v>19</v>
      </c>
      <c r="AC137" t="s">
        <v>476</v>
      </c>
    </row>
    <row r="138" spans="2:29">
      <c r="B138" s="9" t="s">
        <v>0</v>
      </c>
      <c r="C138" s="20" t="s">
        <v>1</v>
      </c>
      <c r="D138" s="20" t="s">
        <v>2</v>
      </c>
      <c r="E138" s="20" t="s">
        <v>3</v>
      </c>
      <c r="F138" s="20" t="s">
        <v>4</v>
      </c>
      <c r="G138" s="20" t="s">
        <v>5</v>
      </c>
      <c r="H138" s="20" t="s">
        <v>6</v>
      </c>
      <c r="I138" s="20" t="s">
        <v>7</v>
      </c>
      <c r="J138" s="20" t="s">
        <v>8</v>
      </c>
      <c r="K138" s="20" t="s">
        <v>9</v>
      </c>
      <c r="L138" s="20" t="s">
        <v>10</v>
      </c>
      <c r="M138" s="20" t="s">
        <v>36</v>
      </c>
      <c r="N138" s="20" t="s">
        <v>37</v>
      </c>
      <c r="Q138" s="11" t="s">
        <v>1</v>
      </c>
      <c r="R138" s="11" t="s">
        <v>2</v>
      </c>
      <c r="S138" s="11" t="s">
        <v>3</v>
      </c>
      <c r="T138" s="11" t="s">
        <v>4</v>
      </c>
      <c r="U138" s="11" t="s">
        <v>5</v>
      </c>
      <c r="V138" s="11" t="s">
        <v>6</v>
      </c>
      <c r="W138" s="11" t="s">
        <v>7</v>
      </c>
      <c r="X138" s="11" t="s">
        <v>8</v>
      </c>
      <c r="Y138" s="11" t="s">
        <v>9</v>
      </c>
      <c r="Z138" s="1506" t="s">
        <v>10</v>
      </c>
      <c r="AA138" s="1506" t="s">
        <v>36</v>
      </c>
      <c r="AB138" s="1506" t="s">
        <v>37</v>
      </c>
    </row>
    <row r="139" spans="2:29">
      <c r="B139" s="8">
        <v>1</v>
      </c>
      <c r="C139" s="3" t="s">
        <v>12</v>
      </c>
      <c r="D139" s="3" t="s">
        <v>12</v>
      </c>
      <c r="E139" s="3" t="s">
        <v>12</v>
      </c>
      <c r="F139" s="3" t="s">
        <v>12</v>
      </c>
      <c r="G139" s="3" t="s">
        <v>12</v>
      </c>
      <c r="H139" s="3" t="s">
        <v>12</v>
      </c>
      <c r="I139" s="3" t="s">
        <v>12</v>
      </c>
      <c r="J139" s="3" t="s">
        <v>12</v>
      </c>
      <c r="K139" s="3" t="s">
        <v>12</v>
      </c>
      <c r="L139" s="3" t="s">
        <v>12</v>
      </c>
      <c r="M139" s="3" t="s">
        <v>12</v>
      </c>
      <c r="N139" s="3" t="s">
        <v>12</v>
      </c>
      <c r="Q139" s="17" t="s">
        <v>24</v>
      </c>
      <c r="R139" s="17" t="s">
        <v>24</v>
      </c>
      <c r="S139" s="17" t="s">
        <v>24</v>
      </c>
      <c r="T139" s="17" t="s">
        <v>24</v>
      </c>
      <c r="U139" s="27" t="s">
        <v>44</v>
      </c>
      <c r="V139" s="17" t="s">
        <v>24</v>
      </c>
      <c r="W139" s="19" t="s">
        <v>25</v>
      </c>
      <c r="X139" s="17" t="s">
        <v>24</v>
      </c>
      <c r="Y139" s="17" t="s">
        <v>24</v>
      </c>
      <c r="Z139" s="17" t="s">
        <v>24</v>
      </c>
      <c r="AA139" s="17" t="s">
        <v>24</v>
      </c>
      <c r="AB139" s="27" t="s">
        <v>44</v>
      </c>
    </row>
    <row r="140" spans="2:29" ht="16.5" thickBot="1">
      <c r="B140" s="8">
        <v>2</v>
      </c>
      <c r="C140" s="3" t="s">
        <v>12</v>
      </c>
      <c r="D140" s="3" t="s">
        <v>12</v>
      </c>
      <c r="E140" s="4" t="s">
        <v>13</v>
      </c>
      <c r="F140" s="3" t="s">
        <v>12</v>
      </c>
      <c r="G140" s="19" t="s">
        <v>71</v>
      </c>
      <c r="H140" s="3" t="s">
        <v>12</v>
      </c>
      <c r="I140" s="3" t="s">
        <v>12</v>
      </c>
      <c r="J140" s="5" t="s">
        <v>14</v>
      </c>
      <c r="K140" s="3" t="s">
        <v>12</v>
      </c>
      <c r="L140" s="3" t="s">
        <v>12</v>
      </c>
      <c r="M140" s="4" t="s">
        <v>13</v>
      </c>
      <c r="N140" s="4" t="s">
        <v>13</v>
      </c>
      <c r="Q140" s="15" t="s">
        <v>21</v>
      </c>
      <c r="R140" s="15" t="s">
        <v>21</v>
      </c>
      <c r="S140" s="19" t="s">
        <v>25</v>
      </c>
      <c r="T140" s="19" t="s">
        <v>25</v>
      </c>
      <c r="U140" s="19" t="s">
        <v>25</v>
      </c>
      <c r="V140" s="27" t="s">
        <v>44</v>
      </c>
      <c r="W140" s="195" t="s">
        <v>216</v>
      </c>
      <c r="X140" s="19" t="s">
        <v>25</v>
      </c>
      <c r="Y140" s="190" t="s">
        <v>120</v>
      </c>
      <c r="Z140" s="19" t="s">
        <v>25</v>
      </c>
      <c r="AA140" s="22" t="s">
        <v>27</v>
      </c>
      <c r="AB140" s="191" t="s">
        <v>244</v>
      </c>
    </row>
    <row r="141" spans="2:29" ht="16.5" thickBot="1">
      <c r="B141" s="8">
        <v>3</v>
      </c>
      <c r="C141" s="3" t="s">
        <v>12</v>
      </c>
      <c r="D141" s="3" t="s">
        <v>12</v>
      </c>
      <c r="E141" s="3" t="s">
        <v>12</v>
      </c>
      <c r="F141" s="3" t="s">
        <v>12</v>
      </c>
      <c r="G141" s="4" t="s">
        <v>13</v>
      </c>
      <c r="H141" s="783" t="s">
        <v>14</v>
      </c>
      <c r="I141" s="4" t="s">
        <v>13</v>
      </c>
      <c r="J141" s="3" t="s">
        <v>12</v>
      </c>
      <c r="K141" s="3" t="s">
        <v>12</v>
      </c>
      <c r="L141" s="3" t="s">
        <v>12</v>
      </c>
      <c r="M141" s="3" t="s">
        <v>12</v>
      </c>
      <c r="N141" s="3" t="s">
        <v>12</v>
      </c>
      <c r="Q141" s="19" t="s">
        <v>25</v>
      </c>
      <c r="R141" s="19" t="s">
        <v>25</v>
      </c>
      <c r="S141" s="197" t="s">
        <v>124</v>
      </c>
      <c r="T141" s="979" t="s">
        <v>120</v>
      </c>
      <c r="U141" s="191" t="s">
        <v>244</v>
      </c>
      <c r="V141" s="15" t="s">
        <v>21</v>
      </c>
      <c r="W141" s="17" t="s">
        <v>24</v>
      </c>
      <c r="X141" s="198" t="s">
        <v>234</v>
      </c>
      <c r="Y141" s="5" t="s">
        <v>26</v>
      </c>
      <c r="Z141" s="13" t="s">
        <v>22</v>
      </c>
      <c r="AA141" s="189" t="s">
        <v>47</v>
      </c>
      <c r="AB141" s="17" t="s">
        <v>24</v>
      </c>
    </row>
    <row r="142" spans="2:29">
      <c r="B142" s="8">
        <v>4</v>
      </c>
      <c r="C142" s="3" t="s">
        <v>12</v>
      </c>
      <c r="D142" s="5" t="s">
        <v>14</v>
      </c>
      <c r="E142" s="3" t="s">
        <v>12</v>
      </c>
      <c r="F142" s="3" t="s">
        <v>12</v>
      </c>
      <c r="G142" s="3" t="s">
        <v>12</v>
      </c>
      <c r="H142" s="3" t="s">
        <v>12</v>
      </c>
      <c r="I142" s="3" t="s">
        <v>12</v>
      </c>
      <c r="J142" s="3" t="s">
        <v>12</v>
      </c>
      <c r="K142" s="4" t="s">
        <v>13</v>
      </c>
      <c r="L142" s="4" t="s">
        <v>13</v>
      </c>
      <c r="M142" s="3" t="s">
        <v>12</v>
      </c>
      <c r="N142" s="3" t="s">
        <v>12</v>
      </c>
      <c r="Q142" s="189" t="s">
        <v>47</v>
      </c>
      <c r="R142" s="27" t="s">
        <v>44</v>
      </c>
      <c r="S142" s="719" t="s">
        <v>46</v>
      </c>
      <c r="T142" s="27" t="s">
        <v>44</v>
      </c>
      <c r="U142" s="5" t="s">
        <v>26</v>
      </c>
      <c r="V142" s="19" t="s">
        <v>25</v>
      </c>
      <c r="W142" s="199" t="s">
        <v>74</v>
      </c>
      <c r="X142" s="15" t="s">
        <v>21</v>
      </c>
      <c r="Y142" s="15" t="s">
        <v>21</v>
      </c>
      <c r="Z142" s="22" t="s">
        <v>27</v>
      </c>
      <c r="AA142" s="13" t="s">
        <v>22</v>
      </c>
      <c r="AB142" s="201" t="s">
        <v>93</v>
      </c>
    </row>
    <row r="143" spans="2:29">
      <c r="B143" s="8">
        <v>5</v>
      </c>
      <c r="C143" s="3" t="s">
        <v>12</v>
      </c>
      <c r="D143" s="3" t="s">
        <v>12</v>
      </c>
      <c r="E143" s="5" t="s">
        <v>14</v>
      </c>
      <c r="F143" s="5" t="s">
        <v>14</v>
      </c>
      <c r="G143" s="5" t="s">
        <v>14</v>
      </c>
      <c r="H143" s="4" t="s">
        <v>13</v>
      </c>
      <c r="I143" s="5" t="s">
        <v>14</v>
      </c>
      <c r="J143" s="4" t="s">
        <v>13</v>
      </c>
      <c r="K143" s="3" t="s">
        <v>12</v>
      </c>
      <c r="L143" s="3" t="s">
        <v>12</v>
      </c>
      <c r="M143" s="5" t="s">
        <v>14</v>
      </c>
      <c r="N143" s="5" t="s">
        <v>14</v>
      </c>
      <c r="W143" s="15" t="s">
        <v>21</v>
      </c>
      <c r="X143" s="5" t="s">
        <v>26</v>
      </c>
      <c r="Z143" s="15" t="s">
        <v>21</v>
      </c>
      <c r="AA143" s="27" t="s">
        <v>44</v>
      </c>
      <c r="AB143" s="19" t="s">
        <v>25</v>
      </c>
    </row>
    <row r="144" spans="2:29" ht="16.5" thickBot="1">
      <c r="B144" s="8">
        <v>6</v>
      </c>
      <c r="C144" s="3" t="s">
        <v>12</v>
      </c>
      <c r="D144" s="4" t="s">
        <v>13</v>
      </c>
      <c r="E144" s="3" t="s">
        <v>12</v>
      </c>
      <c r="F144" s="3" t="s">
        <v>12</v>
      </c>
      <c r="G144" s="3" t="s">
        <v>12</v>
      </c>
      <c r="H144" s="3" t="s">
        <v>12</v>
      </c>
      <c r="I144" s="3" t="s">
        <v>12</v>
      </c>
      <c r="J144" s="3" t="s">
        <v>12</v>
      </c>
      <c r="K144" s="3" t="s">
        <v>12</v>
      </c>
      <c r="L144" s="3" t="s">
        <v>12</v>
      </c>
      <c r="M144" s="3" t="s">
        <v>12</v>
      </c>
      <c r="N144" s="3" t="s">
        <v>12</v>
      </c>
      <c r="W144" s="13" t="s">
        <v>22</v>
      </c>
      <c r="Z144" s="643" t="s">
        <v>47</v>
      </c>
      <c r="AB144" s="5" t="s">
        <v>26</v>
      </c>
    </row>
    <row r="145" spans="2:29" ht="16.5" thickBot="1">
      <c r="B145" s="8">
        <v>7</v>
      </c>
      <c r="C145" s="4" t="s">
        <v>13</v>
      </c>
      <c r="E145" s="3" t="s">
        <v>12</v>
      </c>
      <c r="F145" s="3" t="s">
        <v>12</v>
      </c>
      <c r="K145" s="3" t="s">
        <v>12</v>
      </c>
      <c r="L145" s="3" t="s">
        <v>12</v>
      </c>
      <c r="N145" s="3" t="s">
        <v>12</v>
      </c>
    </row>
    <row r="146" spans="2:29" ht="16.5" thickBot="1">
      <c r="B146" s="8">
        <v>8</v>
      </c>
      <c r="C146" s="3" t="s">
        <v>12</v>
      </c>
      <c r="F146" s="3" t="s">
        <v>12</v>
      </c>
      <c r="K146" s="783" t="s">
        <v>14</v>
      </c>
      <c r="L146" s="5" t="s">
        <v>14</v>
      </c>
      <c r="N146" s="3" t="s">
        <v>12</v>
      </c>
    </row>
    <row r="147" spans="2:29">
      <c r="B147" s="8">
        <v>9</v>
      </c>
      <c r="F147" s="4" t="s">
        <v>13</v>
      </c>
      <c r="K147" s="3" t="s">
        <v>12</v>
      </c>
      <c r="L147" s="3" t="s">
        <v>12</v>
      </c>
      <c r="N147" s="4" t="s">
        <v>13</v>
      </c>
      <c r="Q147" s="25" t="s">
        <v>30</v>
      </c>
    </row>
    <row r="148" spans="2:29">
      <c r="B148" s="8">
        <v>10</v>
      </c>
      <c r="F148" s="3" t="s">
        <v>12</v>
      </c>
      <c r="L148" s="3" t="s">
        <v>12</v>
      </c>
      <c r="N148" s="3" t="s">
        <v>12</v>
      </c>
      <c r="Q148" s="1507" t="s">
        <v>1</v>
      </c>
      <c r="R148" s="20" t="s">
        <v>2</v>
      </c>
      <c r="S148" s="20" t="s">
        <v>3</v>
      </c>
      <c r="T148" s="20" t="s">
        <v>4</v>
      </c>
      <c r="U148" s="20" t="s">
        <v>5</v>
      </c>
      <c r="V148" s="20" t="s">
        <v>6</v>
      </c>
      <c r="W148" s="20" t="s">
        <v>7</v>
      </c>
      <c r="X148" s="20" t="s">
        <v>8</v>
      </c>
      <c r="Y148" s="20" t="s">
        <v>9</v>
      </c>
      <c r="Z148" s="20" t="s">
        <v>10</v>
      </c>
      <c r="AA148" s="20" t="s">
        <v>36</v>
      </c>
      <c r="AB148" s="20" t="s">
        <v>37</v>
      </c>
    </row>
    <row r="149" spans="2:29">
      <c r="B149" s="8">
        <v>11</v>
      </c>
      <c r="L149" s="12"/>
      <c r="N149" s="3" t="s">
        <v>12</v>
      </c>
      <c r="Q149" t="s">
        <v>118</v>
      </c>
      <c r="R149" t="s">
        <v>413</v>
      </c>
      <c r="S149" t="s">
        <v>416</v>
      </c>
      <c r="T149" t="s">
        <v>418</v>
      </c>
      <c r="U149" t="s">
        <v>58</v>
      </c>
      <c r="V149" t="s">
        <v>67</v>
      </c>
      <c r="W149" t="s">
        <v>426</v>
      </c>
      <c r="X149" t="s">
        <v>676</v>
      </c>
      <c r="Y149" t="s">
        <v>677</v>
      </c>
      <c r="Z149" t="s">
        <v>436</v>
      </c>
      <c r="AA149" t="s">
        <v>680</v>
      </c>
      <c r="AB149" t="s">
        <v>444</v>
      </c>
    </row>
    <row r="150" spans="2:29">
      <c r="B150" s="8">
        <v>12</v>
      </c>
      <c r="L150" s="12"/>
      <c r="N150" s="5" t="s">
        <v>14</v>
      </c>
      <c r="Q150" t="s">
        <v>410</v>
      </c>
      <c r="R150" t="s">
        <v>414</v>
      </c>
      <c r="S150" t="s">
        <v>417</v>
      </c>
      <c r="T150" t="s">
        <v>419</v>
      </c>
      <c r="U150" t="s">
        <v>67</v>
      </c>
      <c r="V150" t="s">
        <v>424</v>
      </c>
      <c r="W150" t="s">
        <v>427</v>
      </c>
      <c r="X150" t="s">
        <v>429</v>
      </c>
      <c r="Y150" t="s">
        <v>432</v>
      </c>
      <c r="Z150" t="s">
        <v>435</v>
      </c>
      <c r="AA150" t="s">
        <v>441</v>
      </c>
      <c r="AB150" t="s">
        <v>445</v>
      </c>
    </row>
    <row r="151" spans="2:29">
      <c r="B151" t="s">
        <v>15</v>
      </c>
      <c r="C151" s="6" t="s">
        <v>16</v>
      </c>
      <c r="D151" s="6" t="s">
        <v>16</v>
      </c>
      <c r="E151" s="6" t="s">
        <v>16</v>
      </c>
      <c r="F151" s="6" t="s">
        <v>16</v>
      </c>
      <c r="G151" s="7" t="s">
        <v>17</v>
      </c>
      <c r="H151" s="6" t="s">
        <v>16</v>
      </c>
      <c r="I151" s="7" t="s">
        <v>17</v>
      </c>
      <c r="J151" s="6" t="s">
        <v>16</v>
      </c>
      <c r="K151" s="7" t="s">
        <v>17</v>
      </c>
      <c r="L151" s="7" t="s">
        <v>17</v>
      </c>
      <c r="M151" s="6" t="s">
        <v>16</v>
      </c>
      <c r="N151" s="13" t="s">
        <v>59</v>
      </c>
      <c r="Q151" t="s">
        <v>411</v>
      </c>
      <c r="R151" t="s">
        <v>415</v>
      </c>
      <c r="S151" t="s">
        <v>672</v>
      </c>
      <c r="T151" t="s">
        <v>420</v>
      </c>
      <c r="V151" t="s">
        <v>425</v>
      </c>
      <c r="W151" t="s">
        <v>428</v>
      </c>
      <c r="X151" t="s">
        <v>430</v>
      </c>
      <c r="Y151" t="s">
        <v>679</v>
      </c>
      <c r="Z151" t="s">
        <v>434</v>
      </c>
      <c r="AA151" t="s">
        <v>442</v>
      </c>
      <c r="AB151" t="s">
        <v>446</v>
      </c>
    </row>
    <row r="152" spans="2:29">
      <c r="B152" t="s">
        <v>1564</v>
      </c>
      <c r="H152" s="28" t="s">
        <v>42</v>
      </c>
      <c r="K152" s="28" t="s">
        <v>42</v>
      </c>
      <c r="L152" s="37"/>
      <c r="Q152" t="s">
        <v>412</v>
      </c>
      <c r="R152" t="s">
        <v>416</v>
      </c>
      <c r="S152" t="s">
        <v>418</v>
      </c>
      <c r="T152" t="s">
        <v>421</v>
      </c>
      <c r="V152" t="s">
        <v>673</v>
      </c>
      <c r="W152" t="s">
        <v>675</v>
      </c>
      <c r="X152" t="s">
        <v>431</v>
      </c>
      <c r="Y152" t="s">
        <v>433</v>
      </c>
      <c r="Z152" t="s">
        <v>437</v>
      </c>
      <c r="AA152" t="s">
        <v>443</v>
      </c>
      <c r="AB152" t="s">
        <v>681</v>
      </c>
    </row>
    <row r="153" spans="2:29">
      <c r="L153" s="37"/>
      <c r="Q153" t="s">
        <v>413</v>
      </c>
      <c r="T153" t="s">
        <v>422</v>
      </c>
      <c r="V153" t="s">
        <v>674</v>
      </c>
      <c r="W153" t="s">
        <v>676</v>
      </c>
      <c r="X153" t="s">
        <v>678</v>
      </c>
      <c r="Y153" t="s">
        <v>434</v>
      </c>
      <c r="Z153" t="s">
        <v>438</v>
      </c>
      <c r="AA153" t="s">
        <v>444</v>
      </c>
      <c r="AB153" t="s">
        <v>447</v>
      </c>
    </row>
    <row r="154" spans="2:29">
      <c r="T154" t="s">
        <v>423</v>
      </c>
      <c r="V154" t="s">
        <v>426</v>
      </c>
      <c r="X154" t="s">
        <v>677</v>
      </c>
      <c r="Y154" t="s">
        <v>435</v>
      </c>
      <c r="Z154" t="s">
        <v>439</v>
      </c>
    </row>
    <row r="155" spans="2:29">
      <c r="T155" t="s">
        <v>58</v>
      </c>
      <c r="Y155" t="s">
        <v>436</v>
      </c>
      <c r="Z155" t="s">
        <v>440</v>
      </c>
    </row>
    <row r="156" spans="2:29" ht="21">
      <c r="B156" s="1" t="s">
        <v>134</v>
      </c>
      <c r="Z156" t="s">
        <v>680</v>
      </c>
    </row>
    <row r="157" spans="2:29">
      <c r="B157" s="21" t="s">
        <v>392</v>
      </c>
      <c r="C157" s="13"/>
      <c r="E157" s="45" t="s">
        <v>573</v>
      </c>
      <c r="Q157" s="10" t="s">
        <v>19</v>
      </c>
    </row>
    <row r="158" spans="2:29">
      <c r="B158" s="9" t="s">
        <v>0</v>
      </c>
      <c r="C158" s="20" t="s">
        <v>1</v>
      </c>
      <c r="D158" s="20" t="s">
        <v>2</v>
      </c>
      <c r="E158" s="20" t="s">
        <v>3</v>
      </c>
      <c r="F158" s="20" t="s">
        <v>4</v>
      </c>
      <c r="G158" s="20" t="s">
        <v>5</v>
      </c>
      <c r="H158" s="20" t="s">
        <v>6</v>
      </c>
      <c r="I158" s="20" t="s">
        <v>7</v>
      </c>
      <c r="J158" s="20" t="s">
        <v>8</v>
      </c>
      <c r="K158" s="20" t="s">
        <v>9</v>
      </c>
      <c r="L158" s="20" t="s">
        <v>10</v>
      </c>
      <c r="M158" s="20" t="s">
        <v>36</v>
      </c>
      <c r="N158" s="20" t="s">
        <v>37</v>
      </c>
      <c r="O158" s="20" t="s">
        <v>344</v>
      </c>
      <c r="Q158" s="11" t="s">
        <v>1</v>
      </c>
      <c r="R158" s="11" t="s">
        <v>2</v>
      </c>
      <c r="S158" s="11" t="s">
        <v>3</v>
      </c>
      <c r="T158" s="11" t="s">
        <v>4</v>
      </c>
      <c r="U158" s="11" t="s">
        <v>5</v>
      </c>
      <c r="V158" s="11" t="s">
        <v>6</v>
      </c>
      <c r="W158" s="11" t="s">
        <v>7</v>
      </c>
      <c r="X158" s="11" t="s">
        <v>8</v>
      </c>
      <c r="Y158" s="11" t="s">
        <v>9</v>
      </c>
      <c r="Z158" s="1506" t="s">
        <v>10</v>
      </c>
      <c r="AA158" s="1506" t="s">
        <v>36</v>
      </c>
      <c r="AB158" s="1506" t="s">
        <v>37</v>
      </c>
      <c r="AC158" s="1506" t="s">
        <v>344</v>
      </c>
    </row>
    <row r="159" spans="2:29">
      <c r="B159" s="8">
        <v>1</v>
      </c>
      <c r="C159" s="3" t="s">
        <v>12</v>
      </c>
      <c r="D159" s="3" t="s">
        <v>12</v>
      </c>
      <c r="E159" s="3" t="s">
        <v>12</v>
      </c>
      <c r="F159" s="3" t="s">
        <v>12</v>
      </c>
      <c r="G159" s="3" t="s">
        <v>12</v>
      </c>
      <c r="H159" s="3" t="s">
        <v>12</v>
      </c>
      <c r="I159" s="3" t="s">
        <v>12</v>
      </c>
      <c r="J159" s="3" t="s">
        <v>12</v>
      </c>
      <c r="K159" s="3" t="s">
        <v>12</v>
      </c>
      <c r="L159" s="3" t="s">
        <v>12</v>
      </c>
      <c r="M159" s="3" t="s">
        <v>12</v>
      </c>
      <c r="N159" s="3" t="s">
        <v>12</v>
      </c>
      <c r="O159" s="3" t="s">
        <v>12</v>
      </c>
      <c r="Q159" s="17" t="s">
        <v>24</v>
      </c>
      <c r="R159" s="5" t="s">
        <v>26</v>
      </c>
      <c r="S159" s="43" t="s">
        <v>24</v>
      </c>
      <c r="T159" s="43" t="s">
        <v>24</v>
      </c>
      <c r="U159" s="43" t="s">
        <v>24</v>
      </c>
      <c r="V159" s="43" t="s">
        <v>24</v>
      </c>
      <c r="W159" s="5" t="s">
        <v>26</v>
      </c>
      <c r="X159" s="43" t="s">
        <v>24</v>
      </c>
      <c r="Y159" s="195" t="s">
        <v>216</v>
      </c>
      <c r="Z159" s="43" t="s">
        <v>24</v>
      </c>
      <c r="AA159" s="24" t="s">
        <v>29</v>
      </c>
      <c r="AB159" s="43" t="s">
        <v>24</v>
      </c>
      <c r="AC159" s="43" t="s">
        <v>24</v>
      </c>
    </row>
    <row r="160" spans="2:29">
      <c r="B160" s="8">
        <v>2</v>
      </c>
      <c r="C160" s="3" t="s">
        <v>12</v>
      </c>
      <c r="D160" s="5" t="s">
        <v>14</v>
      </c>
      <c r="E160" s="3" t="s">
        <v>12</v>
      </c>
      <c r="F160" s="3" t="s">
        <v>12</v>
      </c>
      <c r="G160" s="3" t="s">
        <v>12</v>
      </c>
      <c r="H160" s="3" t="s">
        <v>12</v>
      </c>
      <c r="I160" s="3" t="s">
        <v>12</v>
      </c>
      <c r="J160" s="3" t="s">
        <v>12</v>
      </c>
      <c r="K160" s="3" t="s">
        <v>12</v>
      </c>
      <c r="L160" s="3" t="s">
        <v>12</v>
      </c>
      <c r="M160" s="19" t="s">
        <v>71</v>
      </c>
      <c r="N160" s="3" t="s">
        <v>12</v>
      </c>
      <c r="O160" s="3" t="s">
        <v>12</v>
      </c>
      <c r="Q160" s="189" t="s">
        <v>47</v>
      </c>
      <c r="R160" s="19" t="s">
        <v>25</v>
      </c>
      <c r="S160" s="5" t="s">
        <v>26</v>
      </c>
      <c r="T160" s="15" t="s">
        <v>21</v>
      </c>
      <c r="U160" s="19" t="s">
        <v>25</v>
      </c>
      <c r="V160" s="62" t="s">
        <v>397</v>
      </c>
      <c r="W160" s="188" t="s">
        <v>109</v>
      </c>
      <c r="X160" s="15" t="s">
        <v>21</v>
      </c>
      <c r="Y160" s="190" t="s">
        <v>120</v>
      </c>
      <c r="Z160" s="5" t="s">
        <v>26</v>
      </c>
      <c r="AA160" s="13" t="s">
        <v>22</v>
      </c>
      <c r="AB160" s="27" t="s">
        <v>44</v>
      </c>
      <c r="AC160" s="19" t="s">
        <v>25</v>
      </c>
    </row>
    <row r="161" spans="2:29" ht="16.5" thickBot="1">
      <c r="B161" s="8">
        <v>3</v>
      </c>
      <c r="C161" s="4" t="s">
        <v>13</v>
      </c>
      <c r="D161" s="3" t="s">
        <v>12</v>
      </c>
      <c r="E161" s="5" t="s">
        <v>14</v>
      </c>
      <c r="F161" s="3" t="s">
        <v>12</v>
      </c>
      <c r="G161" s="4" t="s">
        <v>13</v>
      </c>
      <c r="H161" s="4" t="s">
        <v>13</v>
      </c>
      <c r="I161" s="3" t="s">
        <v>12</v>
      </c>
      <c r="J161" s="4" t="s">
        <v>13</v>
      </c>
      <c r="K161" s="4" t="s">
        <v>13</v>
      </c>
      <c r="L161" s="3" t="s">
        <v>12</v>
      </c>
      <c r="M161" s="5" t="s">
        <v>14</v>
      </c>
      <c r="N161" s="3" t="s">
        <v>12</v>
      </c>
      <c r="O161" s="4" t="s">
        <v>13</v>
      </c>
      <c r="Q161" s="27" t="s">
        <v>44</v>
      </c>
      <c r="R161" s="43" t="s">
        <v>24</v>
      </c>
      <c r="S161" s="195" t="s">
        <v>216</v>
      </c>
      <c r="T161" s="197" t="s">
        <v>124</v>
      </c>
      <c r="U161" s="27" t="s">
        <v>44</v>
      </c>
      <c r="V161" s="200" t="s">
        <v>339</v>
      </c>
      <c r="W161" s="19" t="s">
        <v>25</v>
      </c>
      <c r="X161" s="22" t="s">
        <v>27</v>
      </c>
      <c r="Y161" s="15" t="s">
        <v>21</v>
      </c>
      <c r="Z161" s="19" t="s">
        <v>25</v>
      </c>
      <c r="AA161" s="194" t="s">
        <v>43</v>
      </c>
      <c r="AB161" s="19" t="s">
        <v>25</v>
      </c>
      <c r="AC161" s="23" t="s">
        <v>28</v>
      </c>
    </row>
    <row r="162" spans="2:29" ht="16.5" thickBot="1">
      <c r="B162" s="8">
        <v>4</v>
      </c>
      <c r="C162" s="3" t="s">
        <v>12</v>
      </c>
      <c r="D162" s="4" t="s">
        <v>13</v>
      </c>
      <c r="E162" s="3" t="s">
        <v>12</v>
      </c>
      <c r="F162" s="5" t="s">
        <v>14</v>
      </c>
      <c r="G162" s="3" t="s">
        <v>12</v>
      </c>
      <c r="H162" s="3" t="s">
        <v>12</v>
      </c>
      <c r="I162" s="19" t="s">
        <v>71</v>
      </c>
      <c r="J162" s="3" t="s">
        <v>12</v>
      </c>
      <c r="K162" s="3" t="s">
        <v>12</v>
      </c>
      <c r="L162" s="783" t="s">
        <v>14</v>
      </c>
      <c r="M162" s="3" t="s">
        <v>12</v>
      </c>
      <c r="N162" s="4" t="s">
        <v>13</v>
      </c>
      <c r="O162" s="3" t="s">
        <v>12</v>
      </c>
      <c r="Q162" s="15" t="s">
        <v>21</v>
      </c>
      <c r="R162" s="15" t="s">
        <v>21</v>
      </c>
      <c r="S162" s="13" t="s">
        <v>22</v>
      </c>
      <c r="T162" s="27" t="s">
        <v>44</v>
      </c>
      <c r="U162" s="15" t="s">
        <v>21</v>
      </c>
      <c r="V162" s="15" t="s">
        <v>21</v>
      </c>
      <c r="W162" s="43" t="s">
        <v>24</v>
      </c>
      <c r="X162" s="27" t="s">
        <v>44</v>
      </c>
      <c r="Y162" s="19" t="s">
        <v>25</v>
      </c>
      <c r="Z162" s="22" t="s">
        <v>27</v>
      </c>
      <c r="AA162" s="19" t="s">
        <v>25</v>
      </c>
      <c r="AB162" s="189" t="s">
        <v>47</v>
      </c>
      <c r="AC162" s="16" t="s">
        <v>23</v>
      </c>
    </row>
    <row r="163" spans="2:29">
      <c r="B163" s="8">
        <v>5</v>
      </c>
      <c r="C163" s="3" t="s">
        <v>12</v>
      </c>
      <c r="D163" s="3" t="s">
        <v>12</v>
      </c>
      <c r="E163" s="4" t="s">
        <v>13</v>
      </c>
      <c r="F163" s="838" t="s">
        <v>12</v>
      </c>
      <c r="G163" s="837" t="s">
        <v>14</v>
      </c>
      <c r="H163" s="836" t="s">
        <v>14</v>
      </c>
      <c r="I163" s="3" t="s">
        <v>12</v>
      </c>
      <c r="J163" s="5" t="s">
        <v>14</v>
      </c>
      <c r="K163" s="5" t="s">
        <v>14</v>
      </c>
      <c r="L163" s="3" t="s">
        <v>12</v>
      </c>
      <c r="M163" s="4" t="s">
        <v>13</v>
      </c>
      <c r="N163" s="3" t="s">
        <v>12</v>
      </c>
      <c r="O163" s="3" t="s">
        <v>12</v>
      </c>
      <c r="S163" s="27" t="s">
        <v>44</v>
      </c>
      <c r="T163" s="193" t="s">
        <v>155</v>
      </c>
      <c r="U163" s="14" t="s">
        <v>20</v>
      </c>
      <c r="V163" s="191" t="s">
        <v>244</v>
      </c>
      <c r="W163" s="15" t="s">
        <v>21</v>
      </c>
      <c r="X163" s="19" t="s">
        <v>25</v>
      </c>
      <c r="Y163" s="27" t="s">
        <v>44</v>
      </c>
      <c r="Z163" s="192" t="s">
        <v>68</v>
      </c>
      <c r="AB163" s="190" t="s">
        <v>120</v>
      </c>
    </row>
    <row r="164" spans="2:29">
      <c r="B164" s="8">
        <v>6</v>
      </c>
      <c r="E164" s="3" t="s">
        <v>12</v>
      </c>
      <c r="F164" s="4" t="s">
        <v>13</v>
      </c>
      <c r="G164" s="3" t="s">
        <v>12</v>
      </c>
      <c r="H164" s="3" t="s">
        <v>12</v>
      </c>
      <c r="I164" s="5" t="s">
        <v>14</v>
      </c>
      <c r="J164" s="3" t="s">
        <v>12</v>
      </c>
      <c r="K164" s="3" t="s">
        <v>12</v>
      </c>
      <c r="L164" s="4" t="s">
        <v>13</v>
      </c>
      <c r="M164" s="3" t="s">
        <v>12</v>
      </c>
      <c r="N164" s="3" t="s">
        <v>12</v>
      </c>
      <c r="O164" s="3" t="s">
        <v>12</v>
      </c>
      <c r="S164" s="15" t="s">
        <v>21</v>
      </c>
      <c r="U164" s="189" t="s">
        <v>47</v>
      </c>
      <c r="Y164" s="22" t="s">
        <v>27</v>
      </c>
      <c r="Z164" s="27" t="s">
        <v>44</v>
      </c>
      <c r="AB164" s="15" t="s">
        <v>21</v>
      </c>
    </row>
    <row r="165" spans="2:29">
      <c r="B165" s="8">
        <v>7</v>
      </c>
      <c r="F165" s="3" t="s">
        <v>12</v>
      </c>
      <c r="I165" s="4" t="s">
        <v>13</v>
      </c>
      <c r="L165" s="3" t="s">
        <v>12</v>
      </c>
      <c r="N165" s="5" t="s">
        <v>14</v>
      </c>
      <c r="O165" s="5" t="s">
        <v>14</v>
      </c>
    </row>
    <row r="166" spans="2:29">
      <c r="B166" s="8">
        <v>8</v>
      </c>
      <c r="I166" s="3" t="s">
        <v>12</v>
      </c>
      <c r="N166" s="3" t="s">
        <v>12</v>
      </c>
    </row>
    <row r="167" spans="2:29">
      <c r="B167" s="8">
        <v>9</v>
      </c>
      <c r="Q167" s="25" t="s">
        <v>30</v>
      </c>
    </row>
    <row r="168" spans="2:29">
      <c r="B168" s="8">
        <v>10</v>
      </c>
      <c r="Q168" s="1507" t="s">
        <v>1</v>
      </c>
      <c r="R168" s="20" t="s">
        <v>2</v>
      </c>
      <c r="S168" s="20" t="s">
        <v>3</v>
      </c>
      <c r="T168" s="20" t="s">
        <v>4</v>
      </c>
      <c r="U168" s="20" t="s">
        <v>5</v>
      </c>
      <c r="V168" s="20" t="s">
        <v>6</v>
      </c>
      <c r="W168" s="20" t="s">
        <v>7</v>
      </c>
      <c r="X168" s="20" t="s">
        <v>8</v>
      </c>
      <c r="Y168" s="20" t="s">
        <v>9</v>
      </c>
      <c r="Z168" s="20" t="s">
        <v>10</v>
      </c>
      <c r="AA168" s="20" t="s">
        <v>36</v>
      </c>
      <c r="AB168" s="20" t="s">
        <v>37</v>
      </c>
      <c r="AC168" s="20" t="s">
        <v>344</v>
      </c>
    </row>
    <row r="169" spans="2:29">
      <c r="B169" t="s">
        <v>15</v>
      </c>
      <c r="C169" s="6" t="s">
        <v>16</v>
      </c>
      <c r="D169" s="6" t="s">
        <v>16</v>
      </c>
      <c r="E169" s="7" t="s">
        <v>17</v>
      </c>
      <c r="F169" s="6" t="s">
        <v>16</v>
      </c>
      <c r="G169" s="6" t="s">
        <v>16</v>
      </c>
      <c r="H169" s="6" t="s">
        <v>16</v>
      </c>
      <c r="I169" s="6" t="s">
        <v>16</v>
      </c>
      <c r="J169" s="7" t="s">
        <v>17</v>
      </c>
      <c r="K169" s="6" t="s">
        <v>16</v>
      </c>
      <c r="L169" s="7" t="s">
        <v>17</v>
      </c>
      <c r="M169" s="6" t="s">
        <v>16</v>
      </c>
      <c r="N169" s="7" t="s">
        <v>17</v>
      </c>
      <c r="O169" s="13" t="s">
        <v>59</v>
      </c>
      <c r="Q169" t="s">
        <v>393</v>
      </c>
      <c r="R169" t="s">
        <v>69</v>
      </c>
      <c r="S169" t="s">
        <v>394</v>
      </c>
      <c r="T169" t="s">
        <v>217</v>
      </c>
      <c r="U169" t="s">
        <v>110</v>
      </c>
      <c r="V169" t="s">
        <v>686</v>
      </c>
      <c r="W169" t="s">
        <v>687</v>
      </c>
      <c r="X169" t="s">
        <v>689</v>
      </c>
      <c r="Y169" t="s">
        <v>690</v>
      </c>
      <c r="Z169" t="s">
        <v>403</v>
      </c>
      <c r="AA169" t="s">
        <v>405</v>
      </c>
      <c r="AB169" t="s">
        <v>406</v>
      </c>
      <c r="AC169" t="s">
        <v>698</v>
      </c>
    </row>
    <row r="170" spans="2:29">
      <c r="B170" t="s">
        <v>1564</v>
      </c>
      <c r="G170" s="28" t="s">
        <v>42</v>
      </c>
      <c r="L170" s="28" t="s">
        <v>42</v>
      </c>
      <c r="Q170" t="s">
        <v>69</v>
      </c>
      <c r="R170" t="s">
        <v>394</v>
      </c>
      <c r="S170" t="s">
        <v>217</v>
      </c>
      <c r="T170" t="s">
        <v>682</v>
      </c>
      <c r="U170" t="s">
        <v>395</v>
      </c>
      <c r="V170" t="s">
        <v>396</v>
      </c>
      <c r="W170" t="s">
        <v>177</v>
      </c>
      <c r="X170" t="s">
        <v>399</v>
      </c>
      <c r="Y170" t="s">
        <v>402</v>
      </c>
      <c r="Z170" t="s">
        <v>402</v>
      </c>
      <c r="AA170" t="s">
        <v>406</v>
      </c>
      <c r="AB170" t="s">
        <v>696</v>
      </c>
      <c r="AC170" t="s">
        <v>408</v>
      </c>
    </row>
    <row r="171" spans="2:29">
      <c r="T171" t="s">
        <v>683</v>
      </c>
      <c r="U171" t="s">
        <v>685</v>
      </c>
      <c r="V171" t="s">
        <v>687</v>
      </c>
      <c r="W171" t="s">
        <v>79</v>
      </c>
      <c r="X171" t="s">
        <v>400</v>
      </c>
      <c r="Y171" t="s">
        <v>691</v>
      </c>
      <c r="Z171" t="s">
        <v>404</v>
      </c>
      <c r="AA171" t="s">
        <v>407</v>
      </c>
      <c r="AB171" t="s">
        <v>106</v>
      </c>
      <c r="AC171" t="s">
        <v>699</v>
      </c>
    </row>
    <row r="172" spans="2:29">
      <c r="T172" t="s">
        <v>684</v>
      </c>
      <c r="U172" t="s">
        <v>686</v>
      </c>
      <c r="W172" t="s">
        <v>398</v>
      </c>
      <c r="X172" t="s">
        <v>401</v>
      </c>
      <c r="Y172" t="s">
        <v>403</v>
      </c>
      <c r="Z172" t="s">
        <v>692</v>
      </c>
      <c r="AA172" t="s">
        <v>694</v>
      </c>
      <c r="AB172" t="s">
        <v>697</v>
      </c>
      <c r="AC172" t="s">
        <v>700</v>
      </c>
    </row>
    <row r="173" spans="2:29">
      <c r="T173" t="s">
        <v>110</v>
      </c>
      <c r="W173" t="s">
        <v>688</v>
      </c>
      <c r="X173" t="s">
        <v>690</v>
      </c>
      <c r="Z173" t="s">
        <v>693</v>
      </c>
      <c r="AA173" t="s">
        <v>695</v>
      </c>
      <c r="AB173" t="s">
        <v>698</v>
      </c>
    </row>
    <row r="174" spans="2:29" ht="21">
      <c r="B174" s="1" t="s">
        <v>135</v>
      </c>
      <c r="W174" t="s">
        <v>689</v>
      </c>
      <c r="Z174" t="s">
        <v>405</v>
      </c>
      <c r="AA174" t="s">
        <v>406</v>
      </c>
    </row>
    <row r="175" spans="2:29">
      <c r="B175" s="21" t="s">
        <v>381</v>
      </c>
      <c r="C175" s="13"/>
      <c r="E175" s="45" t="s">
        <v>574</v>
      </c>
      <c r="Q175" s="10" t="s">
        <v>19</v>
      </c>
    </row>
    <row r="176" spans="2:29">
      <c r="B176" s="9" t="s">
        <v>0</v>
      </c>
      <c r="C176" s="20" t="s">
        <v>1</v>
      </c>
      <c r="D176" s="20" t="s">
        <v>2</v>
      </c>
      <c r="E176" s="20" t="s">
        <v>3</v>
      </c>
      <c r="F176" s="20" t="s">
        <v>4</v>
      </c>
      <c r="G176" s="20" t="s">
        <v>5</v>
      </c>
      <c r="H176" s="20" t="s">
        <v>6</v>
      </c>
      <c r="I176" s="20" t="s">
        <v>7</v>
      </c>
      <c r="J176" s="20" t="s">
        <v>8</v>
      </c>
      <c r="K176" s="71" t="s">
        <v>9</v>
      </c>
      <c r="L176" s="20" t="s">
        <v>10</v>
      </c>
      <c r="M176" s="20" t="s">
        <v>36</v>
      </c>
      <c r="N176" s="20" t="s">
        <v>37</v>
      </c>
      <c r="Q176" s="11" t="s">
        <v>1</v>
      </c>
      <c r="R176" s="11" t="s">
        <v>2</v>
      </c>
      <c r="S176" s="11" t="s">
        <v>3</v>
      </c>
      <c r="T176" s="11" t="s">
        <v>4</v>
      </c>
      <c r="U176" s="11" t="s">
        <v>5</v>
      </c>
      <c r="V176" s="11" t="s">
        <v>6</v>
      </c>
      <c r="W176" s="11" t="s">
        <v>7</v>
      </c>
      <c r="X176" s="11" t="s">
        <v>8</v>
      </c>
      <c r="Y176" s="11" t="s">
        <v>9</v>
      </c>
      <c r="Z176" s="1506" t="s">
        <v>10</v>
      </c>
      <c r="AA176" s="1506" t="s">
        <v>36</v>
      </c>
      <c r="AB176" s="1506" t="s">
        <v>37</v>
      </c>
    </row>
    <row r="177" spans="2:28" ht="16.5" thickBot="1">
      <c r="B177" s="8">
        <v>1</v>
      </c>
      <c r="C177" s="3" t="s">
        <v>12</v>
      </c>
      <c r="D177" s="3" t="s">
        <v>12</v>
      </c>
      <c r="E177" s="3" t="s">
        <v>12</v>
      </c>
      <c r="F177" s="3" t="s">
        <v>12</v>
      </c>
      <c r="G177" s="3" t="s">
        <v>12</v>
      </c>
      <c r="H177" s="3" t="s">
        <v>12</v>
      </c>
      <c r="I177" s="3" t="s">
        <v>12</v>
      </c>
      <c r="J177" s="3" t="s">
        <v>12</v>
      </c>
      <c r="K177" s="3" t="s">
        <v>12</v>
      </c>
      <c r="L177" s="3" t="s">
        <v>12</v>
      </c>
      <c r="M177" s="3" t="s">
        <v>12</v>
      </c>
      <c r="N177" s="3" t="s">
        <v>12</v>
      </c>
      <c r="Q177" s="17" t="s">
        <v>24</v>
      </c>
      <c r="R177" s="15" t="s">
        <v>21</v>
      </c>
      <c r="S177" s="27" t="s">
        <v>44</v>
      </c>
      <c r="T177" s="188" t="s">
        <v>109</v>
      </c>
      <c r="U177" s="15" t="s">
        <v>21</v>
      </c>
      <c r="V177" s="43" t="s">
        <v>24</v>
      </c>
      <c r="W177" s="43" t="s">
        <v>24</v>
      </c>
      <c r="X177" s="24" t="s">
        <v>29</v>
      </c>
      <c r="Y177" s="190" t="s">
        <v>120</v>
      </c>
      <c r="Z177" s="43" t="s">
        <v>24</v>
      </c>
      <c r="AA177" s="43" t="s">
        <v>24</v>
      </c>
      <c r="AB177" s="14" t="s">
        <v>20</v>
      </c>
    </row>
    <row r="178" spans="2:28" ht="16.5" thickBot="1">
      <c r="B178" s="8">
        <v>2</v>
      </c>
      <c r="C178" s="5" t="s">
        <v>14</v>
      </c>
      <c r="D178" s="3" t="s">
        <v>12</v>
      </c>
      <c r="E178" s="3" t="s">
        <v>12</v>
      </c>
      <c r="F178" s="3" t="s">
        <v>12</v>
      </c>
      <c r="G178" s="3" t="s">
        <v>12</v>
      </c>
      <c r="H178" s="19" t="s">
        <v>71</v>
      </c>
      <c r="I178" s="3" t="s">
        <v>12</v>
      </c>
      <c r="J178" s="830" t="s">
        <v>71</v>
      </c>
      <c r="K178" s="3" t="s">
        <v>12</v>
      </c>
      <c r="L178" s="3" t="s">
        <v>12</v>
      </c>
      <c r="M178" s="5" t="s">
        <v>14</v>
      </c>
      <c r="N178" s="3" t="s">
        <v>12</v>
      </c>
      <c r="Q178" s="24" t="s">
        <v>29</v>
      </c>
      <c r="R178" s="22" t="s">
        <v>27</v>
      </c>
      <c r="S178" s="43" t="s">
        <v>24</v>
      </c>
      <c r="T178" s="19" t="s">
        <v>25</v>
      </c>
      <c r="U178" s="13" t="s">
        <v>22</v>
      </c>
      <c r="V178" s="14" t="s">
        <v>20</v>
      </c>
      <c r="W178" s="195" t="s">
        <v>216</v>
      </c>
      <c r="X178" s="13" t="s">
        <v>22</v>
      </c>
      <c r="Y178" s="19" t="s">
        <v>25</v>
      </c>
      <c r="Z178" s="19" t="s">
        <v>25</v>
      </c>
      <c r="AA178" s="197" t="s">
        <v>124</v>
      </c>
      <c r="AB178" s="5" t="s">
        <v>26</v>
      </c>
    </row>
    <row r="179" spans="2:28" ht="16.5" thickBot="1">
      <c r="B179" s="8">
        <v>3</v>
      </c>
      <c r="C179" s="3" t="s">
        <v>12</v>
      </c>
      <c r="D179" s="4" t="s">
        <v>13</v>
      </c>
      <c r="E179" s="3" t="s">
        <v>12</v>
      </c>
      <c r="F179" s="5" t="s">
        <v>14</v>
      </c>
      <c r="G179" s="4" t="s">
        <v>13</v>
      </c>
      <c r="H179" s="5" t="s">
        <v>14</v>
      </c>
      <c r="I179" s="5" t="s">
        <v>14</v>
      </c>
      <c r="J179" s="831" t="s">
        <v>13</v>
      </c>
      <c r="K179" s="4" t="s">
        <v>13</v>
      </c>
      <c r="L179" s="5" t="s">
        <v>14</v>
      </c>
      <c r="M179" s="3" t="s">
        <v>12</v>
      </c>
      <c r="N179" s="3" t="s">
        <v>12</v>
      </c>
      <c r="Q179" s="13" t="s">
        <v>22</v>
      </c>
      <c r="R179" s="13" t="s">
        <v>22</v>
      </c>
      <c r="S179" s="200" t="s">
        <v>339</v>
      </c>
      <c r="T179" s="15" t="s">
        <v>21</v>
      </c>
      <c r="U179" s="43" t="s">
        <v>24</v>
      </c>
      <c r="V179" s="5" t="s">
        <v>26</v>
      </c>
      <c r="W179" s="27" t="s">
        <v>44</v>
      </c>
      <c r="X179" s="19" t="s">
        <v>25</v>
      </c>
      <c r="Y179" s="15" t="s">
        <v>21</v>
      </c>
      <c r="Z179" s="15" t="s">
        <v>21</v>
      </c>
      <c r="AA179" s="24" t="s">
        <v>29</v>
      </c>
      <c r="AB179" s="13" t="s">
        <v>22</v>
      </c>
    </row>
    <row r="180" spans="2:28" ht="16.5" thickTop="1">
      <c r="B180" s="8">
        <v>4</v>
      </c>
      <c r="C180" s="3" t="s">
        <v>12</v>
      </c>
      <c r="D180" s="3" t="s">
        <v>12</v>
      </c>
      <c r="E180" s="5" t="s">
        <v>14</v>
      </c>
      <c r="F180" s="3" t="s">
        <v>12</v>
      </c>
      <c r="G180" s="3" t="s">
        <v>12</v>
      </c>
      <c r="H180" s="3" t="s">
        <v>12</v>
      </c>
      <c r="I180" s="3" t="s">
        <v>12</v>
      </c>
      <c r="J180" s="835" t="s">
        <v>12</v>
      </c>
      <c r="K180" s="3" t="s">
        <v>12</v>
      </c>
      <c r="L180" s="3" t="s">
        <v>12</v>
      </c>
      <c r="M180" s="4" t="s">
        <v>13</v>
      </c>
      <c r="N180" s="5" t="s">
        <v>14</v>
      </c>
      <c r="Q180" s="193" t="s">
        <v>155</v>
      </c>
      <c r="R180" s="43" t="s">
        <v>24</v>
      </c>
      <c r="S180" s="189" t="s">
        <v>47</v>
      </c>
      <c r="U180" s="899" t="s">
        <v>74</v>
      </c>
      <c r="V180" s="19" t="s">
        <v>25</v>
      </c>
      <c r="W180" s="15" t="s">
        <v>21</v>
      </c>
      <c r="X180" s="27" t="s">
        <v>44</v>
      </c>
      <c r="Y180" s="43" t="s">
        <v>24</v>
      </c>
      <c r="Z180" s="191" t="s">
        <v>244</v>
      </c>
      <c r="AA180" s="27" t="s">
        <v>44</v>
      </c>
      <c r="AB180" s="19" t="s">
        <v>25</v>
      </c>
    </row>
    <row r="181" spans="2:28">
      <c r="B181" s="8">
        <v>5</v>
      </c>
      <c r="C181" s="4" t="s">
        <v>13</v>
      </c>
      <c r="D181" s="5" t="s">
        <v>14</v>
      </c>
      <c r="E181" s="3" t="s">
        <v>12</v>
      </c>
      <c r="F181" s="4" t="s">
        <v>13</v>
      </c>
      <c r="G181" s="5" t="s">
        <v>14</v>
      </c>
      <c r="H181" s="4" t="s">
        <v>13</v>
      </c>
      <c r="I181" s="4" t="s">
        <v>13</v>
      </c>
      <c r="J181" s="5" t="s">
        <v>14</v>
      </c>
      <c r="K181" s="5" t="s">
        <v>14</v>
      </c>
      <c r="L181" s="4" t="s">
        <v>13</v>
      </c>
      <c r="M181" s="3" t="s">
        <v>12</v>
      </c>
      <c r="N181" s="3" t="s">
        <v>12</v>
      </c>
      <c r="Q181" s="19" t="s">
        <v>25</v>
      </c>
      <c r="R181" s="191" t="s">
        <v>244</v>
      </c>
      <c r="S181" s="13" t="s">
        <v>22</v>
      </c>
      <c r="V181" s="15" t="s">
        <v>21</v>
      </c>
      <c r="X181" s="15" t="s">
        <v>21</v>
      </c>
      <c r="Y181" s="5" t="s">
        <v>26</v>
      </c>
      <c r="AA181" s="19" t="s">
        <v>25</v>
      </c>
      <c r="AB181" s="15" t="s">
        <v>21</v>
      </c>
    </row>
    <row r="182" spans="2:28">
      <c r="B182" s="8">
        <v>6</v>
      </c>
      <c r="C182" s="3" t="s">
        <v>12</v>
      </c>
      <c r="E182" s="4" t="s">
        <v>13</v>
      </c>
      <c r="F182" s="3" t="s">
        <v>12</v>
      </c>
      <c r="G182" s="3" t="s">
        <v>12</v>
      </c>
      <c r="H182" s="3" t="s">
        <v>12</v>
      </c>
      <c r="I182" s="3" t="s">
        <v>12</v>
      </c>
      <c r="K182" s="3" t="s">
        <v>12</v>
      </c>
      <c r="L182" s="3" t="s">
        <v>12</v>
      </c>
      <c r="N182" s="4" t="s">
        <v>13</v>
      </c>
      <c r="Q182" s="15" t="s">
        <v>21</v>
      </c>
      <c r="S182" s="15" t="s">
        <v>21</v>
      </c>
      <c r="V182" s="967" t="s">
        <v>27</v>
      </c>
      <c r="Y182" s="27" t="s">
        <v>44</v>
      </c>
      <c r="AA182" s="11" t="s">
        <v>46</v>
      </c>
    </row>
    <row r="183" spans="2:28">
      <c r="B183" s="8">
        <v>7</v>
      </c>
      <c r="E183" s="3" t="s">
        <v>12</v>
      </c>
      <c r="K183" s="3" t="s">
        <v>12</v>
      </c>
      <c r="N183" s="3" t="s">
        <v>12</v>
      </c>
      <c r="S183" s="19" t="s">
        <v>25</v>
      </c>
      <c r="V183" s="197" t="s">
        <v>124</v>
      </c>
      <c r="Y183" s="966" t="s">
        <v>73</v>
      </c>
    </row>
    <row r="184" spans="2:28">
      <c r="B184" s="8">
        <v>8</v>
      </c>
      <c r="K184" s="3" t="s">
        <v>12</v>
      </c>
      <c r="N184" s="3" t="s">
        <v>12</v>
      </c>
      <c r="S184" s="190" t="s">
        <v>120</v>
      </c>
    </row>
    <row r="185" spans="2:28">
      <c r="B185" s="8">
        <v>9</v>
      </c>
      <c r="K185" s="3" t="s">
        <v>12</v>
      </c>
      <c r="N185" s="3" t="s">
        <v>12</v>
      </c>
    </row>
    <row r="186" spans="2:28">
      <c r="B186" s="8">
        <v>10</v>
      </c>
      <c r="K186" s="5" t="s">
        <v>14</v>
      </c>
      <c r="Q186" s="25"/>
    </row>
    <row r="187" spans="2:28">
      <c r="B187" s="8">
        <v>11</v>
      </c>
      <c r="K187" s="3" t="s">
        <v>12</v>
      </c>
      <c r="Q187" s="25"/>
    </row>
    <row r="188" spans="2:28">
      <c r="B188" s="8">
        <v>12</v>
      </c>
      <c r="K188" s="4" t="s">
        <v>13</v>
      </c>
      <c r="Q188" s="25" t="s">
        <v>30</v>
      </c>
    </row>
    <row r="189" spans="2:28">
      <c r="B189" s="8">
        <v>13</v>
      </c>
      <c r="K189" s="3" t="s">
        <v>12</v>
      </c>
      <c r="Q189" s="1507" t="s">
        <v>1</v>
      </c>
      <c r="R189" s="20" t="s">
        <v>2</v>
      </c>
      <c r="S189" s="20" t="s">
        <v>3</v>
      </c>
      <c r="T189" s="20" t="s">
        <v>4</v>
      </c>
      <c r="U189" s="20" t="s">
        <v>5</v>
      </c>
      <c r="V189" s="20" t="s">
        <v>6</v>
      </c>
      <c r="W189" s="20" t="s">
        <v>7</v>
      </c>
      <c r="X189" s="20" t="s">
        <v>8</v>
      </c>
      <c r="Y189" s="20" t="s">
        <v>9</v>
      </c>
      <c r="Z189" s="20" t="s">
        <v>10</v>
      </c>
      <c r="AA189" s="20" t="s">
        <v>36</v>
      </c>
      <c r="AB189" s="20" t="s">
        <v>37</v>
      </c>
    </row>
    <row r="190" spans="2:28">
      <c r="B190" t="s">
        <v>15</v>
      </c>
      <c r="C190" s="6" t="s">
        <v>16</v>
      </c>
      <c r="D190" s="6" t="s">
        <v>16</v>
      </c>
      <c r="E190" s="6" t="s">
        <v>16</v>
      </c>
      <c r="F190" s="6" t="s">
        <v>16</v>
      </c>
      <c r="G190" s="7" t="s">
        <v>17</v>
      </c>
      <c r="H190" s="6" t="s">
        <v>16</v>
      </c>
      <c r="I190" s="7" t="s">
        <v>17</v>
      </c>
      <c r="J190" s="6" t="s">
        <v>16</v>
      </c>
      <c r="K190" s="6" t="s">
        <v>16</v>
      </c>
      <c r="L190" s="7" t="s">
        <v>17</v>
      </c>
      <c r="M190" s="6" t="s">
        <v>16</v>
      </c>
      <c r="N190" s="13" t="s">
        <v>59</v>
      </c>
      <c r="Q190" t="s">
        <v>382</v>
      </c>
      <c r="R190" t="s">
        <v>353</v>
      </c>
      <c r="S190" t="s">
        <v>383</v>
      </c>
      <c r="T190" t="s">
        <v>702</v>
      </c>
      <c r="U190" t="s">
        <v>384</v>
      </c>
      <c r="V190" t="s">
        <v>385</v>
      </c>
      <c r="W190" t="s">
        <v>706</v>
      </c>
      <c r="X190" t="s">
        <v>710</v>
      </c>
      <c r="Y190" t="s">
        <v>711</v>
      </c>
      <c r="Z190" t="s">
        <v>388</v>
      </c>
      <c r="AA190" t="s">
        <v>718</v>
      </c>
      <c r="AB190" t="s">
        <v>218</v>
      </c>
    </row>
    <row r="191" spans="2:28">
      <c r="B191" t="s">
        <v>1564</v>
      </c>
      <c r="C191" s="6" t="s">
        <v>2600</v>
      </c>
      <c r="J191" s="46" t="s">
        <v>1567</v>
      </c>
      <c r="Q191" t="s">
        <v>353</v>
      </c>
      <c r="R191" t="s">
        <v>383</v>
      </c>
      <c r="S191" t="s">
        <v>80</v>
      </c>
      <c r="T191" t="s">
        <v>80</v>
      </c>
      <c r="U191" t="s">
        <v>703</v>
      </c>
      <c r="V191" t="s">
        <v>706</v>
      </c>
      <c r="W191" t="s">
        <v>707</v>
      </c>
      <c r="X191" t="s">
        <v>711</v>
      </c>
      <c r="Y191" t="s">
        <v>386</v>
      </c>
      <c r="Z191" t="s">
        <v>715</v>
      </c>
      <c r="AA191" t="s">
        <v>719</v>
      </c>
      <c r="AB191" t="s">
        <v>52</v>
      </c>
    </row>
    <row r="192" spans="2:28">
      <c r="J192" s="46" t="s">
        <v>2600</v>
      </c>
      <c r="R192" t="s">
        <v>701</v>
      </c>
      <c r="S192" t="s">
        <v>702</v>
      </c>
      <c r="T192" t="s">
        <v>384</v>
      </c>
      <c r="U192" t="s">
        <v>704</v>
      </c>
      <c r="V192" t="s">
        <v>705</v>
      </c>
      <c r="W192" t="s">
        <v>708</v>
      </c>
      <c r="Y192" t="s">
        <v>712</v>
      </c>
      <c r="Z192" t="s">
        <v>389</v>
      </c>
      <c r="AA192" t="s">
        <v>218</v>
      </c>
      <c r="AB192" t="s">
        <v>390</v>
      </c>
    </row>
    <row r="193" spans="2:29">
      <c r="R193" t="s">
        <v>383</v>
      </c>
      <c r="U193" t="s">
        <v>385</v>
      </c>
      <c r="V193" t="s">
        <v>706</v>
      </c>
      <c r="W193" t="s">
        <v>709</v>
      </c>
      <c r="Y193" t="s">
        <v>387</v>
      </c>
      <c r="Z193" t="s">
        <v>716</v>
      </c>
      <c r="AB193" t="s">
        <v>720</v>
      </c>
    </row>
    <row r="194" spans="2:29">
      <c r="W194" t="s">
        <v>710</v>
      </c>
      <c r="Y194" t="s">
        <v>386</v>
      </c>
      <c r="Z194" t="s">
        <v>717</v>
      </c>
      <c r="AB194" t="s">
        <v>52</v>
      </c>
    </row>
    <row r="195" spans="2:29" ht="21">
      <c r="B195" s="1" t="s">
        <v>136</v>
      </c>
      <c r="Y195" t="s">
        <v>713</v>
      </c>
      <c r="Z195" t="s">
        <v>718</v>
      </c>
      <c r="AB195" t="s">
        <v>118</v>
      </c>
    </row>
    <row r="196" spans="2:29">
      <c r="B196" s="21" t="s">
        <v>371</v>
      </c>
      <c r="C196" s="13"/>
      <c r="E196" s="45" t="s">
        <v>575</v>
      </c>
      <c r="Q196" s="10" t="s">
        <v>19</v>
      </c>
      <c r="Y196" t="s">
        <v>714</v>
      </c>
      <c r="AB196" t="s">
        <v>391</v>
      </c>
    </row>
    <row r="197" spans="2:29">
      <c r="B197" s="9" t="s">
        <v>0</v>
      </c>
      <c r="C197" s="20" t="s">
        <v>1</v>
      </c>
      <c r="D197" s="20" t="s">
        <v>2</v>
      </c>
      <c r="E197" s="20" t="s">
        <v>3</v>
      </c>
      <c r="F197" s="20" t="s">
        <v>4</v>
      </c>
      <c r="G197" s="20" t="s">
        <v>5</v>
      </c>
      <c r="H197" s="20" t="s">
        <v>6</v>
      </c>
      <c r="I197" s="20" t="s">
        <v>7</v>
      </c>
      <c r="J197" s="20" t="s">
        <v>8</v>
      </c>
      <c r="K197" s="20" t="s">
        <v>9</v>
      </c>
      <c r="L197" s="20" t="s">
        <v>10</v>
      </c>
      <c r="M197" s="20" t="s">
        <v>36</v>
      </c>
      <c r="N197" s="20" t="s">
        <v>37</v>
      </c>
      <c r="O197" s="20" t="s">
        <v>344</v>
      </c>
      <c r="Q197" s="11" t="s">
        <v>1</v>
      </c>
      <c r="R197" s="11" t="s">
        <v>2</v>
      </c>
      <c r="S197" s="11" t="s">
        <v>3</v>
      </c>
      <c r="T197" s="11" t="s">
        <v>4</v>
      </c>
      <c r="U197" s="11" t="s">
        <v>5</v>
      </c>
      <c r="V197" s="11" t="s">
        <v>6</v>
      </c>
      <c r="W197" s="11" t="s">
        <v>7</v>
      </c>
      <c r="X197" s="11" t="s">
        <v>8</v>
      </c>
      <c r="Y197" s="11" t="s">
        <v>9</v>
      </c>
      <c r="Z197" s="1506" t="s">
        <v>10</v>
      </c>
      <c r="AA197" s="1506" t="s">
        <v>36</v>
      </c>
      <c r="AB197" s="1506" t="s">
        <v>37</v>
      </c>
      <c r="AC197" s="1506" t="s">
        <v>344</v>
      </c>
    </row>
    <row r="198" spans="2:29">
      <c r="B198" s="8">
        <v>1</v>
      </c>
      <c r="C198" s="3" t="s">
        <v>12</v>
      </c>
      <c r="D198" s="3" t="s">
        <v>12</v>
      </c>
      <c r="E198" s="3" t="s">
        <v>12</v>
      </c>
      <c r="F198" s="3" t="s">
        <v>12</v>
      </c>
      <c r="G198" s="3" t="s">
        <v>12</v>
      </c>
      <c r="H198" s="3" t="s">
        <v>12</v>
      </c>
      <c r="I198" s="3" t="s">
        <v>12</v>
      </c>
      <c r="J198" s="3" t="s">
        <v>12</v>
      </c>
      <c r="K198" s="3" t="s">
        <v>12</v>
      </c>
      <c r="L198" s="3" t="s">
        <v>12</v>
      </c>
      <c r="M198" s="3" t="s">
        <v>12</v>
      </c>
      <c r="N198" s="3" t="s">
        <v>12</v>
      </c>
      <c r="O198" s="3" t="s">
        <v>12</v>
      </c>
      <c r="Q198" s="17" t="s">
        <v>24</v>
      </c>
      <c r="R198" s="17" t="s">
        <v>24</v>
      </c>
      <c r="S198" s="17" t="s">
        <v>24</v>
      </c>
      <c r="T198" s="198" t="s">
        <v>234</v>
      </c>
      <c r="U198" s="19" t="s">
        <v>25</v>
      </c>
      <c r="V198" s="14" t="s">
        <v>20</v>
      </c>
      <c r="W198" s="27" t="s">
        <v>44</v>
      </c>
      <c r="X198" s="196" t="s">
        <v>114</v>
      </c>
      <c r="Y198" s="13" t="s">
        <v>22</v>
      </c>
      <c r="Z198" s="5" t="s">
        <v>26</v>
      </c>
      <c r="AA198" s="5" t="s">
        <v>26</v>
      </c>
      <c r="AB198" s="17" t="s">
        <v>24</v>
      </c>
      <c r="AC198" s="17" t="s">
        <v>24</v>
      </c>
    </row>
    <row r="199" spans="2:29" ht="16.5" thickBot="1">
      <c r="B199" s="8">
        <v>2</v>
      </c>
      <c r="C199" s="3" t="s">
        <v>12</v>
      </c>
      <c r="D199" s="5" t="s">
        <v>14</v>
      </c>
      <c r="E199" s="3" t="s">
        <v>12</v>
      </c>
      <c r="F199" s="4" t="s">
        <v>13</v>
      </c>
      <c r="G199" s="3" t="s">
        <v>12</v>
      </c>
      <c r="H199" s="4" t="s">
        <v>13</v>
      </c>
      <c r="I199" s="4" t="s">
        <v>13</v>
      </c>
      <c r="J199" s="3" t="s">
        <v>12</v>
      </c>
      <c r="K199" s="3" t="s">
        <v>12</v>
      </c>
      <c r="L199" s="19" t="s">
        <v>71</v>
      </c>
      <c r="M199" s="3" t="s">
        <v>12</v>
      </c>
      <c r="N199" s="4" t="s">
        <v>13</v>
      </c>
      <c r="O199" s="4" t="s">
        <v>13</v>
      </c>
      <c r="Q199" s="22" t="s">
        <v>27</v>
      </c>
      <c r="R199" s="13" t="s">
        <v>22</v>
      </c>
      <c r="S199" s="22" t="s">
        <v>27</v>
      </c>
      <c r="T199" s="189" t="s">
        <v>47</v>
      </c>
      <c r="U199" s="27" t="s">
        <v>44</v>
      </c>
      <c r="V199" s="19" t="s">
        <v>25</v>
      </c>
      <c r="W199" s="14" t="s">
        <v>20</v>
      </c>
      <c r="X199" s="11" t="s">
        <v>46</v>
      </c>
      <c r="Y199" s="199" t="s">
        <v>74</v>
      </c>
      <c r="Z199" s="27" t="s">
        <v>44</v>
      </c>
      <c r="AA199" s="11" t="s">
        <v>46</v>
      </c>
      <c r="AB199" s="13" t="s">
        <v>22</v>
      </c>
      <c r="AC199" s="195" t="s">
        <v>216</v>
      </c>
    </row>
    <row r="200" spans="2:29" ht="16.5" thickBot="1">
      <c r="B200" s="8">
        <v>3</v>
      </c>
      <c r="C200" s="3" t="s">
        <v>12</v>
      </c>
      <c r="D200" s="3" t="s">
        <v>12</v>
      </c>
      <c r="E200" s="5" t="s">
        <v>14</v>
      </c>
      <c r="F200" s="3" t="s">
        <v>12</v>
      </c>
      <c r="G200" s="5" t="s">
        <v>14</v>
      </c>
      <c r="H200" s="3" t="s">
        <v>12</v>
      </c>
      <c r="I200" s="3" t="s">
        <v>12</v>
      </c>
      <c r="J200" s="833" t="s">
        <v>71</v>
      </c>
      <c r="K200" s="834" t="s">
        <v>13</v>
      </c>
      <c r="L200" s="832" t="s">
        <v>13</v>
      </c>
      <c r="M200" s="783" t="s">
        <v>14</v>
      </c>
      <c r="N200" s="3" t="s">
        <v>12</v>
      </c>
      <c r="O200" s="3" t="s">
        <v>12</v>
      </c>
      <c r="Q200" s="27" t="s">
        <v>44</v>
      </c>
      <c r="R200" s="19" t="s">
        <v>25</v>
      </c>
      <c r="S200" s="15" t="s">
        <v>21</v>
      </c>
      <c r="T200" s="13" t="s">
        <v>22</v>
      </c>
      <c r="U200" s="22" t="s">
        <v>27</v>
      </c>
      <c r="V200" s="191" t="s">
        <v>244</v>
      </c>
      <c r="W200" s="15" t="s">
        <v>21</v>
      </c>
      <c r="X200" s="24" t="s">
        <v>29</v>
      </c>
      <c r="Y200" s="27" t="s">
        <v>44</v>
      </c>
      <c r="Z200" s="19" t="s">
        <v>25</v>
      </c>
      <c r="AA200" s="15" t="s">
        <v>21</v>
      </c>
      <c r="AB200" s="27" t="s">
        <v>44</v>
      </c>
      <c r="AC200" s="194" t="s">
        <v>43</v>
      </c>
    </row>
    <row r="201" spans="2:29" ht="16.5" thickBot="1">
      <c r="B201" s="8">
        <v>4</v>
      </c>
      <c r="C201" s="4" t="s">
        <v>13</v>
      </c>
      <c r="D201" s="4" t="s">
        <v>13</v>
      </c>
      <c r="E201" s="3" t="s">
        <v>12</v>
      </c>
      <c r="F201" s="3" t="s">
        <v>12</v>
      </c>
      <c r="G201" s="3" t="s">
        <v>12</v>
      </c>
      <c r="H201" s="5" t="s">
        <v>14</v>
      </c>
      <c r="I201" s="5" t="s">
        <v>14</v>
      </c>
      <c r="J201" s="831" t="s">
        <v>13</v>
      </c>
      <c r="K201" s="3" t="s">
        <v>12</v>
      </c>
      <c r="L201" s="3" t="s">
        <v>12</v>
      </c>
      <c r="M201" s="3" t="s">
        <v>12</v>
      </c>
      <c r="N201" s="5" t="s">
        <v>14</v>
      </c>
      <c r="O201" s="3" t="s">
        <v>12</v>
      </c>
      <c r="Q201" s="19" t="s">
        <v>25</v>
      </c>
      <c r="R201" s="27" t="s">
        <v>44</v>
      </c>
      <c r="S201" s="19" t="s">
        <v>25</v>
      </c>
      <c r="T201" s="27" t="s">
        <v>44</v>
      </c>
      <c r="U201" s="200" t="s">
        <v>339</v>
      </c>
      <c r="V201" s="15" t="s">
        <v>21</v>
      </c>
      <c r="X201" s="17" t="s">
        <v>24</v>
      </c>
      <c r="Y201" s="24" t="s">
        <v>29</v>
      </c>
      <c r="Z201" s="17" t="s">
        <v>24</v>
      </c>
      <c r="AA201" s="17" t="s">
        <v>24</v>
      </c>
      <c r="AB201" s="198" t="s">
        <v>234</v>
      </c>
      <c r="AC201" s="19" t="s">
        <v>25</v>
      </c>
    </row>
    <row r="202" spans="2:29">
      <c r="B202" s="8">
        <v>5</v>
      </c>
      <c r="C202" s="3" t="s">
        <v>12</v>
      </c>
      <c r="D202" s="3" t="s">
        <v>12</v>
      </c>
      <c r="E202" s="4" t="s">
        <v>13</v>
      </c>
      <c r="F202" s="5" t="s">
        <v>14</v>
      </c>
      <c r="G202" s="4" t="s">
        <v>13</v>
      </c>
      <c r="H202" s="3" t="s">
        <v>12</v>
      </c>
      <c r="I202" s="3" t="s">
        <v>12</v>
      </c>
      <c r="J202" s="3" t="s">
        <v>12</v>
      </c>
      <c r="K202" s="5" t="s">
        <v>14</v>
      </c>
      <c r="L202" s="5" t="s">
        <v>14</v>
      </c>
      <c r="M202" s="4" t="s">
        <v>13</v>
      </c>
      <c r="N202" s="3" t="s">
        <v>12</v>
      </c>
      <c r="O202" s="5" t="s">
        <v>14</v>
      </c>
      <c r="Q202" s="15" t="s">
        <v>21</v>
      </c>
      <c r="R202" s="14" t="s">
        <v>20</v>
      </c>
      <c r="X202" s="22" t="s">
        <v>27</v>
      </c>
      <c r="Y202" s="194" t="s">
        <v>43</v>
      </c>
      <c r="Z202" s="15" t="s">
        <v>21</v>
      </c>
      <c r="AC202" s="23" t="s">
        <v>28</v>
      </c>
    </row>
    <row r="203" spans="2:29">
      <c r="B203" s="8">
        <v>6</v>
      </c>
      <c r="E203" s="3" t="s">
        <v>12</v>
      </c>
      <c r="F203" s="3" t="s">
        <v>12</v>
      </c>
      <c r="G203" s="3" t="s">
        <v>12</v>
      </c>
      <c r="J203" s="5" t="s">
        <v>14</v>
      </c>
      <c r="K203" s="3" t="s">
        <v>12</v>
      </c>
      <c r="L203" s="3" t="s">
        <v>12</v>
      </c>
      <c r="M203" s="3" t="s">
        <v>12</v>
      </c>
      <c r="O203" s="3" t="s">
        <v>12</v>
      </c>
      <c r="X203" s="19" t="s">
        <v>25</v>
      </c>
      <c r="Y203" s="15" t="s">
        <v>21</v>
      </c>
    </row>
    <row r="204" spans="2:29">
      <c r="B204" s="8">
        <v>7</v>
      </c>
      <c r="L204" s="3" t="s">
        <v>12</v>
      </c>
      <c r="M204" s="3" t="s">
        <v>12</v>
      </c>
      <c r="O204" s="3" t="s">
        <v>12</v>
      </c>
    </row>
    <row r="205" spans="2:29">
      <c r="B205" s="8">
        <v>8</v>
      </c>
      <c r="O205" s="3" t="s">
        <v>12</v>
      </c>
    </row>
    <row r="206" spans="2:29">
      <c r="B206" s="8">
        <v>9</v>
      </c>
      <c r="Q206" s="25" t="s">
        <v>30</v>
      </c>
    </row>
    <row r="207" spans="2:29">
      <c r="B207" s="8">
        <v>10</v>
      </c>
      <c r="Q207" s="1507" t="s">
        <v>1</v>
      </c>
      <c r="R207" s="20" t="s">
        <v>2</v>
      </c>
      <c r="S207" s="20" t="s">
        <v>3</v>
      </c>
      <c r="T207" s="20" t="s">
        <v>4</v>
      </c>
      <c r="U207" s="20" t="s">
        <v>5</v>
      </c>
      <c r="V207" s="20" t="s">
        <v>6</v>
      </c>
      <c r="W207" s="20" t="s">
        <v>7</v>
      </c>
      <c r="X207" s="20" t="s">
        <v>8</v>
      </c>
      <c r="Y207" s="20" t="s">
        <v>9</v>
      </c>
      <c r="Z207" s="20" t="s">
        <v>10</v>
      </c>
      <c r="AA207" s="20" t="s">
        <v>36</v>
      </c>
      <c r="AB207" s="20" t="s">
        <v>37</v>
      </c>
      <c r="AC207" s="20" t="s">
        <v>344</v>
      </c>
    </row>
    <row r="208" spans="2:29">
      <c r="B208" t="s">
        <v>15</v>
      </c>
      <c r="C208" s="6" t="s">
        <v>16</v>
      </c>
      <c r="D208" s="6" t="s">
        <v>16</v>
      </c>
      <c r="E208" s="6" t="s">
        <v>16</v>
      </c>
      <c r="F208" s="6" t="s">
        <v>16</v>
      </c>
      <c r="G208" s="7" t="s">
        <v>17</v>
      </c>
      <c r="H208" s="6" t="s">
        <v>16</v>
      </c>
      <c r="I208" s="7" t="s">
        <v>17</v>
      </c>
      <c r="J208" s="6" t="s">
        <v>16</v>
      </c>
      <c r="K208" s="6" t="s">
        <v>16</v>
      </c>
      <c r="L208" s="7" t="s">
        <v>17</v>
      </c>
      <c r="M208" s="7" t="s">
        <v>17</v>
      </c>
      <c r="N208" s="6" t="s">
        <v>16</v>
      </c>
      <c r="O208" s="13" t="s">
        <v>59</v>
      </c>
      <c r="Q208" t="s">
        <v>249</v>
      </c>
      <c r="R208" t="s">
        <v>721</v>
      </c>
      <c r="S208" t="s">
        <v>373</v>
      </c>
      <c r="T208" t="s">
        <v>723</v>
      </c>
      <c r="U208" t="s">
        <v>724</v>
      </c>
      <c r="V208" t="s">
        <v>377</v>
      </c>
      <c r="W208" t="s">
        <v>726</v>
      </c>
      <c r="X208" t="s">
        <v>378</v>
      </c>
      <c r="Y208" t="s">
        <v>728</v>
      </c>
      <c r="Z208" t="s">
        <v>379</v>
      </c>
      <c r="AA208" t="s">
        <v>1967</v>
      </c>
      <c r="AB208" t="s">
        <v>1969</v>
      </c>
      <c r="AC208" t="s">
        <v>731</v>
      </c>
    </row>
    <row r="209" spans="2:29">
      <c r="B209" t="s">
        <v>1564</v>
      </c>
      <c r="J209" s="46" t="s">
        <v>1567</v>
      </c>
      <c r="K209" s="28" t="s">
        <v>42</v>
      </c>
      <c r="M209" s="28" t="s">
        <v>42</v>
      </c>
      <c r="Q209" t="s">
        <v>372</v>
      </c>
      <c r="R209" t="s">
        <v>204</v>
      </c>
      <c r="S209" t="s">
        <v>374</v>
      </c>
      <c r="T209" t="s">
        <v>375</v>
      </c>
      <c r="U209" t="s">
        <v>376</v>
      </c>
      <c r="V209" t="s">
        <v>725</v>
      </c>
      <c r="W209" t="s">
        <v>378</v>
      </c>
      <c r="X209" t="s">
        <v>102</v>
      </c>
      <c r="Y209" t="s">
        <v>379</v>
      </c>
      <c r="Z209" t="s">
        <v>1967</v>
      </c>
      <c r="AA209" t="s">
        <v>1969</v>
      </c>
      <c r="AB209" t="s">
        <v>729</v>
      </c>
      <c r="AC209" t="s">
        <v>229</v>
      </c>
    </row>
    <row r="210" spans="2:29">
      <c r="J210" s="46" t="s">
        <v>2600</v>
      </c>
      <c r="Q210" t="s">
        <v>721</v>
      </c>
      <c r="R210" t="s">
        <v>722</v>
      </c>
      <c r="S210" t="s">
        <v>723</v>
      </c>
      <c r="T210" t="s">
        <v>376</v>
      </c>
      <c r="U210" t="s">
        <v>377</v>
      </c>
      <c r="V210" t="s">
        <v>726</v>
      </c>
      <c r="X210" t="s">
        <v>728</v>
      </c>
      <c r="AB210" t="s">
        <v>730</v>
      </c>
      <c r="AC210" t="s">
        <v>732</v>
      </c>
    </row>
    <row r="211" spans="2:29">
      <c r="R211" t="s">
        <v>373</v>
      </c>
      <c r="T211" t="s">
        <v>724</v>
      </c>
      <c r="V211" t="s">
        <v>727</v>
      </c>
      <c r="AB211" t="s">
        <v>731</v>
      </c>
      <c r="AC211" t="s">
        <v>380</v>
      </c>
    </row>
    <row r="212" spans="2:29" ht="21">
      <c r="B212" s="1" t="s">
        <v>137</v>
      </c>
      <c r="V212" t="s">
        <v>726</v>
      </c>
    </row>
    <row r="213" spans="2:29">
      <c r="B213" s="21" t="s">
        <v>1477</v>
      </c>
      <c r="C213" s="13"/>
      <c r="E213" s="45" t="s">
        <v>576</v>
      </c>
      <c r="Q213" s="10" t="s">
        <v>19</v>
      </c>
    </row>
    <row r="214" spans="2:29">
      <c r="B214" s="9" t="s">
        <v>0</v>
      </c>
      <c r="C214" s="20" t="s">
        <v>1</v>
      </c>
      <c r="D214" s="20" t="s">
        <v>2</v>
      </c>
      <c r="E214" s="20" t="s">
        <v>3</v>
      </c>
      <c r="F214" s="20" t="s">
        <v>4</v>
      </c>
      <c r="G214" s="20" t="s">
        <v>5</v>
      </c>
      <c r="H214" s="20" t="s">
        <v>6</v>
      </c>
      <c r="I214" s="20" t="s">
        <v>7</v>
      </c>
      <c r="J214" s="20" t="s">
        <v>8</v>
      </c>
      <c r="K214" s="20" t="s">
        <v>9</v>
      </c>
      <c r="L214" s="20" t="s">
        <v>10</v>
      </c>
      <c r="M214" s="20" t="s">
        <v>36</v>
      </c>
      <c r="Q214" s="11" t="s">
        <v>1</v>
      </c>
      <c r="R214" s="11" t="s">
        <v>2</v>
      </c>
      <c r="S214" s="11" t="s">
        <v>3</v>
      </c>
      <c r="T214" s="11" t="s">
        <v>4</v>
      </c>
      <c r="U214" s="11" t="s">
        <v>5</v>
      </c>
      <c r="V214" s="11" t="s">
        <v>6</v>
      </c>
      <c r="W214" s="11" t="s">
        <v>7</v>
      </c>
      <c r="X214" s="11" t="s">
        <v>8</v>
      </c>
      <c r="Y214" s="11" t="s">
        <v>9</v>
      </c>
      <c r="Z214" s="1506" t="s">
        <v>10</v>
      </c>
      <c r="AA214" s="1506" t="s">
        <v>36</v>
      </c>
      <c r="AB214" s="37"/>
    </row>
    <row r="215" spans="2:29">
      <c r="B215" s="8">
        <v>1</v>
      </c>
      <c r="C215" s="3" t="s">
        <v>12</v>
      </c>
      <c r="D215" s="3" t="s">
        <v>12</v>
      </c>
      <c r="E215" s="3" t="s">
        <v>12</v>
      </c>
      <c r="F215" s="3" t="s">
        <v>12</v>
      </c>
      <c r="G215" s="3" t="s">
        <v>12</v>
      </c>
      <c r="H215" s="3" t="s">
        <v>12</v>
      </c>
      <c r="I215" s="3" t="s">
        <v>12</v>
      </c>
      <c r="J215" s="3" t="s">
        <v>12</v>
      </c>
      <c r="K215" s="3" t="s">
        <v>12</v>
      </c>
      <c r="L215" s="3" t="s">
        <v>12</v>
      </c>
      <c r="M215" s="3" t="s">
        <v>12</v>
      </c>
      <c r="Q215" s="17" t="s">
        <v>24</v>
      </c>
      <c r="R215" s="17" t="s">
        <v>24</v>
      </c>
      <c r="S215" s="22" t="s">
        <v>27</v>
      </c>
      <c r="T215" s="190" t="s">
        <v>120</v>
      </c>
      <c r="U215" s="17" t="s">
        <v>24</v>
      </c>
      <c r="V215" s="5" t="s">
        <v>26</v>
      </c>
      <c r="W215" s="17" t="s">
        <v>24</v>
      </c>
      <c r="X215" s="27" t="s">
        <v>44</v>
      </c>
      <c r="Y215" s="17" t="s">
        <v>24</v>
      </c>
      <c r="Z215" s="17" t="s">
        <v>24</v>
      </c>
      <c r="AA215" s="197" t="s">
        <v>124</v>
      </c>
      <c r="AB215" s="37"/>
    </row>
    <row r="216" spans="2:29">
      <c r="B216" s="8">
        <v>2</v>
      </c>
      <c r="C216" s="3" t="s">
        <v>12</v>
      </c>
      <c r="D216" s="4" t="s">
        <v>13</v>
      </c>
      <c r="E216" s="3" t="s">
        <v>12</v>
      </c>
      <c r="F216" s="3" t="s">
        <v>12</v>
      </c>
      <c r="G216" s="5" t="s">
        <v>14</v>
      </c>
      <c r="H216" s="5" t="s">
        <v>14</v>
      </c>
      <c r="I216" s="3" t="s">
        <v>12</v>
      </c>
      <c r="J216" s="3" t="s">
        <v>12</v>
      </c>
      <c r="K216" s="3" t="s">
        <v>12</v>
      </c>
      <c r="L216" s="3" t="s">
        <v>12</v>
      </c>
      <c r="M216" s="3" t="s">
        <v>12</v>
      </c>
      <c r="Q216" s="190" t="s">
        <v>120</v>
      </c>
      <c r="R216" s="19" t="s">
        <v>25</v>
      </c>
      <c r="S216" s="24" t="s">
        <v>29</v>
      </c>
      <c r="T216" s="193" t="s">
        <v>155</v>
      </c>
      <c r="U216" s="15" t="s">
        <v>21</v>
      </c>
      <c r="V216" s="27" t="s">
        <v>44</v>
      </c>
      <c r="W216" s="27" t="s">
        <v>44</v>
      </c>
      <c r="X216" s="13" t="s">
        <v>22</v>
      </c>
      <c r="Y216" s="15" t="s">
        <v>21</v>
      </c>
      <c r="Z216" s="5" t="s">
        <v>26</v>
      </c>
      <c r="AA216" s="27" t="s">
        <v>44</v>
      </c>
      <c r="AB216" s="37"/>
    </row>
    <row r="217" spans="2:29">
      <c r="B217" s="8">
        <v>3</v>
      </c>
      <c r="C217" s="5" t="s">
        <v>14</v>
      </c>
      <c r="D217" s="3" t="s">
        <v>12</v>
      </c>
      <c r="E217" s="5" t="s">
        <v>14</v>
      </c>
      <c r="F217" s="4" t="s">
        <v>13</v>
      </c>
      <c r="G217" s="3" t="s">
        <v>12</v>
      </c>
      <c r="H217" s="3" t="s">
        <v>12</v>
      </c>
      <c r="I217" s="19" t="s">
        <v>71</v>
      </c>
      <c r="J217" s="29" t="s">
        <v>49</v>
      </c>
      <c r="K217" s="5" t="s">
        <v>14</v>
      </c>
      <c r="L217" s="3" t="s">
        <v>12</v>
      </c>
      <c r="M217" s="4" t="s">
        <v>13</v>
      </c>
      <c r="Q217" s="5" t="s">
        <v>26</v>
      </c>
      <c r="R217" s="27" t="s">
        <v>44</v>
      </c>
      <c r="S217" s="188" t="s">
        <v>109</v>
      </c>
      <c r="T217" s="19" t="s">
        <v>25</v>
      </c>
      <c r="U217" s="194" t="s">
        <v>43</v>
      </c>
      <c r="V217" s="19" t="s">
        <v>25</v>
      </c>
      <c r="W217" s="197" t="s">
        <v>124</v>
      </c>
      <c r="X217" s="19" t="s">
        <v>25</v>
      </c>
      <c r="Y217" s="191" t="s">
        <v>244</v>
      </c>
      <c r="Z217" s="24" t="s">
        <v>29</v>
      </c>
      <c r="AA217" s="5" t="s">
        <v>26</v>
      </c>
      <c r="AB217" s="37"/>
    </row>
    <row r="218" spans="2:29" ht="16.5" thickBot="1">
      <c r="B218" s="8">
        <v>4</v>
      </c>
      <c r="C218" s="3" t="s">
        <v>12</v>
      </c>
      <c r="D218" s="5" t="s">
        <v>14</v>
      </c>
      <c r="E218" s="3" t="s">
        <v>12</v>
      </c>
      <c r="F218" s="3" t="s">
        <v>12</v>
      </c>
      <c r="G218" s="3" t="s">
        <v>12</v>
      </c>
      <c r="H218" s="4" t="s">
        <v>13</v>
      </c>
      <c r="I218" s="5" t="s">
        <v>14</v>
      </c>
      <c r="J218" s="4" t="s">
        <v>13</v>
      </c>
      <c r="K218" s="3" t="s">
        <v>12</v>
      </c>
      <c r="L218" s="5" t="s">
        <v>14</v>
      </c>
      <c r="M218" s="3" t="s">
        <v>12</v>
      </c>
      <c r="Q218" s="22" t="s">
        <v>27</v>
      </c>
      <c r="R218" s="190" t="s">
        <v>120</v>
      </c>
      <c r="S218" s="19" t="s">
        <v>25</v>
      </c>
      <c r="U218" s="19" t="s">
        <v>25</v>
      </c>
      <c r="V218" s="15" t="s">
        <v>21</v>
      </c>
      <c r="W218" s="189" t="s">
        <v>47</v>
      </c>
      <c r="X218" s="190" t="s">
        <v>120</v>
      </c>
      <c r="Y218" s="27" t="s">
        <v>44</v>
      </c>
      <c r="Z218" s="197" t="s">
        <v>124</v>
      </c>
      <c r="AA218" s="19" t="s">
        <v>25</v>
      </c>
      <c r="AB218" s="37"/>
    </row>
    <row r="219" spans="2:29" ht="16.5" thickBot="1">
      <c r="B219" s="8">
        <v>5</v>
      </c>
      <c r="C219" s="3" t="s">
        <v>12</v>
      </c>
      <c r="D219" s="3" t="s">
        <v>12</v>
      </c>
      <c r="E219" s="4" t="s">
        <v>13</v>
      </c>
      <c r="F219" s="614" t="s">
        <v>12</v>
      </c>
      <c r="G219" s="4" t="s">
        <v>13</v>
      </c>
      <c r="H219" s="3" t="s">
        <v>12</v>
      </c>
      <c r="I219" s="3" t="s">
        <v>12</v>
      </c>
      <c r="J219" s="3" t="s">
        <v>12</v>
      </c>
      <c r="K219" s="4" t="s">
        <v>13</v>
      </c>
      <c r="L219" s="29" t="s">
        <v>49</v>
      </c>
      <c r="M219" s="3" t="s">
        <v>12</v>
      </c>
      <c r="Q219" s="19" t="s">
        <v>25</v>
      </c>
      <c r="R219" s="15" t="s">
        <v>21</v>
      </c>
      <c r="S219" s="14" t="s">
        <v>20</v>
      </c>
      <c r="U219" s="62" t="s">
        <v>397</v>
      </c>
      <c r="W219" s="193" t="s">
        <v>155</v>
      </c>
      <c r="Z219" s="188" t="s">
        <v>109</v>
      </c>
      <c r="AA219" s="14" t="s">
        <v>20</v>
      </c>
      <c r="AB219" s="37"/>
    </row>
    <row r="220" spans="2:29" ht="16.5" thickBot="1">
      <c r="B220" s="8">
        <v>6</v>
      </c>
      <c r="E220" s="3" t="s">
        <v>12</v>
      </c>
      <c r="F220" s="5" t="s">
        <v>14</v>
      </c>
      <c r="G220" s="3" t="s">
        <v>12</v>
      </c>
      <c r="I220" s="4" t="s">
        <v>13</v>
      </c>
      <c r="J220" s="614" t="s">
        <v>12</v>
      </c>
      <c r="K220" s="3" t="s">
        <v>12</v>
      </c>
      <c r="L220" s="3" t="s">
        <v>12</v>
      </c>
      <c r="M220" s="5" t="s">
        <v>14</v>
      </c>
      <c r="W220" s="15" t="s">
        <v>21</v>
      </c>
      <c r="AA220" s="23" t="s">
        <v>28</v>
      </c>
      <c r="AB220" s="37"/>
    </row>
    <row r="221" spans="2:29">
      <c r="B221" s="8">
        <v>7</v>
      </c>
      <c r="F221" s="3" t="s">
        <v>12</v>
      </c>
      <c r="I221" s="3" t="s">
        <v>12</v>
      </c>
      <c r="J221" s="5" t="s">
        <v>14</v>
      </c>
      <c r="L221" s="3" t="s">
        <v>12</v>
      </c>
      <c r="M221" s="3" t="s">
        <v>12</v>
      </c>
      <c r="AB221" s="37"/>
    </row>
    <row r="222" spans="2:29">
      <c r="B222" s="8">
        <v>8</v>
      </c>
      <c r="J222" s="3" t="s">
        <v>12</v>
      </c>
      <c r="L222" s="4" t="s">
        <v>13</v>
      </c>
      <c r="M222" s="3" t="s">
        <v>12</v>
      </c>
      <c r="AB222" s="37"/>
    </row>
    <row r="223" spans="2:29">
      <c r="B223" s="8">
        <v>9</v>
      </c>
      <c r="L223" s="3" t="s">
        <v>12</v>
      </c>
      <c r="M223" s="3" t="s">
        <v>12</v>
      </c>
      <c r="Q223" s="25" t="s">
        <v>30</v>
      </c>
      <c r="AB223" s="37"/>
    </row>
    <row r="224" spans="2:29">
      <c r="B224" s="8">
        <v>10</v>
      </c>
      <c r="Q224" s="1507" t="s">
        <v>1</v>
      </c>
      <c r="R224" s="20" t="s">
        <v>2</v>
      </c>
      <c r="S224" s="20" t="s">
        <v>3</v>
      </c>
      <c r="T224" s="20" t="s">
        <v>4</v>
      </c>
      <c r="U224" s="20" t="s">
        <v>5</v>
      </c>
      <c r="V224" s="20" t="s">
        <v>6</v>
      </c>
      <c r="W224" s="20" t="s">
        <v>7</v>
      </c>
      <c r="X224" s="20" t="s">
        <v>8</v>
      </c>
      <c r="Y224" s="20" t="s">
        <v>9</v>
      </c>
      <c r="Z224" s="20" t="s">
        <v>10</v>
      </c>
      <c r="AA224" s="20" t="s">
        <v>36</v>
      </c>
      <c r="AB224" s="37"/>
    </row>
    <row r="225" spans="2:28">
      <c r="B225" t="s">
        <v>15</v>
      </c>
      <c r="C225" s="6" t="s">
        <v>16</v>
      </c>
      <c r="D225" s="6" t="s">
        <v>16</v>
      </c>
      <c r="E225" s="6" t="s">
        <v>16</v>
      </c>
      <c r="F225" s="6" t="s">
        <v>16</v>
      </c>
      <c r="G225" s="6" t="s">
        <v>16</v>
      </c>
      <c r="H225" s="6" t="s">
        <v>16</v>
      </c>
      <c r="I225" s="7" t="s">
        <v>17</v>
      </c>
      <c r="J225" s="6" t="s">
        <v>16</v>
      </c>
      <c r="K225" s="7" t="s">
        <v>17</v>
      </c>
      <c r="L225" s="6" t="s">
        <v>16</v>
      </c>
      <c r="M225" s="13" t="s">
        <v>59</v>
      </c>
      <c r="Q225" t="s">
        <v>40</v>
      </c>
      <c r="R225" t="s">
        <v>735</v>
      </c>
      <c r="S225" t="s">
        <v>736</v>
      </c>
      <c r="T225" t="s">
        <v>365</v>
      </c>
      <c r="U225" t="s">
        <v>737</v>
      </c>
      <c r="V225" t="s">
        <v>739</v>
      </c>
      <c r="W225" t="s">
        <v>367</v>
      </c>
      <c r="X225" t="s">
        <v>259</v>
      </c>
      <c r="Y225" t="s">
        <v>370</v>
      </c>
      <c r="Z225" t="s">
        <v>228</v>
      </c>
      <c r="AA225" t="s">
        <v>232</v>
      </c>
      <c r="AB225" s="37"/>
    </row>
    <row r="226" spans="2:28">
      <c r="B226" t="s">
        <v>1564</v>
      </c>
      <c r="F226" s="11" t="s">
        <v>77</v>
      </c>
      <c r="J226" s="11" t="s">
        <v>77</v>
      </c>
      <c r="M226" s="37"/>
      <c r="Q226" t="s">
        <v>364</v>
      </c>
      <c r="R226" t="s">
        <v>113</v>
      </c>
      <c r="S226" t="s">
        <v>737</v>
      </c>
      <c r="T226" t="s">
        <v>738</v>
      </c>
      <c r="U226" t="s">
        <v>366</v>
      </c>
      <c r="V226" t="s">
        <v>367</v>
      </c>
      <c r="W226" t="s">
        <v>368</v>
      </c>
      <c r="X226" t="s">
        <v>370</v>
      </c>
      <c r="Y226" t="s">
        <v>741</v>
      </c>
      <c r="Z226" t="s">
        <v>232</v>
      </c>
      <c r="AA226" t="s">
        <v>408</v>
      </c>
      <c r="AB226" s="37"/>
    </row>
    <row r="227" spans="2:28">
      <c r="M227" s="37"/>
      <c r="Q227" t="s">
        <v>733</v>
      </c>
      <c r="R227" t="s">
        <v>736</v>
      </c>
      <c r="S227" t="s">
        <v>365</v>
      </c>
      <c r="T227" t="s">
        <v>737</v>
      </c>
      <c r="U227" t="s">
        <v>739</v>
      </c>
      <c r="W227" t="s">
        <v>369</v>
      </c>
      <c r="Y227" t="s">
        <v>228</v>
      </c>
      <c r="Z227" t="s">
        <v>742</v>
      </c>
      <c r="AA227" t="s">
        <v>743</v>
      </c>
      <c r="AB227" s="37"/>
    </row>
    <row r="228" spans="2:28">
      <c r="Q228" t="s">
        <v>734</v>
      </c>
      <c r="W228" t="s">
        <v>740</v>
      </c>
      <c r="Z228" t="s">
        <v>232</v>
      </c>
      <c r="AB228" s="37"/>
    </row>
    <row r="229" spans="2:28">
      <c r="Q229" t="s">
        <v>735</v>
      </c>
      <c r="W229" t="s">
        <v>259</v>
      </c>
    </row>
    <row r="230" spans="2:28" ht="21">
      <c r="B230" s="1" t="s">
        <v>138</v>
      </c>
    </row>
    <row r="231" spans="2:28">
      <c r="B231" s="21" t="s">
        <v>355</v>
      </c>
      <c r="C231" s="13"/>
      <c r="E231" s="45" t="s">
        <v>577</v>
      </c>
      <c r="Q231" s="10" t="s">
        <v>19</v>
      </c>
    </row>
    <row r="232" spans="2:28">
      <c r="B232" s="9" t="s">
        <v>0</v>
      </c>
      <c r="C232" s="20" t="s">
        <v>1</v>
      </c>
      <c r="D232" s="20" t="s">
        <v>2</v>
      </c>
      <c r="E232" s="20" t="s">
        <v>3</v>
      </c>
      <c r="F232" s="20" t="s">
        <v>4</v>
      </c>
      <c r="G232" s="20" t="s">
        <v>5</v>
      </c>
      <c r="H232" s="20" t="s">
        <v>6</v>
      </c>
      <c r="I232" s="20" t="s">
        <v>7</v>
      </c>
      <c r="J232" s="20" t="s">
        <v>8</v>
      </c>
      <c r="K232" s="20" t="s">
        <v>9</v>
      </c>
      <c r="L232" s="20" t="s">
        <v>10</v>
      </c>
      <c r="M232" s="20" t="s">
        <v>36</v>
      </c>
      <c r="Q232" s="11" t="s">
        <v>1</v>
      </c>
      <c r="R232" s="11" t="s">
        <v>2</v>
      </c>
      <c r="S232" s="11" t="s">
        <v>3</v>
      </c>
      <c r="T232" s="11" t="s">
        <v>4</v>
      </c>
      <c r="U232" s="11" t="s">
        <v>5</v>
      </c>
      <c r="V232" s="11" t="s">
        <v>6</v>
      </c>
      <c r="W232" s="11" t="s">
        <v>7</v>
      </c>
      <c r="X232" s="11" t="s">
        <v>8</v>
      </c>
      <c r="Y232" s="11" t="s">
        <v>9</v>
      </c>
      <c r="Z232" s="1506" t="s">
        <v>10</v>
      </c>
      <c r="AA232" s="1506" t="s">
        <v>36</v>
      </c>
      <c r="AB232" s="12"/>
    </row>
    <row r="233" spans="2:28">
      <c r="B233" s="8">
        <v>1</v>
      </c>
      <c r="C233" s="3" t="s">
        <v>12</v>
      </c>
      <c r="D233" s="3" t="s">
        <v>12</v>
      </c>
      <c r="E233" s="3" t="s">
        <v>12</v>
      </c>
      <c r="F233" s="3" t="s">
        <v>12</v>
      </c>
      <c r="G233" s="3" t="s">
        <v>12</v>
      </c>
      <c r="H233" s="3" t="s">
        <v>12</v>
      </c>
      <c r="I233" s="3" t="s">
        <v>12</v>
      </c>
      <c r="J233" s="3" t="s">
        <v>12</v>
      </c>
      <c r="K233" s="3" t="s">
        <v>12</v>
      </c>
      <c r="L233" s="3" t="s">
        <v>12</v>
      </c>
      <c r="M233" s="3" t="s">
        <v>12</v>
      </c>
      <c r="Q233" s="17" t="s">
        <v>24</v>
      </c>
      <c r="R233" s="19" t="s">
        <v>25</v>
      </c>
      <c r="S233" s="27" t="s">
        <v>44</v>
      </c>
      <c r="T233" s="17" t="s">
        <v>24</v>
      </c>
      <c r="U233" s="191" t="s">
        <v>244</v>
      </c>
      <c r="V233" s="199" t="s">
        <v>74</v>
      </c>
      <c r="W233" s="27" t="s">
        <v>44</v>
      </c>
      <c r="X233" s="27" t="s">
        <v>44</v>
      </c>
      <c r="Y233" s="13" t="s">
        <v>22</v>
      </c>
      <c r="Z233" s="27" t="s">
        <v>44</v>
      </c>
      <c r="AA233" s="19" t="s">
        <v>25</v>
      </c>
      <c r="AB233" s="12"/>
    </row>
    <row r="234" spans="2:28">
      <c r="B234" s="8">
        <v>2</v>
      </c>
      <c r="C234" s="3" t="s">
        <v>12</v>
      </c>
      <c r="D234" s="3" t="s">
        <v>12</v>
      </c>
      <c r="E234" s="3" t="s">
        <v>12</v>
      </c>
      <c r="F234" s="19" t="s">
        <v>71</v>
      </c>
      <c r="G234" s="3" t="s">
        <v>12</v>
      </c>
      <c r="H234" s="5" t="s">
        <v>14</v>
      </c>
      <c r="I234" s="5" t="s">
        <v>14</v>
      </c>
      <c r="J234" s="5" t="s">
        <v>14</v>
      </c>
      <c r="K234" s="3" t="s">
        <v>12</v>
      </c>
      <c r="L234" s="3" t="s">
        <v>12</v>
      </c>
      <c r="M234" s="4" t="s">
        <v>13</v>
      </c>
      <c r="Q234" s="5" t="s">
        <v>26</v>
      </c>
      <c r="R234" s="27" t="s">
        <v>44</v>
      </c>
      <c r="S234" s="13" t="s">
        <v>22</v>
      </c>
      <c r="T234" s="24" t="s">
        <v>29</v>
      </c>
      <c r="U234" s="17" t="s">
        <v>24</v>
      </c>
      <c r="V234" s="196" t="s">
        <v>114</v>
      </c>
      <c r="W234" s="13" t="s">
        <v>22</v>
      </c>
      <c r="X234" s="24" t="s">
        <v>29</v>
      </c>
      <c r="Y234" s="19" t="s">
        <v>25</v>
      </c>
      <c r="Z234" s="13" t="s">
        <v>22</v>
      </c>
      <c r="AA234" s="23" t="s">
        <v>28</v>
      </c>
    </row>
    <row r="235" spans="2:28" ht="16.5" thickBot="1">
      <c r="B235" s="8">
        <v>3</v>
      </c>
      <c r="C235" s="3" t="s">
        <v>12</v>
      </c>
      <c r="D235" s="4" t="s">
        <v>13</v>
      </c>
      <c r="E235" s="4" t="s">
        <v>13</v>
      </c>
      <c r="F235" s="3" t="s">
        <v>12</v>
      </c>
      <c r="G235" s="3" t="s">
        <v>12</v>
      </c>
      <c r="H235" s="3" t="s">
        <v>12</v>
      </c>
      <c r="I235" s="3" t="s">
        <v>12</v>
      </c>
      <c r="J235" s="19" t="s">
        <v>71</v>
      </c>
      <c r="K235" s="4" t="s">
        <v>13</v>
      </c>
      <c r="L235" s="5" t="s">
        <v>14</v>
      </c>
      <c r="M235" s="3" t="s">
        <v>12</v>
      </c>
      <c r="Q235" s="19" t="s">
        <v>25</v>
      </c>
      <c r="R235" s="13" t="s">
        <v>22</v>
      </c>
      <c r="S235" s="190" t="s">
        <v>120</v>
      </c>
      <c r="T235" s="13" t="s">
        <v>22</v>
      </c>
      <c r="U235" s="27" t="s">
        <v>44</v>
      </c>
      <c r="V235" s="15" t="s">
        <v>21</v>
      </c>
      <c r="W235" s="19" t="s">
        <v>25</v>
      </c>
      <c r="X235" s="192" t="s">
        <v>68</v>
      </c>
      <c r="Y235" s="15" t="s">
        <v>21</v>
      </c>
      <c r="Z235" s="15" t="s">
        <v>21</v>
      </c>
      <c r="AA235" s="14" t="s">
        <v>20</v>
      </c>
      <c r="AB235" s="12"/>
    </row>
    <row r="236" spans="2:28" ht="16.5" thickBot="1">
      <c r="B236" s="8">
        <v>4</v>
      </c>
      <c r="C236" s="3" t="s">
        <v>12</v>
      </c>
      <c r="D236" s="3" t="s">
        <v>12</v>
      </c>
      <c r="E236" s="614" t="s">
        <v>12</v>
      </c>
      <c r="F236" s="5" t="s">
        <v>14</v>
      </c>
      <c r="G236" s="4" t="s">
        <v>13</v>
      </c>
      <c r="H236" s="4" t="s">
        <v>13</v>
      </c>
      <c r="I236" s="29" t="s">
        <v>49</v>
      </c>
      <c r="J236" s="3" t="s">
        <v>12</v>
      </c>
      <c r="K236" s="3" t="s">
        <v>12</v>
      </c>
      <c r="L236" s="3" t="s">
        <v>12</v>
      </c>
      <c r="M236" s="3" t="s">
        <v>12</v>
      </c>
      <c r="R236" s="15" t="s">
        <v>21</v>
      </c>
      <c r="S236" s="19" t="s">
        <v>25</v>
      </c>
      <c r="T236" s="27" t="s">
        <v>44</v>
      </c>
      <c r="W236" s="197" t="s">
        <v>124</v>
      </c>
      <c r="X236" s="200" t="s">
        <v>339</v>
      </c>
      <c r="Z236" s="193" t="s">
        <v>155</v>
      </c>
      <c r="AA236" s="27" t="s">
        <v>44</v>
      </c>
    </row>
    <row r="237" spans="2:28">
      <c r="B237" s="8">
        <v>5</v>
      </c>
      <c r="C237" s="4" t="s">
        <v>13</v>
      </c>
      <c r="D237" s="5" t="s">
        <v>14</v>
      </c>
      <c r="E237" s="5" t="s">
        <v>14</v>
      </c>
      <c r="F237" s="3" t="s">
        <v>12</v>
      </c>
      <c r="G237" s="3" t="s">
        <v>12</v>
      </c>
      <c r="H237" s="3" t="s">
        <v>12</v>
      </c>
      <c r="I237" s="4" t="s">
        <v>13</v>
      </c>
      <c r="J237" s="4" t="s">
        <v>13</v>
      </c>
      <c r="K237" s="5" t="s">
        <v>14</v>
      </c>
      <c r="L237" s="29" t="s">
        <v>49</v>
      </c>
      <c r="M237" s="3" t="s">
        <v>12</v>
      </c>
      <c r="S237" s="15" t="s">
        <v>21</v>
      </c>
      <c r="T237" s="189" t="s">
        <v>47</v>
      </c>
      <c r="W237" s="961" t="s">
        <v>339</v>
      </c>
      <c r="Z237" s="62" t="s">
        <v>397</v>
      </c>
      <c r="AA237" s="15" t="s">
        <v>21</v>
      </c>
    </row>
    <row r="238" spans="2:28">
      <c r="B238" s="8">
        <v>6</v>
      </c>
      <c r="C238" s="3" t="s">
        <v>12</v>
      </c>
      <c r="D238" s="3" t="s">
        <v>12</v>
      </c>
      <c r="E238" s="3" t="s">
        <v>12</v>
      </c>
      <c r="F238" s="3" t="s">
        <v>12</v>
      </c>
      <c r="G238" s="5" t="s">
        <v>14</v>
      </c>
      <c r="I238" s="3" t="s">
        <v>12</v>
      </c>
      <c r="J238" s="3" t="s">
        <v>12</v>
      </c>
      <c r="K238" s="3" t="s">
        <v>12</v>
      </c>
      <c r="L238" s="4" t="s">
        <v>13</v>
      </c>
      <c r="M238" s="3" t="s">
        <v>12</v>
      </c>
      <c r="T238" s="19" t="s">
        <v>25</v>
      </c>
      <c r="AA238" s="5" t="s">
        <v>26</v>
      </c>
    </row>
    <row r="239" spans="2:28">
      <c r="B239" s="8">
        <v>7</v>
      </c>
      <c r="F239" s="3" t="s">
        <v>12</v>
      </c>
      <c r="G239" s="3" t="s">
        <v>12</v>
      </c>
      <c r="L239" s="3" t="s">
        <v>12</v>
      </c>
      <c r="M239" s="3" t="s">
        <v>12</v>
      </c>
    </row>
    <row r="240" spans="2:28">
      <c r="B240" s="8">
        <v>8</v>
      </c>
      <c r="F240" s="4" t="s">
        <v>13</v>
      </c>
      <c r="M240" s="3" t="s">
        <v>12</v>
      </c>
    </row>
    <row r="241" spans="2:28">
      <c r="B241" s="8">
        <v>9</v>
      </c>
      <c r="F241" s="3" t="s">
        <v>12</v>
      </c>
      <c r="Q241" s="25" t="s">
        <v>30</v>
      </c>
    </row>
    <row r="242" spans="2:28">
      <c r="B242" s="8">
        <v>10</v>
      </c>
      <c r="Q242" s="1507" t="s">
        <v>1</v>
      </c>
      <c r="R242" s="20" t="s">
        <v>2</v>
      </c>
      <c r="S242" s="20" t="s">
        <v>3</v>
      </c>
      <c r="T242" s="20" t="s">
        <v>4</v>
      </c>
      <c r="U242" s="20" t="s">
        <v>5</v>
      </c>
      <c r="V242" s="20" t="s">
        <v>6</v>
      </c>
      <c r="W242" s="20" t="s">
        <v>7</v>
      </c>
      <c r="X242" s="20" t="s">
        <v>8</v>
      </c>
      <c r="Y242" s="20" t="s">
        <v>9</v>
      </c>
      <c r="Z242" s="20" t="s">
        <v>10</v>
      </c>
      <c r="AA242" s="20" t="s">
        <v>36</v>
      </c>
    </row>
    <row r="243" spans="2:28">
      <c r="B243" t="s">
        <v>15</v>
      </c>
      <c r="C243" s="6" t="s">
        <v>16</v>
      </c>
      <c r="D243" s="6" t="s">
        <v>16</v>
      </c>
      <c r="E243" s="6" t="s">
        <v>16</v>
      </c>
      <c r="F243" s="6" t="s">
        <v>16</v>
      </c>
      <c r="G243" s="6" t="s">
        <v>16</v>
      </c>
      <c r="H243" s="7" t="s">
        <v>17</v>
      </c>
      <c r="I243" s="6" t="s">
        <v>16</v>
      </c>
      <c r="J243" s="6" t="s">
        <v>16</v>
      </c>
      <c r="K243" s="7" t="s">
        <v>17</v>
      </c>
      <c r="L243" s="6" t="s">
        <v>16</v>
      </c>
      <c r="M243" s="13" t="s">
        <v>59</v>
      </c>
      <c r="Q243" t="s">
        <v>40</v>
      </c>
      <c r="R243" t="s">
        <v>744</v>
      </c>
      <c r="S243" t="s">
        <v>356</v>
      </c>
      <c r="T243" t="s">
        <v>357</v>
      </c>
      <c r="U243" t="s">
        <v>359</v>
      </c>
      <c r="V243" t="s">
        <v>55</v>
      </c>
      <c r="W243" t="s">
        <v>360</v>
      </c>
      <c r="X243" t="s">
        <v>360</v>
      </c>
      <c r="Y243" t="s">
        <v>361</v>
      </c>
      <c r="Z243" t="s">
        <v>217</v>
      </c>
      <c r="AA243" t="s">
        <v>217</v>
      </c>
    </row>
    <row r="244" spans="2:28">
      <c r="B244" t="s">
        <v>1564</v>
      </c>
      <c r="E244" s="11" t="s">
        <v>77</v>
      </c>
      <c r="Q244" t="s">
        <v>744</v>
      </c>
      <c r="R244" t="s">
        <v>356</v>
      </c>
      <c r="S244" t="s">
        <v>357</v>
      </c>
      <c r="T244" t="s">
        <v>748</v>
      </c>
      <c r="U244" t="s">
        <v>55</v>
      </c>
      <c r="V244" t="s">
        <v>360</v>
      </c>
      <c r="X244" t="s">
        <v>750</v>
      </c>
      <c r="Y244" t="s">
        <v>217</v>
      </c>
      <c r="AA244" t="s">
        <v>752</v>
      </c>
    </row>
    <row r="245" spans="2:28">
      <c r="R245" t="s">
        <v>745</v>
      </c>
      <c r="S245" t="s">
        <v>747</v>
      </c>
      <c r="T245" t="s">
        <v>358</v>
      </c>
      <c r="X245" t="s">
        <v>361</v>
      </c>
      <c r="Y245" t="s">
        <v>751</v>
      </c>
      <c r="AA245" t="s">
        <v>753</v>
      </c>
    </row>
    <row r="246" spans="2:28">
      <c r="R246" t="s">
        <v>746</v>
      </c>
      <c r="S246" t="s">
        <v>357</v>
      </c>
      <c r="T246" t="s">
        <v>749</v>
      </c>
      <c r="Y246" t="s">
        <v>362</v>
      </c>
      <c r="AA246" t="s">
        <v>363</v>
      </c>
    </row>
    <row r="247" spans="2:28" ht="21">
      <c r="B247" s="1" t="s">
        <v>139</v>
      </c>
      <c r="R247" t="s">
        <v>745</v>
      </c>
      <c r="T247" t="s">
        <v>359</v>
      </c>
      <c r="Y247" t="s">
        <v>217</v>
      </c>
    </row>
    <row r="248" spans="2:28">
      <c r="B248" s="21" t="s">
        <v>345</v>
      </c>
      <c r="C248" s="13"/>
      <c r="E248" s="45" t="s">
        <v>578</v>
      </c>
      <c r="Q248" s="10" t="s">
        <v>19</v>
      </c>
      <c r="R248" t="s">
        <v>356</v>
      </c>
    </row>
    <row r="249" spans="2:28">
      <c r="B249" s="9" t="s">
        <v>0</v>
      </c>
      <c r="C249" s="20" t="s">
        <v>1</v>
      </c>
      <c r="D249" s="20" t="s">
        <v>2</v>
      </c>
      <c r="E249" s="20" t="s">
        <v>3</v>
      </c>
      <c r="F249" s="20" t="s">
        <v>4</v>
      </c>
      <c r="G249" s="20" t="s">
        <v>5</v>
      </c>
      <c r="H249" s="20" t="s">
        <v>6</v>
      </c>
      <c r="I249" s="20" t="s">
        <v>7</v>
      </c>
      <c r="J249" s="20" t="s">
        <v>8</v>
      </c>
      <c r="K249" s="20" t="s">
        <v>9</v>
      </c>
      <c r="L249" s="20" t="s">
        <v>10</v>
      </c>
      <c r="M249" s="20" t="s">
        <v>36</v>
      </c>
      <c r="N249" s="20" t="s">
        <v>37</v>
      </c>
      <c r="Q249" s="11" t="s">
        <v>1</v>
      </c>
      <c r="R249" s="11" t="s">
        <v>2</v>
      </c>
      <c r="S249" s="11" t="s">
        <v>3</v>
      </c>
      <c r="T249" s="11" t="s">
        <v>4</v>
      </c>
      <c r="U249" s="11" t="s">
        <v>5</v>
      </c>
      <c r="V249" s="11" t="s">
        <v>6</v>
      </c>
      <c r="W249" s="11" t="s">
        <v>7</v>
      </c>
      <c r="X249" s="11" t="s">
        <v>8</v>
      </c>
      <c r="Y249" s="11" t="s">
        <v>9</v>
      </c>
      <c r="Z249" s="1506" t="s">
        <v>10</v>
      </c>
      <c r="AA249" s="1506" t="s">
        <v>36</v>
      </c>
      <c r="AB249" s="1506" t="s">
        <v>37</v>
      </c>
    </row>
    <row r="250" spans="2:28">
      <c r="B250" s="8">
        <v>1</v>
      </c>
      <c r="C250" s="3" t="s">
        <v>12</v>
      </c>
      <c r="D250" s="3" t="s">
        <v>12</v>
      </c>
      <c r="E250" s="3" t="s">
        <v>12</v>
      </c>
      <c r="F250" s="3" t="s">
        <v>12</v>
      </c>
      <c r="G250" s="3" t="s">
        <v>12</v>
      </c>
      <c r="H250" s="3" t="s">
        <v>12</v>
      </c>
      <c r="I250" s="3" t="s">
        <v>12</v>
      </c>
      <c r="J250" s="3" t="s">
        <v>12</v>
      </c>
      <c r="K250" s="3" t="s">
        <v>12</v>
      </c>
      <c r="L250" s="3" t="s">
        <v>12</v>
      </c>
      <c r="M250" s="3" t="s">
        <v>12</v>
      </c>
      <c r="N250" s="3" t="s">
        <v>12</v>
      </c>
      <c r="Q250" s="5" t="s">
        <v>26</v>
      </c>
      <c r="R250" s="194" t="s">
        <v>43</v>
      </c>
      <c r="S250" s="194" t="s">
        <v>43</v>
      </c>
      <c r="T250" s="189" t="s">
        <v>47</v>
      </c>
      <c r="U250" s="27" t="s">
        <v>44</v>
      </c>
      <c r="V250" s="19" t="s">
        <v>25</v>
      </c>
      <c r="W250" s="22" t="s">
        <v>27</v>
      </c>
      <c r="X250" s="189" t="s">
        <v>47</v>
      </c>
      <c r="Y250" s="22" t="s">
        <v>27</v>
      </c>
      <c r="Z250" s="197" t="s">
        <v>124</v>
      </c>
      <c r="AA250" s="27" t="s">
        <v>44</v>
      </c>
      <c r="AB250" s="19" t="s">
        <v>25</v>
      </c>
    </row>
    <row r="251" spans="2:28">
      <c r="B251" s="8">
        <v>2</v>
      </c>
      <c r="C251" s="3" t="s">
        <v>12</v>
      </c>
      <c r="D251" s="5" t="s">
        <v>14</v>
      </c>
      <c r="E251" s="5" t="s">
        <v>14</v>
      </c>
      <c r="F251" s="3" t="s">
        <v>12</v>
      </c>
      <c r="G251" s="4" t="s">
        <v>13</v>
      </c>
      <c r="H251" s="3" t="s">
        <v>12</v>
      </c>
      <c r="I251" s="19" t="s">
        <v>71</v>
      </c>
      <c r="J251" s="5" t="s">
        <v>14</v>
      </c>
      <c r="K251" s="29" t="s">
        <v>49</v>
      </c>
      <c r="L251" s="5" t="s">
        <v>14</v>
      </c>
      <c r="M251" s="3" t="s">
        <v>12</v>
      </c>
      <c r="N251" s="3" t="s">
        <v>12</v>
      </c>
      <c r="Q251" s="17" t="s">
        <v>24</v>
      </c>
      <c r="R251" s="5" t="s">
        <v>26</v>
      </c>
      <c r="S251" s="15" t="s">
        <v>21</v>
      </c>
      <c r="T251" s="188" t="s">
        <v>109</v>
      </c>
      <c r="U251" s="17" t="s">
        <v>24</v>
      </c>
      <c r="V251" s="27" t="s">
        <v>44</v>
      </c>
      <c r="W251" s="19" t="s">
        <v>25</v>
      </c>
      <c r="X251" s="4" t="s">
        <v>73</v>
      </c>
      <c r="Y251" s="193" t="s">
        <v>155</v>
      </c>
      <c r="Z251" s="195" t="s">
        <v>216</v>
      </c>
      <c r="AA251" s="190" t="s">
        <v>120</v>
      </c>
      <c r="AB251" s="27" t="s">
        <v>44</v>
      </c>
    </row>
    <row r="252" spans="2:28">
      <c r="B252" s="8">
        <v>3</v>
      </c>
      <c r="C252" s="5" t="s">
        <v>14</v>
      </c>
      <c r="D252" s="3" t="s">
        <v>12</v>
      </c>
      <c r="E252" s="3" t="s">
        <v>12</v>
      </c>
      <c r="F252" s="4" t="s">
        <v>13</v>
      </c>
      <c r="G252" s="3" t="s">
        <v>12</v>
      </c>
      <c r="H252" s="5" t="s">
        <v>14</v>
      </c>
      <c r="I252" s="3" t="s">
        <v>12</v>
      </c>
      <c r="J252" s="3" t="s">
        <v>12</v>
      </c>
      <c r="K252" s="3" t="s">
        <v>12</v>
      </c>
      <c r="L252" s="3" t="s">
        <v>12</v>
      </c>
      <c r="M252" s="3" t="s">
        <v>12</v>
      </c>
      <c r="N252" s="3" t="s">
        <v>12</v>
      </c>
      <c r="Q252" s="19" t="s">
        <v>25</v>
      </c>
      <c r="R252" s="19" t="s">
        <v>25</v>
      </c>
      <c r="S252" s="19" t="s">
        <v>25</v>
      </c>
      <c r="T252" s="23" t="s">
        <v>28</v>
      </c>
      <c r="U252" s="19" t="s">
        <v>25</v>
      </c>
      <c r="V252" s="193" t="s">
        <v>155</v>
      </c>
      <c r="W252" s="27" t="s">
        <v>44</v>
      </c>
      <c r="X252" s="13" t="s">
        <v>22</v>
      </c>
      <c r="Y252" s="188" t="s">
        <v>109</v>
      </c>
      <c r="Z252" s="24" t="s">
        <v>29</v>
      </c>
      <c r="AA252" s="188" t="s">
        <v>109</v>
      </c>
      <c r="AB252" s="15" t="s">
        <v>21</v>
      </c>
    </row>
    <row r="253" spans="2:28" ht="16.5" thickBot="1">
      <c r="B253" s="8">
        <v>4</v>
      </c>
      <c r="C253" s="3" t="s">
        <v>12</v>
      </c>
      <c r="D253" s="4" t="s">
        <v>13</v>
      </c>
      <c r="E253" s="4" t="s">
        <v>13</v>
      </c>
      <c r="F253" s="3" t="s">
        <v>12</v>
      </c>
      <c r="G253" s="5" t="s">
        <v>14</v>
      </c>
      <c r="H253" s="3" t="s">
        <v>12</v>
      </c>
      <c r="I253" s="3" t="s">
        <v>12</v>
      </c>
      <c r="J253" s="4" t="s">
        <v>13</v>
      </c>
      <c r="K253" s="5" t="s">
        <v>14</v>
      </c>
      <c r="L253" s="4" t="s">
        <v>13</v>
      </c>
      <c r="M253" s="4" t="s">
        <v>13</v>
      </c>
      <c r="N253" s="5" t="s">
        <v>14</v>
      </c>
      <c r="R253" s="17" t="s">
        <v>24</v>
      </c>
      <c r="T253" s="14" t="s">
        <v>20</v>
      </c>
      <c r="U253" s="15" t="s">
        <v>21</v>
      </c>
      <c r="V253" s="199" t="s">
        <v>74</v>
      </c>
      <c r="W253" s="14" t="s">
        <v>20</v>
      </c>
      <c r="X253" s="27" t="s">
        <v>44</v>
      </c>
      <c r="Y253" s="199" t="s">
        <v>74</v>
      </c>
      <c r="AA253" s="24" t="s">
        <v>29</v>
      </c>
      <c r="AB253" s="23" t="s">
        <v>28</v>
      </c>
    </row>
    <row r="254" spans="2:28" ht="16.5" thickBot="1">
      <c r="B254" s="8">
        <v>5</v>
      </c>
      <c r="C254" s="3" t="s">
        <v>12</v>
      </c>
      <c r="D254" s="3" t="s">
        <v>12</v>
      </c>
      <c r="E254" s="3" t="s">
        <v>12</v>
      </c>
      <c r="F254" s="614" t="s">
        <v>12</v>
      </c>
      <c r="H254" s="29" t="s">
        <v>49</v>
      </c>
      <c r="I254" s="4" t="s">
        <v>13</v>
      </c>
      <c r="J254" s="3" t="s">
        <v>12</v>
      </c>
      <c r="K254" s="4" t="s">
        <v>13</v>
      </c>
      <c r="L254" s="3" t="s">
        <v>12</v>
      </c>
      <c r="M254" s="3" t="s">
        <v>12</v>
      </c>
      <c r="N254" s="3" t="s">
        <v>12</v>
      </c>
      <c r="R254" s="27" t="s">
        <v>44</v>
      </c>
      <c r="S254" s="592"/>
      <c r="T254" s="19" t="s">
        <v>25</v>
      </c>
      <c r="V254" s="13" t="s">
        <v>22</v>
      </c>
      <c r="W254" s="964" t="s">
        <v>44</v>
      </c>
      <c r="Y254" s="13" t="s">
        <v>22</v>
      </c>
    </row>
    <row r="255" spans="2:28" ht="16.5" thickBot="1">
      <c r="B255" s="8">
        <v>6</v>
      </c>
      <c r="C255" s="3" t="s">
        <v>12</v>
      </c>
      <c r="D255" s="3" t="s">
        <v>12</v>
      </c>
      <c r="E255" s="12"/>
      <c r="F255" s="5" t="s">
        <v>14</v>
      </c>
      <c r="H255" s="4" t="s">
        <v>13</v>
      </c>
      <c r="I255" s="3" t="s">
        <v>12</v>
      </c>
      <c r="J255" s="12"/>
      <c r="K255" s="3" t="s">
        <v>12</v>
      </c>
      <c r="M255" s="614" t="s">
        <v>12</v>
      </c>
      <c r="R255" s="15" t="s">
        <v>21</v>
      </c>
      <c r="S255" s="296"/>
      <c r="V255" s="22" t="s">
        <v>27</v>
      </c>
      <c r="W255" s="956" t="s">
        <v>109</v>
      </c>
    </row>
    <row r="256" spans="2:28">
      <c r="B256" s="8">
        <v>7</v>
      </c>
      <c r="F256" s="3" t="s">
        <v>12</v>
      </c>
      <c r="H256" s="3" t="s">
        <v>12</v>
      </c>
      <c r="M256" s="5" t="s">
        <v>14</v>
      </c>
      <c r="R256" s="983" t="s">
        <v>124</v>
      </c>
      <c r="S256" s="296"/>
    </row>
    <row r="257" spans="2:28">
      <c r="B257" s="8">
        <v>8</v>
      </c>
      <c r="M257" s="3" t="s">
        <v>12</v>
      </c>
      <c r="S257" s="591"/>
    </row>
    <row r="258" spans="2:28">
      <c r="B258" s="8">
        <v>9</v>
      </c>
      <c r="Q258" s="25" t="s">
        <v>30</v>
      </c>
    </row>
    <row r="259" spans="2:28">
      <c r="B259" s="8">
        <v>10</v>
      </c>
      <c r="Q259" s="1507" t="s">
        <v>1</v>
      </c>
      <c r="R259" s="20" t="s">
        <v>2</v>
      </c>
      <c r="S259" s="20" t="s">
        <v>3</v>
      </c>
      <c r="T259" s="20" t="s">
        <v>4</v>
      </c>
      <c r="U259" s="20" t="s">
        <v>5</v>
      </c>
      <c r="V259" s="20" t="s">
        <v>6</v>
      </c>
      <c r="W259" s="20" t="s">
        <v>7</v>
      </c>
      <c r="X259" s="20" t="s">
        <v>8</v>
      </c>
      <c r="Y259" s="20" t="s">
        <v>9</v>
      </c>
      <c r="Z259" s="20" t="s">
        <v>10</v>
      </c>
      <c r="AA259" s="20" t="s">
        <v>36</v>
      </c>
      <c r="AB259" s="20" t="s">
        <v>37</v>
      </c>
    </row>
    <row r="260" spans="2:28">
      <c r="B260" t="s">
        <v>15</v>
      </c>
      <c r="C260" s="6" t="s">
        <v>16</v>
      </c>
      <c r="D260" s="6" t="s">
        <v>16</v>
      </c>
      <c r="E260" s="6" t="s">
        <v>16</v>
      </c>
      <c r="F260" s="6" t="s">
        <v>16</v>
      </c>
      <c r="G260" s="7" t="s">
        <v>17</v>
      </c>
      <c r="H260" s="6" t="s">
        <v>16</v>
      </c>
      <c r="I260" s="6" t="s">
        <v>16</v>
      </c>
      <c r="J260" s="7" t="s">
        <v>17</v>
      </c>
      <c r="K260" s="6" t="s">
        <v>16</v>
      </c>
      <c r="L260" s="7" t="s">
        <v>17</v>
      </c>
      <c r="M260" s="6" t="s">
        <v>16</v>
      </c>
      <c r="N260" s="13" t="s">
        <v>59</v>
      </c>
      <c r="Q260" t="s">
        <v>754</v>
      </c>
      <c r="R260" t="s">
        <v>757</v>
      </c>
      <c r="S260" t="s">
        <v>247</v>
      </c>
      <c r="T260" t="s">
        <v>759</v>
      </c>
      <c r="U260" t="s">
        <v>760</v>
      </c>
      <c r="V260" t="s">
        <v>350</v>
      </c>
      <c r="W260" t="s">
        <v>764</v>
      </c>
      <c r="X260" t="s">
        <v>233</v>
      </c>
      <c r="Y260" t="s">
        <v>108</v>
      </c>
      <c r="Z260" t="s">
        <v>352</v>
      </c>
      <c r="AA260" t="s">
        <v>353</v>
      </c>
      <c r="AB260" t="s">
        <v>353</v>
      </c>
    </row>
    <row r="261" spans="2:28">
      <c r="B261" t="s">
        <v>1564</v>
      </c>
      <c r="F261" s="11" t="s">
        <v>77</v>
      </c>
      <c r="M261" s="11" t="s">
        <v>77</v>
      </c>
      <c r="Q261" t="s">
        <v>755</v>
      </c>
      <c r="R261" t="s">
        <v>110</v>
      </c>
      <c r="S261" t="s">
        <v>110</v>
      </c>
      <c r="T261" t="s">
        <v>760</v>
      </c>
      <c r="U261" t="s">
        <v>350</v>
      </c>
      <c r="V261" t="s">
        <v>351</v>
      </c>
      <c r="W261" t="s">
        <v>233</v>
      </c>
      <c r="X261" t="s">
        <v>108</v>
      </c>
      <c r="Y261" t="s">
        <v>352</v>
      </c>
      <c r="Z261" t="s">
        <v>353</v>
      </c>
      <c r="AB261" t="s">
        <v>765</v>
      </c>
    </row>
    <row r="262" spans="2:28">
      <c r="F262" s="11" t="s">
        <v>2594</v>
      </c>
      <c r="Q262" t="s">
        <v>756</v>
      </c>
      <c r="R262" t="s">
        <v>347</v>
      </c>
      <c r="S262" t="s">
        <v>349</v>
      </c>
      <c r="T262" t="s">
        <v>761</v>
      </c>
      <c r="V262" t="s">
        <v>763</v>
      </c>
      <c r="AB262" t="s">
        <v>766</v>
      </c>
    </row>
    <row r="263" spans="2:28">
      <c r="Q263" t="s">
        <v>346</v>
      </c>
      <c r="R263" t="s">
        <v>348</v>
      </c>
      <c r="S263" t="s">
        <v>758</v>
      </c>
      <c r="T263" t="s">
        <v>762</v>
      </c>
      <c r="V263" t="s">
        <v>764</v>
      </c>
      <c r="AB263" t="s">
        <v>767</v>
      </c>
    </row>
    <row r="264" spans="2:28" ht="21">
      <c r="B264" s="1" t="s">
        <v>140</v>
      </c>
      <c r="Q264" t="s">
        <v>757</v>
      </c>
      <c r="R264" t="s">
        <v>247</v>
      </c>
      <c r="S264" t="s">
        <v>759</v>
      </c>
      <c r="T264" t="s">
        <v>760</v>
      </c>
      <c r="V264" t="s">
        <v>351</v>
      </c>
      <c r="AB264" t="s">
        <v>768</v>
      </c>
    </row>
    <row r="265" spans="2:28">
      <c r="B265" s="21" t="s">
        <v>336</v>
      </c>
      <c r="C265" s="13"/>
      <c r="E265" s="45" t="s">
        <v>579</v>
      </c>
      <c r="Q265" s="10" t="s">
        <v>19</v>
      </c>
      <c r="V265" t="s">
        <v>764</v>
      </c>
    </row>
    <row r="266" spans="2:28">
      <c r="B266" s="9" t="s">
        <v>0</v>
      </c>
      <c r="C266" s="20" t="s">
        <v>1</v>
      </c>
      <c r="D266" s="20" t="s">
        <v>2</v>
      </c>
      <c r="E266" s="20" t="s">
        <v>3</v>
      </c>
      <c r="F266" s="20" t="s">
        <v>4</v>
      </c>
      <c r="G266" s="20" t="s">
        <v>5</v>
      </c>
      <c r="H266" s="20" t="s">
        <v>6</v>
      </c>
      <c r="I266" s="20" t="s">
        <v>7</v>
      </c>
      <c r="J266" s="20" t="s">
        <v>8</v>
      </c>
      <c r="K266" s="20" t="s">
        <v>9</v>
      </c>
      <c r="L266" s="20" t="s">
        <v>10</v>
      </c>
      <c r="M266" s="20" t="s">
        <v>36</v>
      </c>
      <c r="N266" s="20" t="s">
        <v>37</v>
      </c>
      <c r="Q266" s="11" t="s">
        <v>1</v>
      </c>
      <c r="R266" s="11" t="s">
        <v>2</v>
      </c>
      <c r="S266" s="11" t="s">
        <v>3</v>
      </c>
      <c r="T266" s="11" t="s">
        <v>4</v>
      </c>
      <c r="U266" s="11" t="s">
        <v>5</v>
      </c>
      <c r="V266" s="11" t="s">
        <v>6</v>
      </c>
      <c r="W266" s="11" t="s">
        <v>7</v>
      </c>
      <c r="X266" s="11" t="s">
        <v>8</v>
      </c>
      <c r="Y266" s="11" t="s">
        <v>9</v>
      </c>
      <c r="Z266" s="1506" t="s">
        <v>10</v>
      </c>
      <c r="AA266" s="1506" t="s">
        <v>36</v>
      </c>
      <c r="AB266" s="1506" t="s">
        <v>37</v>
      </c>
    </row>
    <row r="267" spans="2:28">
      <c r="B267" s="8">
        <v>1</v>
      </c>
      <c r="C267" s="3" t="s">
        <v>12</v>
      </c>
      <c r="D267" s="3" t="s">
        <v>12</v>
      </c>
      <c r="E267" s="3" t="s">
        <v>12</v>
      </c>
      <c r="F267" s="3" t="s">
        <v>12</v>
      </c>
      <c r="G267" s="3" t="s">
        <v>12</v>
      </c>
      <c r="H267" s="3" t="s">
        <v>12</v>
      </c>
      <c r="I267" s="3" t="s">
        <v>12</v>
      </c>
      <c r="J267" s="3" t="s">
        <v>12</v>
      </c>
      <c r="K267" s="3" t="s">
        <v>12</v>
      </c>
      <c r="L267" s="3" t="s">
        <v>12</v>
      </c>
      <c r="M267" s="3" t="s">
        <v>12</v>
      </c>
      <c r="N267" s="3" t="s">
        <v>12</v>
      </c>
      <c r="O267" s="12"/>
      <c r="Q267" s="27" t="s">
        <v>44</v>
      </c>
      <c r="R267" s="22" t="s">
        <v>27</v>
      </c>
      <c r="S267" s="188" t="s">
        <v>109</v>
      </c>
      <c r="T267" s="14" t="s">
        <v>20</v>
      </c>
      <c r="U267" s="17" t="s">
        <v>24</v>
      </c>
      <c r="V267" s="14" t="s">
        <v>20</v>
      </c>
      <c r="W267" s="24" t="s">
        <v>29</v>
      </c>
      <c r="X267" s="191" t="s">
        <v>244</v>
      </c>
      <c r="Y267" s="14" t="s">
        <v>20</v>
      </c>
      <c r="Z267" s="19" t="s">
        <v>25</v>
      </c>
      <c r="AA267" s="197" t="s">
        <v>124</v>
      </c>
      <c r="AB267" s="5" t="s">
        <v>26</v>
      </c>
    </row>
    <row r="268" spans="2:28">
      <c r="B268" s="8">
        <v>2</v>
      </c>
      <c r="C268" s="5" t="s">
        <v>14</v>
      </c>
      <c r="D268" s="29" t="s">
        <v>49</v>
      </c>
      <c r="E268" s="3" t="s">
        <v>12</v>
      </c>
      <c r="F268" s="3" t="s">
        <v>12</v>
      </c>
      <c r="G268" s="19" t="s">
        <v>71</v>
      </c>
      <c r="H268" s="5" t="s">
        <v>14</v>
      </c>
      <c r="I268" s="3" t="s">
        <v>12</v>
      </c>
      <c r="J268" s="3" t="s">
        <v>12</v>
      </c>
      <c r="K268" s="29" t="s">
        <v>49</v>
      </c>
      <c r="L268" s="3" t="s">
        <v>12</v>
      </c>
      <c r="M268" s="5" t="s">
        <v>14</v>
      </c>
      <c r="N268" s="3" t="s">
        <v>12</v>
      </c>
      <c r="O268" s="12"/>
      <c r="Q268" s="24" t="s">
        <v>29</v>
      </c>
      <c r="R268" s="19" t="s">
        <v>25</v>
      </c>
      <c r="S268" s="15" t="s">
        <v>21</v>
      </c>
      <c r="T268" s="27" t="s">
        <v>44</v>
      </c>
      <c r="U268" s="27" t="s">
        <v>44</v>
      </c>
      <c r="V268" s="196" t="s">
        <v>114</v>
      </c>
      <c r="W268" s="193" t="s">
        <v>155</v>
      </c>
      <c r="X268" s="188" t="s">
        <v>109</v>
      </c>
      <c r="Y268" s="27" t="s">
        <v>44</v>
      </c>
      <c r="Z268" s="27" t="s">
        <v>44</v>
      </c>
      <c r="AA268" s="188" t="s">
        <v>109</v>
      </c>
      <c r="AB268" s="196" t="s">
        <v>114</v>
      </c>
    </row>
    <row r="269" spans="2:28" ht="16.5" thickBot="1">
      <c r="B269" s="8">
        <v>3</v>
      </c>
      <c r="C269" s="3" t="s">
        <v>12</v>
      </c>
      <c r="D269" s="3" t="s">
        <v>12</v>
      </c>
      <c r="E269" s="4" t="s">
        <v>13</v>
      </c>
      <c r="F269" s="4" t="s">
        <v>13</v>
      </c>
      <c r="G269" s="3" t="s">
        <v>12</v>
      </c>
      <c r="H269" s="3" t="s">
        <v>12</v>
      </c>
      <c r="I269" s="5" t="s">
        <v>14</v>
      </c>
      <c r="J269" s="3" t="s">
        <v>12</v>
      </c>
      <c r="K269" s="5" t="s">
        <v>14</v>
      </c>
      <c r="L269" s="4" t="s">
        <v>13</v>
      </c>
      <c r="M269" s="3" t="s">
        <v>12</v>
      </c>
      <c r="N269" s="5" t="s">
        <v>14</v>
      </c>
      <c r="O269" s="12"/>
      <c r="Q269" s="13" t="s">
        <v>22</v>
      </c>
      <c r="R269" s="15" t="s">
        <v>21</v>
      </c>
      <c r="S269" s="14" t="s">
        <v>20</v>
      </c>
      <c r="T269" s="200" t="s">
        <v>339</v>
      </c>
      <c r="U269" s="189" t="s">
        <v>47</v>
      </c>
      <c r="V269" s="189" t="s">
        <v>47</v>
      </c>
      <c r="W269" s="190" t="s">
        <v>120</v>
      </c>
      <c r="X269" s="19" t="s">
        <v>25</v>
      </c>
      <c r="Y269" s="191" t="s">
        <v>244</v>
      </c>
      <c r="AA269" s="24" t="s">
        <v>29</v>
      </c>
      <c r="AB269" s="19" t="s">
        <v>25</v>
      </c>
    </row>
    <row r="270" spans="2:28" ht="16.5" thickBot="1">
      <c r="B270" s="8">
        <v>4</v>
      </c>
      <c r="C270" s="12"/>
      <c r="D270" s="3" t="s">
        <v>12</v>
      </c>
      <c r="E270" s="614" t="s">
        <v>12</v>
      </c>
      <c r="F270" s="3" t="s">
        <v>12</v>
      </c>
      <c r="G270" s="5" t="s">
        <v>14</v>
      </c>
      <c r="H270" s="4" t="s">
        <v>13</v>
      </c>
      <c r="I270" s="3" t="s">
        <v>12</v>
      </c>
      <c r="J270" s="4" t="s">
        <v>13</v>
      </c>
      <c r="K270" s="3" t="s">
        <v>12</v>
      </c>
      <c r="L270" s="614" t="s">
        <v>12</v>
      </c>
      <c r="M270" s="5" t="s">
        <v>14</v>
      </c>
      <c r="N270" s="3" t="s">
        <v>12</v>
      </c>
      <c r="O270" s="12"/>
      <c r="Q270" s="961" t="s">
        <v>339</v>
      </c>
      <c r="R270" s="964" t="s">
        <v>44</v>
      </c>
      <c r="S270" s="27" t="s">
        <v>44</v>
      </c>
      <c r="T270" s="19" t="s">
        <v>25</v>
      </c>
      <c r="V270" s="5" t="s">
        <v>26</v>
      </c>
      <c r="W270" s="195" t="s">
        <v>216</v>
      </c>
      <c r="X270" s="968" t="s">
        <v>26</v>
      </c>
      <c r="Y270" s="19" t="s">
        <v>25</v>
      </c>
      <c r="AA270" s="19" t="s">
        <v>25</v>
      </c>
    </row>
    <row r="271" spans="2:28">
      <c r="B271" s="8">
        <v>5</v>
      </c>
      <c r="C271" s="12"/>
      <c r="D271" s="5" t="s">
        <v>14</v>
      </c>
      <c r="E271" s="5" t="s">
        <v>14</v>
      </c>
      <c r="F271" s="5" t="s">
        <v>14</v>
      </c>
      <c r="G271" s="3" t="s">
        <v>12</v>
      </c>
      <c r="H271" s="3" t="s">
        <v>12</v>
      </c>
      <c r="I271" s="4" t="s">
        <v>13</v>
      </c>
      <c r="J271" s="5" t="s">
        <v>14</v>
      </c>
      <c r="K271" s="4" t="s">
        <v>13</v>
      </c>
      <c r="L271" s="5" t="s">
        <v>14</v>
      </c>
      <c r="M271" s="3" t="s">
        <v>12</v>
      </c>
      <c r="N271" s="3" t="s">
        <v>12</v>
      </c>
      <c r="O271" s="12"/>
      <c r="R271" s="963" t="s">
        <v>46</v>
      </c>
      <c r="S271" s="13" t="s">
        <v>22</v>
      </c>
      <c r="T271" s="15" t="s">
        <v>21</v>
      </c>
      <c r="W271" s="191" t="s">
        <v>244</v>
      </c>
      <c r="X271" s="27" t="s">
        <v>44</v>
      </c>
      <c r="Y271" s="983" t="s">
        <v>124</v>
      </c>
      <c r="AA271" s="11" t="s">
        <v>46</v>
      </c>
    </row>
    <row r="272" spans="2:28">
      <c r="B272" s="8">
        <v>6</v>
      </c>
      <c r="D272" s="3" t="s">
        <v>12</v>
      </c>
      <c r="E272" s="3" t="s">
        <v>12</v>
      </c>
      <c r="F272" s="3" t="s">
        <v>12</v>
      </c>
      <c r="G272" s="4" t="s">
        <v>13</v>
      </c>
      <c r="H272" s="3" t="s">
        <v>12</v>
      </c>
      <c r="I272" s="3" t="s">
        <v>12</v>
      </c>
      <c r="J272" s="3" t="s">
        <v>12</v>
      </c>
      <c r="K272" s="3" t="s">
        <v>12</v>
      </c>
      <c r="L272" s="3" t="s">
        <v>12</v>
      </c>
      <c r="M272" s="3" t="s">
        <v>12</v>
      </c>
      <c r="N272" s="3" t="s">
        <v>12</v>
      </c>
      <c r="O272" s="12"/>
      <c r="W272" s="17" t="s">
        <v>24</v>
      </c>
    </row>
    <row r="273" spans="2:28">
      <c r="B273" s="8">
        <v>7</v>
      </c>
      <c r="G273" s="3" t="s">
        <v>12</v>
      </c>
      <c r="M273" s="3" t="s">
        <v>12</v>
      </c>
      <c r="N273" s="3" t="s">
        <v>12</v>
      </c>
      <c r="O273" s="12"/>
      <c r="W273" s="19" t="s">
        <v>25</v>
      </c>
    </row>
    <row r="274" spans="2:28">
      <c r="B274" s="8">
        <v>8</v>
      </c>
      <c r="M274" s="4" t="s">
        <v>13</v>
      </c>
      <c r="N274" s="3" t="s">
        <v>12</v>
      </c>
      <c r="O274" s="12"/>
      <c r="W274" s="62" t="s">
        <v>397</v>
      </c>
    </row>
    <row r="275" spans="2:28">
      <c r="B275" s="8">
        <v>9</v>
      </c>
      <c r="M275" s="3" t="s">
        <v>12</v>
      </c>
      <c r="N275" s="3" t="s">
        <v>12</v>
      </c>
      <c r="O275" s="12"/>
      <c r="Q275" s="25" t="s">
        <v>30</v>
      </c>
    </row>
    <row r="276" spans="2:28">
      <c r="B276" s="8">
        <v>10</v>
      </c>
      <c r="C276" t="s">
        <v>601</v>
      </c>
      <c r="Q276" s="1507" t="s">
        <v>1</v>
      </c>
      <c r="R276" s="20" t="s">
        <v>2</v>
      </c>
      <c r="S276" s="20" t="s">
        <v>3</v>
      </c>
      <c r="T276" s="20" t="s">
        <v>4</v>
      </c>
      <c r="U276" s="20" t="s">
        <v>5</v>
      </c>
      <c r="V276" s="20" t="s">
        <v>6</v>
      </c>
      <c r="W276" s="20" t="s">
        <v>7</v>
      </c>
      <c r="X276" s="20" t="s">
        <v>8</v>
      </c>
      <c r="Y276" s="20" t="s">
        <v>9</v>
      </c>
      <c r="Z276" s="20" t="s">
        <v>10</v>
      </c>
      <c r="AA276" s="20" t="s">
        <v>36</v>
      </c>
      <c r="AB276" s="20" t="s">
        <v>37</v>
      </c>
    </row>
    <row r="277" spans="2:28">
      <c r="B277" t="s">
        <v>15</v>
      </c>
      <c r="C277" s="6" t="s">
        <v>16</v>
      </c>
      <c r="D277" s="6" t="s">
        <v>16</v>
      </c>
      <c r="E277" s="6" t="s">
        <v>16</v>
      </c>
      <c r="F277" s="6" t="s">
        <v>16</v>
      </c>
      <c r="G277" s="6" t="s">
        <v>16</v>
      </c>
      <c r="H277" s="6" t="s">
        <v>16</v>
      </c>
      <c r="I277" s="6" t="s">
        <v>16</v>
      </c>
      <c r="J277" s="7" t="s">
        <v>17</v>
      </c>
      <c r="K277" s="6" t="s">
        <v>16</v>
      </c>
      <c r="L277" s="7" t="s">
        <v>17</v>
      </c>
      <c r="M277" s="6" t="s">
        <v>16</v>
      </c>
      <c r="N277" s="13" t="s">
        <v>59</v>
      </c>
      <c r="Q277" t="s">
        <v>105</v>
      </c>
      <c r="R277" t="s">
        <v>106</v>
      </c>
      <c r="S277" t="s">
        <v>337</v>
      </c>
      <c r="T277" t="s">
        <v>770</v>
      </c>
      <c r="U277" t="s">
        <v>338</v>
      </c>
      <c r="V277" t="s">
        <v>92</v>
      </c>
      <c r="W277" t="s">
        <v>772</v>
      </c>
      <c r="X277" t="s">
        <v>775</v>
      </c>
      <c r="Y277" t="s">
        <v>649</v>
      </c>
      <c r="Z277" t="s">
        <v>342</v>
      </c>
      <c r="AA277" t="s">
        <v>165</v>
      </c>
      <c r="AB277" t="s">
        <v>165</v>
      </c>
    </row>
    <row r="278" spans="2:28">
      <c r="B278" t="s">
        <v>1564</v>
      </c>
      <c r="C278" s="7" t="s">
        <v>17</v>
      </c>
      <c r="E278" s="11" t="s">
        <v>77</v>
      </c>
      <c r="L278" s="11" t="s">
        <v>77</v>
      </c>
      <c r="Q278" t="s">
        <v>106</v>
      </c>
      <c r="R278" t="s">
        <v>154</v>
      </c>
      <c r="S278" t="s">
        <v>770</v>
      </c>
      <c r="T278" t="s">
        <v>338</v>
      </c>
      <c r="U278" t="s">
        <v>92</v>
      </c>
      <c r="V278" t="s">
        <v>771</v>
      </c>
      <c r="W278" t="s">
        <v>113</v>
      </c>
      <c r="X278" t="s">
        <v>340</v>
      </c>
      <c r="Y278" t="s">
        <v>341</v>
      </c>
      <c r="Z278" t="s">
        <v>165</v>
      </c>
      <c r="AB278" t="s">
        <v>181</v>
      </c>
    </row>
    <row r="279" spans="2:28">
      <c r="E279" s="11" t="s">
        <v>2594</v>
      </c>
      <c r="R279" t="s">
        <v>337</v>
      </c>
      <c r="U279" t="s">
        <v>637</v>
      </c>
      <c r="V279" t="s">
        <v>92</v>
      </c>
      <c r="W279" t="s">
        <v>773</v>
      </c>
      <c r="X279" t="s">
        <v>777</v>
      </c>
      <c r="Y279" t="s">
        <v>342</v>
      </c>
    </row>
    <row r="280" spans="2:28">
      <c r="R280" t="s">
        <v>769</v>
      </c>
      <c r="U280" t="s">
        <v>92</v>
      </c>
      <c r="V280" t="s">
        <v>772</v>
      </c>
      <c r="W280" t="s">
        <v>774</v>
      </c>
      <c r="X280" t="s">
        <v>778</v>
      </c>
    </row>
    <row r="281" spans="2:28">
      <c r="R281" t="s">
        <v>337</v>
      </c>
      <c r="W281" t="s">
        <v>775</v>
      </c>
      <c r="X281" t="s">
        <v>649</v>
      </c>
    </row>
    <row r="282" spans="2:28" ht="21">
      <c r="B282" s="1" t="s">
        <v>141</v>
      </c>
      <c r="W282" t="s">
        <v>776</v>
      </c>
    </row>
    <row r="283" spans="2:28">
      <c r="B283" s="21" t="s">
        <v>256</v>
      </c>
      <c r="C283" s="13"/>
      <c r="E283" s="45" t="s">
        <v>580</v>
      </c>
      <c r="Q283" s="10" t="s">
        <v>19</v>
      </c>
    </row>
    <row r="284" spans="2:28">
      <c r="B284" s="9" t="s">
        <v>0</v>
      </c>
      <c r="C284" s="20" t="s">
        <v>1</v>
      </c>
      <c r="D284" s="20" t="s">
        <v>2</v>
      </c>
      <c r="E284" s="20" t="s">
        <v>3</v>
      </c>
      <c r="F284" s="20" t="s">
        <v>4</v>
      </c>
      <c r="G284" s="20" t="s">
        <v>5</v>
      </c>
      <c r="H284" s="20" t="s">
        <v>6</v>
      </c>
      <c r="I284" s="20" t="s">
        <v>7</v>
      </c>
      <c r="J284" s="20" t="s">
        <v>8</v>
      </c>
      <c r="K284" s="20" t="s">
        <v>9</v>
      </c>
      <c r="L284" s="20" t="s">
        <v>10</v>
      </c>
      <c r="M284" s="20" t="s">
        <v>36</v>
      </c>
      <c r="N284" s="20" t="s">
        <v>37</v>
      </c>
      <c r="Q284" s="11" t="s">
        <v>1</v>
      </c>
      <c r="R284" s="11" t="s">
        <v>2</v>
      </c>
      <c r="S284" s="11" t="s">
        <v>3</v>
      </c>
      <c r="T284" s="11" t="s">
        <v>4</v>
      </c>
      <c r="U284" s="11" t="s">
        <v>5</v>
      </c>
      <c r="V284" s="11" t="s">
        <v>6</v>
      </c>
      <c r="W284" s="11" t="s">
        <v>7</v>
      </c>
      <c r="X284" s="11" t="s">
        <v>8</v>
      </c>
      <c r="Y284" s="11" t="s">
        <v>9</v>
      </c>
      <c r="Z284" s="1506" t="s">
        <v>10</v>
      </c>
      <c r="AA284" s="1506" t="s">
        <v>36</v>
      </c>
      <c r="AB284" s="1506" t="s">
        <v>37</v>
      </c>
    </row>
    <row r="285" spans="2:28" ht="16.5" thickBot="1">
      <c r="B285" s="8">
        <v>1</v>
      </c>
      <c r="C285" s="3" t="s">
        <v>12</v>
      </c>
      <c r="D285" s="3" t="s">
        <v>12</v>
      </c>
      <c r="E285" s="3" t="s">
        <v>12</v>
      </c>
      <c r="F285" s="3" t="s">
        <v>12</v>
      </c>
      <c r="G285" s="3" t="s">
        <v>12</v>
      </c>
      <c r="H285" s="3" t="s">
        <v>12</v>
      </c>
      <c r="I285" s="3" t="s">
        <v>12</v>
      </c>
      <c r="J285" s="3" t="s">
        <v>12</v>
      </c>
      <c r="K285" s="3" t="s">
        <v>12</v>
      </c>
      <c r="L285" s="3" t="s">
        <v>12</v>
      </c>
      <c r="M285" s="3" t="s">
        <v>12</v>
      </c>
      <c r="N285" s="3" t="s">
        <v>12</v>
      </c>
      <c r="O285" s="12"/>
      <c r="Q285" s="15" t="s">
        <v>21</v>
      </c>
      <c r="R285" s="17" t="s">
        <v>24</v>
      </c>
      <c r="S285" s="15" t="s">
        <v>21</v>
      </c>
      <c r="T285" s="24" t="s">
        <v>29</v>
      </c>
      <c r="U285" s="17" t="s">
        <v>24</v>
      </c>
      <c r="V285" s="17" t="s">
        <v>24</v>
      </c>
      <c r="W285" s="195" t="s">
        <v>216</v>
      </c>
      <c r="X285" s="19" t="s">
        <v>25</v>
      </c>
      <c r="Y285" s="5" t="s">
        <v>26</v>
      </c>
      <c r="Z285" s="14" t="s">
        <v>20</v>
      </c>
      <c r="AA285" s="27" t="s">
        <v>44</v>
      </c>
      <c r="AB285" s="27" t="s">
        <v>44</v>
      </c>
    </row>
    <row r="286" spans="2:28" ht="16.5" thickBot="1">
      <c r="B286" s="8">
        <v>2</v>
      </c>
      <c r="C286" s="5" t="s">
        <v>14</v>
      </c>
      <c r="D286" s="4" t="s">
        <v>13</v>
      </c>
      <c r="E286" s="829" t="s">
        <v>12</v>
      </c>
      <c r="F286" s="828" t="s">
        <v>14</v>
      </c>
      <c r="G286" s="827" t="s">
        <v>12</v>
      </c>
      <c r="H286" s="3" t="s">
        <v>12</v>
      </c>
      <c r="I286" s="3" t="s">
        <v>12</v>
      </c>
      <c r="J286" s="4" t="s">
        <v>13</v>
      </c>
      <c r="K286" s="19" t="s">
        <v>71</v>
      </c>
      <c r="L286" s="5" t="s">
        <v>14</v>
      </c>
      <c r="M286" s="3" t="s">
        <v>12</v>
      </c>
      <c r="N286" s="3" t="s">
        <v>12</v>
      </c>
      <c r="O286" s="12"/>
      <c r="Q286" s="194" t="s">
        <v>43</v>
      </c>
      <c r="R286" s="22" t="s">
        <v>27</v>
      </c>
      <c r="S286" s="19" t="s">
        <v>25</v>
      </c>
      <c r="T286" s="15" t="s">
        <v>21</v>
      </c>
      <c r="U286" s="15" t="s">
        <v>21</v>
      </c>
      <c r="V286" s="27" t="s">
        <v>44</v>
      </c>
      <c r="W286" s="22" t="s">
        <v>27</v>
      </c>
      <c r="X286" s="15" t="s">
        <v>21</v>
      </c>
      <c r="Y286" s="192" t="s">
        <v>68</v>
      </c>
      <c r="Z286" s="13" t="s">
        <v>22</v>
      </c>
      <c r="AA286" s="191" t="s">
        <v>244</v>
      </c>
      <c r="AB286" s="23" t="s">
        <v>28</v>
      </c>
    </row>
    <row r="287" spans="2:28">
      <c r="B287" s="8">
        <v>3</v>
      </c>
      <c r="C287" s="3" t="s">
        <v>12</v>
      </c>
      <c r="D287" s="3" t="s">
        <v>12</v>
      </c>
      <c r="E287" s="5" t="s">
        <v>14</v>
      </c>
      <c r="F287" s="3" t="s">
        <v>12</v>
      </c>
      <c r="G287" s="29" t="s">
        <v>49</v>
      </c>
      <c r="H287" s="5" t="s">
        <v>14</v>
      </c>
      <c r="I287" s="4" t="s">
        <v>13</v>
      </c>
      <c r="J287" s="3" t="s">
        <v>12</v>
      </c>
      <c r="K287" s="4" t="s">
        <v>13</v>
      </c>
      <c r="L287" s="3" t="s">
        <v>12</v>
      </c>
      <c r="M287" s="29" t="s">
        <v>49</v>
      </c>
      <c r="N287" s="5" t="s">
        <v>14</v>
      </c>
      <c r="O287" s="12"/>
      <c r="Q287" s="5" t="s">
        <v>26</v>
      </c>
      <c r="R287" s="195" t="s">
        <v>216</v>
      </c>
      <c r="S287" s="17" t="s">
        <v>24</v>
      </c>
      <c r="T287" s="5" t="s">
        <v>26</v>
      </c>
      <c r="U287" s="27" t="s">
        <v>44</v>
      </c>
      <c r="V287" s="15" t="s">
        <v>21</v>
      </c>
      <c r="W287" s="14" t="s">
        <v>20</v>
      </c>
      <c r="X287" s="194" t="s">
        <v>43</v>
      </c>
      <c r="Y287" s="27" t="s">
        <v>44</v>
      </c>
      <c r="Z287" s="27" t="s">
        <v>44</v>
      </c>
      <c r="AA287" s="15" t="s">
        <v>21</v>
      </c>
      <c r="AB287" s="14" t="s">
        <v>20</v>
      </c>
    </row>
    <row r="288" spans="2:28" ht="16.5" thickBot="1">
      <c r="B288" s="8">
        <v>4</v>
      </c>
      <c r="C288" s="3" t="s">
        <v>12</v>
      </c>
      <c r="D288" s="5" t="s">
        <v>14</v>
      </c>
      <c r="E288" s="3" t="s">
        <v>12</v>
      </c>
      <c r="F288" s="4" t="s">
        <v>13</v>
      </c>
      <c r="G288" s="4" t="s">
        <v>13</v>
      </c>
      <c r="H288" s="3" t="s">
        <v>12</v>
      </c>
      <c r="I288" s="3" t="s">
        <v>12</v>
      </c>
      <c r="J288" s="29" t="s">
        <v>49</v>
      </c>
      <c r="K288" s="3" t="s">
        <v>12</v>
      </c>
      <c r="L288" s="3" t="s">
        <v>12</v>
      </c>
      <c r="M288" s="5" t="s">
        <v>14</v>
      </c>
      <c r="N288" s="3" t="s">
        <v>12</v>
      </c>
      <c r="O288" s="12"/>
      <c r="Q288" s="19" t="s">
        <v>25</v>
      </c>
      <c r="R288" s="15" t="s">
        <v>21</v>
      </c>
      <c r="S288" s="191" t="s">
        <v>244</v>
      </c>
      <c r="T288" s="191" t="s">
        <v>244</v>
      </c>
      <c r="U288" s="956" t="s">
        <v>109</v>
      </c>
      <c r="V288" s="189" t="s">
        <v>47</v>
      </c>
      <c r="W288" s="27" t="s">
        <v>44</v>
      </c>
      <c r="X288" s="13" t="s">
        <v>22</v>
      </c>
      <c r="Y288" s="196" t="s">
        <v>114</v>
      </c>
      <c r="Z288" s="11" t="s">
        <v>46</v>
      </c>
      <c r="AA288" s="62" t="s">
        <v>397</v>
      </c>
    </row>
    <row r="289" spans="2:28" ht="16.5" thickBot="1">
      <c r="B289" s="8">
        <v>5</v>
      </c>
      <c r="C289" s="3" t="s">
        <v>12</v>
      </c>
      <c r="D289" s="3" t="s">
        <v>12</v>
      </c>
      <c r="E289" s="4" t="s">
        <v>13</v>
      </c>
      <c r="F289" s="3" t="s">
        <v>12</v>
      </c>
      <c r="G289" s="3" t="s">
        <v>12</v>
      </c>
      <c r="H289" s="4" t="s">
        <v>13</v>
      </c>
      <c r="I289" s="5" t="s">
        <v>14</v>
      </c>
      <c r="J289" s="5" t="s">
        <v>14</v>
      </c>
      <c r="K289" s="614" t="s">
        <v>12</v>
      </c>
      <c r="L289" s="3" t="s">
        <v>12</v>
      </c>
      <c r="M289" s="3" t="s">
        <v>12</v>
      </c>
      <c r="N289" s="3" t="s">
        <v>12</v>
      </c>
      <c r="O289" s="12"/>
      <c r="Q289" s="199" t="s">
        <v>74</v>
      </c>
      <c r="S289" s="955" t="s">
        <v>234</v>
      </c>
      <c r="Y289" s="900" t="s">
        <v>339</v>
      </c>
      <c r="Z289" s="15" t="s">
        <v>21</v>
      </c>
      <c r="AA289" s="19" t="s">
        <v>25</v>
      </c>
    </row>
    <row r="290" spans="2:28" ht="16.5" thickBot="1">
      <c r="B290" s="8">
        <v>6</v>
      </c>
      <c r="E290" s="3" t="s">
        <v>12</v>
      </c>
      <c r="F290" s="3" t="s">
        <v>12</v>
      </c>
      <c r="G290" s="614" t="s">
        <v>12</v>
      </c>
      <c r="H290" s="810" t="s">
        <v>12</v>
      </c>
      <c r="I290" s="3" t="s">
        <v>12</v>
      </c>
      <c r="J290" s="3" t="s">
        <v>12</v>
      </c>
      <c r="K290" s="5" t="s">
        <v>14</v>
      </c>
      <c r="L290" s="5" t="s">
        <v>14</v>
      </c>
      <c r="M290" s="4" t="s">
        <v>13</v>
      </c>
      <c r="N290" s="3" t="s">
        <v>12</v>
      </c>
      <c r="O290" s="12"/>
      <c r="S290" s="591"/>
    </row>
    <row r="291" spans="2:28">
      <c r="B291" s="8">
        <v>7</v>
      </c>
      <c r="G291" s="3" t="s">
        <v>12</v>
      </c>
      <c r="K291" s="3" t="s">
        <v>12</v>
      </c>
      <c r="L291" s="3" t="s">
        <v>12</v>
      </c>
      <c r="M291" s="3" t="s">
        <v>12</v>
      </c>
      <c r="N291" s="3" t="s">
        <v>12</v>
      </c>
      <c r="O291" s="12"/>
    </row>
    <row r="292" spans="2:28">
      <c r="B292" s="8">
        <v>8</v>
      </c>
      <c r="K292" s="3" t="s">
        <v>12</v>
      </c>
      <c r="N292" s="3" t="s">
        <v>12</v>
      </c>
      <c r="O292" s="12"/>
    </row>
    <row r="293" spans="2:28">
      <c r="B293" s="8">
        <v>9</v>
      </c>
      <c r="K293" s="3" t="s">
        <v>12</v>
      </c>
      <c r="N293" s="3" t="s">
        <v>12</v>
      </c>
      <c r="O293" s="12"/>
      <c r="Q293" s="25" t="s">
        <v>30</v>
      </c>
    </row>
    <row r="294" spans="2:28">
      <c r="B294" s="8">
        <v>10</v>
      </c>
      <c r="Q294" s="1507" t="s">
        <v>1</v>
      </c>
      <c r="R294" s="20" t="s">
        <v>2</v>
      </c>
      <c r="S294" s="20" t="s">
        <v>3</v>
      </c>
      <c r="T294" s="20" t="s">
        <v>4</v>
      </c>
      <c r="U294" s="20" t="s">
        <v>5</v>
      </c>
      <c r="V294" s="20" t="s">
        <v>6</v>
      </c>
      <c r="W294" s="20" t="s">
        <v>7</v>
      </c>
      <c r="X294" s="20" t="s">
        <v>8</v>
      </c>
      <c r="Y294" s="20" t="s">
        <v>9</v>
      </c>
      <c r="Z294" s="20" t="s">
        <v>10</v>
      </c>
      <c r="AA294" s="20" t="s">
        <v>36</v>
      </c>
      <c r="AB294" s="20" t="s">
        <v>37</v>
      </c>
    </row>
    <row r="295" spans="2:28">
      <c r="B295" t="s">
        <v>15</v>
      </c>
      <c r="C295" s="6" t="s">
        <v>16</v>
      </c>
      <c r="D295" s="6" t="s">
        <v>16</v>
      </c>
      <c r="E295" s="6" t="s">
        <v>16</v>
      </c>
      <c r="F295" s="7" t="s">
        <v>17</v>
      </c>
      <c r="G295" s="6" t="s">
        <v>16</v>
      </c>
      <c r="H295" s="6" t="s">
        <v>16</v>
      </c>
      <c r="I295" s="7" t="s">
        <v>17</v>
      </c>
      <c r="J295" s="6" t="s">
        <v>16</v>
      </c>
      <c r="K295" s="6" t="s">
        <v>16</v>
      </c>
      <c r="L295" s="7" t="s">
        <v>17</v>
      </c>
      <c r="M295" s="6" t="s">
        <v>16</v>
      </c>
      <c r="N295" s="13" t="s">
        <v>59</v>
      </c>
      <c r="Q295" t="s">
        <v>105</v>
      </c>
      <c r="R295" t="s">
        <v>322</v>
      </c>
      <c r="S295" t="s">
        <v>779</v>
      </c>
      <c r="T295" t="s">
        <v>782</v>
      </c>
      <c r="U295" t="s">
        <v>783</v>
      </c>
      <c r="V295" t="s">
        <v>785</v>
      </c>
      <c r="W295" t="s">
        <v>786</v>
      </c>
      <c r="X295" t="s">
        <v>791</v>
      </c>
      <c r="Y295" t="s">
        <v>793</v>
      </c>
      <c r="Z295" t="s">
        <v>123</v>
      </c>
      <c r="AA295" t="s">
        <v>327</v>
      </c>
      <c r="AB295" t="s">
        <v>327</v>
      </c>
    </row>
    <row r="296" spans="2:28">
      <c r="B296" t="s">
        <v>1564</v>
      </c>
      <c r="F296" s="46" t="s">
        <v>1567</v>
      </c>
      <c r="G296" s="11" t="s">
        <v>77</v>
      </c>
      <c r="K296" s="11" t="s">
        <v>77</v>
      </c>
      <c r="O296" s="37"/>
      <c r="Q296" t="s">
        <v>204</v>
      </c>
      <c r="R296" t="s">
        <v>204</v>
      </c>
      <c r="S296" t="s">
        <v>780</v>
      </c>
      <c r="T296" t="s">
        <v>323</v>
      </c>
      <c r="U296" t="s">
        <v>784</v>
      </c>
      <c r="V296" t="s">
        <v>324</v>
      </c>
      <c r="W296" t="s">
        <v>787</v>
      </c>
      <c r="X296" t="s">
        <v>787</v>
      </c>
      <c r="Y296" t="s">
        <v>379</v>
      </c>
      <c r="Z296" t="s">
        <v>327</v>
      </c>
      <c r="AB296" t="s">
        <v>328</v>
      </c>
    </row>
    <row r="297" spans="2:28">
      <c r="G297" s="11" t="s">
        <v>2594</v>
      </c>
      <c r="N297" s="37"/>
      <c r="O297" s="37"/>
      <c r="Q297" t="s">
        <v>322</v>
      </c>
      <c r="R297" t="s">
        <v>779</v>
      </c>
      <c r="S297" t="s">
        <v>781</v>
      </c>
      <c r="T297" t="s">
        <v>237</v>
      </c>
      <c r="U297" t="s">
        <v>785</v>
      </c>
      <c r="V297" t="s">
        <v>786</v>
      </c>
      <c r="W297" t="s">
        <v>788</v>
      </c>
      <c r="X297" t="s">
        <v>792</v>
      </c>
      <c r="Y297" t="s">
        <v>123</v>
      </c>
    </row>
    <row r="298" spans="2:28">
      <c r="N298" s="37"/>
      <c r="O298" s="37"/>
      <c r="S298" t="s">
        <v>782</v>
      </c>
      <c r="V298" t="s">
        <v>325</v>
      </c>
      <c r="W298" t="s">
        <v>789</v>
      </c>
      <c r="X298" t="s">
        <v>793</v>
      </c>
    </row>
    <row r="299" spans="2:28" ht="21">
      <c r="B299" s="1" t="s">
        <v>142</v>
      </c>
      <c r="V299" t="s">
        <v>786</v>
      </c>
      <c r="W299" t="s">
        <v>790</v>
      </c>
      <c r="X299" t="s">
        <v>326</v>
      </c>
    </row>
    <row r="300" spans="2:28">
      <c r="B300" s="21" t="s">
        <v>250</v>
      </c>
      <c r="C300" s="13"/>
      <c r="E300" s="45" t="s">
        <v>581</v>
      </c>
      <c r="Q300" s="10" t="s">
        <v>19</v>
      </c>
      <c r="W300" t="s">
        <v>791</v>
      </c>
      <c r="X300" t="s">
        <v>793</v>
      </c>
    </row>
    <row r="301" spans="2:28">
      <c r="B301" s="9" t="s">
        <v>0</v>
      </c>
      <c r="C301" s="20" t="s">
        <v>1</v>
      </c>
      <c r="D301" s="20" t="s">
        <v>2</v>
      </c>
      <c r="E301" s="20" t="s">
        <v>3</v>
      </c>
      <c r="F301" s="20" t="s">
        <v>4</v>
      </c>
      <c r="G301" s="20" t="s">
        <v>5</v>
      </c>
      <c r="H301" s="20" t="s">
        <v>6</v>
      </c>
      <c r="I301" s="20" t="s">
        <v>7</v>
      </c>
      <c r="J301" s="20" t="s">
        <v>8</v>
      </c>
      <c r="K301" s="20" t="s">
        <v>9</v>
      </c>
      <c r="L301" s="20" t="s">
        <v>10</v>
      </c>
      <c r="M301" s="20" t="s">
        <v>36</v>
      </c>
      <c r="N301" s="20" t="s">
        <v>37</v>
      </c>
      <c r="Q301" s="11" t="s">
        <v>1</v>
      </c>
      <c r="R301" s="11" t="s">
        <v>2</v>
      </c>
      <c r="S301" s="11" t="s">
        <v>3</v>
      </c>
      <c r="T301" s="11" t="s">
        <v>4</v>
      </c>
      <c r="U301" s="11" t="s">
        <v>5</v>
      </c>
      <c r="V301" s="11" t="s">
        <v>6</v>
      </c>
      <c r="W301" s="11" t="s">
        <v>7</v>
      </c>
      <c r="X301" s="11" t="s">
        <v>8</v>
      </c>
      <c r="Y301" s="11" t="s">
        <v>9</v>
      </c>
      <c r="Z301" s="1506" t="s">
        <v>10</v>
      </c>
      <c r="AA301" s="1506" t="s">
        <v>36</v>
      </c>
      <c r="AB301" s="1506" t="s">
        <v>37</v>
      </c>
    </row>
    <row r="302" spans="2:28">
      <c r="B302" s="8">
        <v>1</v>
      </c>
      <c r="C302" s="3" t="s">
        <v>12</v>
      </c>
      <c r="D302" s="3" t="s">
        <v>12</v>
      </c>
      <c r="E302" s="3" t="s">
        <v>12</v>
      </c>
      <c r="F302" s="3" t="s">
        <v>12</v>
      </c>
      <c r="G302" s="3" t="s">
        <v>12</v>
      </c>
      <c r="H302" s="3" t="s">
        <v>12</v>
      </c>
      <c r="I302" s="3" t="s">
        <v>12</v>
      </c>
      <c r="J302" s="3" t="s">
        <v>12</v>
      </c>
      <c r="K302" s="3" t="s">
        <v>12</v>
      </c>
      <c r="L302" s="3" t="s">
        <v>12</v>
      </c>
      <c r="M302" s="3" t="s">
        <v>12</v>
      </c>
      <c r="N302" s="3" t="s">
        <v>12</v>
      </c>
      <c r="O302" s="12"/>
      <c r="Q302" s="17" t="s">
        <v>24</v>
      </c>
      <c r="R302" s="189" t="s">
        <v>47</v>
      </c>
      <c r="S302" s="19" t="s">
        <v>25</v>
      </c>
      <c r="T302" s="17" t="s">
        <v>24</v>
      </c>
      <c r="U302" s="17" t="s">
        <v>24</v>
      </c>
      <c r="V302" s="17" t="s">
        <v>24</v>
      </c>
      <c r="W302" s="192" t="s">
        <v>68</v>
      </c>
      <c r="X302" s="17" t="s">
        <v>24</v>
      </c>
      <c r="Y302" s="24" t="s">
        <v>29</v>
      </c>
      <c r="Z302" s="24" t="s">
        <v>29</v>
      </c>
      <c r="AA302" s="17" t="s">
        <v>24</v>
      </c>
      <c r="AB302" s="5" t="s">
        <v>26</v>
      </c>
    </row>
    <row r="303" spans="2:28">
      <c r="B303" s="8">
        <v>2</v>
      </c>
      <c r="C303" s="3" t="s">
        <v>12</v>
      </c>
      <c r="D303" s="3" t="s">
        <v>12</v>
      </c>
      <c r="E303" s="5" t="s">
        <v>14</v>
      </c>
      <c r="F303" s="29" t="s">
        <v>49</v>
      </c>
      <c r="G303" s="19" t="s">
        <v>71</v>
      </c>
      <c r="H303" s="4" t="s">
        <v>13</v>
      </c>
      <c r="I303" s="4" t="s">
        <v>13</v>
      </c>
      <c r="J303" s="3" t="s">
        <v>12</v>
      </c>
      <c r="K303" s="4" t="s">
        <v>13</v>
      </c>
      <c r="L303" s="3" t="s">
        <v>12</v>
      </c>
      <c r="M303" s="3" t="s">
        <v>12</v>
      </c>
      <c r="N303" s="3" t="s">
        <v>12</v>
      </c>
      <c r="O303" s="12"/>
      <c r="Q303" s="15" t="s">
        <v>21</v>
      </c>
      <c r="R303" s="19" t="s">
        <v>25</v>
      </c>
      <c r="S303" s="15" t="s">
        <v>21</v>
      </c>
      <c r="T303" s="13" t="s">
        <v>22</v>
      </c>
      <c r="U303" s="190" t="s">
        <v>120</v>
      </c>
      <c r="V303" s="192" t="s">
        <v>68</v>
      </c>
      <c r="W303" s="191" t="s">
        <v>244</v>
      </c>
      <c r="X303" s="27" t="s">
        <v>44</v>
      </c>
      <c r="Y303" s="194" t="s">
        <v>43</v>
      </c>
      <c r="Z303" s="27" t="s">
        <v>44</v>
      </c>
      <c r="AA303" s="13" t="s">
        <v>22</v>
      </c>
      <c r="AB303" s="13" t="s">
        <v>22</v>
      </c>
    </row>
    <row r="304" spans="2:28" ht="16.5" thickBot="1">
      <c r="B304" s="8">
        <v>3</v>
      </c>
      <c r="C304" s="3" t="s">
        <v>12</v>
      </c>
      <c r="D304" s="5" t="s">
        <v>14</v>
      </c>
      <c r="E304" s="3" t="s">
        <v>12</v>
      </c>
      <c r="F304" s="3" t="s">
        <v>12</v>
      </c>
      <c r="G304" s="3" t="s">
        <v>12</v>
      </c>
      <c r="H304" s="3" t="s">
        <v>12</v>
      </c>
      <c r="I304" s="3" t="s">
        <v>12</v>
      </c>
      <c r="J304" s="5" t="s">
        <v>14</v>
      </c>
      <c r="K304" s="3" t="s">
        <v>12</v>
      </c>
      <c r="L304" s="5" t="s">
        <v>14</v>
      </c>
      <c r="M304" s="29" t="s">
        <v>49</v>
      </c>
      <c r="N304" s="3" t="s">
        <v>12</v>
      </c>
      <c r="O304" s="12"/>
      <c r="Q304" s="191" t="s">
        <v>244</v>
      </c>
      <c r="R304" s="15" t="s">
        <v>21</v>
      </c>
      <c r="S304" s="27" t="s">
        <v>44</v>
      </c>
      <c r="T304" s="189" t="s">
        <v>47</v>
      </c>
      <c r="U304" s="23" t="s">
        <v>28</v>
      </c>
      <c r="V304" s="27" t="s">
        <v>44</v>
      </c>
      <c r="W304" s="14" t="s">
        <v>20</v>
      </c>
      <c r="X304" s="5" t="s">
        <v>26</v>
      </c>
      <c r="Y304" s="19" t="s">
        <v>25</v>
      </c>
      <c r="Z304" s="19" t="s">
        <v>25</v>
      </c>
      <c r="AA304" s="27" t="s">
        <v>44</v>
      </c>
      <c r="AB304" s="14" t="s">
        <v>20</v>
      </c>
    </row>
    <row r="305" spans="2:28" ht="16.5" thickBot="1">
      <c r="B305" s="8">
        <v>4</v>
      </c>
      <c r="C305" s="5" t="s">
        <v>14</v>
      </c>
      <c r="D305" s="3" t="s">
        <v>12</v>
      </c>
      <c r="E305" s="3" t="s">
        <v>12</v>
      </c>
      <c r="F305" s="5" t="s">
        <v>14</v>
      </c>
      <c r="G305" s="5" t="s">
        <v>14</v>
      </c>
      <c r="H305" s="3" t="s">
        <v>12</v>
      </c>
      <c r="I305" s="3" t="s">
        <v>12</v>
      </c>
      <c r="J305" s="3" t="s">
        <v>12</v>
      </c>
      <c r="K305" s="614" t="s">
        <v>12</v>
      </c>
      <c r="L305" s="3" t="s">
        <v>12</v>
      </c>
      <c r="M305" s="5" t="s">
        <v>14</v>
      </c>
      <c r="N305" s="5" t="s">
        <v>14</v>
      </c>
      <c r="O305" s="12"/>
      <c r="Q305" s="27" t="s">
        <v>44</v>
      </c>
      <c r="R305" s="900" t="s">
        <v>339</v>
      </c>
      <c r="S305" s="191" t="s">
        <v>244</v>
      </c>
      <c r="T305" s="194" t="s">
        <v>43</v>
      </c>
      <c r="U305" s="19" t="s">
        <v>25</v>
      </c>
      <c r="W305" s="19" t="s">
        <v>25</v>
      </c>
      <c r="X305" s="15" t="s">
        <v>21</v>
      </c>
      <c r="Y305" s="189" t="s">
        <v>47</v>
      </c>
      <c r="AA305" s="19" t="s">
        <v>25</v>
      </c>
      <c r="AB305" s="23" t="s">
        <v>28</v>
      </c>
    </row>
    <row r="306" spans="2:28" ht="16.5" thickBot="1">
      <c r="B306" s="8">
        <v>5</v>
      </c>
      <c r="C306" s="613" t="s">
        <v>12</v>
      </c>
      <c r="D306" s="4" t="s">
        <v>13</v>
      </c>
      <c r="E306" s="3" t="s">
        <v>12</v>
      </c>
      <c r="F306" s="3" t="s">
        <v>12</v>
      </c>
      <c r="G306" s="3" t="s">
        <v>12</v>
      </c>
      <c r="H306" s="5" t="s">
        <v>14</v>
      </c>
      <c r="I306" s="3" t="s">
        <v>12</v>
      </c>
      <c r="J306" s="4" t="s">
        <v>13</v>
      </c>
      <c r="K306" s="5" t="s">
        <v>14</v>
      </c>
      <c r="L306" s="4" t="s">
        <v>13</v>
      </c>
      <c r="M306" s="3" t="s">
        <v>12</v>
      </c>
      <c r="N306" s="3" t="s">
        <v>12</v>
      </c>
      <c r="O306" s="12"/>
      <c r="Q306" s="14" t="s">
        <v>20</v>
      </c>
      <c r="S306" s="201" t="s">
        <v>93</v>
      </c>
      <c r="T306" s="14" t="s">
        <v>20</v>
      </c>
      <c r="U306" s="5" t="s">
        <v>26</v>
      </c>
      <c r="W306" s="27" t="s">
        <v>44</v>
      </c>
      <c r="X306" s="189" t="s">
        <v>47</v>
      </c>
      <c r="Y306" s="13" t="s">
        <v>22</v>
      </c>
      <c r="AA306" s="194" t="s">
        <v>43</v>
      </c>
      <c r="AB306" s="15" t="s">
        <v>21</v>
      </c>
    </row>
    <row r="307" spans="2:28">
      <c r="B307" s="8">
        <v>6</v>
      </c>
      <c r="D307" s="3" t="s">
        <v>12</v>
      </c>
      <c r="E307" s="4" t="s">
        <v>13</v>
      </c>
      <c r="F307" s="4" t="s">
        <v>13</v>
      </c>
      <c r="G307" s="4" t="s">
        <v>13</v>
      </c>
      <c r="H307" s="3" t="s">
        <v>12</v>
      </c>
      <c r="I307" s="5" t="s">
        <v>14</v>
      </c>
      <c r="J307" s="3" t="s">
        <v>12</v>
      </c>
      <c r="K307" s="3" t="s">
        <v>12</v>
      </c>
      <c r="L307" s="3" t="s">
        <v>12</v>
      </c>
      <c r="M307" s="4" t="s">
        <v>13</v>
      </c>
      <c r="N307" s="3" t="s">
        <v>12</v>
      </c>
      <c r="O307" s="12"/>
      <c r="Q307" s="194" t="s">
        <v>43</v>
      </c>
      <c r="S307" s="14" t="s">
        <v>20</v>
      </c>
      <c r="T307" s="197" t="s">
        <v>124</v>
      </c>
      <c r="U307" s="15" t="s">
        <v>21</v>
      </c>
      <c r="W307" s="960" t="s">
        <v>43</v>
      </c>
      <c r="X307" s="19" t="s">
        <v>25</v>
      </c>
      <c r="Y307" s="15" t="s">
        <v>21</v>
      </c>
      <c r="AA307" s="24" t="s">
        <v>29</v>
      </c>
    </row>
    <row r="308" spans="2:28">
      <c r="B308" s="8">
        <v>7</v>
      </c>
      <c r="E308" s="3" t="s">
        <v>12</v>
      </c>
      <c r="F308" s="3" t="s">
        <v>12</v>
      </c>
      <c r="G308" s="3" t="s">
        <v>12</v>
      </c>
      <c r="I308" s="3" t="s">
        <v>12</v>
      </c>
      <c r="J308" s="3" t="s">
        <v>12</v>
      </c>
      <c r="M308" s="3" t="s">
        <v>12</v>
      </c>
      <c r="N308" s="3" t="s">
        <v>12</v>
      </c>
      <c r="O308" s="12"/>
      <c r="Q308" s="19" t="s">
        <v>25</v>
      </c>
      <c r="T308" s="22" t="s">
        <v>27</v>
      </c>
      <c r="U308" s="955" t="s">
        <v>234</v>
      </c>
      <c r="AA308" s="15" t="s">
        <v>21</v>
      </c>
    </row>
    <row r="309" spans="2:28">
      <c r="B309" s="8">
        <v>8</v>
      </c>
      <c r="M309" s="3" t="s">
        <v>12</v>
      </c>
    </row>
    <row r="310" spans="2:28">
      <c r="B310" s="8">
        <v>9</v>
      </c>
      <c r="M310" s="12"/>
      <c r="Q310" s="25" t="s">
        <v>30</v>
      </c>
    </row>
    <row r="311" spans="2:28">
      <c r="B311" s="8">
        <v>10</v>
      </c>
      <c r="Q311" s="1507" t="s">
        <v>1</v>
      </c>
      <c r="R311" s="20" t="s">
        <v>2</v>
      </c>
      <c r="S311" s="20" t="s">
        <v>3</v>
      </c>
      <c r="T311" s="20" t="s">
        <v>4</v>
      </c>
      <c r="U311" s="20" t="s">
        <v>5</v>
      </c>
      <c r="V311" s="20" t="s">
        <v>6</v>
      </c>
      <c r="W311" s="20" t="s">
        <v>7</v>
      </c>
      <c r="X311" s="20" t="s">
        <v>8</v>
      </c>
      <c r="Y311" s="20" t="s">
        <v>9</v>
      </c>
      <c r="Z311" s="20" t="s">
        <v>10</v>
      </c>
      <c r="AA311" s="20" t="s">
        <v>36</v>
      </c>
      <c r="AB311" s="20" t="s">
        <v>37</v>
      </c>
    </row>
    <row r="312" spans="2:28">
      <c r="B312" t="s">
        <v>15</v>
      </c>
      <c r="C312" s="6" t="s">
        <v>16</v>
      </c>
      <c r="D312" s="6" t="s">
        <v>16</v>
      </c>
      <c r="E312" s="7" t="s">
        <v>17</v>
      </c>
      <c r="F312" s="6" t="s">
        <v>16</v>
      </c>
      <c r="G312" s="6" t="s">
        <v>16</v>
      </c>
      <c r="H312" s="7" t="s">
        <v>17</v>
      </c>
      <c r="I312" s="6" t="s">
        <v>16</v>
      </c>
      <c r="J312" s="6" t="s">
        <v>16</v>
      </c>
      <c r="K312" s="6" t="s">
        <v>16</v>
      </c>
      <c r="L312" s="7" t="s">
        <v>17</v>
      </c>
      <c r="M312" s="6" t="s">
        <v>16</v>
      </c>
      <c r="N312" s="13" t="s">
        <v>59</v>
      </c>
      <c r="Q312" t="s">
        <v>794</v>
      </c>
      <c r="R312" t="s">
        <v>796</v>
      </c>
      <c r="S312" t="s">
        <v>251</v>
      </c>
      <c r="T312" t="s">
        <v>799</v>
      </c>
      <c r="U312" t="s">
        <v>802</v>
      </c>
      <c r="V312" t="s">
        <v>806</v>
      </c>
      <c r="W312" t="s">
        <v>253</v>
      </c>
      <c r="X312" t="s">
        <v>253</v>
      </c>
      <c r="Y312" t="s">
        <v>254</v>
      </c>
      <c r="Z312" t="s">
        <v>214</v>
      </c>
      <c r="AA312" t="s">
        <v>1967</v>
      </c>
      <c r="AB312" t="s">
        <v>82</v>
      </c>
    </row>
    <row r="313" spans="2:28">
      <c r="B313" t="s">
        <v>1564</v>
      </c>
      <c r="C313" s="5" t="s">
        <v>87</v>
      </c>
      <c r="K313" s="11" t="s">
        <v>45</v>
      </c>
      <c r="Q313" t="s">
        <v>31</v>
      </c>
      <c r="R313" t="s">
        <v>251</v>
      </c>
      <c r="S313" t="s">
        <v>798</v>
      </c>
      <c r="T313" t="s">
        <v>800</v>
      </c>
      <c r="U313" t="s">
        <v>252</v>
      </c>
      <c r="V313" t="s">
        <v>253</v>
      </c>
      <c r="X313" t="s">
        <v>254</v>
      </c>
      <c r="Y313" t="s">
        <v>214</v>
      </c>
      <c r="Z313" t="s">
        <v>1967</v>
      </c>
      <c r="AA313" t="s">
        <v>625</v>
      </c>
      <c r="AB313" t="s">
        <v>459</v>
      </c>
    </row>
    <row r="314" spans="2:28">
      <c r="Q314" t="s">
        <v>795</v>
      </c>
      <c r="R314" t="s">
        <v>797</v>
      </c>
      <c r="S314" t="s">
        <v>799</v>
      </c>
      <c r="T314" t="s">
        <v>801</v>
      </c>
      <c r="U314" t="s">
        <v>803</v>
      </c>
      <c r="X314" t="s">
        <v>807</v>
      </c>
      <c r="AA314" t="s">
        <v>810</v>
      </c>
      <c r="AB314" t="s">
        <v>811</v>
      </c>
    </row>
    <row r="315" spans="2:28">
      <c r="Q315" t="s">
        <v>796</v>
      </c>
      <c r="R315" t="s">
        <v>251</v>
      </c>
      <c r="T315" t="s">
        <v>802</v>
      </c>
      <c r="U315" t="s">
        <v>804</v>
      </c>
      <c r="X315" t="s">
        <v>808</v>
      </c>
      <c r="AA315" t="s">
        <v>82</v>
      </c>
      <c r="AB315" t="s">
        <v>105</v>
      </c>
    </row>
    <row r="316" spans="2:28">
      <c r="U316" t="s">
        <v>805</v>
      </c>
      <c r="X316" t="s">
        <v>809</v>
      </c>
      <c r="AB316" t="s">
        <v>812</v>
      </c>
    </row>
    <row r="317" spans="2:28" ht="21">
      <c r="B317" s="1" t="s">
        <v>143</v>
      </c>
      <c r="U317" t="s">
        <v>806</v>
      </c>
      <c r="X317" t="s">
        <v>254</v>
      </c>
    </row>
    <row r="318" spans="2:28">
      <c r="B318" s="21" t="s">
        <v>240</v>
      </c>
      <c r="C318" s="13"/>
      <c r="E318" s="45" t="s">
        <v>582</v>
      </c>
      <c r="Q318" s="10" t="s">
        <v>19</v>
      </c>
    </row>
    <row r="319" spans="2:28">
      <c r="B319" s="9" t="s">
        <v>0</v>
      </c>
      <c r="C319" s="20" t="s">
        <v>1</v>
      </c>
      <c r="D319" s="20" t="s">
        <v>2</v>
      </c>
      <c r="E319" s="20" t="s">
        <v>3</v>
      </c>
      <c r="F319" s="20" t="s">
        <v>4</v>
      </c>
      <c r="G319" s="20" t="s">
        <v>5</v>
      </c>
      <c r="H319" s="20" t="s">
        <v>6</v>
      </c>
      <c r="I319" s="20" t="s">
        <v>7</v>
      </c>
      <c r="J319" s="20" t="s">
        <v>8</v>
      </c>
      <c r="K319" s="20" t="s">
        <v>9</v>
      </c>
      <c r="L319" s="20" t="s">
        <v>10</v>
      </c>
      <c r="M319" s="20" t="s">
        <v>36</v>
      </c>
      <c r="N319" s="20" t="s">
        <v>37</v>
      </c>
      <c r="Q319" s="11" t="s">
        <v>1</v>
      </c>
      <c r="R319" s="11" t="s">
        <v>2</v>
      </c>
      <c r="S319" s="11" t="s">
        <v>3</v>
      </c>
      <c r="T319" s="11" t="s">
        <v>4</v>
      </c>
      <c r="U319" s="11" t="s">
        <v>5</v>
      </c>
      <c r="V319" s="11" t="s">
        <v>6</v>
      </c>
      <c r="W319" s="11" t="s">
        <v>7</v>
      </c>
      <c r="X319" s="11" t="s">
        <v>8</v>
      </c>
      <c r="Y319" s="11" t="s">
        <v>9</v>
      </c>
      <c r="Z319" s="1506" t="s">
        <v>10</v>
      </c>
      <c r="AA319" s="1506" t="s">
        <v>36</v>
      </c>
      <c r="AB319" s="1506" t="s">
        <v>37</v>
      </c>
    </row>
    <row r="320" spans="2:28">
      <c r="B320" s="8">
        <v>1</v>
      </c>
      <c r="C320" s="3" t="s">
        <v>12</v>
      </c>
      <c r="D320" s="3" t="s">
        <v>12</v>
      </c>
      <c r="E320" s="3" t="s">
        <v>12</v>
      </c>
      <c r="F320" s="3" t="s">
        <v>12</v>
      </c>
      <c r="G320" s="3" t="s">
        <v>12</v>
      </c>
      <c r="H320" s="3" t="s">
        <v>12</v>
      </c>
      <c r="I320" s="3" t="s">
        <v>12</v>
      </c>
      <c r="J320" s="3" t="s">
        <v>12</v>
      </c>
      <c r="K320" s="3" t="s">
        <v>12</v>
      </c>
      <c r="L320" s="3" t="s">
        <v>12</v>
      </c>
      <c r="M320" s="3" t="s">
        <v>12</v>
      </c>
      <c r="N320" s="3" t="s">
        <v>12</v>
      </c>
      <c r="O320" s="12"/>
      <c r="Q320" s="27" t="s">
        <v>44</v>
      </c>
      <c r="R320" s="14" t="s">
        <v>20</v>
      </c>
      <c r="S320" s="197" t="s">
        <v>124</v>
      </c>
      <c r="T320" s="22" t="s">
        <v>27</v>
      </c>
      <c r="U320" s="23" t="s">
        <v>28</v>
      </c>
      <c r="V320" s="24" t="s">
        <v>29</v>
      </c>
      <c r="W320" s="27" t="s">
        <v>44</v>
      </c>
      <c r="X320" s="17" t="s">
        <v>24</v>
      </c>
      <c r="Y320" s="190" t="s">
        <v>120</v>
      </c>
      <c r="Z320" s="27" t="s">
        <v>44</v>
      </c>
      <c r="AA320" s="193" t="s">
        <v>155</v>
      </c>
      <c r="AB320" s="27" t="s">
        <v>44</v>
      </c>
    </row>
    <row r="321" spans="2:28">
      <c r="B321" s="8">
        <v>2</v>
      </c>
      <c r="C321" s="3" t="s">
        <v>12</v>
      </c>
      <c r="D321" s="3" t="s">
        <v>12</v>
      </c>
      <c r="E321" s="3" t="s">
        <v>12</v>
      </c>
      <c r="F321" s="3" t="s">
        <v>12</v>
      </c>
      <c r="G321" s="3" t="s">
        <v>12</v>
      </c>
      <c r="H321" s="3" t="s">
        <v>12</v>
      </c>
      <c r="I321" s="5" t="s">
        <v>14</v>
      </c>
      <c r="J321" s="3" t="s">
        <v>12</v>
      </c>
      <c r="K321" s="29" t="s">
        <v>49</v>
      </c>
      <c r="L321" s="4" t="s">
        <v>13</v>
      </c>
      <c r="M321" s="3" t="s">
        <v>12</v>
      </c>
      <c r="N321" s="5" t="s">
        <v>14</v>
      </c>
      <c r="O321" s="12"/>
      <c r="Q321" s="14" t="s">
        <v>20</v>
      </c>
      <c r="R321" s="27" t="s">
        <v>44</v>
      </c>
      <c r="S321" s="17" t="s">
        <v>24</v>
      </c>
      <c r="T321" s="27" t="s">
        <v>44</v>
      </c>
      <c r="U321" s="189" t="s">
        <v>47</v>
      </c>
      <c r="V321" s="199" t="s">
        <v>74</v>
      </c>
      <c r="W321" s="19" t="s">
        <v>25</v>
      </c>
      <c r="X321" s="24" t="s">
        <v>29</v>
      </c>
      <c r="Y321" s="196" t="s">
        <v>114</v>
      </c>
      <c r="Z321" s="5" t="s">
        <v>26</v>
      </c>
      <c r="AA321" s="11" t="s">
        <v>46</v>
      </c>
      <c r="AB321" s="13" t="s">
        <v>22</v>
      </c>
    </row>
    <row r="322" spans="2:28">
      <c r="B322" s="8">
        <v>3</v>
      </c>
      <c r="C322" s="5" t="s">
        <v>14</v>
      </c>
      <c r="D322" s="3" t="s">
        <v>12</v>
      </c>
      <c r="E322" s="5" t="s">
        <v>14</v>
      </c>
      <c r="F322" s="3" t="s">
        <v>12</v>
      </c>
      <c r="G322" s="4" t="s">
        <v>13</v>
      </c>
      <c r="H322" s="5" t="s">
        <v>14</v>
      </c>
      <c r="I322" s="3" t="s">
        <v>12</v>
      </c>
      <c r="J322" s="3" t="s">
        <v>12</v>
      </c>
      <c r="K322" s="5" t="s">
        <v>14</v>
      </c>
      <c r="L322" s="3" t="s">
        <v>12</v>
      </c>
      <c r="M322" s="5" t="s">
        <v>14</v>
      </c>
      <c r="N322" s="3" t="s">
        <v>12</v>
      </c>
      <c r="O322" s="12"/>
      <c r="Q322" s="19" t="s">
        <v>25</v>
      </c>
      <c r="R322" s="17" t="s">
        <v>24</v>
      </c>
      <c r="S322" s="13" t="s">
        <v>22</v>
      </c>
      <c r="T322" s="13" t="s">
        <v>22</v>
      </c>
      <c r="U322" s="13" t="s">
        <v>22</v>
      </c>
      <c r="V322" s="13" t="s">
        <v>22</v>
      </c>
      <c r="W322" s="14" t="s">
        <v>20</v>
      </c>
      <c r="X322" s="19" t="s">
        <v>25</v>
      </c>
      <c r="Y322" s="19" t="s">
        <v>25</v>
      </c>
      <c r="Z322" s="199" t="s">
        <v>74</v>
      </c>
      <c r="AA322" s="15" t="s">
        <v>21</v>
      </c>
      <c r="AB322" s="190" t="s">
        <v>120</v>
      </c>
    </row>
    <row r="323" spans="2:28" ht="16.5" thickBot="1">
      <c r="B323" s="8">
        <v>4</v>
      </c>
      <c r="C323" s="3" t="s">
        <v>12</v>
      </c>
      <c r="D323" s="4" t="s">
        <v>13</v>
      </c>
      <c r="E323" s="3" t="s">
        <v>12</v>
      </c>
      <c r="F323" s="5" t="s">
        <v>14</v>
      </c>
      <c r="G323" s="3" t="s">
        <v>12</v>
      </c>
      <c r="H323" s="3" t="s">
        <v>12</v>
      </c>
      <c r="I323" s="4" t="s">
        <v>13</v>
      </c>
      <c r="J323" s="4" t="s">
        <v>13</v>
      </c>
      <c r="K323" s="3" t="s">
        <v>12</v>
      </c>
      <c r="L323" s="5" t="s">
        <v>14</v>
      </c>
      <c r="M323" s="3" t="s">
        <v>12</v>
      </c>
      <c r="N323" s="5" t="s">
        <v>14</v>
      </c>
      <c r="O323" s="12"/>
      <c r="Q323" s="17" t="s">
        <v>24</v>
      </c>
      <c r="R323" s="13" t="s">
        <v>22</v>
      </c>
      <c r="S323" s="191" t="s">
        <v>244</v>
      </c>
      <c r="T323" s="19" t="s">
        <v>25</v>
      </c>
      <c r="U323" s="15" t="s">
        <v>21</v>
      </c>
      <c r="V323" s="15" t="s">
        <v>21</v>
      </c>
      <c r="W323" s="963" t="s">
        <v>46</v>
      </c>
      <c r="Y323" s="15" t="s">
        <v>21</v>
      </c>
      <c r="Z323" s="13" t="s">
        <v>22</v>
      </c>
      <c r="AA323" s="197" t="s">
        <v>124</v>
      </c>
      <c r="AB323" s="189" t="s">
        <v>47</v>
      </c>
    </row>
    <row r="324" spans="2:28" ht="16.5" thickBot="1">
      <c r="B324" s="8">
        <v>5</v>
      </c>
      <c r="C324" s="613" t="s">
        <v>12</v>
      </c>
      <c r="D324" s="3" t="s">
        <v>12</v>
      </c>
      <c r="E324" s="4" t="s">
        <v>13</v>
      </c>
      <c r="F324" s="3" t="s">
        <v>12</v>
      </c>
      <c r="G324" s="614" t="s">
        <v>12</v>
      </c>
      <c r="H324" s="4" t="s">
        <v>13</v>
      </c>
      <c r="I324" s="3" t="s">
        <v>12</v>
      </c>
      <c r="J324" s="3" t="s">
        <v>12</v>
      </c>
      <c r="K324" s="4" t="s">
        <v>13</v>
      </c>
      <c r="L324" s="3" t="s">
        <v>12</v>
      </c>
      <c r="M324" s="3" t="s">
        <v>12</v>
      </c>
      <c r="N324" s="3" t="s">
        <v>12</v>
      </c>
      <c r="O324" s="12"/>
      <c r="Q324" s="15" t="s">
        <v>21</v>
      </c>
      <c r="R324" s="958" t="s">
        <v>74</v>
      </c>
      <c r="S324" s="27" t="s">
        <v>44</v>
      </c>
      <c r="T324" s="15" t="s">
        <v>21</v>
      </c>
      <c r="V324" s="23" t="s">
        <v>28</v>
      </c>
      <c r="Z324" s="19" t="s">
        <v>25</v>
      </c>
      <c r="AA324" s="961" t="s">
        <v>339</v>
      </c>
      <c r="AB324" s="15" t="s">
        <v>21</v>
      </c>
    </row>
    <row r="325" spans="2:28" ht="16.5" thickBot="1">
      <c r="B325" s="8">
        <v>6</v>
      </c>
      <c r="D325" s="3" t="s">
        <v>12</v>
      </c>
      <c r="E325" s="3" t="s">
        <v>12</v>
      </c>
      <c r="F325" s="3" t="s">
        <v>12</v>
      </c>
      <c r="G325" s="5" t="s">
        <v>14</v>
      </c>
      <c r="H325" s="3" t="s">
        <v>12</v>
      </c>
      <c r="J325" s="5" t="s">
        <v>14</v>
      </c>
      <c r="K325" s="3" t="s">
        <v>12</v>
      </c>
      <c r="M325" s="4" t="s">
        <v>13</v>
      </c>
      <c r="N325" s="3" t="s">
        <v>12</v>
      </c>
      <c r="O325" s="12"/>
      <c r="R325" s="959" t="s">
        <v>155</v>
      </c>
      <c r="S325" s="15" t="s">
        <v>21</v>
      </c>
      <c r="T325" s="17" t="s">
        <v>24</v>
      </c>
      <c r="AB325" s="19" t="s">
        <v>25</v>
      </c>
    </row>
    <row r="326" spans="2:28" ht="16.5" thickBot="1">
      <c r="B326" s="8">
        <v>7</v>
      </c>
      <c r="D326" s="3" t="s">
        <v>12</v>
      </c>
      <c r="F326" s="4" t="s">
        <v>13</v>
      </c>
      <c r="G326" s="3" t="s">
        <v>12</v>
      </c>
      <c r="J326" s="3" t="s">
        <v>12</v>
      </c>
      <c r="K326" s="614" t="s">
        <v>12</v>
      </c>
      <c r="M326" s="3" t="s">
        <v>12</v>
      </c>
      <c r="N326" s="3" t="s">
        <v>12</v>
      </c>
      <c r="O326" s="12"/>
      <c r="S326" s="193" t="s">
        <v>155</v>
      </c>
      <c r="T326" s="963" t="s">
        <v>46</v>
      </c>
      <c r="AB326" s="14" t="s">
        <v>20</v>
      </c>
    </row>
    <row r="327" spans="2:28">
      <c r="B327" s="8">
        <v>8</v>
      </c>
      <c r="F327" s="3" t="s">
        <v>12</v>
      </c>
      <c r="N327" s="3" t="s">
        <v>12</v>
      </c>
      <c r="O327" s="12"/>
    </row>
    <row r="328" spans="2:28">
      <c r="B328" s="8">
        <v>9</v>
      </c>
      <c r="N328" s="3" t="s">
        <v>12</v>
      </c>
      <c r="O328" s="12"/>
      <c r="Q328" s="25" t="s">
        <v>30</v>
      </c>
    </row>
    <row r="329" spans="2:28">
      <c r="B329" s="8">
        <v>10</v>
      </c>
      <c r="Q329" s="1507" t="s">
        <v>1</v>
      </c>
      <c r="R329" s="20" t="s">
        <v>2</v>
      </c>
      <c r="S329" s="20" t="s">
        <v>3</v>
      </c>
      <c r="T329" s="20" t="s">
        <v>4</v>
      </c>
      <c r="U329" s="20" t="s">
        <v>5</v>
      </c>
      <c r="V329" s="20" t="s">
        <v>6</v>
      </c>
      <c r="W329" s="20" t="s">
        <v>7</v>
      </c>
      <c r="X329" s="20" t="s">
        <v>8</v>
      </c>
      <c r="Y329" s="20" t="s">
        <v>9</v>
      </c>
      <c r="Z329" s="20" t="s">
        <v>10</v>
      </c>
      <c r="AA329" s="20" t="s">
        <v>36</v>
      </c>
      <c r="AB329" s="20" t="s">
        <v>37</v>
      </c>
    </row>
    <row r="330" spans="2:28">
      <c r="B330" t="s">
        <v>15</v>
      </c>
      <c r="C330" s="7" t="s">
        <v>17</v>
      </c>
      <c r="D330" s="6" t="s">
        <v>16</v>
      </c>
      <c r="E330" s="6" t="s">
        <v>16</v>
      </c>
      <c r="F330" s="7" t="s">
        <v>17</v>
      </c>
      <c r="G330" s="6" t="s">
        <v>16</v>
      </c>
      <c r="H330" s="6" t="s">
        <v>16</v>
      </c>
      <c r="I330" s="6" t="s">
        <v>16</v>
      </c>
      <c r="J330" s="7" t="s">
        <v>17</v>
      </c>
      <c r="K330" s="6" t="s">
        <v>16</v>
      </c>
      <c r="L330" s="6" t="s">
        <v>16</v>
      </c>
      <c r="M330" s="6" t="s">
        <v>16</v>
      </c>
      <c r="N330" s="13" t="s">
        <v>59</v>
      </c>
      <c r="Q330" t="s">
        <v>241</v>
      </c>
      <c r="R330" t="s">
        <v>242</v>
      </c>
      <c r="S330" t="s">
        <v>243</v>
      </c>
      <c r="T330" t="s">
        <v>816</v>
      </c>
      <c r="U330" t="s">
        <v>817</v>
      </c>
      <c r="V330" t="s">
        <v>818</v>
      </c>
      <c r="W330" t="s">
        <v>245</v>
      </c>
      <c r="X330" t="s">
        <v>820</v>
      </c>
      <c r="Y330" t="s">
        <v>247</v>
      </c>
      <c r="Z330" t="s">
        <v>248</v>
      </c>
      <c r="AA330" t="s">
        <v>248</v>
      </c>
      <c r="AB330" t="s">
        <v>825</v>
      </c>
    </row>
    <row r="331" spans="2:28">
      <c r="B331" t="s">
        <v>1564</v>
      </c>
      <c r="C331" s="5" t="s">
        <v>87</v>
      </c>
      <c r="G331" s="11" t="s">
        <v>45</v>
      </c>
      <c r="K331" s="11" t="s">
        <v>45</v>
      </c>
      <c r="Q331" t="s">
        <v>242</v>
      </c>
      <c r="R331" t="s">
        <v>813</v>
      </c>
      <c r="S331" t="s">
        <v>106</v>
      </c>
      <c r="T331" t="s">
        <v>817</v>
      </c>
      <c r="U331" t="s">
        <v>818</v>
      </c>
      <c r="V331" t="s">
        <v>245</v>
      </c>
      <c r="W331" t="s">
        <v>246</v>
      </c>
      <c r="X331" t="s">
        <v>206</v>
      </c>
      <c r="Y331" t="s">
        <v>822</v>
      </c>
      <c r="Z331" t="s">
        <v>824</v>
      </c>
      <c r="AA331" t="s">
        <v>97</v>
      </c>
      <c r="AB331" t="s">
        <v>249</v>
      </c>
    </row>
    <row r="332" spans="2:28">
      <c r="S332" t="s">
        <v>814</v>
      </c>
      <c r="U332" t="s">
        <v>819</v>
      </c>
      <c r="W332" t="s">
        <v>820</v>
      </c>
      <c r="X332" t="s">
        <v>821</v>
      </c>
      <c r="Y332" t="s">
        <v>823</v>
      </c>
      <c r="Z332" t="s">
        <v>248</v>
      </c>
      <c r="AA332" t="s">
        <v>825</v>
      </c>
      <c r="AB332" t="s">
        <v>826</v>
      </c>
    </row>
    <row r="333" spans="2:28">
      <c r="S333" t="s">
        <v>815</v>
      </c>
      <c r="U333" t="s">
        <v>818</v>
      </c>
      <c r="X333" t="s">
        <v>206</v>
      </c>
      <c r="Y333" t="s">
        <v>248</v>
      </c>
      <c r="AB333" t="s">
        <v>827</v>
      </c>
    </row>
    <row r="334" spans="2:28">
      <c r="S334" t="s">
        <v>816</v>
      </c>
      <c r="X334" t="s">
        <v>247</v>
      </c>
      <c r="AB334" t="s">
        <v>828</v>
      </c>
    </row>
    <row r="335" spans="2:28" ht="21">
      <c r="B335" s="1" t="s">
        <v>144</v>
      </c>
      <c r="AB335" t="s">
        <v>829</v>
      </c>
    </row>
    <row r="336" spans="2:28">
      <c r="B336" s="21" t="s">
        <v>230</v>
      </c>
      <c r="C336" s="13"/>
      <c r="E336" s="45" t="s">
        <v>583</v>
      </c>
      <c r="Q336" s="10" t="s">
        <v>19</v>
      </c>
      <c r="AB336" t="s">
        <v>830</v>
      </c>
    </row>
    <row r="337" spans="2:28">
      <c r="B337" s="9" t="s">
        <v>0</v>
      </c>
      <c r="C337" s="20" t="s">
        <v>1</v>
      </c>
      <c r="D337" s="20" t="s">
        <v>2</v>
      </c>
      <c r="E337" s="20" t="s">
        <v>3</v>
      </c>
      <c r="F337" s="20" t="s">
        <v>4</v>
      </c>
      <c r="G337" s="20" t="s">
        <v>5</v>
      </c>
      <c r="H337" s="20" t="s">
        <v>6</v>
      </c>
      <c r="I337" s="20" t="s">
        <v>7</v>
      </c>
      <c r="J337" s="20" t="s">
        <v>8</v>
      </c>
      <c r="K337" s="20" t="s">
        <v>9</v>
      </c>
      <c r="L337" s="20" t="s">
        <v>10</v>
      </c>
      <c r="M337" s="20" t="s">
        <v>36</v>
      </c>
      <c r="N337" s="20" t="s">
        <v>37</v>
      </c>
      <c r="Q337" s="11" t="s">
        <v>1</v>
      </c>
      <c r="R337" s="11" t="s">
        <v>2</v>
      </c>
      <c r="S337" s="11" t="s">
        <v>3</v>
      </c>
      <c r="T337" s="11" t="s">
        <v>4</v>
      </c>
      <c r="U337" s="11" t="s">
        <v>5</v>
      </c>
      <c r="V337" s="11" t="s">
        <v>6</v>
      </c>
      <c r="W337" s="11" t="s">
        <v>7</v>
      </c>
      <c r="X337" s="11" t="s">
        <v>8</v>
      </c>
      <c r="Y337" s="11" t="s">
        <v>9</v>
      </c>
      <c r="Z337" s="1506" t="s">
        <v>10</v>
      </c>
      <c r="AA337" s="1506" t="s">
        <v>36</v>
      </c>
      <c r="AB337" s="1506" t="s">
        <v>37</v>
      </c>
    </row>
    <row r="338" spans="2:28">
      <c r="B338" s="8">
        <v>1</v>
      </c>
      <c r="C338" s="3" t="s">
        <v>12</v>
      </c>
      <c r="D338" s="3" t="s">
        <v>12</v>
      </c>
      <c r="E338" s="3" t="s">
        <v>12</v>
      </c>
      <c r="F338" s="3" t="s">
        <v>12</v>
      </c>
      <c r="G338" s="3" t="s">
        <v>12</v>
      </c>
      <c r="H338" s="3" t="s">
        <v>12</v>
      </c>
      <c r="I338" s="3" t="s">
        <v>12</v>
      </c>
      <c r="J338" s="3" t="s">
        <v>12</v>
      </c>
      <c r="K338" s="3" t="s">
        <v>12</v>
      </c>
      <c r="L338" s="3" t="s">
        <v>12</v>
      </c>
      <c r="M338" s="3" t="s">
        <v>12</v>
      </c>
      <c r="N338" s="3" t="s">
        <v>12</v>
      </c>
      <c r="O338" s="12"/>
      <c r="Q338" s="14" t="s">
        <v>20</v>
      </c>
      <c r="R338" s="14" t="s">
        <v>20</v>
      </c>
      <c r="S338" s="22" t="s">
        <v>27</v>
      </c>
      <c r="T338" s="189" t="s">
        <v>47</v>
      </c>
      <c r="U338" s="27" t="s">
        <v>44</v>
      </c>
      <c r="V338" s="19" t="s">
        <v>25</v>
      </c>
      <c r="W338" s="19" t="s">
        <v>25</v>
      </c>
      <c r="X338" s="14" t="s">
        <v>20</v>
      </c>
      <c r="Y338" s="190" t="s">
        <v>120</v>
      </c>
      <c r="Z338" s="17" t="s">
        <v>24</v>
      </c>
      <c r="AA338" s="14" t="s">
        <v>20</v>
      </c>
      <c r="AB338" s="14" t="s">
        <v>20</v>
      </c>
    </row>
    <row r="339" spans="2:28">
      <c r="B339" s="8">
        <v>2</v>
      </c>
      <c r="C339" s="3" t="s">
        <v>12</v>
      </c>
      <c r="D339" s="3" t="s">
        <v>12</v>
      </c>
      <c r="E339" s="3" t="s">
        <v>12</v>
      </c>
      <c r="F339" s="4" t="s">
        <v>13</v>
      </c>
      <c r="G339" s="29" t="s">
        <v>49</v>
      </c>
      <c r="H339" s="5" t="s">
        <v>14</v>
      </c>
      <c r="I339" s="29" t="s">
        <v>49</v>
      </c>
      <c r="J339" s="3" t="s">
        <v>12</v>
      </c>
      <c r="K339" s="5" t="s">
        <v>14</v>
      </c>
      <c r="L339" s="5" t="s">
        <v>14</v>
      </c>
      <c r="M339" s="3" t="s">
        <v>12</v>
      </c>
      <c r="N339" s="3" t="s">
        <v>12</v>
      </c>
      <c r="O339" s="12"/>
      <c r="Q339" s="17" t="s">
        <v>24</v>
      </c>
      <c r="R339" s="5" t="s">
        <v>26</v>
      </c>
      <c r="S339" s="19" t="s">
        <v>25</v>
      </c>
      <c r="T339" s="13" t="s">
        <v>22</v>
      </c>
      <c r="U339" s="22" t="s">
        <v>27</v>
      </c>
      <c r="V339" s="15" t="s">
        <v>21</v>
      </c>
      <c r="W339" s="190" t="s">
        <v>120</v>
      </c>
      <c r="X339" s="193" t="s">
        <v>155</v>
      </c>
      <c r="Y339" s="17" t="s">
        <v>24</v>
      </c>
      <c r="Z339" s="189" t="s">
        <v>47</v>
      </c>
      <c r="AA339" s="13" t="s">
        <v>22</v>
      </c>
      <c r="AB339" s="15" t="s">
        <v>21</v>
      </c>
    </row>
    <row r="340" spans="2:28">
      <c r="B340" s="8">
        <v>3</v>
      </c>
      <c r="C340" s="5" t="s">
        <v>14</v>
      </c>
      <c r="D340" s="29" t="s">
        <v>49</v>
      </c>
      <c r="E340" s="4" t="s">
        <v>13</v>
      </c>
      <c r="F340" s="3" t="s">
        <v>12</v>
      </c>
      <c r="G340" s="5" t="s">
        <v>14</v>
      </c>
      <c r="H340" s="3" t="s">
        <v>12</v>
      </c>
      <c r="I340" s="5" t="s">
        <v>14</v>
      </c>
      <c r="J340" s="5" t="s">
        <v>14</v>
      </c>
      <c r="K340" s="3" t="s">
        <v>12</v>
      </c>
      <c r="L340" s="3" t="s">
        <v>12</v>
      </c>
      <c r="M340" s="3" t="s">
        <v>12</v>
      </c>
      <c r="N340" s="3" t="s">
        <v>12</v>
      </c>
      <c r="O340" s="12"/>
      <c r="Q340" s="23" t="s">
        <v>28</v>
      </c>
      <c r="R340" s="19" t="s">
        <v>25</v>
      </c>
      <c r="S340" s="23" t="s">
        <v>28</v>
      </c>
      <c r="T340" s="19" t="s">
        <v>25</v>
      </c>
      <c r="U340" s="189" t="s">
        <v>47</v>
      </c>
      <c r="V340" s="189" t="s">
        <v>47</v>
      </c>
      <c r="W340" s="14" t="s">
        <v>20</v>
      </c>
      <c r="X340" s="22" t="s">
        <v>27</v>
      </c>
      <c r="Y340" s="189" t="s">
        <v>47</v>
      </c>
      <c r="Z340" s="27" t="s">
        <v>44</v>
      </c>
      <c r="AA340" s="27" t="s">
        <v>44</v>
      </c>
      <c r="AB340" s="201" t="s">
        <v>93</v>
      </c>
    </row>
    <row r="341" spans="2:28" ht="16.5" thickBot="1">
      <c r="B341" s="8">
        <v>4</v>
      </c>
      <c r="C341" s="3" t="s">
        <v>12</v>
      </c>
      <c r="D341" s="5" t="s">
        <v>14</v>
      </c>
      <c r="E341" s="3" t="s">
        <v>12</v>
      </c>
      <c r="F341" s="5" t="s">
        <v>14</v>
      </c>
      <c r="G341" s="3" t="s">
        <v>12</v>
      </c>
      <c r="H341" s="4" t="s">
        <v>13</v>
      </c>
      <c r="I341" s="4" t="s">
        <v>13</v>
      </c>
      <c r="J341" s="3" t="s">
        <v>12</v>
      </c>
      <c r="K341" s="3" t="s">
        <v>12</v>
      </c>
      <c r="L341" s="4" t="s">
        <v>13</v>
      </c>
      <c r="M341" s="5" t="s">
        <v>14</v>
      </c>
      <c r="N341" s="5" t="s">
        <v>14</v>
      </c>
      <c r="O341" s="12"/>
      <c r="Q341" s="19" t="s">
        <v>25</v>
      </c>
      <c r="R341" s="192" t="s">
        <v>68</v>
      </c>
      <c r="S341" s="27" t="s">
        <v>44</v>
      </c>
      <c r="T341" s="5" t="s">
        <v>26</v>
      </c>
      <c r="U341" s="23" t="s">
        <v>28</v>
      </c>
      <c r="X341" s="13" t="s">
        <v>22</v>
      </c>
      <c r="Y341" s="15" t="s">
        <v>21</v>
      </c>
      <c r="Z341" s="11" t="s">
        <v>46</v>
      </c>
      <c r="AA341" s="5" t="s">
        <v>26</v>
      </c>
      <c r="AB341" s="23" t="s">
        <v>28</v>
      </c>
    </row>
    <row r="342" spans="2:28" ht="16.5" thickBot="1">
      <c r="B342" s="8">
        <v>5</v>
      </c>
      <c r="C342" s="38" t="s">
        <v>231</v>
      </c>
      <c r="D342" s="4" t="s">
        <v>13</v>
      </c>
      <c r="E342" s="5" t="s">
        <v>14</v>
      </c>
      <c r="F342" s="3" t="s">
        <v>12</v>
      </c>
      <c r="G342" s="5" t="s">
        <v>14</v>
      </c>
      <c r="H342" s="3" t="s">
        <v>12</v>
      </c>
      <c r="I342" s="614" t="s">
        <v>12</v>
      </c>
      <c r="J342" s="4" t="s">
        <v>13</v>
      </c>
      <c r="K342" s="3" t="s">
        <v>12</v>
      </c>
      <c r="L342" s="3" t="s">
        <v>12</v>
      </c>
      <c r="M342" s="3" t="s">
        <v>12</v>
      </c>
      <c r="N342" s="3" t="s">
        <v>12</v>
      </c>
      <c r="O342" s="12"/>
      <c r="Q342" s="27" t="s">
        <v>44</v>
      </c>
      <c r="R342" s="193" t="s">
        <v>155</v>
      </c>
      <c r="S342" s="15" t="s">
        <v>21</v>
      </c>
      <c r="T342" s="198" t="s">
        <v>234</v>
      </c>
      <c r="U342" s="15" t="s">
        <v>21</v>
      </c>
      <c r="X342" s="19" t="s">
        <v>25</v>
      </c>
      <c r="Y342" s="23" t="s">
        <v>28</v>
      </c>
      <c r="Z342" s="15" t="s">
        <v>21</v>
      </c>
      <c r="AA342" s="15" t="s">
        <v>21</v>
      </c>
      <c r="AB342" s="191" t="s">
        <v>244</v>
      </c>
    </row>
    <row r="343" spans="2:28" ht="16.5" thickBot="1">
      <c r="B343" s="8">
        <v>6</v>
      </c>
      <c r="C343" s="3" t="s">
        <v>12</v>
      </c>
      <c r="D343" s="3" t="s">
        <v>12</v>
      </c>
      <c r="E343" s="3" t="s">
        <v>12</v>
      </c>
      <c r="F343" s="12"/>
      <c r="G343" s="3" t="s">
        <v>12</v>
      </c>
      <c r="H343" s="3" t="s">
        <v>12</v>
      </c>
      <c r="I343" s="3" t="s">
        <v>12</v>
      </c>
      <c r="J343" s="3" t="s">
        <v>12</v>
      </c>
      <c r="K343" s="3" t="s">
        <v>12</v>
      </c>
      <c r="L343" s="3" t="s">
        <v>12</v>
      </c>
      <c r="M343" s="4" t="s">
        <v>13</v>
      </c>
      <c r="N343" s="3" t="s">
        <v>12</v>
      </c>
      <c r="O343" s="12"/>
      <c r="Q343" s="5" t="s">
        <v>26</v>
      </c>
      <c r="R343" s="27" t="s">
        <v>44</v>
      </c>
      <c r="S343" s="190" t="s">
        <v>120</v>
      </c>
      <c r="T343" s="189" t="s">
        <v>47</v>
      </c>
      <c r="X343" s="17" t="s">
        <v>24</v>
      </c>
      <c r="Y343" s="983" t="s">
        <v>124</v>
      </c>
      <c r="AA343" s="194" t="s">
        <v>43</v>
      </c>
      <c r="AB343" s="975" t="s">
        <v>109</v>
      </c>
    </row>
    <row r="344" spans="2:28" ht="16.5" thickBot="1">
      <c r="B344" s="8">
        <v>7</v>
      </c>
      <c r="C344" s="3" t="s">
        <v>12</v>
      </c>
      <c r="G344" s="3" t="s">
        <v>12</v>
      </c>
      <c r="J344" s="614" t="s">
        <v>12</v>
      </c>
      <c r="K344" s="3" t="s">
        <v>12</v>
      </c>
      <c r="L344" s="3" t="s">
        <v>12</v>
      </c>
      <c r="M344" s="3" t="s">
        <v>12</v>
      </c>
      <c r="N344" s="3" t="s">
        <v>12</v>
      </c>
      <c r="O344" s="12"/>
      <c r="Q344" s="15" t="s">
        <v>21</v>
      </c>
      <c r="X344" s="15" t="s">
        <v>21</v>
      </c>
      <c r="AA344" s="189" t="s">
        <v>47</v>
      </c>
    </row>
    <row r="345" spans="2:28" ht="16.5" thickBot="1">
      <c r="B345" s="8">
        <v>8</v>
      </c>
      <c r="C345" s="613" t="s">
        <v>12</v>
      </c>
      <c r="K345" s="3" t="s">
        <v>12</v>
      </c>
    </row>
    <row r="346" spans="2:28">
      <c r="B346" s="8">
        <v>9</v>
      </c>
      <c r="Q346" s="25" t="s">
        <v>30</v>
      </c>
    </row>
    <row r="347" spans="2:28">
      <c r="B347" s="8">
        <v>10</v>
      </c>
      <c r="Q347" s="1507" t="s">
        <v>1</v>
      </c>
      <c r="R347" s="20" t="s">
        <v>2</v>
      </c>
      <c r="S347" s="20" t="s">
        <v>3</v>
      </c>
      <c r="T347" s="20" t="s">
        <v>4</v>
      </c>
      <c r="U347" s="20" t="s">
        <v>5</v>
      </c>
      <c r="V347" s="20" t="s">
        <v>6</v>
      </c>
      <c r="W347" s="20" t="s">
        <v>7</v>
      </c>
      <c r="X347" s="20" t="s">
        <v>8</v>
      </c>
      <c r="Y347" s="20" t="s">
        <v>9</v>
      </c>
      <c r="Z347" s="20" t="s">
        <v>10</v>
      </c>
      <c r="AA347" s="20" t="s">
        <v>36</v>
      </c>
      <c r="AB347" s="20" t="s">
        <v>37</v>
      </c>
    </row>
    <row r="348" spans="2:28">
      <c r="B348" t="s">
        <v>15</v>
      </c>
      <c r="C348" s="7" t="s">
        <v>17</v>
      </c>
      <c r="D348" s="6" t="s">
        <v>16</v>
      </c>
      <c r="E348" s="6" t="s">
        <v>16</v>
      </c>
      <c r="F348" s="7" t="s">
        <v>17</v>
      </c>
      <c r="G348" s="6" t="s">
        <v>16</v>
      </c>
      <c r="H348" s="7" t="s">
        <v>17</v>
      </c>
      <c r="I348" s="6" t="s">
        <v>16</v>
      </c>
      <c r="J348" s="6" t="s">
        <v>16</v>
      </c>
      <c r="K348" s="7" t="s">
        <v>17</v>
      </c>
      <c r="L348" s="6" t="s">
        <v>16</v>
      </c>
      <c r="M348" s="6" t="s">
        <v>16</v>
      </c>
      <c r="N348" s="13" t="s">
        <v>59</v>
      </c>
      <c r="Q348" t="s">
        <v>105</v>
      </c>
      <c r="R348" t="s">
        <v>232</v>
      </c>
      <c r="S348" t="s">
        <v>831</v>
      </c>
      <c r="T348" t="s">
        <v>831</v>
      </c>
      <c r="U348" t="s">
        <v>834</v>
      </c>
      <c r="V348" t="s">
        <v>406</v>
      </c>
      <c r="W348" t="s">
        <v>235</v>
      </c>
      <c r="X348" t="s">
        <v>837</v>
      </c>
      <c r="Y348" t="s">
        <v>236</v>
      </c>
      <c r="Z348" t="s">
        <v>238</v>
      </c>
      <c r="AA348" t="s">
        <v>238</v>
      </c>
      <c r="AB348" t="s">
        <v>67</v>
      </c>
    </row>
    <row r="349" spans="2:28">
      <c r="B349" t="s">
        <v>1564</v>
      </c>
      <c r="C349" s="5" t="s">
        <v>87</v>
      </c>
      <c r="D349" s="6" t="s">
        <v>2600</v>
      </c>
      <c r="I349" s="11" t="s">
        <v>45</v>
      </c>
      <c r="J349" s="11" t="s">
        <v>45</v>
      </c>
      <c r="Q349" t="s">
        <v>232</v>
      </c>
      <c r="R349" t="s">
        <v>831</v>
      </c>
      <c r="S349" t="s">
        <v>1160</v>
      </c>
      <c r="T349" t="s">
        <v>233</v>
      </c>
      <c r="U349" t="s">
        <v>835</v>
      </c>
      <c r="V349" t="s">
        <v>235</v>
      </c>
      <c r="W349" t="s">
        <v>836</v>
      </c>
      <c r="X349" t="s">
        <v>236</v>
      </c>
      <c r="Y349" t="s">
        <v>840</v>
      </c>
      <c r="Z349" t="s">
        <v>841</v>
      </c>
      <c r="AA349" t="s">
        <v>113</v>
      </c>
      <c r="AB349" t="s">
        <v>239</v>
      </c>
    </row>
    <row r="350" spans="2:28">
      <c r="R350" t="s">
        <v>832</v>
      </c>
      <c r="S350" t="s">
        <v>1161</v>
      </c>
      <c r="T350" t="s">
        <v>834</v>
      </c>
      <c r="U350" t="s">
        <v>406</v>
      </c>
      <c r="W350" t="s">
        <v>837</v>
      </c>
      <c r="X350" t="s">
        <v>838</v>
      </c>
      <c r="Y350" t="s">
        <v>237</v>
      </c>
      <c r="Z350" t="s">
        <v>842</v>
      </c>
      <c r="AA350" t="s">
        <v>67</v>
      </c>
    </row>
    <row r="351" spans="2:28">
      <c r="R351" t="s">
        <v>833</v>
      </c>
      <c r="X351" t="s">
        <v>839</v>
      </c>
      <c r="Y351" t="s">
        <v>238</v>
      </c>
      <c r="Z351" t="s">
        <v>843</v>
      </c>
    </row>
    <row r="352" spans="2:28">
      <c r="R352" t="s">
        <v>831</v>
      </c>
      <c r="X352" t="s">
        <v>236</v>
      </c>
      <c r="Z352" t="s">
        <v>844</v>
      </c>
    </row>
    <row r="353" spans="2:28" ht="21">
      <c r="B353" s="1" t="s">
        <v>145</v>
      </c>
      <c r="Z353" t="s">
        <v>238</v>
      </c>
    </row>
    <row r="354" spans="2:28">
      <c r="B354" s="21" t="s">
        <v>221</v>
      </c>
      <c r="C354" s="13"/>
      <c r="E354" s="45" t="s">
        <v>584</v>
      </c>
      <c r="Q354" s="10" t="s">
        <v>19</v>
      </c>
    </row>
    <row r="355" spans="2:28">
      <c r="B355" s="9" t="s">
        <v>0</v>
      </c>
      <c r="C355" s="20" t="s">
        <v>1</v>
      </c>
      <c r="D355" s="20" t="s">
        <v>2</v>
      </c>
      <c r="E355" s="20" t="s">
        <v>3</v>
      </c>
      <c r="F355" s="20" t="s">
        <v>4</v>
      </c>
      <c r="G355" s="20" t="s">
        <v>5</v>
      </c>
      <c r="H355" s="20" t="s">
        <v>6</v>
      </c>
      <c r="I355" s="20" t="s">
        <v>7</v>
      </c>
      <c r="J355" s="20" t="s">
        <v>8</v>
      </c>
      <c r="K355" s="20" t="s">
        <v>9</v>
      </c>
      <c r="L355" s="20" t="s">
        <v>10</v>
      </c>
      <c r="M355" s="20" t="s">
        <v>36</v>
      </c>
      <c r="N355" s="20" t="s">
        <v>37</v>
      </c>
      <c r="Q355" s="11" t="s">
        <v>1</v>
      </c>
      <c r="R355" s="11" t="s">
        <v>2</v>
      </c>
      <c r="S355" s="11" t="s">
        <v>3</v>
      </c>
      <c r="T355" s="11" t="s">
        <v>4</v>
      </c>
      <c r="U355" s="11" t="s">
        <v>5</v>
      </c>
      <c r="V355" s="11" t="s">
        <v>6</v>
      </c>
      <c r="W355" s="11" t="s">
        <v>7</v>
      </c>
      <c r="X355" s="11" t="s">
        <v>8</v>
      </c>
      <c r="Y355" s="11" t="s">
        <v>9</v>
      </c>
      <c r="Z355" s="1506" t="s">
        <v>10</v>
      </c>
      <c r="AA355" s="1506" t="s">
        <v>36</v>
      </c>
      <c r="AB355" s="1506" t="s">
        <v>37</v>
      </c>
    </row>
    <row r="356" spans="2:28">
      <c r="B356" s="8">
        <v>1</v>
      </c>
      <c r="C356" s="3" t="s">
        <v>12</v>
      </c>
      <c r="D356" s="3" t="s">
        <v>12</v>
      </c>
      <c r="E356" s="3" t="s">
        <v>12</v>
      </c>
      <c r="F356" s="3" t="s">
        <v>12</v>
      </c>
      <c r="G356" s="3" t="s">
        <v>12</v>
      </c>
      <c r="H356" s="3" t="s">
        <v>12</v>
      </c>
      <c r="I356" s="3" t="s">
        <v>12</v>
      </c>
      <c r="J356" s="3" t="s">
        <v>12</v>
      </c>
      <c r="K356" s="3" t="s">
        <v>12</v>
      </c>
      <c r="L356" s="3" t="s">
        <v>12</v>
      </c>
      <c r="M356" s="3" t="s">
        <v>12</v>
      </c>
      <c r="N356" s="3" t="s">
        <v>12</v>
      </c>
      <c r="O356" s="12"/>
      <c r="Q356" s="5" t="s">
        <v>26</v>
      </c>
      <c r="R356" s="17" t="s">
        <v>24</v>
      </c>
      <c r="S356" s="13" t="s">
        <v>22</v>
      </c>
      <c r="T356" s="5" t="s">
        <v>26</v>
      </c>
      <c r="U356" s="4" t="s">
        <v>73</v>
      </c>
      <c r="V356" s="17" t="s">
        <v>24</v>
      </c>
      <c r="W356" s="15" t="s">
        <v>21</v>
      </c>
      <c r="X356" s="22" t="s">
        <v>27</v>
      </c>
      <c r="Y356" s="193" t="s">
        <v>155</v>
      </c>
      <c r="Z356" s="19" t="s">
        <v>25</v>
      </c>
      <c r="AA356" s="19" t="s">
        <v>25</v>
      </c>
      <c r="AB356" s="5" t="s">
        <v>26</v>
      </c>
    </row>
    <row r="357" spans="2:28">
      <c r="B357" s="8">
        <v>2</v>
      </c>
      <c r="C357" s="3" t="s">
        <v>12</v>
      </c>
      <c r="D357" s="4" t="s">
        <v>13</v>
      </c>
      <c r="E357" s="4" t="s">
        <v>13</v>
      </c>
      <c r="F357" s="19" t="s">
        <v>71</v>
      </c>
      <c r="G357" s="29" t="s">
        <v>49</v>
      </c>
      <c r="H357" s="19" t="s">
        <v>71</v>
      </c>
      <c r="I357" s="3" t="s">
        <v>12</v>
      </c>
      <c r="J357" s="4" t="s">
        <v>13</v>
      </c>
      <c r="K357" s="5" t="s">
        <v>14</v>
      </c>
      <c r="L357" s="29" t="s">
        <v>49</v>
      </c>
      <c r="M357" s="3" t="s">
        <v>12</v>
      </c>
      <c r="N357" s="3" t="s">
        <v>12</v>
      </c>
      <c r="O357" s="12"/>
      <c r="Q357" s="17" t="s">
        <v>24</v>
      </c>
      <c r="R357" s="22" t="s">
        <v>27</v>
      </c>
      <c r="S357" s="194" t="s">
        <v>43</v>
      </c>
      <c r="T357" s="24" t="s">
        <v>29</v>
      </c>
      <c r="U357" s="13" t="s">
        <v>22</v>
      </c>
      <c r="V357" s="19" t="s">
        <v>25</v>
      </c>
      <c r="W357" s="190" t="s">
        <v>120</v>
      </c>
      <c r="X357" s="19" t="s">
        <v>25</v>
      </c>
      <c r="Y357" s="17" t="s">
        <v>24</v>
      </c>
      <c r="Z357" s="22" t="s">
        <v>27</v>
      </c>
      <c r="AA357" s="24" t="s">
        <v>29</v>
      </c>
      <c r="AB357" s="194" t="s">
        <v>43</v>
      </c>
    </row>
    <row r="358" spans="2:28" ht="16.5" thickBot="1">
      <c r="B358" s="8">
        <v>3</v>
      </c>
      <c r="C358" s="3" t="s">
        <v>12</v>
      </c>
      <c r="D358" s="3" t="s">
        <v>12</v>
      </c>
      <c r="E358" s="3" t="s">
        <v>12</v>
      </c>
      <c r="F358" s="5" t="s">
        <v>14</v>
      </c>
      <c r="G358" s="4" t="s">
        <v>13</v>
      </c>
      <c r="H358" s="3" t="s">
        <v>12</v>
      </c>
      <c r="I358" s="4" t="s">
        <v>13</v>
      </c>
      <c r="J358" s="822" t="s">
        <v>49</v>
      </c>
      <c r="K358" s="3" t="s">
        <v>12</v>
      </c>
      <c r="L358" s="19" t="s">
        <v>71</v>
      </c>
      <c r="M358" s="5" t="s">
        <v>14</v>
      </c>
      <c r="N358" s="5" t="s">
        <v>14</v>
      </c>
      <c r="O358" s="12"/>
      <c r="Q358" s="11" t="s">
        <v>46</v>
      </c>
      <c r="R358" s="189" t="s">
        <v>47</v>
      </c>
      <c r="S358" s="15" t="s">
        <v>21</v>
      </c>
      <c r="T358" s="17" t="s">
        <v>24</v>
      </c>
      <c r="U358" s="14" t="s">
        <v>20</v>
      </c>
      <c r="V358" s="27" t="s">
        <v>44</v>
      </c>
      <c r="W358" s="189" t="s">
        <v>47</v>
      </c>
      <c r="X358" s="13" t="s">
        <v>22</v>
      </c>
      <c r="Y358" s="19" t="s">
        <v>25</v>
      </c>
      <c r="Z358" s="13" t="s">
        <v>22</v>
      </c>
      <c r="AA358" s="15" t="s">
        <v>21</v>
      </c>
      <c r="AB358" s="19" t="s">
        <v>25</v>
      </c>
    </row>
    <row r="359" spans="2:28" ht="16.5" thickBot="1">
      <c r="B359" s="8">
        <v>4</v>
      </c>
      <c r="C359" s="5" t="s">
        <v>14</v>
      </c>
      <c r="D359" s="5" t="s">
        <v>14</v>
      </c>
      <c r="E359" s="5" t="s">
        <v>14</v>
      </c>
      <c r="F359" s="3" t="s">
        <v>12</v>
      </c>
      <c r="G359" s="3" t="s">
        <v>12</v>
      </c>
      <c r="H359" s="5" t="s">
        <v>14</v>
      </c>
      <c r="I359" s="3" t="s">
        <v>12</v>
      </c>
      <c r="J359" s="614" t="s">
        <v>12</v>
      </c>
      <c r="K359" s="4" t="s">
        <v>13</v>
      </c>
      <c r="L359" s="3" t="s">
        <v>12</v>
      </c>
      <c r="M359" s="3" t="s">
        <v>12</v>
      </c>
      <c r="N359" s="3" t="s">
        <v>12</v>
      </c>
      <c r="O359" s="12"/>
      <c r="Q359" s="13" t="s">
        <v>22</v>
      </c>
      <c r="R359" s="196" t="s">
        <v>114</v>
      </c>
      <c r="S359" s="19" t="s">
        <v>25</v>
      </c>
      <c r="T359" s="13" t="s">
        <v>22</v>
      </c>
      <c r="U359" s="17" t="s">
        <v>24</v>
      </c>
      <c r="V359" s="13" t="s">
        <v>22</v>
      </c>
      <c r="W359" s="19" t="s">
        <v>25</v>
      </c>
      <c r="X359" s="189" t="s">
        <v>47</v>
      </c>
      <c r="Y359" s="191" t="s">
        <v>244</v>
      </c>
      <c r="Z359" s="958" t="s">
        <v>74</v>
      </c>
      <c r="AA359" s="961" t="s">
        <v>339</v>
      </c>
      <c r="AB359" s="15" t="s">
        <v>21</v>
      </c>
    </row>
    <row r="360" spans="2:28" ht="16.5" thickBot="1">
      <c r="B360" s="8">
        <v>5</v>
      </c>
      <c r="C360" s="3" t="s">
        <v>12</v>
      </c>
      <c r="D360" s="3" t="s">
        <v>12</v>
      </c>
      <c r="E360" s="3" t="s">
        <v>12</v>
      </c>
      <c r="F360" s="3" t="s">
        <v>12</v>
      </c>
      <c r="G360" s="3" t="s">
        <v>12</v>
      </c>
      <c r="H360" s="3" t="s">
        <v>12</v>
      </c>
      <c r="I360" s="3" t="s">
        <v>12</v>
      </c>
      <c r="J360" s="3" t="s">
        <v>12</v>
      </c>
      <c r="K360" s="3" t="s">
        <v>12</v>
      </c>
      <c r="L360" s="5" t="s">
        <v>14</v>
      </c>
      <c r="M360" s="4" t="s">
        <v>13</v>
      </c>
      <c r="N360" s="3" t="s">
        <v>12</v>
      </c>
      <c r="O360" s="12"/>
      <c r="Q360" s="964" t="s">
        <v>44</v>
      </c>
      <c r="R360" s="13" t="s">
        <v>22</v>
      </c>
      <c r="S360" s="193" t="s">
        <v>155</v>
      </c>
      <c r="T360" s="15" t="s">
        <v>21</v>
      </c>
      <c r="U360" s="15" t="s">
        <v>21</v>
      </c>
      <c r="W360" s="13" t="s">
        <v>22</v>
      </c>
      <c r="AA360" s="191" t="s">
        <v>244</v>
      </c>
      <c r="AB360" s="197" t="s">
        <v>124</v>
      </c>
    </row>
    <row r="361" spans="2:28" ht="16.5" thickBot="1">
      <c r="B361" s="8">
        <v>6</v>
      </c>
      <c r="C361" s="613" t="s">
        <v>12</v>
      </c>
      <c r="E361" s="12"/>
      <c r="F361" s="4" t="s">
        <v>13</v>
      </c>
      <c r="G361" s="5" t="s">
        <v>14</v>
      </c>
      <c r="H361" s="4" t="s">
        <v>13</v>
      </c>
      <c r="J361" s="5" t="s">
        <v>14</v>
      </c>
      <c r="L361" s="3" t="s">
        <v>12</v>
      </c>
      <c r="M361" s="3" t="s">
        <v>12</v>
      </c>
      <c r="N361" s="3" t="s">
        <v>12</v>
      </c>
      <c r="O361" s="12"/>
      <c r="R361" s="15" t="s">
        <v>21</v>
      </c>
      <c r="S361" s="27" t="s">
        <v>44</v>
      </c>
      <c r="T361" s="14" t="s">
        <v>20</v>
      </c>
      <c r="U361" s="189" t="s">
        <v>47</v>
      </c>
      <c r="W361" s="191" t="s">
        <v>244</v>
      </c>
      <c r="AB361" s="17" t="s">
        <v>24</v>
      </c>
    </row>
    <row r="362" spans="2:28">
      <c r="B362" s="8">
        <v>7</v>
      </c>
      <c r="F362" s="3" t="s">
        <v>12</v>
      </c>
      <c r="G362" s="3" t="s">
        <v>12</v>
      </c>
      <c r="H362" s="3" t="s">
        <v>12</v>
      </c>
      <c r="J362" s="3" t="s">
        <v>12</v>
      </c>
      <c r="L362" s="4" t="s">
        <v>13</v>
      </c>
      <c r="N362" s="5" t="s">
        <v>14</v>
      </c>
      <c r="O362" s="12"/>
      <c r="T362" s="23" t="s">
        <v>28</v>
      </c>
      <c r="U362" s="191" t="s">
        <v>244</v>
      </c>
      <c r="AB362" s="27" t="s">
        <v>44</v>
      </c>
    </row>
    <row r="363" spans="2:28">
      <c r="B363" s="8">
        <v>8</v>
      </c>
      <c r="L363" s="3" t="s">
        <v>12</v>
      </c>
      <c r="N363" s="3" t="s">
        <v>12</v>
      </c>
      <c r="O363" s="12"/>
    </row>
    <row r="364" spans="2:28">
      <c r="B364" s="8">
        <v>9</v>
      </c>
      <c r="Q364" s="25" t="s">
        <v>30</v>
      </c>
    </row>
    <row r="365" spans="2:28">
      <c r="B365" s="8">
        <v>10</v>
      </c>
      <c r="Q365" s="1507" t="s">
        <v>1</v>
      </c>
      <c r="R365" s="20" t="s">
        <v>2</v>
      </c>
      <c r="S365" s="20" t="s">
        <v>3</v>
      </c>
      <c r="T365" s="20" t="s">
        <v>4</v>
      </c>
      <c r="U365" s="20" t="s">
        <v>5</v>
      </c>
      <c r="V365" s="20" t="s">
        <v>6</v>
      </c>
      <c r="W365" s="20" t="s">
        <v>7</v>
      </c>
      <c r="X365" s="20" t="s">
        <v>8</v>
      </c>
      <c r="Y365" s="20" t="s">
        <v>9</v>
      </c>
      <c r="Z365" s="20" t="s">
        <v>10</v>
      </c>
      <c r="AA365" s="20" t="s">
        <v>36</v>
      </c>
      <c r="AB365" s="20" t="s">
        <v>37</v>
      </c>
    </row>
    <row r="366" spans="2:28">
      <c r="B366" t="s">
        <v>15</v>
      </c>
      <c r="C366" s="6" t="s">
        <v>16</v>
      </c>
      <c r="D366" s="6" t="s">
        <v>16</v>
      </c>
      <c r="E366" s="6" t="s">
        <v>16</v>
      </c>
      <c r="F366" s="7" t="s">
        <v>17</v>
      </c>
      <c r="G366" s="6" t="s">
        <v>16</v>
      </c>
      <c r="H366" s="6" t="s">
        <v>16</v>
      </c>
      <c r="I366" s="7" t="s">
        <v>17</v>
      </c>
      <c r="J366" s="6" t="s">
        <v>16</v>
      </c>
      <c r="K366" s="7" t="s">
        <v>17</v>
      </c>
      <c r="L366" s="6" t="s">
        <v>16</v>
      </c>
      <c r="M366" s="6" t="s">
        <v>16</v>
      </c>
      <c r="N366" s="13" t="s">
        <v>59</v>
      </c>
      <c r="Q366" t="s">
        <v>845</v>
      </c>
      <c r="R366" t="s">
        <v>846</v>
      </c>
      <c r="S366" t="s">
        <v>98</v>
      </c>
      <c r="T366" t="s">
        <v>50</v>
      </c>
      <c r="U366" t="s">
        <v>223</v>
      </c>
      <c r="V366" t="s">
        <v>850</v>
      </c>
      <c r="W366" t="s">
        <v>225</v>
      </c>
      <c r="X366" t="s">
        <v>851</v>
      </c>
      <c r="Y366" t="s">
        <v>854</v>
      </c>
      <c r="Z366" t="s">
        <v>856</v>
      </c>
      <c r="AA366" t="s">
        <v>861</v>
      </c>
      <c r="AB366" t="s">
        <v>228</v>
      </c>
    </row>
    <row r="367" spans="2:28">
      <c r="B367" t="s">
        <v>1564</v>
      </c>
      <c r="C367" s="5" t="s">
        <v>87</v>
      </c>
      <c r="J367" s="11" t="s">
        <v>45</v>
      </c>
      <c r="Q367" t="s">
        <v>847</v>
      </c>
      <c r="R367" t="s">
        <v>222</v>
      </c>
      <c r="S367" t="s">
        <v>50</v>
      </c>
      <c r="T367" t="s">
        <v>223</v>
      </c>
      <c r="U367" t="s">
        <v>224</v>
      </c>
      <c r="V367" t="s">
        <v>225</v>
      </c>
      <c r="W367" t="s">
        <v>226</v>
      </c>
      <c r="X367" t="s">
        <v>852</v>
      </c>
      <c r="Y367" t="s">
        <v>855</v>
      </c>
      <c r="Z367" t="s">
        <v>857</v>
      </c>
      <c r="AA367" t="s">
        <v>227</v>
      </c>
      <c r="AB367" t="s">
        <v>229</v>
      </c>
    </row>
    <row r="368" spans="2:28">
      <c r="Q368" t="s">
        <v>846</v>
      </c>
      <c r="R368" t="s">
        <v>98</v>
      </c>
      <c r="U368" t="s">
        <v>848</v>
      </c>
      <c r="W368" t="s">
        <v>851</v>
      </c>
      <c r="X368" t="s">
        <v>636</v>
      </c>
      <c r="Y368" t="s">
        <v>856</v>
      </c>
      <c r="Z368" t="s">
        <v>858</v>
      </c>
      <c r="AA368" t="s">
        <v>228</v>
      </c>
      <c r="AB368" t="s">
        <v>862</v>
      </c>
    </row>
    <row r="369" spans="2:28">
      <c r="U369" t="s">
        <v>849</v>
      </c>
      <c r="X369" t="s">
        <v>853</v>
      </c>
      <c r="Z369" t="s">
        <v>859</v>
      </c>
      <c r="AB369" t="s">
        <v>863</v>
      </c>
    </row>
    <row r="370" spans="2:28">
      <c r="U370" t="s">
        <v>609</v>
      </c>
      <c r="Z370" t="s">
        <v>860</v>
      </c>
    </row>
    <row r="371" spans="2:28" ht="21">
      <c r="B371" s="1" t="s">
        <v>146</v>
      </c>
      <c r="U371" t="s">
        <v>533</v>
      </c>
      <c r="Z371" t="s">
        <v>861</v>
      </c>
    </row>
    <row r="372" spans="2:28">
      <c r="B372" s="21" t="s">
        <v>212</v>
      </c>
      <c r="C372" s="13"/>
      <c r="E372" s="45" t="s">
        <v>585</v>
      </c>
      <c r="Q372" s="10" t="s">
        <v>19</v>
      </c>
      <c r="U372" t="s">
        <v>850</v>
      </c>
    </row>
    <row r="373" spans="2:28">
      <c r="B373" s="9" t="s">
        <v>0</v>
      </c>
      <c r="C373" s="20" t="s">
        <v>1</v>
      </c>
      <c r="D373" s="20" t="s">
        <v>2</v>
      </c>
      <c r="E373" s="20" t="s">
        <v>3</v>
      </c>
      <c r="F373" s="20" t="s">
        <v>4</v>
      </c>
      <c r="G373" s="20" t="s">
        <v>5</v>
      </c>
      <c r="H373" s="20" t="s">
        <v>6</v>
      </c>
      <c r="I373" s="20" t="s">
        <v>7</v>
      </c>
      <c r="J373" s="20" t="s">
        <v>8</v>
      </c>
      <c r="K373" s="20" t="s">
        <v>9</v>
      </c>
      <c r="L373" s="20" t="s">
        <v>10</v>
      </c>
      <c r="M373" s="20" t="s">
        <v>36</v>
      </c>
      <c r="N373" s="20" t="s">
        <v>37</v>
      </c>
      <c r="Q373" s="11" t="s">
        <v>1</v>
      </c>
      <c r="R373" s="11" t="s">
        <v>2</v>
      </c>
      <c r="S373" s="11" t="s">
        <v>3</v>
      </c>
      <c r="T373" s="11" t="s">
        <v>4</v>
      </c>
      <c r="U373" s="11" t="s">
        <v>5</v>
      </c>
      <c r="V373" s="11" t="s">
        <v>6</v>
      </c>
      <c r="W373" s="11" t="s">
        <v>7</v>
      </c>
      <c r="X373" s="11" t="s">
        <v>8</v>
      </c>
      <c r="Y373" s="11" t="s">
        <v>9</v>
      </c>
      <c r="Z373" s="1506" t="s">
        <v>10</v>
      </c>
      <c r="AA373" s="1506" t="s">
        <v>36</v>
      </c>
      <c r="AB373" s="1506" t="s">
        <v>37</v>
      </c>
    </row>
    <row r="374" spans="2:28">
      <c r="B374" s="8">
        <v>1</v>
      </c>
      <c r="C374" s="3" t="s">
        <v>12</v>
      </c>
      <c r="D374" s="3" t="s">
        <v>12</v>
      </c>
      <c r="E374" s="3" t="s">
        <v>12</v>
      </c>
      <c r="F374" s="3" t="s">
        <v>12</v>
      </c>
      <c r="G374" s="3" t="s">
        <v>12</v>
      </c>
      <c r="H374" s="3" t="s">
        <v>12</v>
      </c>
      <c r="I374" s="3" t="s">
        <v>12</v>
      </c>
      <c r="J374" s="3" t="s">
        <v>12</v>
      </c>
      <c r="K374" s="3" t="s">
        <v>12</v>
      </c>
      <c r="L374" s="3" t="s">
        <v>12</v>
      </c>
      <c r="M374" s="3" t="s">
        <v>12</v>
      </c>
      <c r="N374" s="3" t="s">
        <v>12</v>
      </c>
      <c r="O374" s="12"/>
      <c r="Q374" s="24" t="s">
        <v>29</v>
      </c>
      <c r="R374" s="19" t="s">
        <v>25</v>
      </c>
      <c r="S374" s="24" t="s">
        <v>29</v>
      </c>
      <c r="T374" s="22" t="s">
        <v>27</v>
      </c>
      <c r="U374" s="189" t="s">
        <v>47</v>
      </c>
      <c r="V374" s="24" t="s">
        <v>29</v>
      </c>
      <c r="W374" s="13" t="s">
        <v>22</v>
      </c>
      <c r="X374" s="196" t="s">
        <v>114</v>
      </c>
      <c r="Y374" s="14" t="s">
        <v>20</v>
      </c>
      <c r="Z374" s="17" t="s">
        <v>24</v>
      </c>
      <c r="AA374" s="17" t="s">
        <v>24</v>
      </c>
      <c r="AB374" s="14" t="s">
        <v>20</v>
      </c>
    </row>
    <row r="375" spans="2:28">
      <c r="B375" s="8">
        <v>2</v>
      </c>
      <c r="C375" s="3" t="s">
        <v>12</v>
      </c>
      <c r="D375" s="3" t="s">
        <v>12</v>
      </c>
      <c r="E375" s="5" t="s">
        <v>14</v>
      </c>
      <c r="F375" s="5" t="s">
        <v>14</v>
      </c>
      <c r="G375" s="3" t="s">
        <v>12</v>
      </c>
      <c r="H375" s="3" t="s">
        <v>12</v>
      </c>
      <c r="I375" s="3" t="s">
        <v>12</v>
      </c>
      <c r="J375" s="29" t="s">
        <v>49</v>
      </c>
      <c r="K375" s="19" t="s">
        <v>71</v>
      </c>
      <c r="L375" s="3" t="s">
        <v>12</v>
      </c>
      <c r="M375" s="3" t="s">
        <v>12</v>
      </c>
      <c r="N375" s="5" t="s">
        <v>14</v>
      </c>
      <c r="O375" s="12"/>
      <c r="Q375" s="19" t="s">
        <v>25</v>
      </c>
      <c r="R375" s="15" t="s">
        <v>21</v>
      </c>
      <c r="S375" s="19" t="s">
        <v>25</v>
      </c>
      <c r="T375" s="19" t="s">
        <v>25</v>
      </c>
      <c r="U375" s="19" t="s">
        <v>25</v>
      </c>
      <c r="V375" s="194" t="s">
        <v>43</v>
      </c>
      <c r="W375" s="195" t="s">
        <v>216</v>
      </c>
      <c r="X375" s="193" t="s">
        <v>155</v>
      </c>
      <c r="Y375" s="24" t="s">
        <v>29</v>
      </c>
      <c r="Z375" s="27" t="s">
        <v>44</v>
      </c>
      <c r="AA375" s="27" t="s">
        <v>44</v>
      </c>
      <c r="AB375" s="188" t="s">
        <v>109</v>
      </c>
    </row>
    <row r="376" spans="2:28">
      <c r="B376" s="8">
        <v>3</v>
      </c>
      <c r="C376" s="5" t="s">
        <v>14</v>
      </c>
      <c r="D376" s="3" t="s">
        <v>12</v>
      </c>
      <c r="E376" s="3" t="s">
        <v>12</v>
      </c>
      <c r="F376" s="19" t="s">
        <v>71</v>
      </c>
      <c r="G376" s="5" t="s">
        <v>14</v>
      </c>
      <c r="H376" s="3" t="s">
        <v>12</v>
      </c>
      <c r="I376" s="4" t="s">
        <v>13</v>
      </c>
      <c r="J376" s="5" t="s">
        <v>14</v>
      </c>
      <c r="K376" s="3" t="s">
        <v>12</v>
      </c>
      <c r="L376" s="5" t="s">
        <v>14</v>
      </c>
      <c r="M376" s="3" t="s">
        <v>12</v>
      </c>
      <c r="N376" s="3" t="s">
        <v>12</v>
      </c>
      <c r="O376" s="12"/>
      <c r="Q376" s="15" t="s">
        <v>21</v>
      </c>
      <c r="R376" s="13" t="s">
        <v>22</v>
      </c>
      <c r="S376" s="15" t="s">
        <v>21</v>
      </c>
      <c r="T376" s="15" t="s">
        <v>21</v>
      </c>
      <c r="U376" s="13" t="s">
        <v>22</v>
      </c>
      <c r="V376" s="19" t="s">
        <v>25</v>
      </c>
      <c r="W376" s="188" t="s">
        <v>109</v>
      </c>
      <c r="X376" s="13" t="s">
        <v>22</v>
      </c>
      <c r="Y376" s="19" t="s">
        <v>25</v>
      </c>
      <c r="Z376" s="19" t="s">
        <v>25</v>
      </c>
      <c r="AA376" s="11" t="s">
        <v>46</v>
      </c>
      <c r="AB376" s="5" t="s">
        <v>26</v>
      </c>
    </row>
    <row r="377" spans="2:28" ht="16.5" thickBot="1">
      <c r="B377" s="8">
        <v>4</v>
      </c>
      <c r="C377" s="3" t="s">
        <v>12</v>
      </c>
      <c r="D377" s="5" t="s">
        <v>14</v>
      </c>
      <c r="E377" s="4" t="s">
        <v>13</v>
      </c>
      <c r="F377" s="3" t="s">
        <v>12</v>
      </c>
      <c r="G377" s="4" t="s">
        <v>13</v>
      </c>
      <c r="H377" s="29" t="s">
        <v>49</v>
      </c>
      <c r="I377" s="3" t="s">
        <v>12</v>
      </c>
      <c r="J377" s="4" t="s">
        <v>13</v>
      </c>
      <c r="K377" s="4" t="s">
        <v>13</v>
      </c>
      <c r="L377" s="3" t="s">
        <v>12</v>
      </c>
      <c r="M377" s="29" t="s">
        <v>49</v>
      </c>
      <c r="N377" s="3" t="s">
        <v>12</v>
      </c>
      <c r="O377" s="12"/>
      <c r="Q377" s="191" t="s">
        <v>244</v>
      </c>
      <c r="S377" s="194" t="s">
        <v>43</v>
      </c>
      <c r="T377" s="189" t="s">
        <v>47</v>
      </c>
      <c r="V377" s="197" t="s">
        <v>124</v>
      </c>
      <c r="W377" s="27" t="s">
        <v>44</v>
      </c>
      <c r="X377" s="15" t="s">
        <v>21</v>
      </c>
      <c r="Y377" s="13" t="s">
        <v>22</v>
      </c>
      <c r="Z377" s="189" t="s">
        <v>47</v>
      </c>
      <c r="AA377" s="19" t="s">
        <v>25</v>
      </c>
      <c r="AB377" s="23" t="s">
        <v>28</v>
      </c>
    </row>
    <row r="378" spans="2:28" ht="16.5" thickBot="1">
      <c r="B378" s="8">
        <v>5</v>
      </c>
      <c r="C378" s="5" t="s">
        <v>14</v>
      </c>
      <c r="D378" s="3" t="s">
        <v>12</v>
      </c>
      <c r="E378" s="3" t="s">
        <v>12</v>
      </c>
      <c r="F378" s="4" t="s">
        <v>13</v>
      </c>
      <c r="G378" s="3" t="s">
        <v>12</v>
      </c>
      <c r="H378" s="4" t="s">
        <v>13</v>
      </c>
      <c r="I378" s="5" t="s">
        <v>14</v>
      </c>
      <c r="J378" s="3" t="s">
        <v>12</v>
      </c>
      <c r="K378" s="614" t="s">
        <v>12</v>
      </c>
      <c r="L378" s="4" t="s">
        <v>13</v>
      </c>
      <c r="M378" s="4" t="s">
        <v>13</v>
      </c>
      <c r="N378" s="3" t="s">
        <v>12</v>
      </c>
      <c r="O378" s="12"/>
      <c r="S378" s="963" t="s">
        <v>46</v>
      </c>
      <c r="W378" s="15" t="s">
        <v>21</v>
      </c>
      <c r="X378" s="964" t="s">
        <v>44</v>
      </c>
      <c r="Y378" s="15" t="s">
        <v>21</v>
      </c>
      <c r="Z378" s="191" t="s">
        <v>244</v>
      </c>
      <c r="AA378" s="22" t="s">
        <v>27</v>
      </c>
      <c r="AB378" s="19" t="s">
        <v>25</v>
      </c>
    </row>
    <row r="379" spans="2:28" ht="16.5" thickBot="1">
      <c r="B379" s="8">
        <v>6</v>
      </c>
      <c r="C379" s="3" t="s">
        <v>12</v>
      </c>
      <c r="D379" s="820" t="s">
        <v>13</v>
      </c>
      <c r="E379" s="614" t="s">
        <v>12</v>
      </c>
      <c r="F379" s="810" t="s">
        <v>12</v>
      </c>
      <c r="H379" s="3" t="s">
        <v>12</v>
      </c>
      <c r="I379" s="3" t="s">
        <v>12</v>
      </c>
      <c r="J379" s="12"/>
      <c r="K379" s="3" t="s">
        <v>12</v>
      </c>
      <c r="L379" s="3" t="s">
        <v>12</v>
      </c>
      <c r="M379" s="3" t="s">
        <v>12</v>
      </c>
      <c r="N379" s="5" t="s">
        <v>14</v>
      </c>
      <c r="O379" s="12"/>
      <c r="S379" s="959" t="s">
        <v>155</v>
      </c>
      <c r="W379" s="193" t="s">
        <v>155</v>
      </c>
      <c r="Y379" s="961" t="s">
        <v>339</v>
      </c>
      <c r="AA379" s="15" t="s">
        <v>21</v>
      </c>
    </row>
    <row r="380" spans="2:28" ht="16.5" thickBot="1">
      <c r="B380" s="8">
        <v>7</v>
      </c>
      <c r="C380" s="3" t="s">
        <v>12</v>
      </c>
      <c r="D380" s="613" t="s">
        <v>12</v>
      </c>
      <c r="E380" s="821"/>
      <c r="H380" s="5" t="s">
        <v>14</v>
      </c>
      <c r="K380" s="5" t="s">
        <v>14</v>
      </c>
      <c r="M380" s="5" t="s">
        <v>14</v>
      </c>
      <c r="N380" s="3" t="s">
        <v>12</v>
      </c>
      <c r="O380" s="12"/>
      <c r="AA380" s="14" t="s">
        <v>20</v>
      </c>
    </row>
    <row r="381" spans="2:28">
      <c r="B381" s="8">
        <v>8</v>
      </c>
      <c r="E381" s="12"/>
      <c r="H381" s="3" t="s">
        <v>12</v>
      </c>
      <c r="K381" s="3" t="s">
        <v>12</v>
      </c>
      <c r="M381" s="3" t="s">
        <v>12</v>
      </c>
      <c r="AA381" s="13" t="s">
        <v>22</v>
      </c>
    </row>
    <row r="382" spans="2:28">
      <c r="B382" s="8">
        <v>9</v>
      </c>
      <c r="Q382" s="25" t="s">
        <v>30</v>
      </c>
    </row>
    <row r="383" spans="2:28">
      <c r="B383" s="8">
        <v>10</v>
      </c>
      <c r="Q383" s="1507" t="s">
        <v>1</v>
      </c>
      <c r="R383" s="20" t="s">
        <v>2</v>
      </c>
      <c r="S383" s="20" t="s">
        <v>3</v>
      </c>
      <c r="T383" s="20" t="s">
        <v>4</v>
      </c>
      <c r="U383" s="20" t="s">
        <v>5</v>
      </c>
      <c r="V383" s="20" t="s">
        <v>6</v>
      </c>
      <c r="W383" s="20" t="s">
        <v>7</v>
      </c>
      <c r="X383" s="20" t="s">
        <v>8</v>
      </c>
      <c r="Y383" s="20" t="s">
        <v>9</v>
      </c>
      <c r="Z383" s="20" t="s">
        <v>10</v>
      </c>
      <c r="AA383" s="20" t="s">
        <v>36</v>
      </c>
      <c r="AB383" s="20" t="s">
        <v>37</v>
      </c>
    </row>
    <row r="384" spans="2:28">
      <c r="B384" t="s">
        <v>15</v>
      </c>
      <c r="C384" s="6" t="s">
        <v>16</v>
      </c>
      <c r="D384" s="6" t="s">
        <v>16</v>
      </c>
      <c r="E384" s="6" t="s">
        <v>16</v>
      </c>
      <c r="F384" s="6" t="s">
        <v>16</v>
      </c>
      <c r="G384" s="7" t="s">
        <v>17</v>
      </c>
      <c r="H384" s="6" t="s">
        <v>16</v>
      </c>
      <c r="I384" s="7" t="s">
        <v>17</v>
      </c>
      <c r="J384" s="6" t="s">
        <v>16</v>
      </c>
      <c r="K384" s="6" t="s">
        <v>16</v>
      </c>
      <c r="L384" s="7" t="s">
        <v>17</v>
      </c>
      <c r="M384" s="6" t="s">
        <v>16</v>
      </c>
      <c r="N384" s="13" t="s">
        <v>59</v>
      </c>
      <c r="Q384" t="s">
        <v>811</v>
      </c>
      <c r="R384" t="s">
        <v>327</v>
      </c>
      <c r="S384" t="s">
        <v>213</v>
      </c>
      <c r="T384" t="s">
        <v>865</v>
      </c>
      <c r="U384" t="s">
        <v>214</v>
      </c>
      <c r="V384" t="s">
        <v>214</v>
      </c>
      <c r="W384" t="s">
        <v>215</v>
      </c>
      <c r="X384" t="s">
        <v>217</v>
      </c>
      <c r="Y384" t="s">
        <v>217</v>
      </c>
      <c r="Z384" t="s">
        <v>868</v>
      </c>
      <c r="AA384" t="s">
        <v>869</v>
      </c>
      <c r="AB384" t="s">
        <v>878</v>
      </c>
    </row>
    <row r="385" spans="2:28">
      <c r="B385" t="s">
        <v>1564</v>
      </c>
      <c r="D385" s="5" t="s">
        <v>87</v>
      </c>
      <c r="E385" s="11" t="s">
        <v>45</v>
      </c>
      <c r="K385" s="11" t="s">
        <v>45</v>
      </c>
      <c r="Q385" t="s">
        <v>327</v>
      </c>
      <c r="R385" t="s">
        <v>864</v>
      </c>
      <c r="S385" t="s">
        <v>865</v>
      </c>
      <c r="T385" t="s">
        <v>214</v>
      </c>
      <c r="U385" t="s">
        <v>866</v>
      </c>
      <c r="V385" t="s">
        <v>215</v>
      </c>
      <c r="W385" t="s">
        <v>217</v>
      </c>
      <c r="Y385" t="s">
        <v>113</v>
      </c>
      <c r="Z385" t="s">
        <v>218</v>
      </c>
      <c r="AA385" t="s">
        <v>218</v>
      </c>
      <c r="AB385" t="s">
        <v>118</v>
      </c>
    </row>
    <row r="386" spans="2:28">
      <c r="E386" s="11" t="s">
        <v>2594</v>
      </c>
      <c r="R386" t="s">
        <v>213</v>
      </c>
      <c r="U386" t="s">
        <v>867</v>
      </c>
      <c r="Y386" t="s">
        <v>868</v>
      </c>
      <c r="Z386" t="s">
        <v>869</v>
      </c>
      <c r="AA386" t="s">
        <v>874</v>
      </c>
    </row>
    <row r="387" spans="2:28">
      <c r="Z387" t="s">
        <v>870</v>
      </c>
      <c r="AA387" t="s">
        <v>875</v>
      </c>
    </row>
    <row r="388" spans="2:28">
      <c r="Z388" t="s">
        <v>871</v>
      </c>
      <c r="AA388" t="s">
        <v>876</v>
      </c>
    </row>
    <row r="389" spans="2:28">
      <c r="Z389" t="s">
        <v>872</v>
      </c>
      <c r="AA389" t="s">
        <v>877</v>
      </c>
    </row>
    <row r="390" spans="2:28" ht="21">
      <c r="B390" s="1" t="s">
        <v>147</v>
      </c>
      <c r="Z390" t="s">
        <v>873</v>
      </c>
      <c r="AA390" t="s">
        <v>878</v>
      </c>
    </row>
    <row r="391" spans="2:28">
      <c r="B391" s="21" t="s">
        <v>208</v>
      </c>
      <c r="C391" s="13"/>
      <c r="E391" s="45" t="s">
        <v>586</v>
      </c>
      <c r="Q391" s="10" t="s">
        <v>19</v>
      </c>
      <c r="Z391" t="s">
        <v>869</v>
      </c>
    </row>
    <row r="392" spans="2:28">
      <c r="B392" s="9" t="s">
        <v>0</v>
      </c>
      <c r="C392" s="20" t="s">
        <v>1</v>
      </c>
      <c r="D392" s="20" t="s">
        <v>2</v>
      </c>
      <c r="E392" s="20" t="s">
        <v>3</v>
      </c>
      <c r="F392" s="20" t="s">
        <v>4</v>
      </c>
      <c r="G392" s="20" t="s">
        <v>5</v>
      </c>
      <c r="H392" s="20" t="s">
        <v>6</v>
      </c>
      <c r="I392" s="20" t="s">
        <v>7</v>
      </c>
      <c r="J392" s="20" t="s">
        <v>8</v>
      </c>
      <c r="K392" s="20" t="s">
        <v>9</v>
      </c>
      <c r="L392" s="20" t="s">
        <v>10</v>
      </c>
      <c r="M392" s="20" t="s">
        <v>36</v>
      </c>
      <c r="N392" s="20" t="s">
        <v>37</v>
      </c>
      <c r="Q392" s="11" t="s">
        <v>1</v>
      </c>
      <c r="R392" s="11" t="s">
        <v>2</v>
      </c>
      <c r="S392" s="11" t="s">
        <v>3</v>
      </c>
      <c r="T392" s="11" t="s">
        <v>4</v>
      </c>
      <c r="U392" s="11" t="s">
        <v>5</v>
      </c>
      <c r="V392" s="11" t="s">
        <v>6</v>
      </c>
      <c r="W392" s="11" t="s">
        <v>7</v>
      </c>
      <c r="X392" s="11" t="s">
        <v>8</v>
      </c>
      <c r="Y392" s="11" t="s">
        <v>9</v>
      </c>
      <c r="Z392" s="1506" t="s">
        <v>10</v>
      </c>
      <c r="AA392" s="1506" t="s">
        <v>36</v>
      </c>
      <c r="AB392" s="1506" t="s">
        <v>37</v>
      </c>
    </row>
    <row r="393" spans="2:28">
      <c r="B393" s="8">
        <v>1</v>
      </c>
      <c r="C393" s="3" t="s">
        <v>12</v>
      </c>
      <c r="D393" s="3" t="s">
        <v>12</v>
      </c>
      <c r="E393" s="3" t="s">
        <v>12</v>
      </c>
      <c r="F393" s="3" t="s">
        <v>12</v>
      </c>
      <c r="G393" s="3" t="s">
        <v>12</v>
      </c>
      <c r="H393" s="3" t="s">
        <v>12</v>
      </c>
      <c r="I393" s="3" t="s">
        <v>12</v>
      </c>
      <c r="J393" s="3" t="s">
        <v>12</v>
      </c>
      <c r="K393" s="3" t="s">
        <v>12</v>
      </c>
      <c r="L393" s="3" t="s">
        <v>12</v>
      </c>
      <c r="M393" s="3" t="s">
        <v>12</v>
      </c>
      <c r="N393" s="3" t="s">
        <v>12</v>
      </c>
      <c r="O393" s="12"/>
      <c r="Q393" s="5" t="s">
        <v>26</v>
      </c>
      <c r="R393" s="194" t="s">
        <v>43</v>
      </c>
      <c r="S393" s="22" t="s">
        <v>27</v>
      </c>
      <c r="T393" s="19" t="s">
        <v>25</v>
      </c>
      <c r="U393" s="13" t="s">
        <v>22</v>
      </c>
      <c r="V393" s="22" t="s">
        <v>27</v>
      </c>
      <c r="W393" s="22" t="s">
        <v>27</v>
      </c>
      <c r="X393" s="5" t="s">
        <v>26</v>
      </c>
      <c r="Y393" s="19" t="s">
        <v>25</v>
      </c>
      <c r="Z393" s="24" t="s">
        <v>29</v>
      </c>
      <c r="AA393" s="17" t="s">
        <v>24</v>
      </c>
      <c r="AB393" s="23" t="s">
        <v>28</v>
      </c>
    </row>
    <row r="394" spans="2:28">
      <c r="B394" s="8">
        <v>2</v>
      </c>
      <c r="C394" s="3" t="s">
        <v>12</v>
      </c>
      <c r="D394" s="4" t="s">
        <v>13</v>
      </c>
      <c r="E394" s="3" t="s">
        <v>12</v>
      </c>
      <c r="F394" s="4" t="s">
        <v>13</v>
      </c>
      <c r="G394" s="5" t="s">
        <v>14</v>
      </c>
      <c r="H394" s="3" t="s">
        <v>12</v>
      </c>
      <c r="I394" s="29" t="s">
        <v>49</v>
      </c>
      <c r="J394" s="3" t="s">
        <v>12</v>
      </c>
      <c r="K394" s="3" t="s">
        <v>12</v>
      </c>
      <c r="L394" s="5" t="s">
        <v>14</v>
      </c>
      <c r="M394" s="5" t="s">
        <v>14</v>
      </c>
      <c r="N394" s="3" t="s">
        <v>12</v>
      </c>
      <c r="O394" s="12"/>
      <c r="Q394" s="19" t="s">
        <v>25</v>
      </c>
      <c r="R394" s="13" t="s">
        <v>22</v>
      </c>
      <c r="S394" s="17" t="s">
        <v>24</v>
      </c>
      <c r="T394" s="13" t="s">
        <v>22</v>
      </c>
      <c r="U394" s="27" t="s">
        <v>44</v>
      </c>
      <c r="V394" s="13" t="s">
        <v>22</v>
      </c>
      <c r="W394" s="15" t="s">
        <v>21</v>
      </c>
      <c r="X394" s="22" t="s">
        <v>27</v>
      </c>
      <c r="Y394" s="27" t="s">
        <v>44</v>
      </c>
      <c r="Z394" s="19" t="s">
        <v>25</v>
      </c>
      <c r="AA394" s="13" t="s">
        <v>22</v>
      </c>
      <c r="AB394" s="27" t="s">
        <v>44</v>
      </c>
    </row>
    <row r="395" spans="2:28">
      <c r="B395" s="8">
        <v>3</v>
      </c>
      <c r="C395" s="3" t="s">
        <v>12</v>
      </c>
      <c r="D395" s="3" t="s">
        <v>12</v>
      </c>
      <c r="E395" s="4" t="s">
        <v>13</v>
      </c>
      <c r="F395" s="3" t="s">
        <v>12</v>
      </c>
      <c r="G395" s="3" t="s">
        <v>12</v>
      </c>
      <c r="H395" s="5" t="s">
        <v>14</v>
      </c>
      <c r="I395" s="19" t="s">
        <v>71</v>
      </c>
      <c r="J395" s="3" t="s">
        <v>12</v>
      </c>
      <c r="K395" s="3" t="s">
        <v>12</v>
      </c>
      <c r="L395" s="3" t="s">
        <v>12</v>
      </c>
      <c r="M395" s="3" t="s">
        <v>12</v>
      </c>
      <c r="N395" s="3" t="s">
        <v>12</v>
      </c>
      <c r="O395" s="12"/>
      <c r="Q395" s="27" t="s">
        <v>44</v>
      </c>
      <c r="R395" s="27" t="s">
        <v>44</v>
      </c>
      <c r="S395" s="19" t="s">
        <v>25</v>
      </c>
      <c r="T395" s="27" t="s">
        <v>44</v>
      </c>
      <c r="U395" s="23" t="s">
        <v>28</v>
      </c>
      <c r="V395" s="19" t="s">
        <v>25</v>
      </c>
      <c r="W395" s="193" t="s">
        <v>155</v>
      </c>
      <c r="X395" s="19" t="s">
        <v>25</v>
      </c>
      <c r="Y395" s="5" t="s">
        <v>26</v>
      </c>
      <c r="Z395" s="192" t="s">
        <v>68</v>
      </c>
      <c r="AA395" s="19" t="s">
        <v>25</v>
      </c>
      <c r="AB395" s="19" t="s">
        <v>25</v>
      </c>
    </row>
    <row r="396" spans="2:28" ht="16.5" thickBot="1">
      <c r="B396" s="8">
        <v>4</v>
      </c>
      <c r="C396" s="5" t="s">
        <v>14</v>
      </c>
      <c r="D396" s="5" t="s">
        <v>14</v>
      </c>
      <c r="E396" s="3" t="s">
        <v>12</v>
      </c>
      <c r="F396" s="5" t="s">
        <v>14</v>
      </c>
      <c r="G396" s="4" t="s">
        <v>13</v>
      </c>
      <c r="H396" s="3" t="s">
        <v>12</v>
      </c>
      <c r="I396" s="5" t="s">
        <v>14</v>
      </c>
      <c r="J396" s="3" t="s">
        <v>12</v>
      </c>
      <c r="K396" s="4" t="s">
        <v>13</v>
      </c>
      <c r="L396" s="29" t="s">
        <v>49</v>
      </c>
      <c r="M396" s="4" t="s">
        <v>13</v>
      </c>
      <c r="N396" s="3" t="s">
        <v>12</v>
      </c>
      <c r="O396" s="12"/>
      <c r="R396" s="191" t="s">
        <v>244</v>
      </c>
      <c r="T396" s="23" t="s">
        <v>28</v>
      </c>
      <c r="U396" s="963" t="s">
        <v>46</v>
      </c>
      <c r="V396" s="14" t="s">
        <v>20</v>
      </c>
      <c r="W396" s="960" t="s">
        <v>43</v>
      </c>
      <c r="X396" s="15" t="s">
        <v>21</v>
      </c>
      <c r="Y396" s="189" t="s">
        <v>47</v>
      </c>
      <c r="Z396" s="13" t="s">
        <v>22</v>
      </c>
      <c r="AA396" s="15" t="s">
        <v>21</v>
      </c>
      <c r="AB396" s="201" t="s">
        <v>93</v>
      </c>
    </row>
    <row r="397" spans="2:28" ht="16.5" thickBot="1">
      <c r="B397" s="8">
        <v>5</v>
      </c>
      <c r="C397" s="3" t="s">
        <v>12</v>
      </c>
      <c r="D397" s="12"/>
      <c r="E397" s="5" t="s">
        <v>14</v>
      </c>
      <c r="G397" s="614" t="s">
        <v>12</v>
      </c>
      <c r="H397" s="4" t="s">
        <v>13</v>
      </c>
      <c r="I397" s="3" t="s">
        <v>12</v>
      </c>
      <c r="J397" s="5" t="s">
        <v>14</v>
      </c>
      <c r="K397" s="3" t="s">
        <v>12</v>
      </c>
      <c r="L397" s="4" t="s">
        <v>13</v>
      </c>
      <c r="M397" s="3" t="s">
        <v>12</v>
      </c>
      <c r="N397" s="5" t="s">
        <v>14</v>
      </c>
      <c r="O397" s="12"/>
      <c r="R397" s="962" t="s">
        <v>216</v>
      </c>
      <c r="T397" s="15" t="s">
        <v>21</v>
      </c>
      <c r="V397" s="17" t="s">
        <v>24</v>
      </c>
      <c r="Z397" s="17" t="s">
        <v>24</v>
      </c>
      <c r="AA397" s="958" t="s">
        <v>74</v>
      </c>
      <c r="AB397" s="968" t="s">
        <v>26</v>
      </c>
    </row>
    <row r="398" spans="2:28" ht="16.5" thickBot="1">
      <c r="B398" s="8">
        <v>6</v>
      </c>
      <c r="C398" s="5" t="s">
        <v>14</v>
      </c>
      <c r="E398" s="3" t="s">
        <v>12</v>
      </c>
      <c r="F398" s="12"/>
      <c r="H398" s="3" t="s">
        <v>12</v>
      </c>
      <c r="I398" s="4" t="s">
        <v>13</v>
      </c>
      <c r="J398" s="3" t="s">
        <v>12</v>
      </c>
      <c r="K398" s="5" t="s">
        <v>14</v>
      </c>
      <c r="L398" s="3" t="s">
        <v>12</v>
      </c>
      <c r="N398" s="3" t="s">
        <v>12</v>
      </c>
      <c r="O398" s="12"/>
      <c r="T398" s="189" t="s">
        <v>47</v>
      </c>
      <c r="V398" s="189" t="s">
        <v>47</v>
      </c>
      <c r="Z398" s="191" t="s">
        <v>244</v>
      </c>
      <c r="AB398" s="191" t="s">
        <v>244</v>
      </c>
    </row>
    <row r="399" spans="2:28" ht="16.5" thickBot="1">
      <c r="B399" s="8">
        <v>7</v>
      </c>
      <c r="C399" s="613" t="s">
        <v>12</v>
      </c>
      <c r="I399" s="3" t="s">
        <v>12</v>
      </c>
      <c r="J399" s="3" t="s">
        <v>12</v>
      </c>
      <c r="K399" s="3" t="s">
        <v>12</v>
      </c>
      <c r="L399" s="614" t="s">
        <v>12</v>
      </c>
      <c r="N399" s="3" t="s">
        <v>12</v>
      </c>
      <c r="O399" s="12"/>
    </row>
    <row r="400" spans="2:28">
      <c r="B400" s="8">
        <v>8</v>
      </c>
      <c r="C400" s="819"/>
      <c r="J400" s="3" t="s">
        <v>12</v>
      </c>
      <c r="N400" s="3" t="s">
        <v>12</v>
      </c>
      <c r="O400" s="12"/>
    </row>
    <row r="401" spans="2:29">
      <c r="B401" s="8">
        <v>9</v>
      </c>
      <c r="N401" s="3" t="s">
        <v>12</v>
      </c>
      <c r="O401" s="12"/>
      <c r="Q401" s="25" t="s">
        <v>30</v>
      </c>
    </row>
    <row r="402" spans="2:29">
      <c r="B402" s="8">
        <v>10</v>
      </c>
      <c r="N402" s="3" t="s">
        <v>12</v>
      </c>
      <c r="O402" s="12"/>
      <c r="Q402" s="1507" t="s">
        <v>1</v>
      </c>
      <c r="R402" s="20" t="s">
        <v>2</v>
      </c>
      <c r="S402" s="20" t="s">
        <v>3</v>
      </c>
      <c r="T402" s="20" t="s">
        <v>4</v>
      </c>
      <c r="U402" s="20" t="s">
        <v>5</v>
      </c>
      <c r="V402" s="20" t="s">
        <v>6</v>
      </c>
      <c r="W402" s="20" t="s">
        <v>7</v>
      </c>
      <c r="X402" s="20" t="s">
        <v>8</v>
      </c>
      <c r="Y402" s="20" t="s">
        <v>9</v>
      </c>
      <c r="Z402" s="20" t="s">
        <v>10</v>
      </c>
      <c r="AA402" s="20" t="s">
        <v>36</v>
      </c>
      <c r="AB402" s="20" t="s">
        <v>37</v>
      </c>
    </row>
    <row r="403" spans="2:29">
      <c r="B403" t="s">
        <v>15</v>
      </c>
      <c r="C403" s="6" t="s">
        <v>16</v>
      </c>
      <c r="D403" s="6" t="s">
        <v>16</v>
      </c>
      <c r="E403" s="7" t="s">
        <v>17</v>
      </c>
      <c r="F403" s="6" t="s">
        <v>16</v>
      </c>
      <c r="G403" s="6" t="s">
        <v>16</v>
      </c>
      <c r="H403" s="7" t="s">
        <v>17</v>
      </c>
      <c r="I403" s="6" t="s">
        <v>16</v>
      </c>
      <c r="J403" s="6" t="s">
        <v>16</v>
      </c>
      <c r="K403" s="7" t="s">
        <v>17</v>
      </c>
      <c r="L403" s="6" t="s">
        <v>16</v>
      </c>
      <c r="M403" s="6" t="s">
        <v>16</v>
      </c>
      <c r="N403" s="13" t="s">
        <v>59</v>
      </c>
      <c r="Q403" t="s">
        <v>105</v>
      </c>
      <c r="R403" t="s">
        <v>881</v>
      </c>
      <c r="S403" t="s">
        <v>882</v>
      </c>
      <c r="T403" t="s">
        <v>883</v>
      </c>
      <c r="U403" t="s">
        <v>887</v>
      </c>
      <c r="V403" t="s">
        <v>80</v>
      </c>
      <c r="W403" t="s">
        <v>668</v>
      </c>
      <c r="X403" t="s">
        <v>209</v>
      </c>
      <c r="Y403" t="s">
        <v>346</v>
      </c>
      <c r="Z403" t="s">
        <v>51</v>
      </c>
      <c r="AA403" t="s">
        <v>892</v>
      </c>
      <c r="AB403" t="s">
        <v>211</v>
      </c>
    </row>
    <row r="404" spans="2:29">
      <c r="B404" t="s">
        <v>1564</v>
      </c>
      <c r="C404" s="5" t="s">
        <v>87</v>
      </c>
      <c r="G404" s="11" t="s">
        <v>45</v>
      </c>
      <c r="L404" s="11" t="s">
        <v>45</v>
      </c>
      <c r="N404" s="37"/>
      <c r="O404" s="37"/>
      <c r="Q404" t="s">
        <v>879</v>
      </c>
      <c r="R404" t="s">
        <v>879</v>
      </c>
      <c r="S404" t="s">
        <v>308</v>
      </c>
      <c r="T404" t="s">
        <v>885</v>
      </c>
      <c r="U404" t="s">
        <v>80</v>
      </c>
      <c r="V404" t="s">
        <v>668</v>
      </c>
      <c r="W404" t="s">
        <v>209</v>
      </c>
      <c r="X404" t="s">
        <v>157</v>
      </c>
      <c r="Y404" t="s">
        <v>210</v>
      </c>
      <c r="Z404" t="s">
        <v>891</v>
      </c>
      <c r="AA404" t="s">
        <v>211</v>
      </c>
      <c r="AB404" t="s">
        <v>31</v>
      </c>
    </row>
    <row r="405" spans="2:29">
      <c r="C405" s="5" t="s">
        <v>2597</v>
      </c>
      <c r="G405" s="11" t="s">
        <v>2594</v>
      </c>
      <c r="N405" s="37"/>
      <c r="O405" s="37"/>
      <c r="Q405" t="s">
        <v>880</v>
      </c>
      <c r="S405" t="s">
        <v>883</v>
      </c>
      <c r="T405" t="s">
        <v>886</v>
      </c>
      <c r="X405" t="s">
        <v>610</v>
      </c>
      <c r="Y405" t="s">
        <v>51</v>
      </c>
      <c r="Z405" t="s">
        <v>892</v>
      </c>
      <c r="AA405" t="s">
        <v>893</v>
      </c>
      <c r="AB405" t="s">
        <v>894</v>
      </c>
    </row>
    <row r="406" spans="2:29">
      <c r="Q406" t="s">
        <v>881</v>
      </c>
      <c r="S406" t="s">
        <v>884</v>
      </c>
      <c r="T406" t="s">
        <v>887</v>
      </c>
      <c r="X406" t="s">
        <v>888</v>
      </c>
      <c r="AA406" t="s">
        <v>211</v>
      </c>
      <c r="AB406" t="s">
        <v>895</v>
      </c>
    </row>
    <row r="407" spans="2:29">
      <c r="S407" t="s">
        <v>883</v>
      </c>
      <c r="X407" t="s">
        <v>889</v>
      </c>
    </row>
    <row r="408" spans="2:29" ht="21">
      <c r="B408" s="1" t="s">
        <v>148</v>
      </c>
      <c r="X408" t="s">
        <v>890</v>
      </c>
    </row>
    <row r="409" spans="2:29">
      <c r="B409" s="21" t="s">
        <v>202</v>
      </c>
      <c r="C409" s="13"/>
      <c r="E409" s="45" t="s">
        <v>587</v>
      </c>
      <c r="Q409" s="10" t="s">
        <v>19</v>
      </c>
      <c r="X409" t="s">
        <v>610</v>
      </c>
    </row>
    <row r="410" spans="2:29">
      <c r="B410" s="9" t="s">
        <v>0</v>
      </c>
      <c r="C410" s="20" t="s">
        <v>1</v>
      </c>
      <c r="D410" s="20" t="s">
        <v>2</v>
      </c>
      <c r="E410" s="20" t="s">
        <v>3</v>
      </c>
      <c r="F410" s="20" t="s">
        <v>4</v>
      </c>
      <c r="G410" s="20" t="s">
        <v>5</v>
      </c>
      <c r="H410" s="20" t="s">
        <v>6</v>
      </c>
      <c r="I410" s="20" t="s">
        <v>7</v>
      </c>
      <c r="J410" s="20" t="s">
        <v>8</v>
      </c>
      <c r="K410" s="20" t="s">
        <v>9</v>
      </c>
      <c r="L410" s="20" t="s">
        <v>10</v>
      </c>
      <c r="M410" s="20" t="s">
        <v>36</v>
      </c>
      <c r="N410" s="20" t="s">
        <v>37</v>
      </c>
      <c r="Q410" s="11" t="s">
        <v>1</v>
      </c>
      <c r="R410" s="11" t="s">
        <v>2</v>
      </c>
      <c r="S410" s="11" t="s">
        <v>3</v>
      </c>
      <c r="T410" s="11" t="s">
        <v>4</v>
      </c>
      <c r="U410" s="11" t="s">
        <v>5</v>
      </c>
      <c r="V410" s="11" t="s">
        <v>6</v>
      </c>
      <c r="W410" s="11" t="s">
        <v>7</v>
      </c>
      <c r="X410" s="11" t="s">
        <v>8</v>
      </c>
      <c r="Y410" s="11" t="s">
        <v>9</v>
      </c>
      <c r="Z410" s="1506" t="s">
        <v>10</v>
      </c>
      <c r="AA410" s="1506" t="s">
        <v>36</v>
      </c>
      <c r="AB410" s="1506" t="s">
        <v>37</v>
      </c>
      <c r="AC410" s="12"/>
    </row>
    <row r="411" spans="2:29">
      <c r="B411" s="8">
        <v>1</v>
      </c>
      <c r="C411" s="3" t="s">
        <v>12</v>
      </c>
      <c r="D411" s="3" t="s">
        <v>12</v>
      </c>
      <c r="E411" s="3" t="s">
        <v>12</v>
      </c>
      <c r="F411" s="3" t="s">
        <v>12</v>
      </c>
      <c r="G411" s="3" t="s">
        <v>12</v>
      </c>
      <c r="H411" s="3" t="s">
        <v>12</v>
      </c>
      <c r="I411" s="3" t="s">
        <v>12</v>
      </c>
      <c r="J411" s="3" t="s">
        <v>12</v>
      </c>
      <c r="K411" s="3" t="s">
        <v>12</v>
      </c>
      <c r="L411" s="3" t="s">
        <v>12</v>
      </c>
      <c r="M411" s="3" t="s">
        <v>12</v>
      </c>
      <c r="N411" s="3" t="s">
        <v>12</v>
      </c>
      <c r="O411" s="12"/>
      <c r="Q411" s="5" t="s">
        <v>26</v>
      </c>
      <c r="R411" s="13" t="s">
        <v>22</v>
      </c>
      <c r="S411" s="15" t="s">
        <v>21</v>
      </c>
      <c r="T411" s="5" t="s">
        <v>26</v>
      </c>
      <c r="U411" s="193" t="s">
        <v>155</v>
      </c>
      <c r="V411" s="188" t="s">
        <v>109</v>
      </c>
      <c r="W411" s="13" t="s">
        <v>22</v>
      </c>
      <c r="X411" s="17" t="s">
        <v>24</v>
      </c>
      <c r="Y411" s="22" t="s">
        <v>27</v>
      </c>
      <c r="Z411" s="24" t="s">
        <v>29</v>
      </c>
      <c r="AA411" s="13" t="s">
        <v>22</v>
      </c>
      <c r="AB411" s="23" t="s">
        <v>28</v>
      </c>
      <c r="AC411" s="12"/>
    </row>
    <row r="412" spans="2:29">
      <c r="B412" s="8">
        <v>2</v>
      </c>
      <c r="C412" s="3" t="s">
        <v>12</v>
      </c>
      <c r="D412" s="3" t="s">
        <v>12</v>
      </c>
      <c r="E412" s="3" t="s">
        <v>12</v>
      </c>
      <c r="F412" s="4" t="s">
        <v>13</v>
      </c>
      <c r="G412" s="3" t="s">
        <v>12</v>
      </c>
      <c r="H412" s="19" t="s">
        <v>71</v>
      </c>
      <c r="I412" s="3" t="s">
        <v>12</v>
      </c>
      <c r="J412" s="3" t="s">
        <v>12</v>
      </c>
      <c r="K412" s="3" t="s">
        <v>12</v>
      </c>
      <c r="L412" s="3" t="s">
        <v>12</v>
      </c>
      <c r="M412" s="4" t="s">
        <v>13</v>
      </c>
      <c r="N412" s="5" t="s">
        <v>14</v>
      </c>
      <c r="O412" s="12"/>
      <c r="Q412" s="15" t="s">
        <v>21</v>
      </c>
      <c r="R412" s="19" t="s">
        <v>25</v>
      </c>
      <c r="S412" s="196" t="s">
        <v>114</v>
      </c>
      <c r="T412" s="17" t="s">
        <v>24</v>
      </c>
      <c r="U412" s="19" t="s">
        <v>25</v>
      </c>
      <c r="V412" s="27" t="s">
        <v>44</v>
      </c>
      <c r="W412" s="23" t="s">
        <v>28</v>
      </c>
      <c r="X412" s="14" t="s">
        <v>20</v>
      </c>
      <c r="Y412" s="192" t="s">
        <v>68</v>
      </c>
      <c r="Z412" s="27" t="s">
        <v>44</v>
      </c>
      <c r="AA412" s="19" t="s">
        <v>25</v>
      </c>
      <c r="AB412" s="19" t="s">
        <v>25</v>
      </c>
    </row>
    <row r="413" spans="2:29" ht="16.5" thickBot="1">
      <c r="B413" s="8">
        <v>3</v>
      </c>
      <c r="C413" s="5" t="s">
        <v>14</v>
      </c>
      <c r="D413" s="4" t="s">
        <v>13</v>
      </c>
      <c r="E413" s="4" t="s">
        <v>13</v>
      </c>
      <c r="F413" s="3" t="s">
        <v>12</v>
      </c>
      <c r="G413" s="4" t="s">
        <v>13</v>
      </c>
      <c r="H413" s="4" t="s">
        <v>13</v>
      </c>
      <c r="I413" s="4" t="s">
        <v>13</v>
      </c>
      <c r="J413" s="3" t="s">
        <v>12</v>
      </c>
      <c r="K413" s="3" t="s">
        <v>12</v>
      </c>
      <c r="L413" s="5" t="s">
        <v>14</v>
      </c>
      <c r="M413" s="3" t="s">
        <v>12</v>
      </c>
      <c r="N413" s="3" t="s">
        <v>12</v>
      </c>
      <c r="O413" s="12"/>
      <c r="Q413" s="19" t="s">
        <v>25</v>
      </c>
      <c r="R413" s="15" t="s">
        <v>21</v>
      </c>
      <c r="S413" s="14" t="s">
        <v>20</v>
      </c>
      <c r="T413" s="19" t="s">
        <v>25</v>
      </c>
      <c r="U413" s="27" t="s">
        <v>44</v>
      </c>
      <c r="V413" s="13" t="s">
        <v>22</v>
      </c>
      <c r="W413" s="189" t="s">
        <v>47</v>
      </c>
      <c r="X413" s="11" t="s">
        <v>46</v>
      </c>
      <c r="Y413" s="189" t="s">
        <v>47</v>
      </c>
      <c r="Z413" s="11" t="s">
        <v>46</v>
      </c>
      <c r="AA413" s="15" t="s">
        <v>21</v>
      </c>
      <c r="AB413" s="5" t="s">
        <v>26</v>
      </c>
    </row>
    <row r="414" spans="2:29" ht="16.5" thickBot="1">
      <c r="B414" s="8">
        <v>4</v>
      </c>
      <c r="C414" s="3" t="s">
        <v>12</v>
      </c>
      <c r="D414" s="3" t="s">
        <v>12</v>
      </c>
      <c r="E414" s="3" t="s">
        <v>12</v>
      </c>
      <c r="F414" s="5" t="s">
        <v>14</v>
      </c>
      <c r="G414" s="614" t="s">
        <v>12</v>
      </c>
      <c r="H414" s="3" t="s">
        <v>12</v>
      </c>
      <c r="I414" s="3" t="s">
        <v>12</v>
      </c>
      <c r="J414" s="29" t="s">
        <v>49</v>
      </c>
      <c r="K414" s="4" t="s">
        <v>13</v>
      </c>
      <c r="L414" s="4" t="s">
        <v>13</v>
      </c>
      <c r="M414" s="29" t="s">
        <v>49</v>
      </c>
      <c r="N414" s="3" t="s">
        <v>12</v>
      </c>
      <c r="O414" s="12"/>
      <c r="Q414" s="27" t="s">
        <v>44</v>
      </c>
      <c r="R414" s="27" t="s">
        <v>44</v>
      </c>
      <c r="S414" s="19" t="s">
        <v>25</v>
      </c>
      <c r="T414" s="13" t="s">
        <v>22</v>
      </c>
      <c r="V414" s="5" t="s">
        <v>26</v>
      </c>
      <c r="W414" s="5" t="s">
        <v>26</v>
      </c>
      <c r="X414" s="13" t="s">
        <v>22</v>
      </c>
      <c r="Y414" s="19" t="s">
        <v>25</v>
      </c>
      <c r="Z414" s="13" t="s">
        <v>22</v>
      </c>
      <c r="AA414" s="189" t="s">
        <v>47</v>
      </c>
    </row>
    <row r="415" spans="2:29" ht="16.5" thickBot="1">
      <c r="B415" s="8">
        <v>5</v>
      </c>
      <c r="C415" s="5" t="s">
        <v>14</v>
      </c>
      <c r="D415" s="5" t="s">
        <v>14</v>
      </c>
      <c r="E415" s="5" t="s">
        <v>14</v>
      </c>
      <c r="F415" s="3" t="s">
        <v>12</v>
      </c>
      <c r="G415" s="3" t="s">
        <v>12</v>
      </c>
      <c r="H415" s="5" t="s">
        <v>14</v>
      </c>
      <c r="I415" s="5" t="s">
        <v>14</v>
      </c>
      <c r="J415" s="4" t="s">
        <v>13</v>
      </c>
      <c r="K415" s="3" t="s">
        <v>12</v>
      </c>
      <c r="L415" s="3" t="s">
        <v>12</v>
      </c>
      <c r="M415" s="5" t="s">
        <v>14</v>
      </c>
      <c r="N415" s="3" t="s">
        <v>12</v>
      </c>
      <c r="O415" s="12"/>
      <c r="S415" s="191" t="s">
        <v>244</v>
      </c>
      <c r="T415" s="195" t="s">
        <v>216</v>
      </c>
      <c r="V415" s="19" t="s">
        <v>25</v>
      </c>
      <c r="X415" s="27" t="s">
        <v>44</v>
      </c>
      <c r="AA415" s="964" t="s">
        <v>44</v>
      </c>
    </row>
    <row r="416" spans="2:29" ht="16.5" thickBot="1">
      <c r="B416" s="8">
        <v>6</v>
      </c>
      <c r="C416" s="613" t="s">
        <v>12</v>
      </c>
      <c r="D416" s="3" t="s">
        <v>12</v>
      </c>
      <c r="E416" s="3" t="s">
        <v>12</v>
      </c>
      <c r="F416" s="3" t="s">
        <v>12</v>
      </c>
      <c r="G416" s="5" t="s">
        <v>14</v>
      </c>
      <c r="H416" s="3" t="s">
        <v>12</v>
      </c>
      <c r="I416" s="3" t="s">
        <v>12</v>
      </c>
      <c r="J416" s="614" t="s">
        <v>12</v>
      </c>
      <c r="K416" s="5" t="s">
        <v>14</v>
      </c>
      <c r="M416" s="3" t="s">
        <v>12</v>
      </c>
      <c r="N416" s="3" t="s">
        <v>12</v>
      </c>
      <c r="O416" s="12"/>
      <c r="V416" s="4" t="s">
        <v>73</v>
      </c>
      <c r="X416" s="22" t="s">
        <v>27</v>
      </c>
    </row>
    <row r="417" spans="2:28">
      <c r="B417" s="8">
        <v>7</v>
      </c>
      <c r="G417" s="3" t="s">
        <v>12</v>
      </c>
      <c r="H417" s="3" t="s">
        <v>12</v>
      </c>
      <c r="J417" s="5" t="s">
        <v>14</v>
      </c>
      <c r="K417" s="3" t="s">
        <v>12</v>
      </c>
      <c r="M417" s="3" t="s">
        <v>12</v>
      </c>
      <c r="N417" s="3" t="s">
        <v>12</v>
      </c>
      <c r="O417" s="12"/>
      <c r="X417" s="191" t="s">
        <v>244</v>
      </c>
    </row>
    <row r="418" spans="2:28">
      <c r="B418" s="8">
        <v>8</v>
      </c>
      <c r="J418" s="3" t="s">
        <v>12</v>
      </c>
      <c r="X418" s="195" t="s">
        <v>216</v>
      </c>
    </row>
    <row r="419" spans="2:28">
      <c r="B419" s="8">
        <v>9</v>
      </c>
      <c r="Q419" s="25" t="s">
        <v>30</v>
      </c>
    </row>
    <row r="420" spans="2:28">
      <c r="B420" s="8">
        <v>10</v>
      </c>
      <c r="Q420" s="1507" t="s">
        <v>1</v>
      </c>
      <c r="R420" s="20" t="s">
        <v>2</v>
      </c>
      <c r="S420" s="20" t="s">
        <v>3</v>
      </c>
      <c r="T420" s="20" t="s">
        <v>4</v>
      </c>
      <c r="U420" s="20" t="s">
        <v>5</v>
      </c>
      <c r="V420" s="20" t="s">
        <v>6</v>
      </c>
      <c r="W420" s="20" t="s">
        <v>7</v>
      </c>
      <c r="X420" s="20" t="s">
        <v>8</v>
      </c>
      <c r="Y420" s="20" t="s">
        <v>9</v>
      </c>
      <c r="Z420" s="20" t="s">
        <v>10</v>
      </c>
      <c r="AA420" s="20" t="s">
        <v>36</v>
      </c>
      <c r="AB420" s="20" t="s">
        <v>37</v>
      </c>
    </row>
    <row r="421" spans="2:28">
      <c r="B421" t="s">
        <v>15</v>
      </c>
      <c r="C421" s="6" t="s">
        <v>16</v>
      </c>
      <c r="D421" s="6" t="s">
        <v>16</v>
      </c>
      <c r="E421" s="6" t="s">
        <v>16</v>
      </c>
      <c r="F421" s="7" t="s">
        <v>17</v>
      </c>
      <c r="G421" s="6" t="s">
        <v>16</v>
      </c>
      <c r="H421" s="6" t="s">
        <v>16</v>
      </c>
      <c r="I421" s="7" t="s">
        <v>17</v>
      </c>
      <c r="J421" s="6" t="s">
        <v>16</v>
      </c>
      <c r="K421" s="6" t="s">
        <v>16</v>
      </c>
      <c r="L421" s="7" t="s">
        <v>17</v>
      </c>
      <c r="M421" s="6" t="s">
        <v>16</v>
      </c>
      <c r="N421" s="13" t="s">
        <v>59</v>
      </c>
      <c r="Q421" t="s">
        <v>896</v>
      </c>
      <c r="R421" t="s">
        <v>203</v>
      </c>
      <c r="S421" t="s">
        <v>899</v>
      </c>
      <c r="T421" t="s">
        <v>900</v>
      </c>
      <c r="U421" t="s">
        <v>903</v>
      </c>
      <c r="V421" t="s">
        <v>904</v>
      </c>
      <c r="W421" t="s">
        <v>206</v>
      </c>
      <c r="X421" t="s">
        <v>906</v>
      </c>
      <c r="Y421" t="s">
        <v>906</v>
      </c>
      <c r="Z421" t="s">
        <v>911</v>
      </c>
      <c r="AA421" t="s">
        <v>207</v>
      </c>
      <c r="AB421" t="s">
        <v>106</v>
      </c>
    </row>
    <row r="422" spans="2:28">
      <c r="B422" t="s">
        <v>1564</v>
      </c>
      <c r="C422" s="5" t="s">
        <v>87</v>
      </c>
      <c r="G422" s="11" t="s">
        <v>45</v>
      </c>
      <c r="J422" s="11" t="s">
        <v>45</v>
      </c>
      <c r="Q422" t="s">
        <v>203</v>
      </c>
      <c r="R422" t="s">
        <v>898</v>
      </c>
      <c r="S422" t="s">
        <v>63</v>
      </c>
      <c r="T422" t="s">
        <v>205</v>
      </c>
      <c r="U422" t="s">
        <v>904</v>
      </c>
      <c r="V422" t="s">
        <v>206</v>
      </c>
      <c r="W422" t="s">
        <v>905</v>
      </c>
      <c r="X422" t="s">
        <v>907</v>
      </c>
      <c r="Y422" t="s">
        <v>207</v>
      </c>
      <c r="Z422" t="s">
        <v>912</v>
      </c>
      <c r="AA422" t="s">
        <v>106</v>
      </c>
      <c r="AB422" t="s">
        <v>307</v>
      </c>
    </row>
    <row r="423" spans="2:28">
      <c r="C423" s="5" t="s">
        <v>2597</v>
      </c>
      <c r="Q423" t="s">
        <v>897</v>
      </c>
      <c r="R423" t="s">
        <v>204</v>
      </c>
      <c r="S423" t="s">
        <v>900</v>
      </c>
      <c r="T423" t="s">
        <v>901</v>
      </c>
      <c r="W423" t="s">
        <v>906</v>
      </c>
      <c r="X423" t="s">
        <v>908</v>
      </c>
      <c r="Y423" t="s">
        <v>909</v>
      </c>
      <c r="Z423" t="s">
        <v>913</v>
      </c>
      <c r="AB423" t="s">
        <v>915</v>
      </c>
    </row>
    <row r="424" spans="2:28">
      <c r="Q424" t="s">
        <v>203</v>
      </c>
      <c r="R424" t="s">
        <v>899</v>
      </c>
      <c r="T424" t="s">
        <v>902</v>
      </c>
      <c r="Y424" t="s">
        <v>207</v>
      </c>
      <c r="Z424" t="s">
        <v>914</v>
      </c>
      <c r="AB424" t="s">
        <v>307</v>
      </c>
    </row>
    <row r="425" spans="2:28">
      <c r="T425" t="s">
        <v>903</v>
      </c>
      <c r="Y425" t="s">
        <v>910</v>
      </c>
    </row>
    <row r="426" spans="2:28" ht="21">
      <c r="B426" s="1" t="s">
        <v>125</v>
      </c>
      <c r="Y426" t="s">
        <v>911</v>
      </c>
    </row>
    <row r="427" spans="2:28">
      <c r="B427" s="21" t="s">
        <v>171</v>
      </c>
      <c r="C427" s="13"/>
      <c r="E427" s="45" t="s">
        <v>588</v>
      </c>
      <c r="Q427" s="10" t="s">
        <v>19</v>
      </c>
    </row>
    <row r="428" spans="2:28">
      <c r="B428" s="9" t="s">
        <v>0</v>
      </c>
      <c r="C428" s="20" t="s">
        <v>1</v>
      </c>
      <c r="D428" s="20" t="s">
        <v>2</v>
      </c>
      <c r="E428" s="20" t="s">
        <v>3</v>
      </c>
      <c r="F428" s="20" t="s">
        <v>4</v>
      </c>
      <c r="G428" s="20" t="s">
        <v>5</v>
      </c>
      <c r="H428" s="20" t="s">
        <v>6</v>
      </c>
      <c r="I428" s="20" t="s">
        <v>7</v>
      </c>
      <c r="J428" s="20" t="s">
        <v>8</v>
      </c>
      <c r="K428" s="20" t="s">
        <v>9</v>
      </c>
      <c r="L428" s="20" t="s">
        <v>10</v>
      </c>
      <c r="M428" s="20" t="s">
        <v>36</v>
      </c>
      <c r="N428" s="20" t="s">
        <v>37</v>
      </c>
      <c r="Q428" s="11" t="s">
        <v>1</v>
      </c>
      <c r="R428" s="11" t="s">
        <v>2</v>
      </c>
      <c r="S428" s="11" t="s">
        <v>3</v>
      </c>
      <c r="T428" s="11" t="s">
        <v>4</v>
      </c>
      <c r="U428" s="11" t="s">
        <v>5</v>
      </c>
      <c r="V428" s="11" t="s">
        <v>6</v>
      </c>
      <c r="W428" s="11" t="s">
        <v>7</v>
      </c>
      <c r="X428" s="11" t="s">
        <v>8</v>
      </c>
      <c r="Y428" s="11" t="s">
        <v>9</v>
      </c>
      <c r="Z428" s="1506" t="s">
        <v>10</v>
      </c>
      <c r="AA428" s="1506" t="s">
        <v>36</v>
      </c>
      <c r="AB428" s="1506" t="s">
        <v>37</v>
      </c>
    </row>
    <row r="429" spans="2:28">
      <c r="B429" s="8">
        <v>1</v>
      </c>
      <c r="C429" s="3" t="s">
        <v>12</v>
      </c>
      <c r="D429" s="3" t="s">
        <v>12</v>
      </c>
      <c r="E429" s="3" t="s">
        <v>12</v>
      </c>
      <c r="F429" s="3" t="s">
        <v>12</v>
      </c>
      <c r="G429" s="3" t="s">
        <v>12</v>
      </c>
      <c r="H429" s="3" t="s">
        <v>12</v>
      </c>
      <c r="I429" s="3" t="s">
        <v>12</v>
      </c>
      <c r="J429" s="3" t="s">
        <v>12</v>
      </c>
      <c r="K429" s="3" t="s">
        <v>12</v>
      </c>
      <c r="L429" s="3" t="s">
        <v>12</v>
      </c>
      <c r="M429" s="3" t="s">
        <v>12</v>
      </c>
      <c r="N429" s="3" t="s">
        <v>12</v>
      </c>
      <c r="O429" s="12"/>
      <c r="Q429" s="5" t="s">
        <v>26</v>
      </c>
      <c r="R429" s="13" t="s">
        <v>22</v>
      </c>
      <c r="S429" s="13" t="s">
        <v>22</v>
      </c>
      <c r="T429" s="19" t="s">
        <v>25</v>
      </c>
      <c r="U429" s="13" t="s">
        <v>22</v>
      </c>
      <c r="V429" s="19" t="s">
        <v>25</v>
      </c>
      <c r="W429" s="14" t="s">
        <v>20</v>
      </c>
      <c r="X429" s="22" t="s">
        <v>27</v>
      </c>
      <c r="Y429" s="19" t="s">
        <v>25</v>
      </c>
      <c r="Z429" s="193" t="s">
        <v>155</v>
      </c>
      <c r="AA429" s="23" t="s">
        <v>28</v>
      </c>
      <c r="AB429" s="27" t="s">
        <v>44</v>
      </c>
    </row>
    <row r="430" spans="2:28">
      <c r="B430" s="8">
        <v>2</v>
      </c>
      <c r="C430" s="3" t="s">
        <v>12</v>
      </c>
      <c r="D430" s="3" t="s">
        <v>12</v>
      </c>
      <c r="E430" s="5" t="s">
        <v>14</v>
      </c>
      <c r="F430" s="5" t="s">
        <v>14</v>
      </c>
      <c r="G430" s="3" t="s">
        <v>12</v>
      </c>
      <c r="H430" s="3" t="s">
        <v>12</v>
      </c>
      <c r="I430" s="29" t="s">
        <v>49</v>
      </c>
      <c r="J430" s="4" t="s">
        <v>13</v>
      </c>
      <c r="K430" s="3" t="s">
        <v>12</v>
      </c>
      <c r="L430" s="3" t="s">
        <v>12</v>
      </c>
      <c r="M430" s="3" t="s">
        <v>12</v>
      </c>
      <c r="N430" s="5" t="s">
        <v>14</v>
      </c>
      <c r="O430" s="12"/>
      <c r="Q430" s="27" t="s">
        <v>44</v>
      </c>
      <c r="R430" s="191" t="s">
        <v>244</v>
      </c>
      <c r="S430" s="19" t="s">
        <v>25</v>
      </c>
      <c r="T430" s="192" t="s">
        <v>68</v>
      </c>
      <c r="U430" s="193" t="s">
        <v>155</v>
      </c>
      <c r="V430" s="22" t="s">
        <v>27</v>
      </c>
      <c r="W430" s="196" t="s">
        <v>114</v>
      </c>
      <c r="X430" s="13" t="s">
        <v>22</v>
      </c>
      <c r="Y430" s="13" t="s">
        <v>22</v>
      </c>
      <c r="Z430" s="15" t="s">
        <v>21</v>
      </c>
      <c r="AA430" s="191" t="s">
        <v>244</v>
      </c>
      <c r="AB430" s="13" t="s">
        <v>22</v>
      </c>
    </row>
    <row r="431" spans="2:28" ht="16.5" thickBot="1">
      <c r="B431" s="8">
        <v>3</v>
      </c>
      <c r="C431" s="3" t="s">
        <v>12</v>
      </c>
      <c r="D431" s="5" t="s">
        <v>14</v>
      </c>
      <c r="E431" s="3" t="s">
        <v>12</v>
      </c>
      <c r="F431" s="3" t="s">
        <v>12</v>
      </c>
      <c r="G431" s="4" t="s">
        <v>13</v>
      </c>
      <c r="H431" s="5" t="s">
        <v>14</v>
      </c>
      <c r="I431" s="4" t="s">
        <v>13</v>
      </c>
      <c r="J431" s="3" t="s">
        <v>12</v>
      </c>
      <c r="K431" s="3" t="s">
        <v>12</v>
      </c>
      <c r="L431" s="5" t="s">
        <v>14</v>
      </c>
      <c r="M431" s="5" t="s">
        <v>14</v>
      </c>
      <c r="N431" s="3" t="s">
        <v>12</v>
      </c>
      <c r="O431" s="12"/>
      <c r="Q431" s="15" t="s">
        <v>21</v>
      </c>
      <c r="R431" s="27" t="s">
        <v>44</v>
      </c>
      <c r="S431" s="15" t="s">
        <v>21</v>
      </c>
      <c r="T431" s="191" t="s">
        <v>244</v>
      </c>
      <c r="U431" s="22" t="s">
        <v>27</v>
      </c>
      <c r="V431" s="13" t="s">
        <v>22</v>
      </c>
      <c r="W431" s="15" t="s">
        <v>21</v>
      </c>
      <c r="X431" s="15" t="s">
        <v>21</v>
      </c>
      <c r="Y431" s="196" t="s">
        <v>114</v>
      </c>
      <c r="Z431" s="23" t="s">
        <v>28</v>
      </c>
      <c r="AA431" s="19" t="s">
        <v>25</v>
      </c>
      <c r="AB431" s="5" t="s">
        <v>26</v>
      </c>
    </row>
    <row r="432" spans="2:28" ht="16.5" thickBot="1">
      <c r="B432" s="8">
        <v>4</v>
      </c>
      <c r="C432" s="3" t="s">
        <v>12</v>
      </c>
      <c r="D432" s="3" t="s">
        <v>12</v>
      </c>
      <c r="E432" s="4" t="s">
        <v>13</v>
      </c>
      <c r="F432" s="4" t="s">
        <v>13</v>
      </c>
      <c r="G432" s="3" t="s">
        <v>12</v>
      </c>
      <c r="H432" s="3" t="s">
        <v>12</v>
      </c>
      <c r="I432" s="3" t="s">
        <v>12</v>
      </c>
      <c r="J432" s="809" t="s">
        <v>12</v>
      </c>
      <c r="K432" s="810" t="s">
        <v>12</v>
      </c>
      <c r="L432" s="3" t="s">
        <v>12</v>
      </c>
      <c r="M432" s="3" t="s">
        <v>12</v>
      </c>
      <c r="N432" s="3" t="s">
        <v>12</v>
      </c>
      <c r="O432" s="12"/>
      <c r="R432" s="189" t="s">
        <v>47</v>
      </c>
      <c r="S432" s="189" t="s">
        <v>47</v>
      </c>
      <c r="U432" s="15" t="s">
        <v>21</v>
      </c>
      <c r="V432" s="27" t="s">
        <v>44</v>
      </c>
      <c r="W432" s="13" t="s">
        <v>22</v>
      </c>
      <c r="X432" s="17" t="s">
        <v>24</v>
      </c>
      <c r="Y432" s="17" t="s">
        <v>24</v>
      </c>
      <c r="Z432" s="19" t="s">
        <v>25</v>
      </c>
      <c r="AA432" s="15" t="s">
        <v>21</v>
      </c>
    </row>
    <row r="433" spans="2:29" ht="16.5" thickBot="1">
      <c r="B433" s="8">
        <v>5</v>
      </c>
      <c r="C433" s="5" t="s">
        <v>14</v>
      </c>
      <c r="D433" s="4" t="s">
        <v>13</v>
      </c>
      <c r="E433" s="3" t="s">
        <v>12</v>
      </c>
      <c r="F433" s="3" t="s">
        <v>12</v>
      </c>
      <c r="G433" s="29" t="s">
        <v>49</v>
      </c>
      <c r="H433" s="4" t="s">
        <v>13</v>
      </c>
      <c r="I433" s="5" t="s">
        <v>14</v>
      </c>
      <c r="J433" s="5" t="s">
        <v>14</v>
      </c>
      <c r="K433" s="3" t="s">
        <v>12</v>
      </c>
      <c r="L433" s="29" t="s">
        <v>49</v>
      </c>
      <c r="M433" s="4" t="s">
        <v>13</v>
      </c>
      <c r="N433" s="3" t="s">
        <v>12</v>
      </c>
      <c r="O433" s="12"/>
      <c r="S433" s="964" t="s">
        <v>44</v>
      </c>
      <c r="V433" s="15" t="s">
        <v>21</v>
      </c>
      <c r="W433" s="275" t="s">
        <v>397</v>
      </c>
      <c r="Y433" s="22" t="s">
        <v>27</v>
      </c>
      <c r="Z433" s="27" t="s">
        <v>44</v>
      </c>
      <c r="AA433" s="725" t="s">
        <v>109</v>
      </c>
    </row>
    <row r="434" spans="2:29" ht="16.5" thickBot="1">
      <c r="B434" s="8">
        <v>6</v>
      </c>
      <c r="C434" s="613" t="s">
        <v>12</v>
      </c>
      <c r="D434" s="808" t="s">
        <v>12</v>
      </c>
      <c r="E434" s="12"/>
      <c r="F434" s="12"/>
      <c r="G434" s="5" t="s">
        <v>14</v>
      </c>
      <c r="H434" s="3" t="s">
        <v>12</v>
      </c>
      <c r="I434" s="3" t="s">
        <v>12</v>
      </c>
      <c r="J434" s="3" t="s">
        <v>12</v>
      </c>
      <c r="K434" s="3" t="s">
        <v>12</v>
      </c>
      <c r="L434" s="4" t="s">
        <v>13</v>
      </c>
      <c r="M434" s="3" t="s">
        <v>12</v>
      </c>
      <c r="N434" s="3" t="s">
        <v>12</v>
      </c>
      <c r="O434" s="12"/>
      <c r="S434" s="191" t="s">
        <v>244</v>
      </c>
      <c r="W434" s="959" t="s">
        <v>155</v>
      </c>
      <c r="Z434" s="191" t="s">
        <v>244</v>
      </c>
    </row>
    <row r="435" spans="2:29" ht="16.5" thickBot="1">
      <c r="B435" s="8">
        <v>7</v>
      </c>
      <c r="G435" s="3" t="s">
        <v>12</v>
      </c>
      <c r="H435" s="3" t="s">
        <v>12</v>
      </c>
      <c r="K435" s="5" t="s">
        <v>14</v>
      </c>
      <c r="L435" s="614" t="s">
        <v>12</v>
      </c>
      <c r="N435" s="3" t="s">
        <v>12</v>
      </c>
      <c r="O435" s="12"/>
      <c r="W435" s="191" t="s">
        <v>244</v>
      </c>
    </row>
    <row r="436" spans="2:29">
      <c r="B436" s="8">
        <v>8</v>
      </c>
      <c r="K436" s="3" t="s">
        <v>12</v>
      </c>
      <c r="L436" s="3" t="s">
        <v>12</v>
      </c>
      <c r="W436" s="19" t="s">
        <v>25</v>
      </c>
    </row>
    <row r="437" spans="2:29">
      <c r="B437" s="8">
        <v>9</v>
      </c>
      <c r="Q437" s="25" t="s">
        <v>30</v>
      </c>
      <c r="W437" s="592"/>
    </row>
    <row r="438" spans="2:29">
      <c r="B438" s="8">
        <v>10</v>
      </c>
      <c r="Q438" s="1507" t="s">
        <v>1</v>
      </c>
      <c r="R438" s="20" t="s">
        <v>2</v>
      </c>
      <c r="S438" s="20" t="s">
        <v>3</v>
      </c>
      <c r="T438" s="20" t="s">
        <v>4</v>
      </c>
      <c r="U438" s="20" t="s">
        <v>5</v>
      </c>
      <c r="V438" s="20" t="s">
        <v>6</v>
      </c>
      <c r="W438" s="20" t="s">
        <v>7</v>
      </c>
      <c r="X438" s="20" t="s">
        <v>8</v>
      </c>
      <c r="Y438" s="20" t="s">
        <v>9</v>
      </c>
      <c r="Z438" s="20" t="s">
        <v>10</v>
      </c>
      <c r="AA438" s="20" t="s">
        <v>36</v>
      </c>
      <c r="AB438" s="20" t="s">
        <v>37</v>
      </c>
    </row>
    <row r="439" spans="2:29">
      <c r="B439" t="s">
        <v>15</v>
      </c>
      <c r="C439" s="6" t="s">
        <v>16</v>
      </c>
      <c r="D439" s="6" t="s">
        <v>16</v>
      </c>
      <c r="E439" s="6" t="s">
        <v>16</v>
      </c>
      <c r="F439" s="7" t="s">
        <v>17</v>
      </c>
      <c r="G439" s="6" t="s">
        <v>16</v>
      </c>
      <c r="H439" s="7" t="s">
        <v>17</v>
      </c>
      <c r="I439" s="6" t="s">
        <v>16</v>
      </c>
      <c r="J439" s="6" t="s">
        <v>16</v>
      </c>
      <c r="K439" s="7" t="s">
        <v>17</v>
      </c>
      <c r="L439" s="6" t="s">
        <v>16</v>
      </c>
      <c r="M439" s="6" t="s">
        <v>16</v>
      </c>
      <c r="N439" s="13" t="s">
        <v>59</v>
      </c>
      <c r="Q439" t="s">
        <v>40</v>
      </c>
      <c r="R439" t="s">
        <v>172</v>
      </c>
      <c r="S439" t="s">
        <v>172</v>
      </c>
      <c r="T439" t="s">
        <v>916</v>
      </c>
      <c r="U439" t="s">
        <v>919</v>
      </c>
      <c r="V439" t="s">
        <v>174</v>
      </c>
      <c r="W439" t="s">
        <v>925</v>
      </c>
      <c r="X439" t="s">
        <v>177</v>
      </c>
      <c r="Y439" t="s">
        <v>927</v>
      </c>
      <c r="Z439" t="s">
        <v>930</v>
      </c>
      <c r="AA439" t="s">
        <v>179</v>
      </c>
      <c r="AB439" t="s">
        <v>934</v>
      </c>
    </row>
    <row r="440" spans="2:29">
      <c r="B440" t="s">
        <v>1564</v>
      </c>
      <c r="C440" s="5" t="s">
        <v>2596</v>
      </c>
      <c r="J440" s="11" t="s">
        <v>45</v>
      </c>
      <c r="L440" s="11" t="s">
        <v>45</v>
      </c>
      <c r="N440" s="37"/>
      <c r="O440" s="37"/>
      <c r="Q440" t="s">
        <v>172</v>
      </c>
      <c r="S440" t="s">
        <v>916</v>
      </c>
      <c r="T440" t="s">
        <v>173</v>
      </c>
      <c r="U440" t="s">
        <v>174</v>
      </c>
      <c r="V440" t="s">
        <v>176</v>
      </c>
      <c r="W440" t="s">
        <v>177</v>
      </c>
      <c r="X440" t="s">
        <v>926</v>
      </c>
      <c r="Y440" t="s">
        <v>178</v>
      </c>
      <c r="Z440" t="s">
        <v>179</v>
      </c>
      <c r="AA440" t="s">
        <v>31</v>
      </c>
      <c r="AB440" t="s">
        <v>181</v>
      </c>
    </row>
    <row r="441" spans="2:29">
      <c r="C441" s="5" t="s">
        <v>2597</v>
      </c>
      <c r="S441" t="s">
        <v>917</v>
      </c>
      <c r="T441" t="s">
        <v>919</v>
      </c>
      <c r="U441" t="s">
        <v>175</v>
      </c>
      <c r="V441" t="s">
        <v>923</v>
      </c>
      <c r="X441" t="s">
        <v>927</v>
      </c>
      <c r="Y441" t="s">
        <v>928</v>
      </c>
      <c r="AA441" t="s">
        <v>180</v>
      </c>
      <c r="AB441" t="s">
        <v>935</v>
      </c>
    </row>
    <row r="442" spans="2:29">
      <c r="S442" t="s">
        <v>918</v>
      </c>
      <c r="U442" t="s">
        <v>920</v>
      </c>
      <c r="V442" t="s">
        <v>924</v>
      </c>
      <c r="Y442" t="s">
        <v>929</v>
      </c>
      <c r="AA442" t="s">
        <v>931</v>
      </c>
      <c r="AB442" t="s">
        <v>181</v>
      </c>
    </row>
    <row r="443" spans="2:29">
      <c r="S443" t="s">
        <v>916</v>
      </c>
      <c r="U443" t="s">
        <v>921</v>
      </c>
      <c r="V443" t="s">
        <v>925</v>
      </c>
      <c r="Y443" t="s">
        <v>930</v>
      </c>
      <c r="AA443" t="s">
        <v>932</v>
      </c>
    </row>
    <row r="444" spans="2:29" ht="21">
      <c r="B444" s="1" t="s">
        <v>116</v>
      </c>
      <c r="U444" t="s">
        <v>922</v>
      </c>
      <c r="AA444" t="s">
        <v>933</v>
      </c>
    </row>
    <row r="445" spans="2:29">
      <c r="B445" s="21" t="s">
        <v>117</v>
      </c>
      <c r="C445" s="13"/>
      <c r="E445" s="45" t="s">
        <v>589</v>
      </c>
      <c r="Q445" s="10" t="s">
        <v>19</v>
      </c>
      <c r="U445" t="s">
        <v>174</v>
      </c>
    </row>
    <row r="446" spans="2:29">
      <c r="B446" s="9" t="s">
        <v>0</v>
      </c>
      <c r="C446" s="20" t="s">
        <v>1</v>
      </c>
      <c r="D446" s="20" t="s">
        <v>2</v>
      </c>
      <c r="E446" s="20" t="s">
        <v>3</v>
      </c>
      <c r="F446" s="20" t="s">
        <v>4</v>
      </c>
      <c r="G446" s="20" t="s">
        <v>5</v>
      </c>
      <c r="H446" s="20" t="s">
        <v>6</v>
      </c>
      <c r="I446" s="20" t="s">
        <v>7</v>
      </c>
      <c r="J446" s="20" t="s">
        <v>8</v>
      </c>
      <c r="K446" s="20" t="s">
        <v>9</v>
      </c>
      <c r="L446" s="20" t="s">
        <v>10</v>
      </c>
      <c r="M446" s="20" t="s">
        <v>36</v>
      </c>
      <c r="N446" s="20" t="s">
        <v>37</v>
      </c>
      <c r="Q446" s="11" t="s">
        <v>1</v>
      </c>
      <c r="R446" s="11" t="s">
        <v>2</v>
      </c>
      <c r="S446" s="11" t="s">
        <v>3</v>
      </c>
      <c r="T446" s="11" t="s">
        <v>4</v>
      </c>
      <c r="U446" s="11" t="s">
        <v>5</v>
      </c>
      <c r="V446" s="11" t="s">
        <v>6</v>
      </c>
      <c r="W446" s="11" t="s">
        <v>7</v>
      </c>
      <c r="X446" s="11" t="s">
        <v>8</v>
      </c>
      <c r="Y446" s="11" t="s">
        <v>9</v>
      </c>
      <c r="Z446" s="1506" t="s">
        <v>10</v>
      </c>
      <c r="AA446" s="1506" t="s">
        <v>36</v>
      </c>
      <c r="AB446" s="1506" t="s">
        <v>37</v>
      </c>
      <c r="AC446" s="12"/>
    </row>
    <row r="447" spans="2:29">
      <c r="B447" s="8">
        <v>1</v>
      </c>
      <c r="C447" s="3" t="s">
        <v>12</v>
      </c>
      <c r="D447" s="3" t="s">
        <v>12</v>
      </c>
      <c r="E447" s="3" t="s">
        <v>12</v>
      </c>
      <c r="F447" s="3" t="s">
        <v>12</v>
      </c>
      <c r="G447" s="3" t="s">
        <v>12</v>
      </c>
      <c r="H447" s="3" t="s">
        <v>12</v>
      </c>
      <c r="I447" s="3" t="s">
        <v>12</v>
      </c>
      <c r="J447" s="3" t="s">
        <v>12</v>
      </c>
      <c r="K447" s="3" t="s">
        <v>12</v>
      </c>
      <c r="L447" s="3" t="s">
        <v>12</v>
      </c>
      <c r="M447" s="3" t="s">
        <v>12</v>
      </c>
      <c r="N447" s="3" t="s">
        <v>12</v>
      </c>
      <c r="O447" s="12"/>
      <c r="Q447" s="15" t="s">
        <v>21</v>
      </c>
      <c r="R447" s="19" t="s">
        <v>25</v>
      </c>
      <c r="S447" s="22" t="s">
        <v>27</v>
      </c>
      <c r="T447" s="13" t="s">
        <v>22</v>
      </c>
      <c r="U447" s="192" t="s">
        <v>68</v>
      </c>
      <c r="V447" s="22" t="s">
        <v>27</v>
      </c>
      <c r="W447" s="15" t="s">
        <v>21</v>
      </c>
      <c r="X447" s="19" t="s">
        <v>25</v>
      </c>
      <c r="Y447" s="5" t="s">
        <v>26</v>
      </c>
      <c r="Z447" s="22" t="s">
        <v>27</v>
      </c>
      <c r="AA447" s="19" t="s">
        <v>25</v>
      </c>
      <c r="AB447" s="5" t="s">
        <v>26</v>
      </c>
      <c r="AC447" s="44"/>
    </row>
    <row r="448" spans="2:29">
      <c r="B448" s="8">
        <v>2</v>
      </c>
      <c r="C448" s="3" t="s">
        <v>12</v>
      </c>
      <c r="D448" s="4" t="s">
        <v>13</v>
      </c>
      <c r="E448" s="3" t="s">
        <v>12</v>
      </c>
      <c r="F448" s="3" t="s">
        <v>12</v>
      </c>
      <c r="G448" s="29" t="s">
        <v>49</v>
      </c>
      <c r="H448" s="3" t="s">
        <v>12</v>
      </c>
      <c r="I448" s="3" t="s">
        <v>12</v>
      </c>
      <c r="J448" s="3" t="s">
        <v>12</v>
      </c>
      <c r="K448" s="19" t="s">
        <v>71</v>
      </c>
      <c r="L448" s="3" t="s">
        <v>12</v>
      </c>
      <c r="M448" s="29" t="s">
        <v>49</v>
      </c>
      <c r="N448" s="3" t="s">
        <v>12</v>
      </c>
      <c r="O448" s="12"/>
      <c r="Q448" s="19" t="s">
        <v>25</v>
      </c>
      <c r="R448" s="13" t="s">
        <v>22</v>
      </c>
      <c r="S448" s="19" t="s">
        <v>25</v>
      </c>
      <c r="T448" s="17" t="s">
        <v>24</v>
      </c>
      <c r="U448" s="13" t="s">
        <v>22</v>
      </c>
      <c r="V448" s="17" t="s">
        <v>24</v>
      </c>
      <c r="W448" s="13" t="s">
        <v>22</v>
      </c>
      <c r="X448" s="13" t="s">
        <v>22</v>
      </c>
      <c r="Y448" s="19" t="s">
        <v>25</v>
      </c>
      <c r="Z448" s="19" t="s">
        <v>25</v>
      </c>
      <c r="AA448" s="15" t="s">
        <v>21</v>
      </c>
      <c r="AB448" s="15" t="s">
        <v>21</v>
      </c>
    </row>
    <row r="449" spans="2:28">
      <c r="B449" s="8">
        <v>3</v>
      </c>
      <c r="C449" s="3" t="s">
        <v>12</v>
      </c>
      <c r="D449" s="3" t="s">
        <v>12</v>
      </c>
      <c r="E449" s="4" t="s">
        <v>13</v>
      </c>
      <c r="F449" s="4" t="s">
        <v>13</v>
      </c>
      <c r="G449" s="3" t="s">
        <v>12</v>
      </c>
      <c r="H449" s="4" t="s">
        <v>13</v>
      </c>
      <c r="I449" s="5" t="s">
        <v>14</v>
      </c>
      <c r="J449" s="5" t="s">
        <v>14</v>
      </c>
      <c r="K449" s="3" t="s">
        <v>12</v>
      </c>
      <c r="L449" s="4" t="s">
        <v>13</v>
      </c>
      <c r="M449" s="4" t="s">
        <v>13</v>
      </c>
      <c r="N449" s="3" t="s">
        <v>12</v>
      </c>
      <c r="O449" s="12"/>
      <c r="Q449" s="5" t="s">
        <v>26</v>
      </c>
      <c r="S449" s="13" t="s">
        <v>22</v>
      </c>
      <c r="T449" s="201" t="s">
        <v>93</v>
      </c>
      <c r="U449" s="15" t="s">
        <v>21</v>
      </c>
      <c r="V449" s="19" t="s">
        <v>25</v>
      </c>
      <c r="W449" s="17" t="s">
        <v>24</v>
      </c>
      <c r="X449" s="5" t="s">
        <v>26</v>
      </c>
      <c r="Y449" s="197" t="s">
        <v>124</v>
      </c>
      <c r="Z449" s="13" t="s">
        <v>22</v>
      </c>
      <c r="AA449" s="191" t="s">
        <v>244</v>
      </c>
      <c r="AB449" s="23" t="s">
        <v>28</v>
      </c>
    </row>
    <row r="450" spans="2:28">
      <c r="B450" s="8">
        <v>4</v>
      </c>
      <c r="C450" s="3" t="s">
        <v>12</v>
      </c>
      <c r="D450" s="3" t="s">
        <v>12</v>
      </c>
      <c r="E450" s="3" t="s">
        <v>12</v>
      </c>
      <c r="F450" s="3" t="s">
        <v>12</v>
      </c>
      <c r="G450" s="3" t="s">
        <v>12</v>
      </c>
      <c r="H450" s="3" t="s">
        <v>12</v>
      </c>
      <c r="I450" s="4" t="s">
        <v>13</v>
      </c>
      <c r="J450" s="3" t="s">
        <v>12</v>
      </c>
      <c r="K450" s="5" t="s">
        <v>14</v>
      </c>
      <c r="L450" s="3" t="s">
        <v>12</v>
      </c>
      <c r="M450" s="3" t="s">
        <v>12</v>
      </c>
      <c r="N450" s="5" t="s">
        <v>14</v>
      </c>
      <c r="O450" s="12"/>
      <c r="Q450" s="13" t="s">
        <v>22</v>
      </c>
      <c r="T450" s="190" t="s">
        <v>120</v>
      </c>
      <c r="U450" s="19" t="s">
        <v>25</v>
      </c>
      <c r="V450" s="13" t="s">
        <v>22</v>
      </c>
      <c r="X450" s="27" t="s">
        <v>44</v>
      </c>
      <c r="Y450" s="27" t="s">
        <v>44</v>
      </c>
      <c r="Z450" s="27" t="s">
        <v>44</v>
      </c>
      <c r="AB450" s="19" t="s">
        <v>25</v>
      </c>
    </row>
    <row r="451" spans="2:28" ht="16.5" thickBot="1">
      <c r="B451" s="8">
        <v>5</v>
      </c>
      <c r="C451" s="5" t="s">
        <v>14</v>
      </c>
      <c r="D451" s="3" t="s">
        <v>12</v>
      </c>
      <c r="E451" s="3" t="s">
        <v>12</v>
      </c>
      <c r="F451" s="5" t="s">
        <v>14</v>
      </c>
      <c r="G451" s="5" t="s">
        <v>14</v>
      </c>
      <c r="H451" s="5" t="s">
        <v>14</v>
      </c>
      <c r="I451" s="3" t="s">
        <v>12</v>
      </c>
      <c r="J451" s="29" t="s">
        <v>49</v>
      </c>
      <c r="K451" s="3" t="s">
        <v>12</v>
      </c>
      <c r="L451" s="3" t="s">
        <v>12</v>
      </c>
      <c r="M451" s="5" t="s">
        <v>14</v>
      </c>
      <c r="N451" s="3" t="s">
        <v>12</v>
      </c>
      <c r="O451" s="12"/>
      <c r="Q451" s="27" t="s">
        <v>44</v>
      </c>
      <c r="T451" s="23" t="s">
        <v>28</v>
      </c>
      <c r="U451" s="960" t="s">
        <v>43</v>
      </c>
      <c r="V451" s="15" t="s">
        <v>21</v>
      </c>
      <c r="X451" s="960" t="s">
        <v>43</v>
      </c>
      <c r="Y451" s="194" t="s">
        <v>43</v>
      </c>
      <c r="Z451" s="189" t="s">
        <v>47</v>
      </c>
      <c r="AB451" s="17" t="s">
        <v>24</v>
      </c>
    </row>
    <row r="452" spans="2:28" ht="16.5" thickBot="1">
      <c r="B452" s="806">
        <v>6</v>
      </c>
      <c r="C452" s="807" t="s">
        <v>12</v>
      </c>
      <c r="D452" s="613" t="s">
        <v>12</v>
      </c>
      <c r="E452" s="3" t="s">
        <v>12</v>
      </c>
      <c r="F452" s="3" t="s">
        <v>12</v>
      </c>
      <c r="G452" s="3" t="s">
        <v>12</v>
      </c>
      <c r="H452" s="3" t="s">
        <v>12</v>
      </c>
      <c r="J452" s="4" t="s">
        <v>13</v>
      </c>
      <c r="K452" s="4" t="s">
        <v>13</v>
      </c>
      <c r="L452" s="3" t="s">
        <v>12</v>
      </c>
      <c r="M452" s="3" t="s">
        <v>12</v>
      </c>
      <c r="N452" s="3" t="s">
        <v>12</v>
      </c>
      <c r="O452" s="12"/>
      <c r="V452" s="14" t="s">
        <v>20</v>
      </c>
      <c r="X452" s="956" t="s">
        <v>109</v>
      </c>
      <c r="AB452" s="962" t="s">
        <v>216</v>
      </c>
    </row>
    <row r="453" spans="2:28" ht="16.5" thickBot="1">
      <c r="B453" s="8">
        <v>7</v>
      </c>
      <c r="G453" s="4" t="s">
        <v>13</v>
      </c>
      <c r="J453" s="3" t="s">
        <v>12</v>
      </c>
      <c r="K453" s="614" t="s">
        <v>12</v>
      </c>
      <c r="N453" s="3" t="s">
        <v>12</v>
      </c>
      <c r="O453" s="12"/>
      <c r="V453" s="189" t="s">
        <v>47</v>
      </c>
      <c r="X453" s="958" t="s">
        <v>74</v>
      </c>
    </row>
    <row r="454" spans="2:28" ht="16.5" thickBot="1">
      <c r="B454" s="8">
        <v>8</v>
      </c>
      <c r="G454" s="3" t="s">
        <v>12</v>
      </c>
      <c r="K454" s="3" t="s">
        <v>12</v>
      </c>
      <c r="N454" s="5" t="s">
        <v>14</v>
      </c>
      <c r="O454" s="12"/>
    </row>
    <row r="455" spans="2:28" ht="16.5" thickBot="1">
      <c r="B455" s="8">
        <v>9</v>
      </c>
      <c r="G455" s="614" t="s">
        <v>12</v>
      </c>
      <c r="N455" s="3" t="s">
        <v>12</v>
      </c>
      <c r="O455" s="12"/>
      <c r="Q455" s="25" t="s">
        <v>30</v>
      </c>
    </row>
    <row r="456" spans="2:28">
      <c r="B456" s="8">
        <v>10</v>
      </c>
      <c r="Q456" s="1507" t="s">
        <v>1</v>
      </c>
      <c r="R456" s="20" t="s">
        <v>2</v>
      </c>
      <c r="S456" s="20" t="s">
        <v>3</v>
      </c>
      <c r="T456" s="20" t="s">
        <v>4</v>
      </c>
      <c r="U456" s="20" t="s">
        <v>5</v>
      </c>
      <c r="V456" s="20" t="s">
        <v>6</v>
      </c>
      <c r="W456" s="20" t="s">
        <v>7</v>
      </c>
      <c r="X456" s="20" t="s">
        <v>8</v>
      </c>
      <c r="Y456" s="20" t="s">
        <v>9</v>
      </c>
      <c r="Z456" s="20" t="s">
        <v>10</v>
      </c>
      <c r="AA456" s="20" t="s">
        <v>36</v>
      </c>
      <c r="AB456" s="20" t="s">
        <v>37</v>
      </c>
    </row>
    <row r="457" spans="2:28">
      <c r="B457" t="s">
        <v>15</v>
      </c>
      <c r="C457" s="6" t="s">
        <v>16</v>
      </c>
      <c r="D457" s="6" t="s">
        <v>16</v>
      </c>
      <c r="E457" s="6" t="s">
        <v>16</v>
      </c>
      <c r="F457" s="7" t="s">
        <v>17</v>
      </c>
      <c r="G457" s="6" t="s">
        <v>16</v>
      </c>
      <c r="H457" s="6" t="s">
        <v>16</v>
      </c>
      <c r="I457" s="7" t="s">
        <v>17</v>
      </c>
      <c r="J457" s="6" t="s">
        <v>16</v>
      </c>
      <c r="K457" s="6" t="s">
        <v>16</v>
      </c>
      <c r="L457" s="7" t="s">
        <v>17</v>
      </c>
      <c r="M457" s="7" t="s">
        <v>17</v>
      </c>
      <c r="N457" s="13" t="s">
        <v>59</v>
      </c>
      <c r="Q457" t="s">
        <v>118</v>
      </c>
      <c r="R457" t="s">
        <v>936</v>
      </c>
      <c r="S457" t="s">
        <v>119</v>
      </c>
      <c r="T457" t="s">
        <v>942</v>
      </c>
      <c r="U457" t="s">
        <v>121</v>
      </c>
      <c r="V457" t="s">
        <v>608</v>
      </c>
      <c r="W457" t="s">
        <v>946</v>
      </c>
      <c r="X457" t="s">
        <v>1167</v>
      </c>
      <c r="Y457" t="s">
        <v>951</v>
      </c>
      <c r="Z457" t="s">
        <v>123</v>
      </c>
      <c r="AA457" t="s">
        <v>954</v>
      </c>
      <c r="AB457" t="s">
        <v>645</v>
      </c>
    </row>
    <row r="458" spans="2:28">
      <c r="B458" t="s">
        <v>1564</v>
      </c>
      <c r="C458" s="4" t="s">
        <v>1526</v>
      </c>
      <c r="D458" s="5" t="s">
        <v>87</v>
      </c>
      <c r="G458" s="11" t="s">
        <v>45</v>
      </c>
      <c r="K458" s="11" t="s">
        <v>45</v>
      </c>
      <c r="Q458" t="s">
        <v>936</v>
      </c>
      <c r="R458" t="s">
        <v>31</v>
      </c>
      <c r="S458" t="s">
        <v>939</v>
      </c>
      <c r="T458" t="s">
        <v>121</v>
      </c>
      <c r="U458" t="s">
        <v>608</v>
      </c>
      <c r="V458" t="s">
        <v>944</v>
      </c>
      <c r="W458" t="s">
        <v>1167</v>
      </c>
      <c r="X458" t="s">
        <v>951</v>
      </c>
      <c r="Y458" t="s">
        <v>123</v>
      </c>
      <c r="Z458" t="s">
        <v>952</v>
      </c>
      <c r="AA458" t="s">
        <v>645</v>
      </c>
      <c r="AB458" t="s">
        <v>105</v>
      </c>
    </row>
    <row r="459" spans="2:28">
      <c r="Q459" t="s">
        <v>937</v>
      </c>
      <c r="R459" t="s">
        <v>119</v>
      </c>
      <c r="S459" t="s">
        <v>940</v>
      </c>
      <c r="T459" t="s">
        <v>943</v>
      </c>
      <c r="V459" t="s">
        <v>945</v>
      </c>
      <c r="X459" t="s">
        <v>948</v>
      </c>
      <c r="Z459" t="s">
        <v>953</v>
      </c>
      <c r="AB459" t="s">
        <v>955</v>
      </c>
    </row>
    <row r="460" spans="2:28">
      <c r="Q460" t="s">
        <v>936</v>
      </c>
      <c r="R460" t="s">
        <v>938</v>
      </c>
      <c r="S460" t="s">
        <v>941</v>
      </c>
      <c r="T460" t="s">
        <v>121</v>
      </c>
      <c r="V460" t="s">
        <v>947</v>
      </c>
      <c r="X460" t="s">
        <v>949</v>
      </c>
      <c r="AB460" t="s">
        <v>956</v>
      </c>
    </row>
    <row r="461" spans="2:28">
      <c r="S461" t="s">
        <v>942</v>
      </c>
      <c r="V461" t="s">
        <v>946</v>
      </c>
      <c r="X461" t="s">
        <v>950</v>
      </c>
      <c r="AB461" t="s">
        <v>957</v>
      </c>
    </row>
    <row r="462" spans="2:28" ht="21">
      <c r="B462" s="1" t="s">
        <v>104</v>
      </c>
    </row>
    <row r="463" spans="2:28">
      <c r="B463" s="21" t="s">
        <v>562</v>
      </c>
      <c r="C463" s="13"/>
      <c r="E463" s="45" t="s">
        <v>590</v>
      </c>
      <c r="Q463" s="10" t="s">
        <v>19</v>
      </c>
    </row>
    <row r="464" spans="2:28">
      <c r="B464" s="9" t="s">
        <v>0</v>
      </c>
      <c r="C464" s="20" t="s">
        <v>1</v>
      </c>
      <c r="D464" s="20" t="s">
        <v>2</v>
      </c>
      <c r="E464" s="20" t="s">
        <v>3</v>
      </c>
      <c r="F464" s="20" t="s">
        <v>4</v>
      </c>
      <c r="G464" s="20" t="s">
        <v>5</v>
      </c>
      <c r="H464" s="20" t="s">
        <v>6</v>
      </c>
      <c r="I464" s="20" t="s">
        <v>7</v>
      </c>
      <c r="J464" s="20" t="s">
        <v>8</v>
      </c>
      <c r="K464" s="20" t="s">
        <v>9</v>
      </c>
      <c r="L464" s="20" t="s">
        <v>10</v>
      </c>
      <c r="M464" s="20" t="s">
        <v>36</v>
      </c>
      <c r="N464" s="20" t="s">
        <v>37</v>
      </c>
      <c r="Q464" s="11" t="s">
        <v>1</v>
      </c>
      <c r="R464" s="11" t="s">
        <v>2</v>
      </c>
      <c r="S464" s="11" t="s">
        <v>3</v>
      </c>
      <c r="T464" s="11" t="s">
        <v>4</v>
      </c>
      <c r="U464" s="11" t="s">
        <v>5</v>
      </c>
      <c r="V464" s="11" t="s">
        <v>6</v>
      </c>
      <c r="W464" s="11" t="s">
        <v>7</v>
      </c>
      <c r="X464" s="11" t="s">
        <v>8</v>
      </c>
      <c r="Y464" s="11" t="s">
        <v>9</v>
      </c>
      <c r="Z464" s="1506" t="s">
        <v>10</v>
      </c>
      <c r="AA464" s="1506" t="s">
        <v>36</v>
      </c>
      <c r="AB464" s="1506" t="s">
        <v>37</v>
      </c>
    </row>
    <row r="465" spans="2:28">
      <c r="B465" s="8">
        <v>1</v>
      </c>
      <c r="C465" s="3" t="s">
        <v>12</v>
      </c>
      <c r="D465" s="3" t="s">
        <v>12</v>
      </c>
      <c r="E465" s="3" t="s">
        <v>12</v>
      </c>
      <c r="F465" s="3" t="s">
        <v>12</v>
      </c>
      <c r="G465" s="3" t="s">
        <v>12</v>
      </c>
      <c r="H465" s="3" t="s">
        <v>12</v>
      </c>
      <c r="I465" s="3" t="s">
        <v>12</v>
      </c>
      <c r="J465" s="3" t="s">
        <v>12</v>
      </c>
      <c r="K465" s="3" t="s">
        <v>12</v>
      </c>
      <c r="L465" s="3" t="s">
        <v>12</v>
      </c>
      <c r="M465" s="3" t="s">
        <v>12</v>
      </c>
      <c r="N465" s="3" t="s">
        <v>12</v>
      </c>
      <c r="O465" s="12"/>
      <c r="Q465" s="13" t="s">
        <v>22</v>
      </c>
      <c r="R465" s="19" t="s">
        <v>25</v>
      </c>
      <c r="S465" s="193" t="s">
        <v>155</v>
      </c>
      <c r="T465" s="24" t="s">
        <v>29</v>
      </c>
      <c r="U465" s="17" t="s">
        <v>24</v>
      </c>
      <c r="V465" s="15" t="s">
        <v>21</v>
      </c>
      <c r="W465" s="22" t="s">
        <v>27</v>
      </c>
      <c r="X465" s="19" t="s">
        <v>25</v>
      </c>
      <c r="Y465" s="13" t="s">
        <v>22</v>
      </c>
      <c r="Z465" s="19" t="s">
        <v>25</v>
      </c>
      <c r="AA465" s="193" t="s">
        <v>155</v>
      </c>
      <c r="AB465" s="23" t="s">
        <v>28</v>
      </c>
    </row>
    <row r="466" spans="2:28" ht="16.5" thickBot="1">
      <c r="B466" s="8">
        <v>2</v>
      </c>
      <c r="C466" s="4" t="s">
        <v>13</v>
      </c>
      <c r="D466" s="5" t="s">
        <v>14</v>
      </c>
      <c r="E466" s="3" t="s">
        <v>12</v>
      </c>
      <c r="F466" s="4" t="s">
        <v>13</v>
      </c>
      <c r="G466" s="3" t="s">
        <v>12</v>
      </c>
      <c r="H466" s="5" t="s">
        <v>14</v>
      </c>
      <c r="I466" s="3" t="s">
        <v>12</v>
      </c>
      <c r="J466" s="29" t="s">
        <v>49</v>
      </c>
      <c r="K466" s="5" t="s">
        <v>14</v>
      </c>
      <c r="L466" s="3" t="s">
        <v>12</v>
      </c>
      <c r="M466" s="4" t="s">
        <v>13</v>
      </c>
      <c r="N466" s="5" t="s">
        <v>14</v>
      </c>
      <c r="O466" s="12"/>
      <c r="Q466" s="193" t="s">
        <v>155</v>
      </c>
      <c r="R466" s="24" t="s">
        <v>29</v>
      </c>
      <c r="S466" s="15" t="s">
        <v>21</v>
      </c>
      <c r="T466" s="22" t="s">
        <v>27</v>
      </c>
      <c r="U466" s="188" t="s">
        <v>109</v>
      </c>
      <c r="V466" s="5" t="s">
        <v>26</v>
      </c>
      <c r="W466" s="17" t="s">
        <v>24</v>
      </c>
      <c r="X466" s="17" t="s">
        <v>24</v>
      </c>
      <c r="Y466" s="15" t="s">
        <v>21</v>
      </c>
      <c r="Z466" s="196" t="s">
        <v>114</v>
      </c>
      <c r="AA466" s="31" t="s">
        <v>25</v>
      </c>
      <c r="AB466" s="5" t="s">
        <v>26</v>
      </c>
    </row>
    <row r="467" spans="2:28" ht="16.5" thickBot="1">
      <c r="B467" s="8">
        <v>3</v>
      </c>
      <c r="C467" s="3" t="s">
        <v>12</v>
      </c>
      <c r="D467" s="3" t="s">
        <v>12</v>
      </c>
      <c r="E467" s="803" t="s">
        <v>13</v>
      </c>
      <c r="F467" s="802" t="s">
        <v>49</v>
      </c>
      <c r="G467" s="3" t="s">
        <v>12</v>
      </c>
      <c r="H467" s="3" t="s">
        <v>12</v>
      </c>
      <c r="I467" s="5" t="s">
        <v>14</v>
      </c>
      <c r="J467" s="5" t="s">
        <v>14</v>
      </c>
      <c r="K467" s="3" t="s">
        <v>12</v>
      </c>
      <c r="L467" s="29" t="s">
        <v>49</v>
      </c>
      <c r="M467" s="3" t="s">
        <v>12</v>
      </c>
      <c r="N467" s="3" t="s">
        <v>12</v>
      </c>
      <c r="O467" s="12"/>
      <c r="Q467" s="15" t="s">
        <v>21</v>
      </c>
      <c r="R467" s="14" t="s">
        <v>20</v>
      </c>
      <c r="S467" s="960" t="s">
        <v>43</v>
      </c>
      <c r="T467" s="19" t="s">
        <v>25</v>
      </c>
      <c r="U467" s="5" t="s">
        <v>26</v>
      </c>
      <c r="V467" s="19" t="s">
        <v>25</v>
      </c>
      <c r="W467" s="189" t="s">
        <v>47</v>
      </c>
      <c r="X467" s="15" t="s">
        <v>21</v>
      </c>
      <c r="Y467" s="14" t="s">
        <v>20</v>
      </c>
      <c r="Z467" s="13" t="s">
        <v>22</v>
      </c>
      <c r="AA467" s="13" t="s">
        <v>22</v>
      </c>
      <c r="AB467" s="27" t="s">
        <v>44</v>
      </c>
    </row>
    <row r="468" spans="2:28" ht="16.5" thickBot="1">
      <c r="B468" s="798">
        <v>4</v>
      </c>
      <c r="C468" s="799" t="s">
        <v>12</v>
      </c>
      <c r="D468" s="4" t="s">
        <v>13</v>
      </c>
      <c r="E468" s="3" t="s">
        <v>12</v>
      </c>
      <c r="F468" s="3" t="s">
        <v>12</v>
      </c>
      <c r="G468" s="3" t="s">
        <v>12</v>
      </c>
      <c r="H468" s="4" t="s">
        <v>13</v>
      </c>
      <c r="I468" s="3" t="s">
        <v>12</v>
      </c>
      <c r="J468" s="30" t="s">
        <v>12</v>
      </c>
      <c r="K468" s="4" t="s">
        <v>13</v>
      </c>
      <c r="L468" s="3" t="s">
        <v>12</v>
      </c>
      <c r="M468" s="5" t="s">
        <v>14</v>
      </c>
      <c r="N468" s="3" t="s">
        <v>12</v>
      </c>
      <c r="O468" s="12"/>
      <c r="R468" s="15" t="s">
        <v>21</v>
      </c>
      <c r="S468" s="968" t="s">
        <v>26</v>
      </c>
      <c r="T468" s="15" t="s">
        <v>21</v>
      </c>
      <c r="U468" s="19" t="s">
        <v>25</v>
      </c>
      <c r="V468" s="189" t="s">
        <v>47</v>
      </c>
      <c r="W468" s="19" t="s">
        <v>25</v>
      </c>
      <c r="X468" s="22" t="s">
        <v>27</v>
      </c>
      <c r="Y468" s="27" t="s">
        <v>44</v>
      </c>
      <c r="Z468" s="15" t="s">
        <v>21</v>
      </c>
      <c r="AA468" s="15" t="s">
        <v>21</v>
      </c>
      <c r="AB468" s="191" t="s">
        <v>244</v>
      </c>
    </row>
    <row r="469" spans="2:28" ht="16.5" thickBot="1">
      <c r="B469" s="8">
        <v>5</v>
      </c>
      <c r="C469" s="12"/>
      <c r="D469" s="3" t="s">
        <v>12</v>
      </c>
      <c r="E469" s="3" t="s">
        <v>12</v>
      </c>
      <c r="F469" s="5" t="s">
        <v>14</v>
      </c>
      <c r="G469" s="4" t="s">
        <v>13</v>
      </c>
      <c r="H469" s="3" t="s">
        <v>12</v>
      </c>
      <c r="I469" s="4" t="s">
        <v>13</v>
      </c>
      <c r="J469" s="804" t="s">
        <v>13</v>
      </c>
      <c r="K469" s="3" t="s">
        <v>12</v>
      </c>
      <c r="L469" s="5" t="s">
        <v>14</v>
      </c>
      <c r="M469" s="3" t="s">
        <v>12</v>
      </c>
      <c r="N469" s="3" t="s">
        <v>12</v>
      </c>
      <c r="O469" s="12"/>
      <c r="R469" s="960" t="s">
        <v>43</v>
      </c>
      <c r="T469" s="191" t="s">
        <v>244</v>
      </c>
      <c r="U469" s="960" t="s">
        <v>43</v>
      </c>
      <c r="V469" s="977" t="s">
        <v>1270</v>
      </c>
      <c r="W469" s="15" t="s">
        <v>21</v>
      </c>
      <c r="X469" s="27" t="s">
        <v>44</v>
      </c>
      <c r="Y469" s="191" t="s">
        <v>244</v>
      </c>
      <c r="Z469" s="964" t="s">
        <v>44</v>
      </c>
      <c r="AA469" s="962" t="s">
        <v>216</v>
      </c>
    </row>
    <row r="470" spans="2:28" ht="16.5" thickBot="1">
      <c r="B470" s="8">
        <v>6</v>
      </c>
      <c r="E470" s="3" t="s">
        <v>12</v>
      </c>
      <c r="F470" s="3" t="s">
        <v>12</v>
      </c>
      <c r="G470" s="3" t="s">
        <v>12</v>
      </c>
      <c r="I470" s="3" t="s">
        <v>12</v>
      </c>
      <c r="J470" s="805" t="s">
        <v>12</v>
      </c>
      <c r="L470" s="3" t="s">
        <v>12</v>
      </c>
      <c r="N470" s="5" t="s">
        <v>14</v>
      </c>
      <c r="O470" s="12"/>
      <c r="T470" s="188" t="s">
        <v>109</v>
      </c>
      <c r="V470" s="963" t="s">
        <v>46</v>
      </c>
      <c r="W470" s="963" t="s">
        <v>46</v>
      </c>
      <c r="X470" s="189" t="s">
        <v>47</v>
      </c>
      <c r="Z470" s="956" t="s">
        <v>109</v>
      </c>
      <c r="AA470" s="189" t="s">
        <v>47</v>
      </c>
    </row>
    <row r="471" spans="2:28">
      <c r="B471" s="8">
        <v>7</v>
      </c>
      <c r="G471" s="3" t="s">
        <v>12</v>
      </c>
      <c r="J471" s="30" t="s">
        <v>12</v>
      </c>
      <c r="L471" s="3" t="s">
        <v>12</v>
      </c>
      <c r="N471" s="3" t="s">
        <v>12</v>
      </c>
      <c r="O471" s="12"/>
      <c r="T471" s="14" t="s">
        <v>20</v>
      </c>
      <c r="V471" s="955" t="s">
        <v>234</v>
      </c>
      <c r="Z471" s="982" t="s">
        <v>29</v>
      </c>
    </row>
    <row r="472" spans="2:28">
      <c r="B472" s="8">
        <v>8</v>
      </c>
      <c r="L472" s="4" t="s">
        <v>13</v>
      </c>
      <c r="N472" s="3" t="s">
        <v>12</v>
      </c>
      <c r="O472" s="12"/>
      <c r="V472" s="967" t="s">
        <v>27</v>
      </c>
      <c r="Z472" s="191" t="s">
        <v>244</v>
      </c>
    </row>
    <row r="473" spans="2:28">
      <c r="B473" s="8">
        <v>9</v>
      </c>
      <c r="L473" s="3" t="s">
        <v>12</v>
      </c>
      <c r="Q473" s="25" t="s">
        <v>30</v>
      </c>
    </row>
    <row r="474" spans="2:28">
      <c r="B474" s="8">
        <v>10</v>
      </c>
      <c r="Q474" s="1507" t="s">
        <v>1</v>
      </c>
      <c r="R474" s="20" t="s">
        <v>2</v>
      </c>
      <c r="S474" s="20" t="s">
        <v>3</v>
      </c>
      <c r="T474" s="20" t="s">
        <v>4</v>
      </c>
      <c r="U474" s="20" t="s">
        <v>5</v>
      </c>
      <c r="V474" s="20" t="s">
        <v>6</v>
      </c>
      <c r="W474" s="20" t="s">
        <v>7</v>
      </c>
      <c r="X474" s="20" t="s">
        <v>8</v>
      </c>
      <c r="Y474" s="20" t="s">
        <v>9</v>
      </c>
      <c r="Z474" s="20" t="s">
        <v>10</v>
      </c>
      <c r="AA474" s="20" t="s">
        <v>36</v>
      </c>
      <c r="AB474" s="20" t="s">
        <v>37</v>
      </c>
    </row>
    <row r="475" spans="2:28">
      <c r="B475" t="s">
        <v>15</v>
      </c>
      <c r="C475" s="6" t="s">
        <v>16</v>
      </c>
      <c r="D475" s="6" t="s">
        <v>16</v>
      </c>
      <c r="E475" s="7" t="s">
        <v>17</v>
      </c>
      <c r="F475" s="6" t="s">
        <v>16</v>
      </c>
      <c r="G475" s="6" t="s">
        <v>16</v>
      </c>
      <c r="H475" s="6" t="s">
        <v>16</v>
      </c>
      <c r="I475" s="7" t="s">
        <v>17</v>
      </c>
      <c r="J475" s="6" t="s">
        <v>16</v>
      </c>
      <c r="K475" s="7" t="s">
        <v>17</v>
      </c>
      <c r="L475" s="6" t="s">
        <v>16</v>
      </c>
      <c r="M475" s="7" t="s">
        <v>17</v>
      </c>
      <c r="N475" s="13" t="s">
        <v>59</v>
      </c>
      <c r="Q475" t="s">
        <v>958</v>
      </c>
      <c r="R475" t="s">
        <v>106</v>
      </c>
      <c r="S475" t="s">
        <v>107</v>
      </c>
      <c r="T475" t="s">
        <v>959</v>
      </c>
      <c r="U475" t="s">
        <v>406</v>
      </c>
      <c r="V475" t="s">
        <v>110</v>
      </c>
      <c r="W475" t="s">
        <v>967</v>
      </c>
      <c r="X475" t="s">
        <v>969</v>
      </c>
      <c r="Y475" t="s">
        <v>970</v>
      </c>
      <c r="Z475" t="s">
        <v>113</v>
      </c>
      <c r="AA475" t="s">
        <v>974</v>
      </c>
      <c r="AB475" t="s">
        <v>975</v>
      </c>
    </row>
    <row r="476" spans="2:28">
      <c r="B476" t="s">
        <v>1564</v>
      </c>
      <c r="C476" s="11" t="s">
        <v>45</v>
      </c>
      <c r="E476" s="4" t="s">
        <v>1526</v>
      </c>
      <c r="J476" s="11" t="s">
        <v>45</v>
      </c>
      <c r="Q476" t="s">
        <v>106</v>
      </c>
      <c r="R476" t="s">
        <v>107</v>
      </c>
      <c r="S476" t="s">
        <v>959</v>
      </c>
      <c r="T476" t="s">
        <v>406</v>
      </c>
      <c r="U476" t="s">
        <v>110</v>
      </c>
      <c r="V476" t="s">
        <v>111</v>
      </c>
      <c r="W476" t="s">
        <v>968</v>
      </c>
      <c r="X476" t="s">
        <v>255</v>
      </c>
      <c r="Y476" t="s">
        <v>113</v>
      </c>
      <c r="Z476" t="s">
        <v>972</v>
      </c>
      <c r="AA476" t="s">
        <v>972</v>
      </c>
      <c r="AB476" t="s">
        <v>115</v>
      </c>
    </row>
    <row r="477" spans="2:28">
      <c r="C477" s="11" t="s">
        <v>2594</v>
      </c>
      <c r="S477" t="s">
        <v>960</v>
      </c>
      <c r="U477" t="s">
        <v>961</v>
      </c>
      <c r="V477" t="s">
        <v>1168</v>
      </c>
      <c r="W477" t="s">
        <v>969</v>
      </c>
      <c r="X477" t="s">
        <v>970</v>
      </c>
      <c r="Y477" t="s">
        <v>971</v>
      </c>
      <c r="Z477" t="s">
        <v>973</v>
      </c>
      <c r="AA477" t="s">
        <v>975</v>
      </c>
    </row>
    <row r="478" spans="2:28">
      <c r="C478" s="5" t="s">
        <v>87</v>
      </c>
      <c r="U478" t="s">
        <v>962</v>
      </c>
      <c r="V478" t="s">
        <v>1169</v>
      </c>
      <c r="Y478" t="s">
        <v>113</v>
      </c>
      <c r="Z478" t="s">
        <v>974</v>
      </c>
    </row>
    <row r="479" spans="2:28">
      <c r="U479" t="s">
        <v>963</v>
      </c>
      <c r="V479" t="s">
        <v>964</v>
      </c>
    </row>
    <row r="480" spans="2:28" ht="21">
      <c r="B480" s="1" t="s">
        <v>95</v>
      </c>
      <c r="U480" t="s">
        <v>961</v>
      </c>
      <c r="V480" t="s">
        <v>965</v>
      </c>
    </row>
    <row r="481" spans="2:29">
      <c r="B481" s="21" t="s">
        <v>96</v>
      </c>
      <c r="C481" s="13"/>
      <c r="E481" s="45" t="s">
        <v>591</v>
      </c>
      <c r="Q481" s="10" t="s">
        <v>19</v>
      </c>
      <c r="V481" t="s">
        <v>966</v>
      </c>
    </row>
    <row r="482" spans="2:29">
      <c r="B482" s="9" t="s">
        <v>0</v>
      </c>
      <c r="C482" s="20" t="s">
        <v>1</v>
      </c>
      <c r="D482" s="20" t="s">
        <v>2</v>
      </c>
      <c r="E482" s="20" t="s">
        <v>3</v>
      </c>
      <c r="F482" s="20" t="s">
        <v>4</v>
      </c>
      <c r="G482" s="20" t="s">
        <v>5</v>
      </c>
      <c r="H482" s="20" t="s">
        <v>6</v>
      </c>
      <c r="I482" s="20" t="s">
        <v>7</v>
      </c>
      <c r="J482" s="20" t="s">
        <v>8</v>
      </c>
      <c r="K482" s="20" t="s">
        <v>9</v>
      </c>
      <c r="L482" s="20" t="s">
        <v>10</v>
      </c>
      <c r="M482" s="20" t="s">
        <v>36</v>
      </c>
      <c r="N482" s="20" t="s">
        <v>37</v>
      </c>
      <c r="Q482" s="11" t="s">
        <v>1</v>
      </c>
      <c r="R482" s="11" t="s">
        <v>2</v>
      </c>
      <c r="S482" s="11" t="s">
        <v>3</v>
      </c>
      <c r="T482" s="11" t="s">
        <v>4</v>
      </c>
      <c r="U482" s="11" t="s">
        <v>5</v>
      </c>
      <c r="V482" s="11" t="s">
        <v>6</v>
      </c>
      <c r="W482" s="11" t="s">
        <v>7</v>
      </c>
      <c r="X482" s="11" t="s">
        <v>8</v>
      </c>
      <c r="Y482" s="11" t="s">
        <v>9</v>
      </c>
      <c r="Z482" s="1506" t="s">
        <v>10</v>
      </c>
      <c r="AA482" s="1506" t="s">
        <v>36</v>
      </c>
      <c r="AB482" s="1506" t="s">
        <v>37</v>
      </c>
      <c r="AC482" s="12"/>
    </row>
    <row r="483" spans="2:29">
      <c r="B483" s="8">
        <v>1</v>
      </c>
      <c r="C483" s="3" t="s">
        <v>12</v>
      </c>
      <c r="D483" s="3" t="s">
        <v>12</v>
      </c>
      <c r="E483" s="3" t="s">
        <v>12</v>
      </c>
      <c r="F483" s="3" t="s">
        <v>12</v>
      </c>
      <c r="G483" s="3" t="s">
        <v>12</v>
      </c>
      <c r="H483" s="5" t="s">
        <v>14</v>
      </c>
      <c r="I483" s="3" t="s">
        <v>12</v>
      </c>
      <c r="J483" s="3" t="s">
        <v>12</v>
      </c>
      <c r="K483" s="3" t="s">
        <v>12</v>
      </c>
      <c r="L483" s="3" t="s">
        <v>12</v>
      </c>
      <c r="M483" s="3" t="s">
        <v>12</v>
      </c>
      <c r="N483" s="3" t="s">
        <v>12</v>
      </c>
      <c r="O483" s="12"/>
      <c r="Q483" s="19" t="s">
        <v>25</v>
      </c>
      <c r="R483" s="193" t="s">
        <v>155</v>
      </c>
      <c r="S483" s="19" t="s">
        <v>25</v>
      </c>
      <c r="T483" s="13" t="s">
        <v>22</v>
      </c>
      <c r="U483" s="19" t="s">
        <v>25</v>
      </c>
      <c r="V483" s="13" t="s">
        <v>22</v>
      </c>
      <c r="W483" s="13" t="s">
        <v>22</v>
      </c>
      <c r="X483" s="19" t="s">
        <v>25</v>
      </c>
      <c r="Y483" s="19" t="s">
        <v>25</v>
      </c>
      <c r="Z483" s="19" t="s">
        <v>25</v>
      </c>
      <c r="AA483" s="13" t="s">
        <v>22</v>
      </c>
      <c r="AB483" s="23" t="s">
        <v>28</v>
      </c>
    </row>
    <row r="484" spans="2:29">
      <c r="B484" s="8">
        <v>2</v>
      </c>
      <c r="C484" s="3" t="s">
        <v>12</v>
      </c>
      <c r="D484" s="4" t="s">
        <v>13</v>
      </c>
      <c r="E484" s="5" t="s">
        <v>14</v>
      </c>
      <c r="F484" s="3" t="s">
        <v>12</v>
      </c>
      <c r="G484" s="5" t="s">
        <v>14</v>
      </c>
      <c r="H484" s="3" t="s">
        <v>12</v>
      </c>
      <c r="I484" s="3" t="s">
        <v>12</v>
      </c>
      <c r="J484" s="4" t="s">
        <v>13</v>
      </c>
      <c r="K484" s="29" t="s">
        <v>49</v>
      </c>
      <c r="L484" s="5" t="s">
        <v>14</v>
      </c>
      <c r="M484" s="4" t="s">
        <v>13</v>
      </c>
      <c r="N484" s="5" t="s">
        <v>14</v>
      </c>
      <c r="O484" s="12"/>
      <c r="Q484" s="14" t="s">
        <v>20</v>
      </c>
      <c r="R484" s="19" t="s">
        <v>25</v>
      </c>
      <c r="S484" s="15" t="s">
        <v>21</v>
      </c>
      <c r="T484" s="5" t="s">
        <v>26</v>
      </c>
      <c r="U484" s="5" t="s">
        <v>26</v>
      </c>
      <c r="V484" s="5" t="s">
        <v>26</v>
      </c>
      <c r="W484" s="19" t="s">
        <v>25</v>
      </c>
      <c r="X484" s="24" t="s">
        <v>29</v>
      </c>
      <c r="Y484" s="15" t="s">
        <v>21</v>
      </c>
      <c r="Z484" s="15" t="s">
        <v>21</v>
      </c>
      <c r="AA484" s="15" t="s">
        <v>21</v>
      </c>
      <c r="AB484" s="15" t="s">
        <v>21</v>
      </c>
    </row>
    <row r="485" spans="2:29" ht="16.5" thickBot="1">
      <c r="B485" s="8">
        <v>3</v>
      </c>
      <c r="C485" s="19" t="s">
        <v>71</v>
      </c>
      <c r="D485" s="3" t="s">
        <v>12</v>
      </c>
      <c r="E485" s="3" t="s">
        <v>12</v>
      </c>
      <c r="F485" s="5" t="s">
        <v>14</v>
      </c>
      <c r="G485" s="4" t="s">
        <v>13</v>
      </c>
      <c r="H485" s="5" t="s">
        <v>14</v>
      </c>
      <c r="I485" s="5" t="s">
        <v>14</v>
      </c>
      <c r="J485" s="3" t="s">
        <v>12</v>
      </c>
      <c r="K485" s="5" t="s">
        <v>14</v>
      </c>
      <c r="L485" s="3" t="s">
        <v>12</v>
      </c>
      <c r="M485" s="3" t="s">
        <v>12</v>
      </c>
      <c r="N485" s="3" t="s">
        <v>12</v>
      </c>
      <c r="O485" s="12"/>
      <c r="Q485" s="15" t="s">
        <v>21</v>
      </c>
      <c r="R485" s="15" t="s">
        <v>21</v>
      </c>
      <c r="S485" s="13" t="s">
        <v>22</v>
      </c>
      <c r="T485" s="19" t="s">
        <v>25</v>
      </c>
      <c r="U485" s="194" t="s">
        <v>43</v>
      </c>
      <c r="V485" s="966" t="s">
        <v>73</v>
      </c>
      <c r="W485" s="27" t="s">
        <v>44</v>
      </c>
      <c r="X485" s="192" t="s">
        <v>68</v>
      </c>
      <c r="Y485" s="13" t="s">
        <v>22</v>
      </c>
      <c r="Z485" s="979" t="s">
        <v>120</v>
      </c>
      <c r="AA485" s="27" t="s">
        <v>44</v>
      </c>
      <c r="AB485" s="19" t="s">
        <v>25</v>
      </c>
    </row>
    <row r="486" spans="2:29" ht="16.5" thickBot="1">
      <c r="B486" s="8">
        <v>4</v>
      </c>
      <c r="C486" s="3" t="s">
        <v>12</v>
      </c>
      <c r="D486" s="5" t="s">
        <v>14</v>
      </c>
      <c r="E486" s="4" t="s">
        <v>13</v>
      </c>
      <c r="F486" s="3" t="s">
        <v>12</v>
      </c>
      <c r="G486" s="3" t="s">
        <v>12</v>
      </c>
      <c r="H486" s="3" t="s">
        <v>12</v>
      </c>
      <c r="I486" s="3" t="s">
        <v>12</v>
      </c>
      <c r="J486" s="3" t="s">
        <v>12</v>
      </c>
      <c r="K486" s="3" t="s">
        <v>12</v>
      </c>
      <c r="L486" s="793" t="s">
        <v>13</v>
      </c>
      <c r="M486" s="5" t="s">
        <v>14</v>
      </c>
      <c r="N486" s="3" t="s">
        <v>12</v>
      </c>
      <c r="O486" s="12"/>
      <c r="R486" s="189" t="s">
        <v>47</v>
      </c>
      <c r="S486" s="965" t="s">
        <v>46</v>
      </c>
      <c r="U486" s="15" t="s">
        <v>21</v>
      </c>
      <c r="V486" s="956" t="s">
        <v>109</v>
      </c>
      <c r="X486" s="13" t="s">
        <v>22</v>
      </c>
      <c r="Y486" s="963" t="s">
        <v>46</v>
      </c>
      <c r="AA486" s="962" t="s">
        <v>216</v>
      </c>
      <c r="AB486" s="984" t="s">
        <v>24</v>
      </c>
      <c r="AC486" s="58"/>
    </row>
    <row r="487" spans="2:29" ht="16.5" thickBot="1">
      <c r="B487" s="8">
        <v>5</v>
      </c>
      <c r="C487" s="4" t="s">
        <v>13</v>
      </c>
      <c r="D487" s="3" t="s">
        <v>12</v>
      </c>
      <c r="E487" s="3" t="s">
        <v>12</v>
      </c>
      <c r="F487" s="4" t="s">
        <v>13</v>
      </c>
      <c r="G487" s="3" t="s">
        <v>12</v>
      </c>
      <c r="H487" s="4" t="s">
        <v>13</v>
      </c>
      <c r="I487" s="3" t="s">
        <v>12</v>
      </c>
      <c r="J487" s="5" t="s">
        <v>14</v>
      </c>
      <c r="K487" s="4" t="s">
        <v>13</v>
      </c>
      <c r="L487" s="3" t="s">
        <v>12</v>
      </c>
      <c r="M487" s="3" t="s">
        <v>12</v>
      </c>
      <c r="N487" s="3" t="s">
        <v>12</v>
      </c>
      <c r="O487" s="12"/>
      <c r="S487" s="22" t="s">
        <v>27</v>
      </c>
      <c r="U487" s="22" t="s">
        <v>27</v>
      </c>
      <c r="V487" s="963" t="s">
        <v>46</v>
      </c>
      <c r="X487" s="978"/>
      <c r="AB487" s="955" t="s">
        <v>234</v>
      </c>
    </row>
    <row r="488" spans="2:29" ht="16.5" thickBot="1">
      <c r="B488" s="798">
        <v>6</v>
      </c>
      <c r="C488" s="797" t="s">
        <v>12</v>
      </c>
      <c r="D488" s="796"/>
      <c r="E488" s="801"/>
      <c r="F488" s="800" t="s">
        <v>12</v>
      </c>
      <c r="G488" s="708"/>
      <c r="H488" s="3" t="s">
        <v>12</v>
      </c>
      <c r="I488" s="4" t="s">
        <v>13</v>
      </c>
      <c r="J488" s="3" t="s">
        <v>12</v>
      </c>
      <c r="K488" s="614" t="s">
        <v>12</v>
      </c>
      <c r="N488" s="3" t="s">
        <v>12</v>
      </c>
      <c r="O488" s="12"/>
      <c r="V488" s="35"/>
      <c r="X488" s="37"/>
      <c r="AB488" s="992" t="s">
        <v>23</v>
      </c>
    </row>
    <row r="489" spans="2:29">
      <c r="B489" s="8">
        <v>7</v>
      </c>
      <c r="I489" s="3" t="s">
        <v>12</v>
      </c>
      <c r="K489" s="3" t="s">
        <v>12</v>
      </c>
      <c r="N489" s="3" t="s">
        <v>12</v>
      </c>
      <c r="O489" s="12"/>
      <c r="V489" s="35"/>
      <c r="AB489" s="189" t="s">
        <v>47</v>
      </c>
    </row>
    <row r="490" spans="2:29">
      <c r="B490" s="8">
        <v>8</v>
      </c>
      <c r="N490" s="3" t="s">
        <v>12</v>
      </c>
      <c r="O490" s="12"/>
      <c r="V490" s="35"/>
      <c r="AC490" s="58"/>
    </row>
    <row r="491" spans="2:29">
      <c r="B491" s="8">
        <v>9</v>
      </c>
      <c r="N491" s="3" t="s">
        <v>12</v>
      </c>
      <c r="Q491" s="25" t="s">
        <v>30</v>
      </c>
    </row>
    <row r="492" spans="2:29">
      <c r="B492" s="8">
        <v>10</v>
      </c>
      <c r="Q492" s="1507" t="s">
        <v>1</v>
      </c>
      <c r="R492" s="20" t="s">
        <v>2</v>
      </c>
      <c r="S492" s="20" t="s">
        <v>3</v>
      </c>
      <c r="T492" s="20" t="s">
        <v>4</v>
      </c>
      <c r="U492" s="20" t="s">
        <v>5</v>
      </c>
      <c r="V492" s="20" t="s">
        <v>6</v>
      </c>
      <c r="W492" s="20" t="s">
        <v>7</v>
      </c>
      <c r="X492" s="20" t="s">
        <v>8</v>
      </c>
      <c r="Y492" s="20" t="s">
        <v>9</v>
      </c>
      <c r="Z492" s="20" t="s">
        <v>10</v>
      </c>
      <c r="AA492" s="20" t="s">
        <v>36</v>
      </c>
      <c r="AB492" s="20" t="s">
        <v>37</v>
      </c>
    </row>
    <row r="493" spans="2:29">
      <c r="B493" t="s">
        <v>15</v>
      </c>
      <c r="C493" s="6" t="s">
        <v>16</v>
      </c>
      <c r="D493" s="6" t="s">
        <v>16</v>
      </c>
      <c r="E493" s="6" t="s">
        <v>16</v>
      </c>
      <c r="F493" s="7" t="s">
        <v>17</v>
      </c>
      <c r="G493" s="6" t="s">
        <v>16</v>
      </c>
      <c r="H493" s="7" t="s">
        <v>17</v>
      </c>
      <c r="I493" s="6" t="s">
        <v>16</v>
      </c>
      <c r="J493" s="7" t="s">
        <v>17</v>
      </c>
      <c r="K493" s="6" t="s">
        <v>16</v>
      </c>
      <c r="L493" s="6" t="s">
        <v>16</v>
      </c>
      <c r="M493" s="6" t="s">
        <v>16</v>
      </c>
      <c r="N493" s="13" t="s">
        <v>59</v>
      </c>
      <c r="Q493" t="s">
        <v>976</v>
      </c>
      <c r="R493" t="s">
        <v>977</v>
      </c>
      <c r="S493" t="s">
        <v>98</v>
      </c>
      <c r="T493" t="s">
        <v>633</v>
      </c>
      <c r="U493" t="s">
        <v>100</v>
      </c>
      <c r="V493" t="s">
        <v>100</v>
      </c>
      <c r="W493" t="s">
        <v>52</v>
      </c>
      <c r="X493" t="s">
        <v>983</v>
      </c>
      <c r="Y493" t="s">
        <v>102</v>
      </c>
      <c r="Z493" t="s">
        <v>103</v>
      </c>
      <c r="AA493" t="s">
        <v>103</v>
      </c>
      <c r="AB493" t="s">
        <v>1969</v>
      </c>
    </row>
    <row r="494" spans="2:29">
      <c r="B494" t="s">
        <v>1564</v>
      </c>
      <c r="C494" s="5" t="s">
        <v>87</v>
      </c>
      <c r="F494" s="11" t="s">
        <v>45</v>
      </c>
      <c r="K494" s="11" t="s">
        <v>77</v>
      </c>
      <c r="L494" s="11" t="s">
        <v>77</v>
      </c>
      <c r="Q494" t="s">
        <v>977</v>
      </c>
      <c r="R494" t="s">
        <v>98</v>
      </c>
      <c r="S494" t="s">
        <v>633</v>
      </c>
      <c r="T494" t="s">
        <v>978</v>
      </c>
      <c r="V494" t="s">
        <v>980</v>
      </c>
      <c r="W494" t="s">
        <v>101</v>
      </c>
      <c r="X494" t="s">
        <v>102</v>
      </c>
      <c r="Y494" t="s">
        <v>103</v>
      </c>
      <c r="AA494" t="s">
        <v>1967</v>
      </c>
      <c r="AB494" t="s">
        <v>118</v>
      </c>
    </row>
    <row r="495" spans="2:29">
      <c r="T495" t="s">
        <v>979</v>
      </c>
      <c r="V495" t="s">
        <v>981</v>
      </c>
      <c r="W495" t="s">
        <v>982</v>
      </c>
      <c r="X495" t="s">
        <v>984</v>
      </c>
      <c r="Y495" s="12"/>
      <c r="AA495" t="s">
        <v>1969</v>
      </c>
      <c r="AB495" t="s">
        <v>985</v>
      </c>
    </row>
    <row r="496" spans="2:29">
      <c r="T496" t="s">
        <v>100</v>
      </c>
      <c r="V496" t="s">
        <v>52</v>
      </c>
      <c r="W496" t="s">
        <v>101</v>
      </c>
      <c r="X496" t="s">
        <v>102</v>
      </c>
      <c r="Y496" t="s">
        <v>103</v>
      </c>
    </row>
    <row r="497" spans="2:29">
      <c r="W497" t="s">
        <v>983</v>
      </c>
    </row>
    <row r="498" spans="2:29" ht="21">
      <c r="B498" s="1" t="s">
        <v>85</v>
      </c>
    </row>
    <row r="499" spans="2:29">
      <c r="B499" s="21" t="s">
        <v>86</v>
      </c>
      <c r="C499" s="13"/>
      <c r="E499" s="45" t="s">
        <v>592</v>
      </c>
      <c r="Q499" s="10" t="s">
        <v>19</v>
      </c>
      <c r="AC499" s="12"/>
    </row>
    <row r="500" spans="2:29">
      <c r="B500" s="9" t="s">
        <v>0</v>
      </c>
      <c r="C500" s="20" t="s">
        <v>1</v>
      </c>
      <c r="D500" s="20" t="s">
        <v>2</v>
      </c>
      <c r="E500" s="20" t="s">
        <v>3</v>
      </c>
      <c r="F500" s="20" t="s">
        <v>4</v>
      </c>
      <c r="G500" s="20" t="s">
        <v>5</v>
      </c>
      <c r="H500" s="20" t="s">
        <v>6</v>
      </c>
      <c r="I500" s="20" t="s">
        <v>7</v>
      </c>
      <c r="J500" s="20" t="s">
        <v>8</v>
      </c>
      <c r="K500" s="20" t="s">
        <v>9</v>
      </c>
      <c r="L500" s="20" t="s">
        <v>10</v>
      </c>
      <c r="M500" s="20" t="s">
        <v>36</v>
      </c>
      <c r="N500" s="20" t="s">
        <v>37</v>
      </c>
      <c r="Q500" s="11" t="s">
        <v>1</v>
      </c>
      <c r="R500" s="11" t="s">
        <v>2</v>
      </c>
      <c r="S500" s="11" t="s">
        <v>3</v>
      </c>
      <c r="T500" s="11" t="s">
        <v>4</v>
      </c>
      <c r="U500" s="11" t="s">
        <v>5</v>
      </c>
      <c r="V500" s="11" t="s">
        <v>6</v>
      </c>
      <c r="W500" s="11" t="s">
        <v>7</v>
      </c>
      <c r="X500" s="11" t="s">
        <v>8</v>
      </c>
      <c r="Y500" s="11" t="s">
        <v>9</v>
      </c>
      <c r="Z500" s="1506" t="s">
        <v>10</v>
      </c>
      <c r="AA500" s="1506" t="s">
        <v>36</v>
      </c>
      <c r="AB500" s="1506" t="s">
        <v>37</v>
      </c>
    </row>
    <row r="501" spans="2:29">
      <c r="B501" s="8">
        <v>1</v>
      </c>
      <c r="C501" s="3" t="s">
        <v>12</v>
      </c>
      <c r="D501" s="3" t="s">
        <v>12</v>
      </c>
      <c r="E501" s="3" t="s">
        <v>12</v>
      </c>
      <c r="F501" s="3" t="s">
        <v>12</v>
      </c>
      <c r="G501" s="3" t="s">
        <v>12</v>
      </c>
      <c r="H501" s="3" t="s">
        <v>12</v>
      </c>
      <c r="I501" s="3" t="s">
        <v>12</v>
      </c>
      <c r="J501" s="3" t="s">
        <v>12</v>
      </c>
      <c r="K501" s="3" t="s">
        <v>12</v>
      </c>
      <c r="L501" s="3" t="s">
        <v>12</v>
      </c>
      <c r="M501" s="3" t="s">
        <v>12</v>
      </c>
      <c r="N501" s="3" t="s">
        <v>12</v>
      </c>
      <c r="O501" s="12"/>
      <c r="Q501" s="13" t="s">
        <v>22</v>
      </c>
      <c r="R501" s="19" t="s">
        <v>25</v>
      </c>
      <c r="S501" s="19" t="s">
        <v>25</v>
      </c>
      <c r="T501" s="19" t="s">
        <v>25</v>
      </c>
      <c r="U501" s="19" t="s">
        <v>25</v>
      </c>
      <c r="V501" s="13" t="s">
        <v>22</v>
      </c>
      <c r="W501" s="193" t="s">
        <v>155</v>
      </c>
      <c r="X501" s="19" t="s">
        <v>25</v>
      </c>
      <c r="Y501" s="19" t="s">
        <v>25</v>
      </c>
      <c r="Z501" s="5" t="s">
        <v>26</v>
      </c>
      <c r="AA501" s="201" t="s">
        <v>93</v>
      </c>
      <c r="AB501" s="5" t="s">
        <v>26</v>
      </c>
    </row>
    <row r="502" spans="2:29">
      <c r="B502" s="8">
        <v>2</v>
      </c>
      <c r="C502" s="4" t="s">
        <v>13</v>
      </c>
      <c r="D502" s="5" t="s">
        <v>14</v>
      </c>
      <c r="E502" s="3" t="s">
        <v>12</v>
      </c>
      <c r="F502" s="3" t="s">
        <v>12</v>
      </c>
      <c r="G502" s="3" t="s">
        <v>12</v>
      </c>
      <c r="H502" s="3" t="s">
        <v>12</v>
      </c>
      <c r="I502" s="3" t="s">
        <v>12</v>
      </c>
      <c r="J502" s="4" t="s">
        <v>13</v>
      </c>
      <c r="K502" s="3" t="s">
        <v>12</v>
      </c>
      <c r="L502" s="3" t="s">
        <v>12</v>
      </c>
      <c r="M502" s="3" t="s">
        <v>12</v>
      </c>
      <c r="N502" s="5" t="s">
        <v>14</v>
      </c>
      <c r="O502" s="12"/>
      <c r="Q502" s="27" t="s">
        <v>44</v>
      </c>
      <c r="R502" s="11" t="s">
        <v>46</v>
      </c>
      <c r="S502" s="13" t="s">
        <v>22</v>
      </c>
      <c r="T502" s="16" t="s">
        <v>23</v>
      </c>
      <c r="U502" s="5" t="s">
        <v>26</v>
      </c>
      <c r="V502" s="19" t="s">
        <v>25</v>
      </c>
      <c r="W502" s="13" t="s">
        <v>22</v>
      </c>
      <c r="X502" s="14" t="s">
        <v>20</v>
      </c>
      <c r="Y502" s="24" t="s">
        <v>29</v>
      </c>
      <c r="Z502" s="19" t="s">
        <v>25</v>
      </c>
      <c r="AA502" s="14" t="s">
        <v>20</v>
      </c>
      <c r="AB502" s="19" t="s">
        <v>25</v>
      </c>
    </row>
    <row r="503" spans="2:29">
      <c r="B503" s="8">
        <v>3</v>
      </c>
      <c r="C503" s="3" t="s">
        <v>12</v>
      </c>
      <c r="D503" s="3" t="s">
        <v>12</v>
      </c>
      <c r="E503" s="4" t="s">
        <v>13</v>
      </c>
      <c r="F503" s="4" t="s">
        <v>13</v>
      </c>
      <c r="G503" s="4" t="s">
        <v>13</v>
      </c>
      <c r="H503" s="3" t="s">
        <v>12</v>
      </c>
      <c r="I503" s="4" t="s">
        <v>13</v>
      </c>
      <c r="J503" s="3" t="s">
        <v>12</v>
      </c>
      <c r="K503" s="3" t="s">
        <v>12</v>
      </c>
      <c r="L503" s="4" t="s">
        <v>13</v>
      </c>
      <c r="M503" s="5" t="s">
        <v>14</v>
      </c>
      <c r="N503" s="3" t="s">
        <v>12</v>
      </c>
      <c r="O503" s="12"/>
      <c r="Q503" s="189" t="s">
        <v>47</v>
      </c>
      <c r="R503" s="27" t="s">
        <v>44</v>
      </c>
      <c r="S503" s="27" t="s">
        <v>44</v>
      </c>
      <c r="T503" s="13" t="s">
        <v>22</v>
      </c>
      <c r="U503" s="23" t="s">
        <v>28</v>
      </c>
      <c r="V503" s="15" t="s">
        <v>21</v>
      </c>
      <c r="W503" s="11" t="s">
        <v>46</v>
      </c>
      <c r="X503" s="15" t="s">
        <v>21</v>
      </c>
      <c r="Y503" s="189" t="s">
        <v>47</v>
      </c>
      <c r="Z503" s="962" t="s">
        <v>216</v>
      </c>
      <c r="AA503" s="194" t="s">
        <v>43</v>
      </c>
      <c r="AB503" s="23" t="s">
        <v>28</v>
      </c>
    </row>
    <row r="504" spans="2:29" ht="16.5" thickBot="1">
      <c r="B504" s="8">
        <v>4</v>
      </c>
      <c r="C504" s="5" t="s">
        <v>14</v>
      </c>
      <c r="D504" s="29" t="s">
        <v>49</v>
      </c>
      <c r="E504" s="3" t="s">
        <v>12</v>
      </c>
      <c r="F504" s="3" t="s">
        <v>12</v>
      </c>
      <c r="G504" s="3" t="s">
        <v>12</v>
      </c>
      <c r="H504" s="4" t="s">
        <v>13</v>
      </c>
      <c r="I504" s="3" t="s">
        <v>12</v>
      </c>
      <c r="J504" s="5" t="s">
        <v>14</v>
      </c>
      <c r="K504" s="3" t="s">
        <v>12</v>
      </c>
      <c r="L504" s="3" t="s">
        <v>12</v>
      </c>
      <c r="M504" s="3" t="s">
        <v>12</v>
      </c>
      <c r="N504" s="3" t="s">
        <v>12</v>
      </c>
      <c r="O504" s="12"/>
      <c r="R504" s="189" t="s">
        <v>47</v>
      </c>
      <c r="T504" s="15" t="s">
        <v>21</v>
      </c>
      <c r="U504" s="189" t="s">
        <v>47</v>
      </c>
      <c r="X504" s="979" t="s">
        <v>120</v>
      </c>
      <c r="Y504" s="961" t="s">
        <v>339</v>
      </c>
      <c r="Z504" s="967" t="s">
        <v>27</v>
      </c>
      <c r="AA504" s="15" t="s">
        <v>21</v>
      </c>
      <c r="AB504" s="15" t="s">
        <v>21</v>
      </c>
    </row>
    <row r="505" spans="2:29" ht="17.25" thickTop="1" thickBot="1">
      <c r="B505" s="8">
        <v>5</v>
      </c>
      <c r="C505" s="3" t="s">
        <v>12</v>
      </c>
      <c r="D505" s="4" t="s">
        <v>13</v>
      </c>
      <c r="E505" s="5" t="s">
        <v>14</v>
      </c>
      <c r="F505" s="5" t="s">
        <v>14</v>
      </c>
      <c r="G505" s="5" t="s">
        <v>14</v>
      </c>
      <c r="H505" s="3" t="s">
        <v>12</v>
      </c>
      <c r="I505" s="5" t="s">
        <v>14</v>
      </c>
      <c r="J505" s="3" t="s">
        <v>12</v>
      </c>
      <c r="K505" s="5" t="s">
        <v>14</v>
      </c>
      <c r="L505" s="614" t="s">
        <v>12</v>
      </c>
      <c r="M505" s="795" t="s">
        <v>13</v>
      </c>
      <c r="N505" s="3" t="s">
        <v>12</v>
      </c>
      <c r="O505" s="12"/>
      <c r="T505" s="275" t="s">
        <v>397</v>
      </c>
      <c r="U505" s="27" t="s">
        <v>44</v>
      </c>
      <c r="X505" s="22" t="s">
        <v>27</v>
      </c>
      <c r="Y505" s="1394" t="s">
        <v>27</v>
      </c>
    </row>
    <row r="506" spans="2:29" ht="16.5" thickBot="1">
      <c r="B506" s="8">
        <v>6</v>
      </c>
      <c r="D506" s="3" t="s">
        <v>12</v>
      </c>
      <c r="E506" s="3" t="s">
        <v>12</v>
      </c>
      <c r="F506" s="3" t="s">
        <v>12</v>
      </c>
      <c r="G506" s="3" t="s">
        <v>12</v>
      </c>
      <c r="H506" s="5" t="s">
        <v>14</v>
      </c>
      <c r="I506" s="3" t="s">
        <v>12</v>
      </c>
      <c r="J506" s="3" t="s">
        <v>12</v>
      </c>
      <c r="K506" s="29" t="s">
        <v>49</v>
      </c>
      <c r="L506" s="5" t="s">
        <v>14</v>
      </c>
      <c r="M506" s="3" t="s">
        <v>12</v>
      </c>
      <c r="N506" s="3" t="s">
        <v>12</v>
      </c>
      <c r="O506" s="12"/>
      <c r="T506" s="189" t="s">
        <v>47</v>
      </c>
    </row>
    <row r="507" spans="2:29" ht="16.5" thickBot="1">
      <c r="B507" s="8">
        <v>7</v>
      </c>
      <c r="H507" s="613" t="s">
        <v>12</v>
      </c>
      <c r="K507" s="3" t="s">
        <v>12</v>
      </c>
      <c r="L507" s="3" t="s">
        <v>12</v>
      </c>
      <c r="N507" s="5" t="s">
        <v>14</v>
      </c>
      <c r="O507" s="12"/>
    </row>
    <row r="508" spans="2:29">
      <c r="B508" s="8">
        <v>8</v>
      </c>
      <c r="K508" s="5" t="s">
        <v>14</v>
      </c>
      <c r="N508" s="3" t="s">
        <v>12</v>
      </c>
      <c r="O508" s="12"/>
    </row>
    <row r="509" spans="2:29">
      <c r="B509" s="8">
        <v>9</v>
      </c>
      <c r="K509" s="3" t="s">
        <v>12</v>
      </c>
      <c r="Q509" s="25" t="s">
        <v>30</v>
      </c>
    </row>
    <row r="510" spans="2:29">
      <c r="B510" s="8">
        <v>10</v>
      </c>
      <c r="Q510" s="1507" t="s">
        <v>1</v>
      </c>
      <c r="R510" s="20" t="s">
        <v>2</v>
      </c>
      <c r="S510" s="20" t="s">
        <v>3</v>
      </c>
      <c r="T510" s="20" t="s">
        <v>4</v>
      </c>
      <c r="U510" s="20" t="s">
        <v>5</v>
      </c>
      <c r="V510" s="20" t="s">
        <v>6</v>
      </c>
      <c r="W510" s="20" t="s">
        <v>7</v>
      </c>
      <c r="X510" s="20" t="s">
        <v>8</v>
      </c>
      <c r="Y510" s="20" t="s">
        <v>9</v>
      </c>
      <c r="Z510" s="20" t="s">
        <v>10</v>
      </c>
      <c r="AA510" s="20" t="s">
        <v>36</v>
      </c>
      <c r="AB510" s="20" t="s">
        <v>37</v>
      </c>
    </row>
    <row r="511" spans="2:29">
      <c r="B511" t="s">
        <v>15</v>
      </c>
      <c r="C511" s="7" t="s">
        <v>17</v>
      </c>
      <c r="D511" s="6" t="s">
        <v>16</v>
      </c>
      <c r="E511" s="6" t="s">
        <v>16</v>
      </c>
      <c r="F511" s="6" t="s">
        <v>16</v>
      </c>
      <c r="G511" s="6" t="s">
        <v>16</v>
      </c>
      <c r="H511" s="7" t="s">
        <v>17</v>
      </c>
      <c r="I511" s="6" t="s">
        <v>16</v>
      </c>
      <c r="J511" s="7" t="s">
        <v>17</v>
      </c>
      <c r="K511" s="6" t="s">
        <v>16</v>
      </c>
      <c r="L511" s="6" t="s">
        <v>16</v>
      </c>
      <c r="M511" s="6" t="s">
        <v>16</v>
      </c>
      <c r="N511" s="13" t="s">
        <v>59</v>
      </c>
      <c r="Q511" t="s">
        <v>986</v>
      </c>
      <c r="R511" t="s">
        <v>88</v>
      </c>
      <c r="S511" t="s">
        <v>990</v>
      </c>
      <c r="T511" t="s">
        <v>990</v>
      </c>
      <c r="U511" t="s">
        <v>90</v>
      </c>
      <c r="V511" t="s">
        <v>90</v>
      </c>
      <c r="W511" t="s">
        <v>992</v>
      </c>
      <c r="X511" t="s">
        <v>91</v>
      </c>
      <c r="Y511" t="s">
        <v>92</v>
      </c>
      <c r="Z511" t="s">
        <v>999</v>
      </c>
      <c r="AA511" t="s">
        <v>999</v>
      </c>
      <c r="AB511" t="s">
        <v>1002</v>
      </c>
    </row>
    <row r="512" spans="2:29">
      <c r="B512" t="s">
        <v>1564</v>
      </c>
      <c r="H512" s="5" t="s">
        <v>87</v>
      </c>
      <c r="L512" s="11" t="s">
        <v>45</v>
      </c>
      <c r="Q512" t="s">
        <v>88</v>
      </c>
      <c r="R512" t="s">
        <v>988</v>
      </c>
      <c r="T512" t="s">
        <v>89</v>
      </c>
      <c r="V512" t="s">
        <v>991</v>
      </c>
      <c r="W512" t="s">
        <v>91</v>
      </c>
      <c r="X512" t="s">
        <v>92</v>
      </c>
      <c r="Y512" t="s">
        <v>996</v>
      </c>
      <c r="Z512" t="s">
        <v>1000</v>
      </c>
      <c r="AA512" t="s">
        <v>1002</v>
      </c>
      <c r="AB512" t="s">
        <v>105</v>
      </c>
    </row>
    <row r="513" spans="2:29">
      <c r="Q513" t="s">
        <v>987</v>
      </c>
      <c r="R513" t="s">
        <v>989</v>
      </c>
      <c r="T513" t="s">
        <v>90</v>
      </c>
      <c r="V513" t="s">
        <v>992</v>
      </c>
      <c r="W513" t="s">
        <v>993</v>
      </c>
      <c r="X513" t="s">
        <v>637</v>
      </c>
      <c r="Y513" t="s">
        <v>997</v>
      </c>
      <c r="Z513" t="s">
        <v>1001</v>
      </c>
      <c r="AB513" t="s">
        <v>94</v>
      </c>
    </row>
    <row r="514" spans="2:29">
      <c r="Q514" t="s">
        <v>88</v>
      </c>
      <c r="R514" t="s">
        <v>990</v>
      </c>
      <c r="W514" t="s">
        <v>994</v>
      </c>
      <c r="X514" t="s">
        <v>995</v>
      </c>
      <c r="Y514" t="s">
        <v>998</v>
      </c>
      <c r="Z514" t="s">
        <v>999</v>
      </c>
      <c r="AB514" t="s">
        <v>845</v>
      </c>
    </row>
    <row r="515" spans="2:29">
      <c r="W515" t="s">
        <v>91</v>
      </c>
      <c r="X515" t="s">
        <v>772</v>
      </c>
      <c r="Y515" t="s">
        <v>999</v>
      </c>
    </row>
    <row r="516" spans="2:29" ht="21">
      <c r="B516" s="1" t="s">
        <v>66</v>
      </c>
      <c r="X516" t="s">
        <v>92</v>
      </c>
    </row>
    <row r="517" spans="2:29">
      <c r="B517" s="21" t="s">
        <v>84</v>
      </c>
      <c r="C517" s="13"/>
      <c r="E517" s="45" t="s">
        <v>593</v>
      </c>
      <c r="Q517" s="10" t="s">
        <v>19</v>
      </c>
    </row>
    <row r="518" spans="2:29">
      <c r="B518" s="9" t="s">
        <v>0</v>
      </c>
      <c r="C518" s="20" t="s">
        <v>1</v>
      </c>
      <c r="D518" s="20" t="s">
        <v>2</v>
      </c>
      <c r="E518" s="20" t="s">
        <v>3</v>
      </c>
      <c r="F518" s="20" t="s">
        <v>4</v>
      </c>
      <c r="G518" s="20" t="s">
        <v>5</v>
      </c>
      <c r="H518" s="20" t="s">
        <v>6</v>
      </c>
      <c r="I518" s="20" t="s">
        <v>7</v>
      </c>
      <c r="J518" s="20" t="s">
        <v>8</v>
      </c>
      <c r="K518" s="20" t="s">
        <v>9</v>
      </c>
      <c r="L518" s="20" t="s">
        <v>10</v>
      </c>
      <c r="M518" s="20" t="s">
        <v>36</v>
      </c>
      <c r="N518" s="20" t="s">
        <v>37</v>
      </c>
      <c r="Q518" s="11" t="s">
        <v>1</v>
      </c>
      <c r="R518" s="11" t="s">
        <v>2</v>
      </c>
      <c r="S518" s="11" t="s">
        <v>3</v>
      </c>
      <c r="T518" s="11" t="s">
        <v>4</v>
      </c>
      <c r="U518" s="11" t="s">
        <v>5</v>
      </c>
      <c r="V518" s="11" t="s">
        <v>6</v>
      </c>
      <c r="W518" s="11" t="s">
        <v>7</v>
      </c>
      <c r="X518" s="11" t="s">
        <v>8</v>
      </c>
      <c r="Y518" s="11" t="s">
        <v>9</v>
      </c>
      <c r="Z518" s="1506" t="s">
        <v>10</v>
      </c>
      <c r="AA518" s="1506" t="s">
        <v>36</v>
      </c>
      <c r="AB518" s="1506" t="s">
        <v>37</v>
      </c>
      <c r="AC518" s="12"/>
    </row>
    <row r="519" spans="2:29" ht="16.5" thickBot="1">
      <c r="B519" s="8">
        <v>1</v>
      </c>
      <c r="C519" s="3" t="s">
        <v>12</v>
      </c>
      <c r="D519" s="3" t="s">
        <v>12</v>
      </c>
      <c r="E519" s="3" t="s">
        <v>12</v>
      </c>
      <c r="F519" s="3" t="s">
        <v>12</v>
      </c>
      <c r="G519" s="3" t="s">
        <v>12</v>
      </c>
      <c r="H519" s="3" t="s">
        <v>12</v>
      </c>
      <c r="I519" s="3" t="s">
        <v>12</v>
      </c>
      <c r="J519" s="3" t="s">
        <v>12</v>
      </c>
      <c r="K519" s="3" t="s">
        <v>12</v>
      </c>
      <c r="L519" s="3" t="s">
        <v>12</v>
      </c>
      <c r="M519" s="3" t="s">
        <v>12</v>
      </c>
      <c r="N519" s="3" t="s">
        <v>12</v>
      </c>
      <c r="O519" s="12"/>
      <c r="Q519" s="19" t="s">
        <v>25</v>
      </c>
      <c r="R519" s="192" t="s">
        <v>68</v>
      </c>
      <c r="S519" s="19" t="s">
        <v>25</v>
      </c>
      <c r="T519" s="19" t="s">
        <v>25</v>
      </c>
      <c r="U519" s="24" t="s">
        <v>29</v>
      </c>
      <c r="V519" s="24" t="s">
        <v>29</v>
      </c>
      <c r="W519" s="4" t="s">
        <v>73</v>
      </c>
      <c r="X519" s="15" t="s">
        <v>21</v>
      </c>
      <c r="Y519" s="5" t="s">
        <v>26</v>
      </c>
      <c r="Z519" s="19" t="s">
        <v>25</v>
      </c>
      <c r="AA519" s="11" t="s">
        <v>46</v>
      </c>
      <c r="AB519" s="19" t="s">
        <v>25</v>
      </c>
    </row>
    <row r="520" spans="2:29" ht="16.5" thickBot="1">
      <c r="B520" s="8">
        <v>2</v>
      </c>
      <c r="C520" s="3" t="s">
        <v>12</v>
      </c>
      <c r="D520" s="4" t="s">
        <v>13</v>
      </c>
      <c r="E520" s="3" t="s">
        <v>12</v>
      </c>
      <c r="F520" s="4" t="s">
        <v>13</v>
      </c>
      <c r="G520" s="19" t="s">
        <v>71</v>
      </c>
      <c r="H520" s="5" t="s">
        <v>14</v>
      </c>
      <c r="I520" s="4" t="s">
        <v>13</v>
      </c>
      <c r="J520" s="793" t="s">
        <v>13</v>
      </c>
      <c r="K520" s="5" t="s">
        <v>14</v>
      </c>
      <c r="L520" s="3" t="s">
        <v>12</v>
      </c>
      <c r="M520" s="3" t="s">
        <v>12</v>
      </c>
      <c r="N520" s="3" t="s">
        <v>12</v>
      </c>
      <c r="O520" s="12"/>
      <c r="Q520" s="15" t="s">
        <v>21</v>
      </c>
      <c r="R520" s="19" t="s">
        <v>25</v>
      </c>
      <c r="S520" s="13" t="s">
        <v>22</v>
      </c>
      <c r="T520" s="13" t="s">
        <v>22</v>
      </c>
      <c r="U520" s="19" t="s">
        <v>25</v>
      </c>
      <c r="V520" s="13" t="s">
        <v>22</v>
      </c>
      <c r="W520" s="19" t="s">
        <v>25</v>
      </c>
      <c r="X520" s="19" t="s">
        <v>25</v>
      </c>
      <c r="Y520" s="19" t="s">
        <v>25</v>
      </c>
      <c r="Z520" s="979" t="s">
        <v>120</v>
      </c>
      <c r="AA520" s="15" t="s">
        <v>21</v>
      </c>
      <c r="AB520" s="23" t="s">
        <v>28</v>
      </c>
    </row>
    <row r="521" spans="2:29" ht="16.5" thickBot="1">
      <c r="B521" s="8">
        <v>3</v>
      </c>
      <c r="C521" s="3" t="s">
        <v>12</v>
      </c>
      <c r="D521" s="3" t="s">
        <v>12</v>
      </c>
      <c r="E521" s="793" t="s">
        <v>13</v>
      </c>
      <c r="F521" s="3" t="s">
        <v>12</v>
      </c>
      <c r="G521" s="3" t="s">
        <v>12</v>
      </c>
      <c r="H521" s="3" t="s">
        <v>12</v>
      </c>
      <c r="I521" s="3" t="s">
        <v>12</v>
      </c>
      <c r="J521" s="29" t="s">
        <v>49</v>
      </c>
      <c r="K521" s="3" t="s">
        <v>12</v>
      </c>
      <c r="L521" s="29" t="s">
        <v>49</v>
      </c>
      <c r="M521" s="5" t="s">
        <v>14</v>
      </c>
      <c r="N521" s="3" t="s">
        <v>12</v>
      </c>
      <c r="O521" s="12"/>
      <c r="Q521" s="191" t="s">
        <v>244</v>
      </c>
      <c r="R521" s="15" t="s">
        <v>21</v>
      </c>
      <c r="S521" s="956" t="s">
        <v>109</v>
      </c>
      <c r="T521" s="189" t="s">
        <v>47</v>
      </c>
      <c r="U521" s="15" t="s">
        <v>21</v>
      </c>
      <c r="V521" s="19" t="s">
        <v>25</v>
      </c>
      <c r="W521" s="199" t="s">
        <v>74</v>
      </c>
      <c r="X521" s="23" t="s">
        <v>28</v>
      </c>
      <c r="Y521" s="15" t="s">
        <v>21</v>
      </c>
      <c r="AA521" s="727" t="s">
        <v>1269</v>
      </c>
      <c r="AB521" s="963" t="s">
        <v>46</v>
      </c>
    </row>
    <row r="522" spans="2:29" ht="16.5" thickBot="1">
      <c r="B522" s="8">
        <v>4</v>
      </c>
      <c r="C522" s="4" t="s">
        <v>13</v>
      </c>
      <c r="D522" s="5" t="s">
        <v>14</v>
      </c>
      <c r="E522" s="3" t="s">
        <v>12</v>
      </c>
      <c r="F522" s="5" t="s">
        <v>14</v>
      </c>
      <c r="G522" s="5" t="s">
        <v>14</v>
      </c>
      <c r="H522" s="3" t="s">
        <v>12</v>
      </c>
      <c r="I522" s="5" t="s">
        <v>14</v>
      </c>
      <c r="J522" s="3" t="s">
        <v>12</v>
      </c>
      <c r="K522" s="3" t="s">
        <v>12</v>
      </c>
      <c r="L522" s="3" t="s">
        <v>12</v>
      </c>
      <c r="M522" s="3" t="s">
        <v>12</v>
      </c>
      <c r="N522" s="794" t="s">
        <v>12</v>
      </c>
      <c r="O522" s="12"/>
      <c r="Q522" s="964" t="s">
        <v>44</v>
      </c>
      <c r="R522" s="968" t="s">
        <v>26</v>
      </c>
      <c r="S522" s="27" t="s">
        <v>44</v>
      </c>
      <c r="U522" s="17" t="s">
        <v>24</v>
      </c>
      <c r="W522" s="13" t="s">
        <v>22</v>
      </c>
      <c r="X522" s="13" t="s">
        <v>22</v>
      </c>
      <c r="AB522" s="14" t="s">
        <v>20</v>
      </c>
    </row>
    <row r="523" spans="2:29" ht="16.5" thickBot="1">
      <c r="B523" s="8">
        <v>5</v>
      </c>
      <c r="C523" s="3" t="s">
        <v>12</v>
      </c>
      <c r="D523" s="3" t="s">
        <v>12</v>
      </c>
      <c r="E523" s="5" t="s">
        <v>14</v>
      </c>
      <c r="F523" s="3" t="s">
        <v>12</v>
      </c>
      <c r="G523" s="4" t="s">
        <v>13</v>
      </c>
      <c r="H523" s="793" t="s">
        <v>13</v>
      </c>
      <c r="I523" s="3" t="s">
        <v>12</v>
      </c>
      <c r="J523" s="3" t="s">
        <v>12</v>
      </c>
      <c r="K523" s="4" t="s">
        <v>13</v>
      </c>
      <c r="L523" s="5" t="s">
        <v>14</v>
      </c>
      <c r="M523" s="3" t="s">
        <v>12</v>
      </c>
      <c r="N523" s="3" t="s">
        <v>12</v>
      </c>
      <c r="O523" s="12"/>
      <c r="Q523" s="992" t="s">
        <v>23</v>
      </c>
      <c r="R523" s="189" t="s">
        <v>47</v>
      </c>
      <c r="U523" s="969" t="s">
        <v>47</v>
      </c>
      <c r="X523" s="193" t="s">
        <v>155</v>
      </c>
    </row>
    <row r="524" spans="2:29">
      <c r="B524" s="8">
        <v>6</v>
      </c>
      <c r="E524" s="3" t="s">
        <v>12</v>
      </c>
      <c r="F524" s="12"/>
      <c r="G524" s="3" t="s">
        <v>12</v>
      </c>
      <c r="H524" s="3" t="s">
        <v>12</v>
      </c>
      <c r="J524" s="3" t="s">
        <v>12</v>
      </c>
      <c r="K524" s="3" t="s">
        <v>12</v>
      </c>
      <c r="L524" s="3" t="s">
        <v>12</v>
      </c>
      <c r="M524" s="3" t="s">
        <v>12</v>
      </c>
      <c r="N524" s="3" t="s">
        <v>12</v>
      </c>
      <c r="O524" s="12"/>
      <c r="U524" s="956" t="s">
        <v>109</v>
      </c>
      <c r="X524" s="11" t="s">
        <v>46</v>
      </c>
    </row>
    <row r="525" spans="2:29">
      <c r="B525" s="8">
        <v>7</v>
      </c>
      <c r="J525" s="5" t="s">
        <v>14</v>
      </c>
      <c r="L525" s="3" t="s">
        <v>12</v>
      </c>
      <c r="M525" s="5" t="s">
        <v>14</v>
      </c>
      <c r="N525" s="3" t="s">
        <v>12</v>
      </c>
      <c r="O525" s="12"/>
    </row>
    <row r="526" spans="2:29">
      <c r="B526" s="8">
        <v>8</v>
      </c>
      <c r="J526" s="3" t="s">
        <v>12</v>
      </c>
      <c r="L526" s="3" t="s">
        <v>12</v>
      </c>
      <c r="M526" s="3" t="s">
        <v>12</v>
      </c>
      <c r="N526" s="3" t="s">
        <v>12</v>
      </c>
      <c r="O526" s="12"/>
    </row>
    <row r="527" spans="2:29">
      <c r="B527" s="8">
        <v>9</v>
      </c>
      <c r="N527" s="3" t="s">
        <v>12</v>
      </c>
      <c r="O527" s="12"/>
      <c r="Q527" s="25" t="s">
        <v>30</v>
      </c>
    </row>
    <row r="528" spans="2:29">
      <c r="B528" s="8">
        <v>10</v>
      </c>
      <c r="Q528" s="1507" t="s">
        <v>1</v>
      </c>
      <c r="R528" s="20" t="s">
        <v>2</v>
      </c>
      <c r="S528" s="20" t="s">
        <v>3</v>
      </c>
      <c r="T528" s="20" t="s">
        <v>4</v>
      </c>
      <c r="U528" s="20" t="s">
        <v>5</v>
      </c>
      <c r="V528" s="20" t="s">
        <v>6</v>
      </c>
      <c r="W528" s="20" t="s">
        <v>7</v>
      </c>
      <c r="X528" s="20" t="s">
        <v>8</v>
      </c>
      <c r="Y528" s="20" t="s">
        <v>9</v>
      </c>
      <c r="Z528" s="20" t="s">
        <v>10</v>
      </c>
      <c r="AA528" s="20" t="s">
        <v>36</v>
      </c>
      <c r="AB528" s="20" t="s">
        <v>37</v>
      </c>
    </row>
    <row r="529" spans="2:29">
      <c r="B529" t="s">
        <v>15</v>
      </c>
      <c r="C529" s="6" t="s">
        <v>16</v>
      </c>
      <c r="D529" s="6" t="s">
        <v>16</v>
      </c>
      <c r="E529" s="6" t="s">
        <v>16</v>
      </c>
      <c r="F529" s="6" t="s">
        <v>16</v>
      </c>
      <c r="G529" s="7" t="s">
        <v>17</v>
      </c>
      <c r="H529" s="6" t="s">
        <v>16</v>
      </c>
      <c r="I529" s="7" t="s">
        <v>17</v>
      </c>
      <c r="J529" s="6" t="s">
        <v>16</v>
      </c>
      <c r="K529" s="7" t="s">
        <v>17</v>
      </c>
      <c r="L529" s="6" t="s">
        <v>16</v>
      </c>
      <c r="M529" s="6" t="s">
        <v>16</v>
      </c>
      <c r="N529" s="13" t="s">
        <v>59</v>
      </c>
      <c r="Q529" t="s">
        <v>105</v>
      </c>
      <c r="R529" t="s">
        <v>67</v>
      </c>
      <c r="S529" t="s">
        <v>69</v>
      </c>
      <c r="T529" t="s">
        <v>1006</v>
      </c>
      <c r="U529" t="s">
        <v>70</v>
      </c>
      <c r="V529" t="s">
        <v>72</v>
      </c>
      <c r="W529" t="s">
        <v>1014</v>
      </c>
      <c r="X529" t="s">
        <v>76</v>
      </c>
      <c r="Y529" t="s">
        <v>79</v>
      </c>
      <c r="Z529" t="s">
        <v>80</v>
      </c>
      <c r="AA529" t="s">
        <v>1017</v>
      </c>
      <c r="AB529" t="s">
        <v>82</v>
      </c>
    </row>
    <row r="530" spans="2:29">
      <c r="B530" t="s">
        <v>1564</v>
      </c>
      <c r="E530" s="11" t="s">
        <v>45</v>
      </c>
      <c r="H530" s="11" t="s">
        <v>45</v>
      </c>
      <c r="J530" s="11" t="s">
        <v>77</v>
      </c>
      <c r="N530" s="45" t="s">
        <v>2595</v>
      </c>
      <c r="Q530" t="s">
        <v>67</v>
      </c>
      <c r="R530" t="s">
        <v>69</v>
      </c>
      <c r="S530" t="s">
        <v>1005</v>
      </c>
      <c r="T530" t="s">
        <v>70</v>
      </c>
      <c r="U530" t="s">
        <v>72</v>
      </c>
      <c r="V530" t="s">
        <v>75</v>
      </c>
      <c r="W530" t="s">
        <v>76</v>
      </c>
      <c r="X530" t="s">
        <v>78</v>
      </c>
      <c r="Y530" t="s">
        <v>1016</v>
      </c>
      <c r="Z530" t="s">
        <v>81</v>
      </c>
      <c r="AA530" t="s">
        <v>82</v>
      </c>
      <c r="AB530" t="s">
        <v>83</v>
      </c>
    </row>
    <row r="531" spans="2:29">
      <c r="E531" s="11" t="s">
        <v>2594</v>
      </c>
      <c r="Q531" t="s">
        <v>1003</v>
      </c>
      <c r="S531" t="s">
        <v>1006</v>
      </c>
      <c r="U531" t="s">
        <v>1007</v>
      </c>
      <c r="V531" t="s">
        <v>1010</v>
      </c>
      <c r="X531" t="s">
        <v>1015</v>
      </c>
      <c r="Y531" t="s">
        <v>80</v>
      </c>
      <c r="Z531" t="s">
        <v>1017</v>
      </c>
    </row>
    <row r="532" spans="2:29">
      <c r="Q532" t="s">
        <v>1004</v>
      </c>
      <c r="U532" t="s">
        <v>1008</v>
      </c>
      <c r="V532" t="s">
        <v>1011</v>
      </c>
      <c r="X532" t="s">
        <v>79</v>
      </c>
    </row>
    <row r="533" spans="2:29">
      <c r="Q533" t="s">
        <v>67</v>
      </c>
      <c r="U533" t="s">
        <v>1009</v>
      </c>
      <c r="V533" t="s">
        <v>1012</v>
      </c>
    </row>
    <row r="534" spans="2:29" ht="21">
      <c r="B534" s="1" t="s">
        <v>65</v>
      </c>
      <c r="U534" t="s">
        <v>72</v>
      </c>
      <c r="V534" t="s">
        <v>1013</v>
      </c>
    </row>
    <row r="535" spans="2:29">
      <c r="B535" s="21" t="s">
        <v>161</v>
      </c>
      <c r="C535" s="13"/>
      <c r="E535" s="45" t="s">
        <v>594</v>
      </c>
      <c r="Q535" s="10" t="s">
        <v>19</v>
      </c>
    </row>
    <row r="536" spans="2:29">
      <c r="B536" s="9" t="s">
        <v>0</v>
      </c>
      <c r="C536" s="20" t="s">
        <v>1</v>
      </c>
      <c r="D536" s="20" t="s">
        <v>2</v>
      </c>
      <c r="E536" s="20" t="s">
        <v>3</v>
      </c>
      <c r="F536" s="20" t="s">
        <v>4</v>
      </c>
      <c r="G536" s="20" t="s">
        <v>5</v>
      </c>
      <c r="H536" s="20" t="s">
        <v>6</v>
      </c>
      <c r="I536" s="20" t="s">
        <v>7</v>
      </c>
      <c r="J536" s="20" t="s">
        <v>8</v>
      </c>
      <c r="K536" s="20" t="s">
        <v>9</v>
      </c>
      <c r="L536" s="20" t="s">
        <v>10</v>
      </c>
      <c r="M536" s="20" t="s">
        <v>36</v>
      </c>
      <c r="N536" s="20" t="s">
        <v>37</v>
      </c>
      <c r="Q536" s="11" t="s">
        <v>1</v>
      </c>
      <c r="R536" s="11" t="s">
        <v>2</v>
      </c>
      <c r="S536" s="11" t="s">
        <v>3</v>
      </c>
      <c r="T536" s="11" t="s">
        <v>4</v>
      </c>
      <c r="U536" s="11" t="s">
        <v>5</v>
      </c>
      <c r="V536" s="11" t="s">
        <v>6</v>
      </c>
      <c r="W536" s="11" t="s">
        <v>7</v>
      </c>
      <c r="X536" s="11" t="s">
        <v>8</v>
      </c>
      <c r="Y536" s="11" t="s">
        <v>9</v>
      </c>
      <c r="Z536" s="1506" t="s">
        <v>10</v>
      </c>
      <c r="AA536" s="1506" t="s">
        <v>36</v>
      </c>
      <c r="AB536" s="1506" t="s">
        <v>37</v>
      </c>
      <c r="AC536" s="12"/>
    </row>
    <row r="537" spans="2:29" ht="16.5" thickBot="1">
      <c r="B537" s="8">
        <v>1</v>
      </c>
      <c r="C537" s="3" t="s">
        <v>12</v>
      </c>
      <c r="D537" s="3" t="s">
        <v>12</v>
      </c>
      <c r="E537" s="3" t="s">
        <v>12</v>
      </c>
      <c r="F537" s="3" t="s">
        <v>12</v>
      </c>
      <c r="G537" s="3" t="s">
        <v>12</v>
      </c>
      <c r="H537" s="3" t="s">
        <v>12</v>
      </c>
      <c r="I537" s="3" t="s">
        <v>12</v>
      </c>
      <c r="J537" s="3" t="s">
        <v>12</v>
      </c>
      <c r="K537" s="3" t="s">
        <v>12</v>
      </c>
      <c r="L537" s="3" t="s">
        <v>12</v>
      </c>
      <c r="M537" s="3" t="s">
        <v>12</v>
      </c>
      <c r="N537" s="3" t="s">
        <v>12</v>
      </c>
      <c r="O537" s="12"/>
      <c r="Q537" s="24" t="s">
        <v>29</v>
      </c>
      <c r="R537" s="19" t="s">
        <v>25</v>
      </c>
      <c r="S537" s="15" t="s">
        <v>21</v>
      </c>
      <c r="T537" s="17" t="s">
        <v>24</v>
      </c>
      <c r="U537" s="27" t="s">
        <v>44</v>
      </c>
      <c r="V537" s="27" t="s">
        <v>44</v>
      </c>
      <c r="W537" s="27" t="s">
        <v>44</v>
      </c>
      <c r="X537" s="188" t="s">
        <v>109</v>
      </c>
      <c r="Y537" s="22" t="s">
        <v>27</v>
      </c>
      <c r="Z537" s="22" t="s">
        <v>27</v>
      </c>
      <c r="AA537" s="23" t="s">
        <v>28</v>
      </c>
      <c r="AB537" s="5" t="s">
        <v>26</v>
      </c>
      <c r="AC537" s="12"/>
    </row>
    <row r="538" spans="2:29" ht="16.5" thickBot="1">
      <c r="B538" s="8">
        <v>2</v>
      </c>
      <c r="C538" s="3" t="s">
        <v>12</v>
      </c>
      <c r="D538" s="5" t="s">
        <v>14</v>
      </c>
      <c r="E538" s="3" t="s">
        <v>12</v>
      </c>
      <c r="F538" s="29" t="s">
        <v>49</v>
      </c>
      <c r="G538" s="5" t="s">
        <v>14</v>
      </c>
      <c r="H538" s="817" t="s">
        <v>13</v>
      </c>
      <c r="I538" s="818" t="s">
        <v>12</v>
      </c>
      <c r="J538" s="793" t="s">
        <v>13</v>
      </c>
      <c r="K538" s="3" t="s">
        <v>12</v>
      </c>
      <c r="L538" s="4" t="s">
        <v>13</v>
      </c>
      <c r="M538" s="29" t="s">
        <v>49</v>
      </c>
      <c r="N538" s="3" t="s">
        <v>12</v>
      </c>
      <c r="O538" s="12"/>
      <c r="Q538" s="13" t="s">
        <v>22</v>
      </c>
      <c r="R538" s="5" t="s">
        <v>26</v>
      </c>
      <c r="S538" s="27" t="s">
        <v>44</v>
      </c>
      <c r="T538" s="15" t="s">
        <v>21</v>
      </c>
      <c r="U538" s="189" t="s">
        <v>47</v>
      </c>
      <c r="V538" s="19" t="s">
        <v>25</v>
      </c>
      <c r="W538" s="19" t="s">
        <v>25</v>
      </c>
      <c r="X538" s="13" t="s">
        <v>22</v>
      </c>
      <c r="Y538" s="24" t="s">
        <v>29</v>
      </c>
      <c r="Z538" s="24" t="s">
        <v>29</v>
      </c>
      <c r="AA538" s="27" t="s">
        <v>44</v>
      </c>
      <c r="AB538" s="23" t="s">
        <v>28</v>
      </c>
    </row>
    <row r="539" spans="2:29" ht="16.5" thickBot="1">
      <c r="B539" s="8">
        <v>3</v>
      </c>
      <c r="C539" s="3" t="s">
        <v>12</v>
      </c>
      <c r="D539" s="4" t="s">
        <v>13</v>
      </c>
      <c r="E539" s="5" t="s">
        <v>14</v>
      </c>
      <c r="F539" s="5" t="s">
        <v>14</v>
      </c>
      <c r="G539" s="3" t="s">
        <v>12</v>
      </c>
      <c r="H539" s="3" t="s">
        <v>12</v>
      </c>
      <c r="I539" s="816" t="s">
        <v>12</v>
      </c>
      <c r="J539" s="813" t="s">
        <v>12</v>
      </c>
      <c r="K539" s="3" t="s">
        <v>12</v>
      </c>
      <c r="L539" s="3" t="s">
        <v>12</v>
      </c>
      <c r="M539" s="3" t="s">
        <v>12</v>
      </c>
      <c r="N539" s="5" t="s">
        <v>14</v>
      </c>
      <c r="O539" s="12"/>
      <c r="Q539" s="5" t="s">
        <v>26</v>
      </c>
      <c r="R539" s="13" t="s">
        <v>22</v>
      </c>
      <c r="S539" s="13" t="s">
        <v>22</v>
      </c>
      <c r="T539" s="13" t="s">
        <v>22</v>
      </c>
      <c r="U539" s="13" t="s">
        <v>22</v>
      </c>
      <c r="V539" s="23" t="s">
        <v>28</v>
      </c>
      <c r="W539" s="17" t="s">
        <v>24</v>
      </c>
      <c r="X539" s="27" t="s">
        <v>44</v>
      </c>
      <c r="Y539" s="15" t="s">
        <v>21</v>
      </c>
      <c r="Z539" s="196" t="s">
        <v>114</v>
      </c>
      <c r="AA539" s="188" t="s">
        <v>109</v>
      </c>
      <c r="AB539" s="13" t="s">
        <v>22</v>
      </c>
    </row>
    <row r="540" spans="2:29" ht="16.5" thickBot="1">
      <c r="B540" s="8">
        <v>4</v>
      </c>
      <c r="C540" s="5" t="s">
        <v>14</v>
      </c>
      <c r="D540" s="812" t="s">
        <v>12</v>
      </c>
      <c r="E540" s="811" t="s">
        <v>13</v>
      </c>
      <c r="F540" s="4" t="s">
        <v>13</v>
      </c>
      <c r="G540" s="4" t="s">
        <v>13</v>
      </c>
      <c r="H540" s="5" t="s">
        <v>14</v>
      </c>
      <c r="I540" s="815" t="s">
        <v>13</v>
      </c>
      <c r="J540" s="813" t="s">
        <v>12</v>
      </c>
      <c r="K540" s="3" t="s">
        <v>12</v>
      </c>
      <c r="L540" s="5" t="s">
        <v>14</v>
      </c>
      <c r="M540" s="4" t="s">
        <v>13</v>
      </c>
      <c r="N540" s="3" t="s">
        <v>12</v>
      </c>
      <c r="O540" s="12"/>
      <c r="Q540" s="17" t="s">
        <v>24</v>
      </c>
      <c r="R540" s="196" t="s">
        <v>114</v>
      </c>
      <c r="S540" s="193" t="s">
        <v>155</v>
      </c>
      <c r="T540" s="963" t="s">
        <v>46</v>
      </c>
      <c r="U540" s="14" t="s">
        <v>20</v>
      </c>
      <c r="V540" s="15" t="s">
        <v>21</v>
      </c>
      <c r="W540" s="13" t="s">
        <v>22</v>
      </c>
      <c r="X540" s="19" t="s">
        <v>25</v>
      </c>
      <c r="Y540" s="17" t="s">
        <v>24</v>
      </c>
      <c r="AA540" s="22" t="s">
        <v>27</v>
      </c>
      <c r="AB540" s="189" t="s">
        <v>47</v>
      </c>
      <c r="AC540" s="12"/>
    </row>
    <row r="541" spans="2:29" ht="16.5" thickBot="1">
      <c r="B541" s="8">
        <v>5</v>
      </c>
      <c r="C541" s="3" t="s">
        <v>12</v>
      </c>
      <c r="D541" s="12"/>
      <c r="E541" s="3" t="s">
        <v>12</v>
      </c>
      <c r="F541" s="812" t="s">
        <v>12</v>
      </c>
      <c r="G541" s="3" t="s">
        <v>12</v>
      </c>
      <c r="H541" s="3" t="s">
        <v>12</v>
      </c>
      <c r="I541" s="814" t="s">
        <v>12</v>
      </c>
      <c r="J541" s="813" t="s">
        <v>12</v>
      </c>
      <c r="K541" s="3" t="s">
        <v>12</v>
      </c>
      <c r="L541" s="3" t="s">
        <v>12</v>
      </c>
      <c r="M541" s="3" t="s">
        <v>12</v>
      </c>
      <c r="N541" s="3" t="s">
        <v>12</v>
      </c>
      <c r="O541" s="12"/>
      <c r="Q541" s="15" t="s">
        <v>21</v>
      </c>
      <c r="T541" s="19" t="s">
        <v>25</v>
      </c>
      <c r="U541" s="17" t="s">
        <v>24</v>
      </c>
      <c r="W541" s="189" t="s">
        <v>47</v>
      </c>
      <c r="X541" s="4" t="s">
        <v>73</v>
      </c>
      <c r="Y541" s="13" t="s">
        <v>22</v>
      </c>
      <c r="AA541" s="13" t="s">
        <v>22</v>
      </c>
      <c r="AB541" s="27" t="s">
        <v>44</v>
      </c>
    </row>
    <row r="542" spans="2:29">
      <c r="B542" s="8">
        <v>6</v>
      </c>
      <c r="C542" s="3" t="s">
        <v>12</v>
      </c>
      <c r="E542" s="12"/>
      <c r="F542" s="12"/>
      <c r="J542" s="12"/>
      <c r="K542" s="3" t="s">
        <v>12</v>
      </c>
      <c r="M542" s="5" t="s">
        <v>14</v>
      </c>
      <c r="N542" s="3" t="s">
        <v>12</v>
      </c>
      <c r="O542" s="12"/>
      <c r="Q542" s="980" t="s">
        <v>1272</v>
      </c>
      <c r="U542" s="15" t="s">
        <v>21</v>
      </c>
      <c r="Y542" s="27" t="s">
        <v>44</v>
      </c>
      <c r="AA542" s="19" t="s">
        <v>25</v>
      </c>
      <c r="AB542" s="14" t="s">
        <v>20</v>
      </c>
    </row>
    <row r="543" spans="2:29">
      <c r="B543" s="8">
        <v>7</v>
      </c>
      <c r="K543" s="3" t="s">
        <v>12</v>
      </c>
      <c r="M543" s="3" t="s">
        <v>12</v>
      </c>
      <c r="N543" s="3" t="s">
        <v>12</v>
      </c>
      <c r="O543" s="12"/>
      <c r="Q543" s="14" t="s">
        <v>20</v>
      </c>
      <c r="Y543" s="19" t="s">
        <v>25</v>
      </c>
      <c r="AB543" s="19" t="s">
        <v>25</v>
      </c>
    </row>
    <row r="544" spans="2:29">
      <c r="B544" s="8">
        <v>8</v>
      </c>
      <c r="K544" s="3" t="s">
        <v>12</v>
      </c>
      <c r="M544" s="3" t="s">
        <v>12</v>
      </c>
      <c r="Q544" s="19" t="s">
        <v>25</v>
      </c>
      <c r="AB544" s="963" t="s">
        <v>46</v>
      </c>
    </row>
    <row r="545" spans="2:29">
      <c r="B545" s="8">
        <v>9</v>
      </c>
      <c r="K545" s="3" t="s">
        <v>12</v>
      </c>
      <c r="Q545" s="25" t="s">
        <v>30</v>
      </c>
    </row>
    <row r="546" spans="2:29">
      <c r="B546" s="8">
        <v>10</v>
      </c>
      <c r="Q546" s="1507" t="s">
        <v>1</v>
      </c>
      <c r="R546" s="20" t="s">
        <v>2</v>
      </c>
      <c r="S546" s="20" t="s">
        <v>3</v>
      </c>
      <c r="T546" s="20" t="s">
        <v>4</v>
      </c>
      <c r="U546" s="20" t="s">
        <v>5</v>
      </c>
      <c r="V546" s="20" t="s">
        <v>6</v>
      </c>
      <c r="W546" s="20" t="s">
        <v>7</v>
      </c>
      <c r="X546" s="20" t="s">
        <v>8</v>
      </c>
      <c r="Y546" s="20" t="s">
        <v>9</v>
      </c>
      <c r="Z546" s="20" t="s">
        <v>10</v>
      </c>
      <c r="AA546" s="20" t="s">
        <v>36</v>
      </c>
      <c r="AB546" s="20" t="s">
        <v>37</v>
      </c>
    </row>
    <row r="547" spans="2:29">
      <c r="B547" t="s">
        <v>15</v>
      </c>
      <c r="C547" s="6" t="s">
        <v>16</v>
      </c>
      <c r="D547" s="6" t="s">
        <v>16</v>
      </c>
      <c r="E547" s="7" t="s">
        <v>17</v>
      </c>
      <c r="F547" s="6" t="s">
        <v>16</v>
      </c>
      <c r="G547" s="6" t="s">
        <v>16</v>
      </c>
      <c r="H547" s="6" t="s">
        <v>16</v>
      </c>
      <c r="I547" s="7" t="s">
        <v>17</v>
      </c>
      <c r="J547" s="6" t="s">
        <v>16</v>
      </c>
      <c r="K547" s="6" t="s">
        <v>16</v>
      </c>
      <c r="L547" s="7" t="s">
        <v>17</v>
      </c>
      <c r="M547" s="6" t="s">
        <v>16</v>
      </c>
      <c r="N547" s="13" t="s">
        <v>59</v>
      </c>
      <c r="Q547" t="s">
        <v>118</v>
      </c>
      <c r="R547" t="s">
        <v>1019</v>
      </c>
      <c r="S547" t="s">
        <v>163</v>
      </c>
      <c r="T547" t="s">
        <v>1021</v>
      </c>
      <c r="U547" t="s">
        <v>164</v>
      </c>
      <c r="V547" t="s">
        <v>1025</v>
      </c>
      <c r="W547" t="s">
        <v>165</v>
      </c>
      <c r="X547" t="s">
        <v>1027</v>
      </c>
      <c r="Y547" t="s">
        <v>166</v>
      </c>
      <c r="Z547" t="s">
        <v>1028</v>
      </c>
      <c r="AA547" t="s">
        <v>169</v>
      </c>
      <c r="AB547" t="s">
        <v>1967</v>
      </c>
    </row>
    <row r="548" spans="2:29">
      <c r="B548" t="s">
        <v>1564</v>
      </c>
      <c r="D548" s="14" t="s">
        <v>199</v>
      </c>
      <c r="F548" s="14" t="s">
        <v>199</v>
      </c>
      <c r="H548" s="11" t="s">
        <v>45</v>
      </c>
      <c r="I548" t="s">
        <v>167</v>
      </c>
      <c r="J548" s="11" t="s">
        <v>45</v>
      </c>
      <c r="K548" s="37"/>
      <c r="L548" s="37"/>
      <c r="Q548" t="s">
        <v>1018</v>
      </c>
      <c r="R548" t="s">
        <v>163</v>
      </c>
      <c r="S548" t="s">
        <v>1021</v>
      </c>
      <c r="T548" t="s">
        <v>111</v>
      </c>
      <c r="U548" t="s">
        <v>1023</v>
      </c>
      <c r="V548" t="s">
        <v>165</v>
      </c>
      <c r="W548" t="s">
        <v>1026</v>
      </c>
      <c r="X548" t="s">
        <v>166</v>
      </c>
      <c r="Y548" t="s">
        <v>168</v>
      </c>
      <c r="Z548" t="s">
        <v>169</v>
      </c>
      <c r="AA548" t="s">
        <v>1967</v>
      </c>
      <c r="AB548" t="s">
        <v>170</v>
      </c>
    </row>
    <row r="549" spans="2:29">
      <c r="Q549" t="s">
        <v>1020</v>
      </c>
      <c r="T549" t="s">
        <v>1022</v>
      </c>
      <c r="U549" t="s">
        <v>1024</v>
      </c>
      <c r="W549" t="s">
        <v>1027</v>
      </c>
      <c r="Y549" t="s">
        <v>1028</v>
      </c>
      <c r="AB549" t="s">
        <v>1033</v>
      </c>
    </row>
    <row r="550" spans="2:29">
      <c r="Q550" t="s">
        <v>1019</v>
      </c>
      <c r="U550" t="s">
        <v>1025</v>
      </c>
      <c r="Y550" t="s">
        <v>1029</v>
      </c>
    </row>
    <row r="551" spans="2:29">
      <c r="U551" t="s">
        <v>1023</v>
      </c>
      <c r="Y551" t="s">
        <v>1030</v>
      </c>
      <c r="Z551" t="s">
        <v>1032</v>
      </c>
    </row>
    <row r="552" spans="2:29" ht="21">
      <c r="B552" s="1" t="s">
        <v>60</v>
      </c>
      <c r="Y552" t="s">
        <v>1031</v>
      </c>
    </row>
    <row r="553" spans="2:29">
      <c r="B553" s="21" t="s">
        <v>152</v>
      </c>
      <c r="C553" s="13"/>
      <c r="E553" s="45" t="s">
        <v>595</v>
      </c>
      <c r="Q553" s="10" t="s">
        <v>19</v>
      </c>
    </row>
    <row r="554" spans="2:29">
      <c r="B554" s="9" t="s">
        <v>0</v>
      </c>
      <c r="C554" s="20" t="s">
        <v>1</v>
      </c>
      <c r="D554" s="20" t="s">
        <v>2</v>
      </c>
      <c r="E554" s="20" t="s">
        <v>3</v>
      </c>
      <c r="F554" s="20" t="s">
        <v>4</v>
      </c>
      <c r="G554" s="20" t="s">
        <v>5</v>
      </c>
      <c r="H554" s="20" t="s">
        <v>6</v>
      </c>
      <c r="I554" s="20" t="s">
        <v>7</v>
      </c>
      <c r="J554" s="20" t="s">
        <v>8</v>
      </c>
      <c r="K554" s="20" t="s">
        <v>9</v>
      </c>
      <c r="L554" s="20" t="s">
        <v>10</v>
      </c>
      <c r="M554" s="20" t="s">
        <v>36</v>
      </c>
      <c r="N554" s="20" t="s">
        <v>37</v>
      </c>
      <c r="Q554" s="11" t="s">
        <v>1</v>
      </c>
      <c r="R554" s="11" t="s">
        <v>2</v>
      </c>
      <c r="S554" s="11" t="s">
        <v>3</v>
      </c>
      <c r="T554" s="11" t="s">
        <v>4</v>
      </c>
      <c r="U554" s="11" t="s">
        <v>5</v>
      </c>
      <c r="V554" s="11" t="s">
        <v>6</v>
      </c>
      <c r="W554" s="11" t="s">
        <v>7</v>
      </c>
      <c r="X554" s="11" t="s">
        <v>8</v>
      </c>
      <c r="Y554" s="11" t="s">
        <v>9</v>
      </c>
      <c r="Z554" s="1506" t="s">
        <v>10</v>
      </c>
      <c r="AA554" s="1506" t="s">
        <v>36</v>
      </c>
      <c r="AB554" s="1506" t="s">
        <v>37</v>
      </c>
      <c r="AC554" s="12"/>
    </row>
    <row r="555" spans="2:29">
      <c r="B555" s="8">
        <v>1</v>
      </c>
      <c r="C555" s="3" t="s">
        <v>12</v>
      </c>
      <c r="D555" s="3" t="s">
        <v>12</v>
      </c>
      <c r="E555" s="3" t="s">
        <v>12</v>
      </c>
      <c r="F555" s="3" t="s">
        <v>12</v>
      </c>
      <c r="G555" s="3" t="s">
        <v>12</v>
      </c>
      <c r="H555" s="3" t="s">
        <v>12</v>
      </c>
      <c r="I555" s="3" t="s">
        <v>12</v>
      </c>
      <c r="J555" s="3" t="s">
        <v>12</v>
      </c>
      <c r="K555" s="3" t="s">
        <v>12</v>
      </c>
      <c r="L555" s="3" t="s">
        <v>12</v>
      </c>
      <c r="M555" s="3" t="s">
        <v>12</v>
      </c>
      <c r="N555" s="3" t="s">
        <v>12</v>
      </c>
      <c r="O555" s="12"/>
      <c r="Q555" s="27" t="s">
        <v>44</v>
      </c>
      <c r="R555" s="22" t="s">
        <v>27</v>
      </c>
      <c r="S555" s="22" t="s">
        <v>27</v>
      </c>
      <c r="T555" s="189" t="s">
        <v>47</v>
      </c>
      <c r="U555" s="24" t="s">
        <v>29</v>
      </c>
      <c r="V555" s="189" t="s">
        <v>47</v>
      </c>
      <c r="W555" s="5" t="s">
        <v>26</v>
      </c>
      <c r="X555" s="17" t="s">
        <v>24</v>
      </c>
      <c r="Y555" s="23" t="s">
        <v>28</v>
      </c>
      <c r="Z555" s="190" t="s">
        <v>120</v>
      </c>
      <c r="AA555" s="13" t="s">
        <v>22</v>
      </c>
      <c r="AB555" s="13" t="s">
        <v>22</v>
      </c>
      <c r="AC555" s="12"/>
    </row>
    <row r="556" spans="2:29" ht="16.5" thickBot="1">
      <c r="B556" s="8">
        <v>2</v>
      </c>
      <c r="C556" s="3" t="s">
        <v>12</v>
      </c>
      <c r="D556" s="3" t="s">
        <v>12</v>
      </c>
      <c r="E556" s="4" t="s">
        <v>13</v>
      </c>
      <c r="F556" s="29" t="s">
        <v>49</v>
      </c>
      <c r="G556" s="3" t="s">
        <v>12</v>
      </c>
      <c r="H556" s="3" t="s">
        <v>12</v>
      </c>
      <c r="I556" s="5" t="s">
        <v>14</v>
      </c>
      <c r="J556" s="29" t="s">
        <v>49</v>
      </c>
      <c r="K556" s="3" t="s">
        <v>12</v>
      </c>
      <c r="L556" s="3" t="s">
        <v>12</v>
      </c>
      <c r="M556" s="3" t="s">
        <v>12</v>
      </c>
      <c r="N556" s="5" t="s">
        <v>14</v>
      </c>
      <c r="O556" s="12"/>
      <c r="Q556" s="15" t="s">
        <v>21</v>
      </c>
      <c r="R556" s="188" t="s">
        <v>109</v>
      </c>
      <c r="S556" s="193" t="s">
        <v>155</v>
      </c>
      <c r="T556" s="13" t="s">
        <v>22</v>
      </c>
      <c r="U556" s="192" t="s">
        <v>68</v>
      </c>
      <c r="V556" s="13" t="s">
        <v>22</v>
      </c>
      <c r="W556" s="23" t="s">
        <v>28</v>
      </c>
      <c r="X556" s="19" t="s">
        <v>25</v>
      </c>
      <c r="Y556" s="27" t="s">
        <v>44</v>
      </c>
      <c r="Z556" s="19" t="s">
        <v>25</v>
      </c>
      <c r="AA556" s="23" t="s">
        <v>28</v>
      </c>
      <c r="AB556" s="23" t="s">
        <v>28</v>
      </c>
      <c r="AC556" s="12"/>
    </row>
    <row r="557" spans="2:29" ht="16.5" thickBot="1">
      <c r="B557" s="8">
        <v>3</v>
      </c>
      <c r="C557" s="3" t="s">
        <v>12</v>
      </c>
      <c r="D557" s="3" t="s">
        <v>12</v>
      </c>
      <c r="E557" s="5" t="s">
        <v>14</v>
      </c>
      <c r="F557" s="3" t="s">
        <v>12</v>
      </c>
      <c r="G557" s="4" t="s">
        <v>13</v>
      </c>
      <c r="H557" s="3" t="s">
        <v>12</v>
      </c>
      <c r="I557" s="3" t="s">
        <v>12</v>
      </c>
      <c r="J557" s="793" t="s">
        <v>13</v>
      </c>
      <c r="K557" s="3" t="s">
        <v>12</v>
      </c>
      <c r="L557" s="4" t="s">
        <v>13</v>
      </c>
      <c r="M557" s="5" t="s">
        <v>14</v>
      </c>
      <c r="N557" s="3" t="s">
        <v>12</v>
      </c>
      <c r="O557" s="12"/>
      <c r="Q557" s="24" t="s">
        <v>29</v>
      </c>
      <c r="R557" s="13" t="s">
        <v>22</v>
      </c>
      <c r="S557" s="188" t="s">
        <v>109</v>
      </c>
      <c r="T557" s="17" t="s">
        <v>24</v>
      </c>
      <c r="U557" s="27" t="s">
        <v>44</v>
      </c>
      <c r="V557" s="14" t="s">
        <v>20</v>
      </c>
      <c r="W557" s="17" t="s">
        <v>24</v>
      </c>
      <c r="X557" s="13" t="s">
        <v>22</v>
      </c>
      <c r="Y557" s="15" t="s">
        <v>21</v>
      </c>
      <c r="Z557" s="27" t="s">
        <v>44</v>
      </c>
      <c r="AA557" s="27" t="s">
        <v>44</v>
      </c>
      <c r="AB557" s="15" t="s">
        <v>21</v>
      </c>
    </row>
    <row r="558" spans="2:29" ht="16.5" thickBot="1">
      <c r="B558" s="8">
        <v>4</v>
      </c>
      <c r="C558" s="3" t="s">
        <v>12</v>
      </c>
      <c r="D558" s="793" t="s">
        <v>13</v>
      </c>
      <c r="E558" s="3" t="s">
        <v>12</v>
      </c>
      <c r="F558" s="5" t="s">
        <v>14</v>
      </c>
      <c r="G558" s="3" t="s">
        <v>12</v>
      </c>
      <c r="H558" s="29" t="s">
        <v>49</v>
      </c>
      <c r="I558" s="4" t="s">
        <v>13</v>
      </c>
      <c r="J558" s="3" t="s">
        <v>12</v>
      </c>
      <c r="K558" s="4" t="s">
        <v>13</v>
      </c>
      <c r="L558" s="614" t="s">
        <v>12</v>
      </c>
      <c r="M558" s="3" t="s">
        <v>12</v>
      </c>
      <c r="N558" s="3" t="s">
        <v>12</v>
      </c>
      <c r="O558" s="12"/>
      <c r="Q558" s="19" t="s">
        <v>25</v>
      </c>
      <c r="R558" s="963" t="s">
        <v>46</v>
      </c>
      <c r="S558" s="15" t="s">
        <v>21</v>
      </c>
      <c r="T558" s="15" t="s">
        <v>21</v>
      </c>
      <c r="U558" s="13" t="s">
        <v>22</v>
      </c>
      <c r="V558" s="15" t="s">
        <v>21</v>
      </c>
      <c r="W558" s="19" t="s">
        <v>25</v>
      </c>
      <c r="X558" s="15" t="s">
        <v>21</v>
      </c>
      <c r="Y558" s="13" t="s">
        <v>22</v>
      </c>
      <c r="AA558" s="19" t="s">
        <v>25</v>
      </c>
      <c r="AB558" s="5" t="s">
        <v>26</v>
      </c>
    </row>
    <row r="559" spans="2:29">
      <c r="B559" s="8">
        <v>5</v>
      </c>
      <c r="C559" s="3" t="s">
        <v>12</v>
      </c>
      <c r="D559" s="3" t="s">
        <v>12</v>
      </c>
      <c r="F559" s="3" t="s">
        <v>12</v>
      </c>
      <c r="G559" s="5" t="s">
        <v>14</v>
      </c>
      <c r="H559" s="5" t="s">
        <v>14</v>
      </c>
      <c r="I559" s="3" t="s">
        <v>12</v>
      </c>
      <c r="J559" s="5" t="s">
        <v>14</v>
      </c>
      <c r="K559" s="3" t="s">
        <v>12</v>
      </c>
      <c r="L559" s="3" t="s">
        <v>12</v>
      </c>
      <c r="M559" s="3" t="s">
        <v>12</v>
      </c>
      <c r="N559" s="3" t="s">
        <v>12</v>
      </c>
      <c r="O559" s="12"/>
      <c r="Q559" s="194" t="s">
        <v>43</v>
      </c>
      <c r="T559" s="19" t="s">
        <v>25</v>
      </c>
      <c r="U559" s="15" t="s">
        <v>21</v>
      </c>
      <c r="V559" s="963" t="s">
        <v>46</v>
      </c>
      <c r="W559" s="15" t="s">
        <v>21</v>
      </c>
      <c r="X559" s="727" t="s">
        <v>1269</v>
      </c>
      <c r="Y559" s="189" t="s">
        <v>47</v>
      </c>
      <c r="AA559" s="14" t="s">
        <v>20</v>
      </c>
      <c r="AB559" s="189" t="s">
        <v>47</v>
      </c>
    </row>
    <row r="560" spans="2:29" ht="16.5" thickBot="1">
      <c r="B560" s="8">
        <v>6</v>
      </c>
      <c r="C560" s="5" t="s">
        <v>14</v>
      </c>
      <c r="D560" s="5" t="s">
        <v>14</v>
      </c>
      <c r="E560" s="12"/>
      <c r="F560" s="4" t="s">
        <v>13</v>
      </c>
      <c r="G560" s="3" t="s">
        <v>12</v>
      </c>
      <c r="H560" s="3" t="s">
        <v>12</v>
      </c>
      <c r="J560" s="3" t="s">
        <v>12</v>
      </c>
      <c r="K560" s="5" t="s">
        <v>14</v>
      </c>
      <c r="M560" s="4" t="s">
        <v>13</v>
      </c>
      <c r="N560" s="3" t="s">
        <v>12</v>
      </c>
      <c r="O560" s="12"/>
      <c r="Q560" s="58"/>
      <c r="T560" s="191" t="s">
        <v>244</v>
      </c>
      <c r="U560" s="980" t="s">
        <v>1272</v>
      </c>
      <c r="V560" s="5" t="s">
        <v>26</v>
      </c>
      <c r="Y560" s="14" t="s">
        <v>20</v>
      </c>
    </row>
    <row r="561" spans="2:28" ht="16.5" thickBot="1">
      <c r="B561" s="8">
        <v>7</v>
      </c>
      <c r="C561" s="3" t="s">
        <v>12</v>
      </c>
      <c r="D561" s="3" t="s">
        <v>12</v>
      </c>
      <c r="F561" s="812" t="s">
        <v>12</v>
      </c>
      <c r="H561" s="4" t="s">
        <v>13</v>
      </c>
      <c r="K561" s="3" t="s">
        <v>12</v>
      </c>
      <c r="M561" s="3" t="s">
        <v>12</v>
      </c>
      <c r="N561" s="3" t="s">
        <v>12</v>
      </c>
      <c r="O561" s="12"/>
      <c r="Q561" s="12"/>
      <c r="Y561" s="19" t="s">
        <v>25</v>
      </c>
    </row>
    <row r="562" spans="2:28" ht="16.5" thickBot="1">
      <c r="B562" s="8">
        <v>8</v>
      </c>
      <c r="C562" s="5" t="s">
        <v>14</v>
      </c>
      <c r="H562" s="812" t="s">
        <v>12</v>
      </c>
    </row>
    <row r="563" spans="2:28">
      <c r="B563" s="8">
        <v>9</v>
      </c>
      <c r="C563" s="3" t="s">
        <v>12</v>
      </c>
      <c r="Q563" s="25" t="s">
        <v>30</v>
      </c>
    </row>
    <row r="564" spans="2:28">
      <c r="B564" s="8">
        <v>10</v>
      </c>
      <c r="Q564" s="1507" t="s">
        <v>1</v>
      </c>
      <c r="R564" s="20" t="s">
        <v>2</v>
      </c>
      <c r="S564" s="20" t="s">
        <v>3</v>
      </c>
      <c r="T564" s="20" t="s">
        <v>4</v>
      </c>
      <c r="U564" s="20" t="s">
        <v>5</v>
      </c>
      <c r="V564" s="20" t="s">
        <v>6</v>
      </c>
      <c r="W564" s="20" t="s">
        <v>7</v>
      </c>
      <c r="X564" s="20" t="s">
        <v>8</v>
      </c>
      <c r="Y564" s="20" t="s">
        <v>9</v>
      </c>
      <c r="Z564" s="20" t="s">
        <v>10</v>
      </c>
      <c r="AA564" s="20" t="s">
        <v>36</v>
      </c>
      <c r="AB564" s="20" t="s">
        <v>37</v>
      </c>
    </row>
    <row r="565" spans="2:28">
      <c r="B565" t="s">
        <v>15</v>
      </c>
      <c r="C565" s="6" t="s">
        <v>16</v>
      </c>
      <c r="D565" s="6" t="s">
        <v>16</v>
      </c>
      <c r="E565" s="7" t="s">
        <v>17</v>
      </c>
      <c r="F565" s="6" t="s">
        <v>16</v>
      </c>
      <c r="G565" s="7" t="s">
        <v>17</v>
      </c>
      <c r="H565" s="6" t="s">
        <v>16</v>
      </c>
      <c r="I565" s="7" t="s">
        <v>17</v>
      </c>
      <c r="J565" s="6" t="s">
        <v>16</v>
      </c>
      <c r="K565" s="6" t="s">
        <v>16</v>
      </c>
      <c r="L565" s="6" t="s">
        <v>16</v>
      </c>
      <c r="M565" s="6" t="s">
        <v>16</v>
      </c>
      <c r="N565" s="13" t="s">
        <v>59</v>
      </c>
      <c r="Q565" t="s">
        <v>1034</v>
      </c>
      <c r="R565" t="s">
        <v>106</v>
      </c>
      <c r="S565" t="s">
        <v>1036</v>
      </c>
      <c r="T565" t="s">
        <v>770</v>
      </c>
      <c r="U565" t="s">
        <v>770</v>
      </c>
      <c r="V565" t="s">
        <v>92</v>
      </c>
      <c r="W565" t="s">
        <v>156</v>
      </c>
      <c r="X565" t="s">
        <v>1038</v>
      </c>
      <c r="Y565" t="s">
        <v>1038</v>
      </c>
      <c r="Z565" t="s">
        <v>158</v>
      </c>
      <c r="AA565" t="s">
        <v>1043</v>
      </c>
      <c r="AB565" t="s">
        <v>31</v>
      </c>
    </row>
    <row r="566" spans="2:28">
      <c r="B566" t="s">
        <v>1564</v>
      </c>
      <c r="D566" s="11" t="s">
        <v>45</v>
      </c>
      <c r="F566" s="14" t="s">
        <v>199</v>
      </c>
      <c r="H566" s="14" t="s">
        <v>199</v>
      </c>
      <c r="J566" s="11" t="s">
        <v>45</v>
      </c>
      <c r="L566" s="11" t="s">
        <v>45</v>
      </c>
      <c r="N566" s="37"/>
      <c r="O566" s="37"/>
      <c r="Q566" t="s">
        <v>106</v>
      </c>
      <c r="R566" t="s">
        <v>153</v>
      </c>
      <c r="S566" t="s">
        <v>770</v>
      </c>
      <c r="U566" t="s">
        <v>92</v>
      </c>
      <c r="V566" t="s">
        <v>156</v>
      </c>
      <c r="W566" t="s">
        <v>610</v>
      </c>
      <c r="X566" t="s">
        <v>1039</v>
      </c>
      <c r="Y566" t="s">
        <v>158</v>
      </c>
      <c r="Z566" t="s">
        <v>159</v>
      </c>
      <c r="AA566" t="s">
        <v>31</v>
      </c>
      <c r="AB566" t="s">
        <v>160</v>
      </c>
    </row>
    <row r="567" spans="2:28">
      <c r="J567" s="11" t="s">
        <v>2592</v>
      </c>
      <c r="R567" t="s">
        <v>1035</v>
      </c>
      <c r="W567" t="s">
        <v>1037</v>
      </c>
      <c r="X567" t="s">
        <v>1040</v>
      </c>
      <c r="Z567" t="s">
        <v>1042</v>
      </c>
      <c r="AA567" t="s">
        <v>1044</v>
      </c>
    </row>
    <row r="568" spans="2:28">
      <c r="R568" t="s">
        <v>1036</v>
      </c>
      <c r="W568" t="s">
        <v>1038</v>
      </c>
      <c r="X568" t="s">
        <v>1041</v>
      </c>
      <c r="AA568" t="s">
        <v>31</v>
      </c>
    </row>
    <row r="569" spans="2:28" ht="21">
      <c r="B569" s="1" t="s">
        <v>35</v>
      </c>
    </row>
    <row r="570" spans="2:28">
      <c r="B570" s="21" t="s">
        <v>39</v>
      </c>
      <c r="C570" s="13"/>
      <c r="E570" s="45" t="s">
        <v>596</v>
      </c>
      <c r="Q570" s="10" t="s">
        <v>19</v>
      </c>
    </row>
    <row r="571" spans="2:28">
      <c r="B571" s="9" t="s">
        <v>0</v>
      </c>
      <c r="C571" s="20" t="s">
        <v>1</v>
      </c>
      <c r="D571" s="20" t="s">
        <v>2</v>
      </c>
      <c r="E571" s="20" t="s">
        <v>3</v>
      </c>
      <c r="F571" s="20" t="s">
        <v>4</v>
      </c>
      <c r="G571" s="20" t="s">
        <v>5</v>
      </c>
      <c r="H571" s="20" t="s">
        <v>6</v>
      </c>
      <c r="I571" s="20" t="s">
        <v>7</v>
      </c>
      <c r="J571" s="71" t="s">
        <v>53</v>
      </c>
      <c r="K571" s="20" t="s">
        <v>9</v>
      </c>
      <c r="L571" s="20" t="s">
        <v>10</v>
      </c>
      <c r="M571" s="20" t="s">
        <v>36</v>
      </c>
      <c r="Q571" s="11" t="s">
        <v>1</v>
      </c>
      <c r="R571" s="11" t="s">
        <v>2</v>
      </c>
      <c r="S571" s="11" t="s">
        <v>3</v>
      </c>
      <c r="T571" s="11" t="s">
        <v>4</v>
      </c>
      <c r="U571" s="11" t="s">
        <v>5</v>
      </c>
      <c r="V571" s="11" t="s">
        <v>6</v>
      </c>
      <c r="W571" s="11" t="s">
        <v>7</v>
      </c>
      <c r="X571" s="11" t="s">
        <v>8</v>
      </c>
      <c r="Y571" s="11" t="s">
        <v>9</v>
      </c>
      <c r="Z571" s="1506" t="s">
        <v>10</v>
      </c>
      <c r="AA571" s="1506" t="s">
        <v>36</v>
      </c>
      <c r="AB571" s="12"/>
    </row>
    <row r="572" spans="2:28">
      <c r="B572" s="8">
        <v>1</v>
      </c>
      <c r="C572" s="3" t="s">
        <v>12</v>
      </c>
      <c r="D572" s="3" t="s">
        <v>12</v>
      </c>
      <c r="E572" s="3" t="s">
        <v>12</v>
      </c>
      <c r="F572" s="3" t="s">
        <v>12</v>
      </c>
      <c r="G572" s="3" t="s">
        <v>12</v>
      </c>
      <c r="H572" s="3" t="s">
        <v>12</v>
      </c>
      <c r="I572" s="3" t="s">
        <v>12</v>
      </c>
      <c r="J572" s="3" t="s">
        <v>12</v>
      </c>
      <c r="K572" s="3" t="s">
        <v>12</v>
      </c>
      <c r="L572" s="3" t="s">
        <v>12</v>
      </c>
      <c r="M572" s="3" t="s">
        <v>12</v>
      </c>
      <c r="Q572" s="19" t="s">
        <v>25</v>
      </c>
      <c r="R572" s="15" t="s">
        <v>21</v>
      </c>
      <c r="S572" s="13" t="s">
        <v>22</v>
      </c>
      <c r="T572" s="13" t="s">
        <v>22</v>
      </c>
      <c r="U572" s="13" t="s">
        <v>22</v>
      </c>
      <c r="V572" s="23" t="s">
        <v>28</v>
      </c>
      <c r="W572" s="13" t="s">
        <v>22</v>
      </c>
      <c r="X572" s="13" t="s">
        <v>22</v>
      </c>
      <c r="Y572" s="13" t="s">
        <v>22</v>
      </c>
      <c r="Z572" s="23" t="s">
        <v>28</v>
      </c>
      <c r="AA572" s="23" t="s">
        <v>28</v>
      </c>
    </row>
    <row r="573" spans="2:28">
      <c r="B573" s="8">
        <v>2</v>
      </c>
      <c r="C573" s="3" t="s">
        <v>12</v>
      </c>
      <c r="D573" s="3" t="s">
        <v>12</v>
      </c>
      <c r="E573" s="3" t="s">
        <v>12</v>
      </c>
      <c r="F573" s="3" t="s">
        <v>12</v>
      </c>
      <c r="G573" s="29" t="s">
        <v>49</v>
      </c>
      <c r="H573" s="3" t="s">
        <v>12</v>
      </c>
      <c r="I573" s="29" t="s">
        <v>49</v>
      </c>
      <c r="J573" s="3" t="s">
        <v>12</v>
      </c>
      <c r="K573" s="3" t="s">
        <v>12</v>
      </c>
      <c r="L573" s="18" t="s">
        <v>56</v>
      </c>
      <c r="M573" s="3" t="s">
        <v>12</v>
      </c>
      <c r="Q573" s="13" t="s">
        <v>22</v>
      </c>
      <c r="R573" s="194" t="s">
        <v>43</v>
      </c>
      <c r="S573" s="11" t="s">
        <v>46</v>
      </c>
      <c r="T573" s="19" t="s">
        <v>25</v>
      </c>
      <c r="U573" s="191" t="s">
        <v>244</v>
      </c>
      <c r="V573" s="17" t="s">
        <v>24</v>
      </c>
      <c r="W573" s="980" t="s">
        <v>1272</v>
      </c>
      <c r="X573" s="15" t="s">
        <v>21</v>
      </c>
      <c r="Y573" s="189" t="s">
        <v>47</v>
      </c>
      <c r="Z573" s="27" t="s">
        <v>44</v>
      </c>
      <c r="AA573" s="13" t="s">
        <v>22</v>
      </c>
    </row>
    <row r="574" spans="2:28" ht="16.5" thickBot="1">
      <c r="B574" s="8">
        <v>3</v>
      </c>
      <c r="C574" s="3" t="s">
        <v>12</v>
      </c>
      <c r="D574" s="3" t="s">
        <v>12</v>
      </c>
      <c r="E574" s="4" t="s">
        <v>13</v>
      </c>
      <c r="F574" s="5" t="s">
        <v>14</v>
      </c>
      <c r="G574" s="5" t="s">
        <v>14</v>
      </c>
      <c r="H574" s="3" t="s">
        <v>12</v>
      </c>
      <c r="I574" s="4" t="s">
        <v>13</v>
      </c>
      <c r="J574" s="4" t="s">
        <v>13</v>
      </c>
      <c r="K574" s="3" t="s">
        <v>12</v>
      </c>
      <c r="L574" s="18" t="s">
        <v>56</v>
      </c>
      <c r="M574" s="5" t="s">
        <v>14</v>
      </c>
      <c r="Q574" s="23" t="s">
        <v>28</v>
      </c>
      <c r="R574" s="13" t="s">
        <v>22</v>
      </c>
      <c r="S574" s="189" t="s">
        <v>47</v>
      </c>
      <c r="T574" s="189" t="s">
        <v>47</v>
      </c>
      <c r="U574" s="19" t="s">
        <v>25</v>
      </c>
      <c r="V574" s="14" t="s">
        <v>20</v>
      </c>
      <c r="W574" s="959" t="s">
        <v>155</v>
      </c>
      <c r="X574" s="191" t="s">
        <v>244</v>
      </c>
      <c r="Y574" s="22" t="s">
        <v>27</v>
      </c>
      <c r="Z574" s="11" t="s">
        <v>46</v>
      </c>
      <c r="AA574" s="5" t="s">
        <v>26</v>
      </c>
    </row>
    <row r="575" spans="2:28" ht="16.5" thickBot="1">
      <c r="B575" s="8">
        <v>4</v>
      </c>
      <c r="C575" s="3" t="s">
        <v>12</v>
      </c>
      <c r="D575" s="783" t="s">
        <v>14</v>
      </c>
      <c r="E575" s="3" t="s">
        <v>12</v>
      </c>
      <c r="F575" s="3" t="s">
        <v>12</v>
      </c>
      <c r="G575" s="3" t="s">
        <v>12</v>
      </c>
      <c r="H575" s="783" t="s">
        <v>14</v>
      </c>
      <c r="I575" s="782" t="s">
        <v>12</v>
      </c>
      <c r="J575" s="3" t="s">
        <v>12</v>
      </c>
      <c r="K575" s="4" t="s">
        <v>13</v>
      </c>
      <c r="L575" s="18" t="s">
        <v>56</v>
      </c>
      <c r="M575" s="3" t="s">
        <v>12</v>
      </c>
      <c r="Q575" s="22" t="s">
        <v>27</v>
      </c>
      <c r="R575" s="27" t="s">
        <v>44</v>
      </c>
      <c r="U575" s="15" t="s">
        <v>21</v>
      </c>
      <c r="V575" s="5" t="s">
        <v>26</v>
      </c>
      <c r="X575" s="956" t="s">
        <v>109</v>
      </c>
      <c r="Y575" s="14" t="s">
        <v>20</v>
      </c>
      <c r="Z575" s="194" t="s">
        <v>43</v>
      </c>
      <c r="AA575" s="24" t="s">
        <v>29</v>
      </c>
      <c r="AB575" s="58"/>
    </row>
    <row r="576" spans="2:28" ht="16.5" thickBot="1">
      <c r="B576" s="8">
        <v>5</v>
      </c>
      <c r="C576" s="5" t="s">
        <v>14</v>
      </c>
      <c r="D576" s="3" t="s">
        <v>12</v>
      </c>
      <c r="E576" s="614" t="s">
        <v>12</v>
      </c>
      <c r="F576" s="782" t="s">
        <v>12</v>
      </c>
      <c r="G576" s="3" t="s">
        <v>12</v>
      </c>
      <c r="H576" s="4" t="s">
        <v>13</v>
      </c>
      <c r="I576" s="3" t="s">
        <v>12</v>
      </c>
      <c r="J576" s="783" t="s">
        <v>14</v>
      </c>
      <c r="K576" s="3" t="s">
        <v>12</v>
      </c>
      <c r="L576" s="18" t="s">
        <v>56</v>
      </c>
      <c r="M576" s="5" t="s">
        <v>14</v>
      </c>
      <c r="Q576" s="27" t="s">
        <v>44</v>
      </c>
      <c r="V576" s="956" t="s">
        <v>109</v>
      </c>
      <c r="W576" s="58"/>
      <c r="X576" s="955" t="s">
        <v>234</v>
      </c>
      <c r="AA576" s="14" t="s">
        <v>20</v>
      </c>
      <c r="AB576" s="990"/>
    </row>
    <row r="577" spans="2:27" ht="16.5" thickBot="1">
      <c r="B577" s="8">
        <v>6</v>
      </c>
      <c r="C577" s="3" t="s">
        <v>12</v>
      </c>
      <c r="D577" s="3" t="s">
        <v>12</v>
      </c>
      <c r="E577" s="12"/>
      <c r="F577" s="4" t="s">
        <v>13</v>
      </c>
      <c r="G577" s="783" t="s">
        <v>14</v>
      </c>
      <c r="H577" s="3" t="s">
        <v>12</v>
      </c>
      <c r="I577" s="3" t="s">
        <v>12</v>
      </c>
      <c r="J577" s="3" t="s">
        <v>12</v>
      </c>
      <c r="K577" s="614" t="s">
        <v>12</v>
      </c>
      <c r="L577" s="18" t="s">
        <v>56</v>
      </c>
      <c r="M577" s="3" t="s">
        <v>12</v>
      </c>
      <c r="Q577" s="724" t="s">
        <v>68</v>
      </c>
      <c r="V577" s="966" t="s">
        <v>73</v>
      </c>
      <c r="AA577" s="27" t="s">
        <v>44</v>
      </c>
    </row>
    <row r="578" spans="2:27">
      <c r="B578" s="8">
        <v>7</v>
      </c>
      <c r="D578" s="3" t="s">
        <v>12</v>
      </c>
      <c r="F578" s="3" t="s">
        <v>12</v>
      </c>
      <c r="G578" s="3" t="s">
        <v>12</v>
      </c>
      <c r="I578" s="3" t="s">
        <v>12</v>
      </c>
      <c r="J578" s="4" t="s">
        <v>13</v>
      </c>
      <c r="K578" s="5" t="s">
        <v>14</v>
      </c>
      <c r="L578" s="18" t="s">
        <v>56</v>
      </c>
      <c r="M578" s="3" t="s">
        <v>12</v>
      </c>
      <c r="V578" s="981" t="s">
        <v>1271</v>
      </c>
      <c r="AA578" s="191" t="s">
        <v>244</v>
      </c>
    </row>
    <row r="579" spans="2:27">
      <c r="B579" s="8">
        <v>8</v>
      </c>
      <c r="J579" s="3" t="s">
        <v>12</v>
      </c>
      <c r="K579" s="3" t="s">
        <v>12</v>
      </c>
      <c r="L579" s="18" t="s">
        <v>56</v>
      </c>
      <c r="M579" s="3" t="s">
        <v>12</v>
      </c>
      <c r="V579" s="982" t="s">
        <v>29</v>
      </c>
      <c r="AA579" s="991" t="s">
        <v>93</v>
      </c>
    </row>
    <row r="580" spans="2:27" ht="16.5" thickBot="1">
      <c r="B580" s="8">
        <v>9</v>
      </c>
      <c r="J580" s="3" t="s">
        <v>12</v>
      </c>
      <c r="L580" s="18" t="s">
        <v>56</v>
      </c>
    </row>
    <row r="581" spans="2:27" ht="16.5" thickBot="1">
      <c r="B581" s="8">
        <v>10</v>
      </c>
      <c r="J581" s="783" t="s">
        <v>14</v>
      </c>
      <c r="L581" s="18" t="s">
        <v>56</v>
      </c>
      <c r="Q581" s="25" t="s">
        <v>30</v>
      </c>
    </row>
    <row r="582" spans="2:27">
      <c r="B582" s="8">
        <v>11</v>
      </c>
      <c r="J582" s="3" t="s">
        <v>12</v>
      </c>
      <c r="Q582" s="1507" t="s">
        <v>1</v>
      </c>
      <c r="R582" s="20" t="s">
        <v>2</v>
      </c>
      <c r="S582" s="20" t="s">
        <v>3</v>
      </c>
      <c r="T582" s="20" t="s">
        <v>4</v>
      </c>
      <c r="U582" s="20" t="s">
        <v>5</v>
      </c>
      <c r="V582" s="20" t="s">
        <v>6</v>
      </c>
      <c r="W582" s="20" t="s">
        <v>7</v>
      </c>
      <c r="X582" s="20" t="s">
        <v>8</v>
      </c>
      <c r="Y582" s="20" t="s">
        <v>9</v>
      </c>
      <c r="Z582" s="20" t="s">
        <v>10</v>
      </c>
      <c r="AA582" s="20" t="s">
        <v>36</v>
      </c>
    </row>
    <row r="583" spans="2:27">
      <c r="B583" t="s">
        <v>15</v>
      </c>
      <c r="C583" s="6" t="s">
        <v>16</v>
      </c>
      <c r="D583" s="6" t="s">
        <v>16</v>
      </c>
      <c r="E583" s="6" t="s">
        <v>16</v>
      </c>
      <c r="F583" s="7" t="s">
        <v>17</v>
      </c>
      <c r="G583" s="6" t="s">
        <v>16</v>
      </c>
      <c r="H583" s="7" t="s">
        <v>17</v>
      </c>
      <c r="I583" s="6" t="s">
        <v>16</v>
      </c>
      <c r="J583" s="6" t="s">
        <v>16</v>
      </c>
      <c r="K583" s="6" t="s">
        <v>16</v>
      </c>
      <c r="L583" s="6" t="s">
        <v>16</v>
      </c>
      <c r="M583" s="13" t="s">
        <v>59</v>
      </c>
      <c r="Q583" t="s">
        <v>105</v>
      </c>
      <c r="R583" t="s">
        <v>1048</v>
      </c>
      <c r="S583" t="s">
        <v>274</v>
      </c>
      <c r="T583" t="s">
        <v>1050</v>
      </c>
      <c r="U583" t="s">
        <v>50</v>
      </c>
      <c r="V583" t="s">
        <v>52</v>
      </c>
      <c r="W583" t="s">
        <v>51</v>
      </c>
      <c r="X583" t="s">
        <v>361</v>
      </c>
      <c r="Y583" t="s">
        <v>1054</v>
      </c>
      <c r="Z583" t="s">
        <v>55</v>
      </c>
      <c r="AA583" t="s">
        <v>57</v>
      </c>
    </row>
    <row r="584" spans="2:27">
      <c r="B584" t="s">
        <v>1564</v>
      </c>
      <c r="C584" s="26" t="s">
        <v>201</v>
      </c>
      <c r="D584" s="28" t="s">
        <v>42</v>
      </c>
      <c r="E584" s="11" t="s">
        <v>45</v>
      </c>
      <c r="F584" s="28" t="s">
        <v>42</v>
      </c>
      <c r="G584" s="28" t="s">
        <v>42</v>
      </c>
      <c r="H584" s="28" t="s">
        <v>42</v>
      </c>
      <c r="I584" s="28" t="s">
        <v>42</v>
      </c>
      <c r="J584" s="28" t="s">
        <v>54</v>
      </c>
      <c r="K584" s="11" t="s">
        <v>45</v>
      </c>
      <c r="L584" s="37"/>
      <c r="Q584" t="s">
        <v>1045</v>
      </c>
      <c r="R584" t="s">
        <v>1049</v>
      </c>
      <c r="S584" t="s">
        <v>48</v>
      </c>
      <c r="T584" t="s">
        <v>50</v>
      </c>
      <c r="U584" t="s">
        <v>1052</v>
      </c>
      <c r="V584" t="s">
        <v>51</v>
      </c>
      <c r="W584" t="s">
        <v>361</v>
      </c>
      <c r="X584" t="s">
        <v>1054</v>
      </c>
      <c r="Y584" t="s">
        <v>55</v>
      </c>
      <c r="Z584" t="s">
        <v>645</v>
      </c>
      <c r="AA584" t="s">
        <v>58</v>
      </c>
    </row>
    <row r="585" spans="2:27">
      <c r="Q585" t="s">
        <v>1046</v>
      </c>
      <c r="R585" t="s">
        <v>274</v>
      </c>
      <c r="S585" t="s">
        <v>1050</v>
      </c>
      <c r="U585" t="s">
        <v>52</v>
      </c>
      <c r="Y585" t="s">
        <v>1055</v>
      </c>
    </row>
    <row r="586" spans="2:27">
      <c r="Q586" t="s">
        <v>1047</v>
      </c>
      <c r="S586" t="s">
        <v>1051</v>
      </c>
      <c r="U586" t="s">
        <v>1053</v>
      </c>
      <c r="Y586" t="s">
        <v>55</v>
      </c>
    </row>
    <row r="587" spans="2:27">
      <c r="Q587" t="s">
        <v>1048</v>
      </c>
    </row>
    <row r="588" spans="2:27" ht="21">
      <c r="B588" s="1" t="s">
        <v>11</v>
      </c>
    </row>
    <row r="589" spans="2:27">
      <c r="B589" s="21" t="s">
        <v>62</v>
      </c>
      <c r="C589" s="13"/>
      <c r="E589" s="45" t="s">
        <v>597</v>
      </c>
      <c r="Q589" s="10" t="s">
        <v>19</v>
      </c>
    </row>
    <row r="590" spans="2:27">
      <c r="B590" s="9" t="s">
        <v>0</v>
      </c>
      <c r="C590" s="20" t="s">
        <v>1</v>
      </c>
      <c r="D590" s="20" t="s">
        <v>2</v>
      </c>
      <c r="E590" s="20" t="s">
        <v>3</v>
      </c>
      <c r="F590" s="20" t="s">
        <v>4</v>
      </c>
      <c r="G590" s="20" t="s">
        <v>5</v>
      </c>
      <c r="H590" s="20" t="s">
        <v>6</v>
      </c>
      <c r="I590" s="20" t="s">
        <v>7</v>
      </c>
      <c r="J590" s="20" t="s">
        <v>8</v>
      </c>
      <c r="K590" s="20" t="s">
        <v>9</v>
      </c>
      <c r="L590" s="20" t="s">
        <v>10</v>
      </c>
      <c r="M590" s="20" t="s">
        <v>36</v>
      </c>
      <c r="Q590" s="11" t="s">
        <v>1</v>
      </c>
      <c r="R590" s="11" t="s">
        <v>2</v>
      </c>
      <c r="S590" s="11" t="s">
        <v>3</v>
      </c>
      <c r="T590" s="11" t="s">
        <v>4</v>
      </c>
      <c r="U590" s="11" t="s">
        <v>5</v>
      </c>
      <c r="V590" s="11" t="s">
        <v>6</v>
      </c>
      <c r="W590" s="11" t="s">
        <v>7</v>
      </c>
      <c r="X590" s="11" t="s">
        <v>8</v>
      </c>
      <c r="Y590" s="11" t="s">
        <v>9</v>
      </c>
      <c r="Z590" s="1506" t="s">
        <v>10</v>
      </c>
      <c r="AA590" s="1506" t="s">
        <v>36</v>
      </c>
    </row>
    <row r="591" spans="2:27">
      <c r="B591" s="8">
        <v>1</v>
      </c>
      <c r="C591" s="3" t="s">
        <v>12</v>
      </c>
      <c r="D591" s="3" t="s">
        <v>12</v>
      </c>
      <c r="E591" s="3" t="s">
        <v>12</v>
      </c>
      <c r="F591" s="3" t="s">
        <v>12</v>
      </c>
      <c r="G591" s="5" t="s">
        <v>14</v>
      </c>
      <c r="H591" s="3" t="s">
        <v>12</v>
      </c>
      <c r="I591" s="3" t="s">
        <v>12</v>
      </c>
      <c r="J591" s="3" t="s">
        <v>12</v>
      </c>
      <c r="K591" s="3" t="s">
        <v>12</v>
      </c>
      <c r="L591" s="3" t="s">
        <v>12</v>
      </c>
      <c r="M591" s="3" t="s">
        <v>12</v>
      </c>
      <c r="Q591" s="14" t="s">
        <v>20</v>
      </c>
      <c r="R591" s="16" t="s">
        <v>23</v>
      </c>
      <c r="S591" s="17" t="s">
        <v>24</v>
      </c>
      <c r="T591" s="13" t="s">
        <v>22</v>
      </c>
      <c r="U591" s="15" t="s">
        <v>21</v>
      </c>
      <c r="V591" s="19" t="s">
        <v>25</v>
      </c>
      <c r="W591" s="19" t="s">
        <v>25</v>
      </c>
      <c r="X591" s="17" t="s">
        <v>24</v>
      </c>
      <c r="Y591" s="27" t="s">
        <v>44</v>
      </c>
      <c r="Z591" s="27" t="s">
        <v>44</v>
      </c>
      <c r="AA591" s="27" t="s">
        <v>44</v>
      </c>
    </row>
    <row r="592" spans="2:27">
      <c r="B592" s="8">
        <v>2</v>
      </c>
      <c r="C592" s="3" t="s">
        <v>12</v>
      </c>
      <c r="D592" s="5" t="s">
        <v>14</v>
      </c>
      <c r="E592" s="3" t="s">
        <v>12</v>
      </c>
      <c r="F592" s="3" t="s">
        <v>12</v>
      </c>
      <c r="G592" s="3" t="s">
        <v>12</v>
      </c>
      <c r="H592" s="4" t="s">
        <v>13</v>
      </c>
      <c r="I592" s="4" t="s">
        <v>13</v>
      </c>
      <c r="J592" s="3" t="s">
        <v>12</v>
      </c>
      <c r="K592" s="5" t="s">
        <v>14</v>
      </c>
      <c r="L592" s="5" t="s">
        <v>14</v>
      </c>
      <c r="M592" s="3" t="s">
        <v>12</v>
      </c>
      <c r="Q592" s="19" t="s">
        <v>25</v>
      </c>
      <c r="R592" s="13" t="s">
        <v>22</v>
      </c>
      <c r="S592" s="4" t="s">
        <v>73</v>
      </c>
      <c r="T592" s="17" t="s">
        <v>24</v>
      </c>
      <c r="U592" s="19" t="s">
        <v>25</v>
      </c>
      <c r="V592" s="13" t="s">
        <v>22</v>
      </c>
      <c r="W592" s="17" t="s">
        <v>24</v>
      </c>
      <c r="X592" s="13" t="s">
        <v>22</v>
      </c>
      <c r="Y592" s="19" t="s">
        <v>25</v>
      </c>
      <c r="Z592" s="19" t="s">
        <v>25</v>
      </c>
      <c r="AA592" s="15" t="s">
        <v>21</v>
      </c>
    </row>
    <row r="593" spans="2:28">
      <c r="B593" s="8">
        <v>3</v>
      </c>
      <c r="C593" s="4" t="s">
        <v>13</v>
      </c>
      <c r="D593" s="3" t="s">
        <v>12</v>
      </c>
      <c r="E593" s="5" t="s">
        <v>14</v>
      </c>
      <c r="F593" s="5" t="s">
        <v>14</v>
      </c>
      <c r="G593" s="4" t="s">
        <v>13</v>
      </c>
      <c r="H593" s="3" t="s">
        <v>12</v>
      </c>
      <c r="I593" s="3" t="s">
        <v>12</v>
      </c>
      <c r="J593" s="5" t="s">
        <v>14</v>
      </c>
      <c r="K593" s="3" t="s">
        <v>12</v>
      </c>
      <c r="L593" s="3" t="s">
        <v>12</v>
      </c>
      <c r="M593" s="3" t="s">
        <v>12</v>
      </c>
      <c r="Q593" s="15" t="s">
        <v>21</v>
      </c>
      <c r="R593" s="191" t="s">
        <v>244</v>
      </c>
      <c r="S593" s="19" t="s">
        <v>25</v>
      </c>
      <c r="T593" s="5" t="s">
        <v>26</v>
      </c>
      <c r="U593" s="17" t="s">
        <v>24</v>
      </c>
      <c r="V593" s="22" t="s">
        <v>27</v>
      </c>
      <c r="W593" s="23" t="s">
        <v>28</v>
      </c>
      <c r="X593" s="23" t="s">
        <v>28</v>
      </c>
      <c r="Y593" s="17" t="s">
        <v>24</v>
      </c>
      <c r="Z593" s="13" t="s">
        <v>22</v>
      </c>
      <c r="AA593" s="17" t="s">
        <v>24</v>
      </c>
    </row>
    <row r="594" spans="2:28">
      <c r="B594" s="8">
        <v>4</v>
      </c>
      <c r="C594" s="3" t="s">
        <v>12</v>
      </c>
      <c r="D594" s="4" t="s">
        <v>13</v>
      </c>
      <c r="E594" s="3" t="s">
        <v>12</v>
      </c>
      <c r="F594" s="3" t="s">
        <v>12</v>
      </c>
      <c r="G594" s="3" t="s">
        <v>12</v>
      </c>
      <c r="H594" s="5" t="s">
        <v>14</v>
      </c>
      <c r="I594" s="5" t="s">
        <v>14</v>
      </c>
      <c r="J594" s="3" t="s">
        <v>12</v>
      </c>
      <c r="K594" s="4" t="s">
        <v>13</v>
      </c>
      <c r="L594" s="3" t="s">
        <v>12</v>
      </c>
      <c r="M594" s="3" t="s">
        <v>12</v>
      </c>
      <c r="Q594" s="13" t="s">
        <v>22</v>
      </c>
      <c r="R594" s="27" t="s">
        <v>44</v>
      </c>
      <c r="S594" s="15" t="s">
        <v>21</v>
      </c>
      <c r="T594" s="19" t="s">
        <v>25</v>
      </c>
      <c r="U594" s="963" t="s">
        <v>46</v>
      </c>
      <c r="V594" s="27" t="s">
        <v>44</v>
      </c>
      <c r="W594" s="13" t="s">
        <v>22</v>
      </c>
      <c r="X594" s="24" t="s">
        <v>29</v>
      </c>
      <c r="Y594" s="15" t="s">
        <v>21</v>
      </c>
      <c r="Z594" s="15" t="s">
        <v>21</v>
      </c>
      <c r="AA594" s="13" t="s">
        <v>22</v>
      </c>
    </row>
    <row r="595" spans="2:28">
      <c r="B595" s="8">
        <v>5</v>
      </c>
      <c r="C595" s="3" t="s">
        <v>12</v>
      </c>
      <c r="D595" s="3" t="s">
        <v>12</v>
      </c>
      <c r="E595" s="4" t="s">
        <v>13</v>
      </c>
      <c r="F595" s="4" t="s">
        <v>13</v>
      </c>
      <c r="H595" s="3" t="s">
        <v>12</v>
      </c>
      <c r="I595" s="3" t="s">
        <v>12</v>
      </c>
      <c r="J595" s="5" t="s">
        <v>14</v>
      </c>
      <c r="K595" s="3" t="s">
        <v>12</v>
      </c>
      <c r="L595" s="3" t="s">
        <v>12</v>
      </c>
      <c r="M595" s="3" t="s">
        <v>12</v>
      </c>
      <c r="Q595" s="964" t="s">
        <v>44</v>
      </c>
      <c r="R595" s="592"/>
      <c r="S595" s="13" t="s">
        <v>22</v>
      </c>
      <c r="V595" s="963" t="s">
        <v>46</v>
      </c>
      <c r="W595" s="24" t="s">
        <v>29</v>
      </c>
      <c r="X595" s="971" t="s">
        <v>46</v>
      </c>
      <c r="Y595" s="12"/>
      <c r="Z595" s="17" t="s">
        <v>24</v>
      </c>
      <c r="AA595" s="14" t="s">
        <v>20</v>
      </c>
    </row>
    <row r="596" spans="2:28">
      <c r="B596" s="8">
        <v>6</v>
      </c>
      <c r="E596" s="3" t="s">
        <v>12</v>
      </c>
      <c r="F596" s="29" t="s">
        <v>49</v>
      </c>
      <c r="J596" s="3" t="s">
        <v>12</v>
      </c>
      <c r="L596" s="5" t="s">
        <v>14</v>
      </c>
      <c r="M596" s="3" t="s">
        <v>12</v>
      </c>
      <c r="S596" s="970" t="s">
        <v>68</v>
      </c>
      <c r="W596" s="189" t="s">
        <v>47</v>
      </c>
      <c r="Z596" s="275" t="s">
        <v>397</v>
      </c>
    </row>
    <row r="597" spans="2:28">
      <c r="B597" s="8">
        <v>7</v>
      </c>
      <c r="F597" s="3" t="s">
        <v>12</v>
      </c>
      <c r="L597" s="3" t="s">
        <v>12</v>
      </c>
      <c r="M597" s="3" t="s">
        <v>12</v>
      </c>
    </row>
    <row r="598" spans="2:28">
      <c r="B598" s="8">
        <v>8</v>
      </c>
      <c r="M598" s="3" t="s">
        <v>12</v>
      </c>
      <c r="R598" s="591"/>
    </row>
    <row r="599" spans="2:28">
      <c r="B599" s="8">
        <v>9</v>
      </c>
      <c r="Q599" s="25" t="s">
        <v>30</v>
      </c>
    </row>
    <row r="600" spans="2:28">
      <c r="B600" s="8">
        <v>10</v>
      </c>
      <c r="Q600" s="1507" t="s">
        <v>1</v>
      </c>
      <c r="R600" s="20" t="s">
        <v>2</v>
      </c>
      <c r="S600" s="20" t="s">
        <v>3</v>
      </c>
      <c r="T600" s="20" t="s">
        <v>4</v>
      </c>
      <c r="U600" s="20" t="s">
        <v>5</v>
      </c>
      <c r="V600" s="20" t="s">
        <v>6</v>
      </c>
      <c r="W600" s="20" t="s">
        <v>7</v>
      </c>
      <c r="X600" s="20" t="s">
        <v>8</v>
      </c>
      <c r="Y600" s="20" t="s">
        <v>9</v>
      </c>
      <c r="Z600" s="20" t="s">
        <v>10</v>
      </c>
      <c r="AA600" s="20" t="s">
        <v>36</v>
      </c>
    </row>
    <row r="601" spans="2:28">
      <c r="B601" t="s">
        <v>15</v>
      </c>
      <c r="C601" s="6" t="s">
        <v>16</v>
      </c>
      <c r="D601" s="7" t="s">
        <v>17</v>
      </c>
      <c r="E601" s="6" t="s">
        <v>16</v>
      </c>
      <c r="F601" s="6" t="s">
        <v>16</v>
      </c>
      <c r="G601" s="7" t="s">
        <v>17</v>
      </c>
      <c r="H601" s="6" t="s">
        <v>16</v>
      </c>
      <c r="I601" s="7" t="s">
        <v>17</v>
      </c>
      <c r="J601" s="6" t="s">
        <v>16</v>
      </c>
      <c r="K601" s="7" t="s">
        <v>17</v>
      </c>
      <c r="L601" s="6" t="s">
        <v>16</v>
      </c>
      <c r="M601" s="13" t="s">
        <v>59</v>
      </c>
      <c r="Q601" t="s">
        <v>1056</v>
      </c>
      <c r="R601" t="s">
        <v>31</v>
      </c>
      <c r="S601" t="s">
        <v>31</v>
      </c>
      <c r="T601" t="s">
        <v>33</v>
      </c>
      <c r="U601" t="s">
        <v>1059</v>
      </c>
      <c r="V601" t="s">
        <v>1060</v>
      </c>
      <c r="W601" t="s">
        <v>1063</v>
      </c>
      <c r="X601" t="s">
        <v>1067</v>
      </c>
      <c r="Y601" t="s">
        <v>1070</v>
      </c>
      <c r="Z601" t="s">
        <v>1072</v>
      </c>
      <c r="AA601" t="s">
        <v>105</v>
      </c>
    </row>
    <row r="602" spans="2:28">
      <c r="Q602" t="s">
        <v>31</v>
      </c>
      <c r="S602" t="s">
        <v>32</v>
      </c>
      <c r="T602" t="s">
        <v>1057</v>
      </c>
      <c r="U602" t="s">
        <v>756</v>
      </c>
      <c r="V602" t="s">
        <v>1061</v>
      </c>
      <c r="W602" t="s">
        <v>1064</v>
      </c>
      <c r="X602" t="s">
        <v>1068</v>
      </c>
      <c r="Y602" t="s">
        <v>1071</v>
      </c>
      <c r="Z602" t="s">
        <v>1073</v>
      </c>
      <c r="AA602" t="s">
        <v>1075</v>
      </c>
    </row>
    <row r="603" spans="2:28">
      <c r="T603" t="s">
        <v>1058</v>
      </c>
      <c r="U603" t="s">
        <v>34</v>
      </c>
      <c r="V603" t="s">
        <v>1062</v>
      </c>
      <c r="W603" t="s">
        <v>1065</v>
      </c>
      <c r="X603" t="s">
        <v>1069</v>
      </c>
      <c r="Z603" t="s">
        <v>1074</v>
      </c>
    </row>
    <row r="604" spans="2:28" ht="21">
      <c r="B604" s="1" t="s">
        <v>198</v>
      </c>
      <c r="T604" t="s">
        <v>1059</v>
      </c>
      <c r="V604" t="s">
        <v>1063</v>
      </c>
      <c r="W604" t="s">
        <v>1066</v>
      </c>
      <c r="X604" t="s">
        <v>1070</v>
      </c>
    </row>
    <row r="605" spans="2:28">
      <c r="B605" s="21" t="s">
        <v>257</v>
      </c>
      <c r="C605" s="13"/>
      <c r="E605" s="45" t="s">
        <v>598</v>
      </c>
      <c r="Q605" s="10" t="s">
        <v>19</v>
      </c>
    </row>
    <row r="606" spans="2:28">
      <c r="B606" s="9" t="s">
        <v>0</v>
      </c>
      <c r="C606" s="20" t="s">
        <v>1</v>
      </c>
      <c r="D606" s="20" t="s">
        <v>2</v>
      </c>
      <c r="E606" s="71" t="s">
        <v>3</v>
      </c>
      <c r="F606" s="20" t="s">
        <v>4</v>
      </c>
      <c r="G606" s="20" t="s">
        <v>5</v>
      </c>
      <c r="H606" s="20" t="s">
        <v>6</v>
      </c>
      <c r="I606" s="20" t="s">
        <v>7</v>
      </c>
      <c r="J606" s="71" t="s">
        <v>8</v>
      </c>
      <c r="K606" s="20" t="s">
        <v>9</v>
      </c>
      <c r="L606" s="20" t="s">
        <v>10</v>
      </c>
      <c r="Q606" s="11" t="s">
        <v>1</v>
      </c>
      <c r="R606" s="11" t="s">
        <v>2</v>
      </c>
      <c r="S606" s="11" t="s">
        <v>3</v>
      </c>
      <c r="T606" s="11" t="s">
        <v>4</v>
      </c>
      <c r="U606" s="11" t="s">
        <v>5</v>
      </c>
      <c r="V606" s="11" t="s">
        <v>6</v>
      </c>
      <c r="W606" s="11" t="s">
        <v>7</v>
      </c>
      <c r="X606" s="11" t="s">
        <v>8</v>
      </c>
      <c r="Y606" s="11" t="s">
        <v>9</v>
      </c>
      <c r="Z606" s="1506" t="s">
        <v>10</v>
      </c>
      <c r="AA606" s="12"/>
      <c r="AB606" s="12"/>
    </row>
    <row r="607" spans="2:28" ht="16.5" thickBot="1">
      <c r="B607" s="8">
        <v>1</v>
      </c>
      <c r="C607" s="823" t="s">
        <v>12</v>
      </c>
      <c r="D607" s="3" t="s">
        <v>12</v>
      </c>
      <c r="E607" s="3" t="s">
        <v>12</v>
      </c>
      <c r="F607" s="3" t="s">
        <v>12</v>
      </c>
      <c r="G607" s="3" t="s">
        <v>12</v>
      </c>
      <c r="H607" s="3" t="s">
        <v>12</v>
      </c>
      <c r="I607" s="3" t="s">
        <v>12</v>
      </c>
      <c r="J607" s="3" t="s">
        <v>12</v>
      </c>
      <c r="K607" s="3" t="s">
        <v>12</v>
      </c>
      <c r="L607" s="3" t="s">
        <v>12</v>
      </c>
      <c r="Q607" s="19" t="s">
        <v>25</v>
      </c>
      <c r="R607" s="15" t="s">
        <v>21</v>
      </c>
      <c r="S607" s="17" t="s">
        <v>24</v>
      </c>
      <c r="T607" s="22" t="s">
        <v>27</v>
      </c>
      <c r="U607" s="189" t="s">
        <v>47</v>
      </c>
      <c r="V607" s="191" t="s">
        <v>244</v>
      </c>
      <c r="W607" s="23" t="s">
        <v>28</v>
      </c>
      <c r="X607" s="194" t="s">
        <v>43</v>
      </c>
      <c r="Y607" s="195" t="s">
        <v>216</v>
      </c>
      <c r="Z607" s="23" t="s">
        <v>28</v>
      </c>
    </row>
    <row r="608" spans="2:28">
      <c r="B608" s="8">
        <v>2</v>
      </c>
      <c r="C608" s="789" t="s">
        <v>12</v>
      </c>
      <c r="D608" s="5" t="s">
        <v>14</v>
      </c>
      <c r="E608" s="4" t="s">
        <v>13</v>
      </c>
      <c r="F608" s="5" t="s">
        <v>14</v>
      </c>
      <c r="G608" s="4" t="s">
        <v>13</v>
      </c>
      <c r="H608" s="5" t="s">
        <v>14</v>
      </c>
      <c r="I608" s="5" t="s">
        <v>14</v>
      </c>
      <c r="J608" s="5" t="s">
        <v>14</v>
      </c>
      <c r="K608" s="3" t="s">
        <v>12</v>
      </c>
      <c r="L608" s="3" t="s">
        <v>12</v>
      </c>
      <c r="Q608" s="17" t="s">
        <v>24</v>
      </c>
      <c r="R608" s="192" t="s">
        <v>68</v>
      </c>
      <c r="S608" s="23" t="s">
        <v>28</v>
      </c>
      <c r="T608" s="27" t="s">
        <v>44</v>
      </c>
      <c r="U608" s="188" t="s">
        <v>109</v>
      </c>
      <c r="V608" s="17" t="s">
        <v>24</v>
      </c>
      <c r="W608" s="188" t="s">
        <v>109</v>
      </c>
      <c r="X608" s="13" t="s">
        <v>22</v>
      </c>
      <c r="Y608" s="19" t="s">
        <v>25</v>
      </c>
      <c r="Z608" s="19" t="s">
        <v>25</v>
      </c>
    </row>
    <row r="609" spans="2:28">
      <c r="B609" s="8">
        <v>3</v>
      </c>
      <c r="C609" s="826" t="s">
        <v>12</v>
      </c>
      <c r="D609" s="3" t="s">
        <v>12</v>
      </c>
      <c r="E609" s="3" t="s">
        <v>12</v>
      </c>
      <c r="F609" s="3" t="s">
        <v>12</v>
      </c>
      <c r="G609" s="5" t="s">
        <v>14</v>
      </c>
      <c r="H609" s="3" t="s">
        <v>12</v>
      </c>
      <c r="I609" s="3" t="s">
        <v>12</v>
      </c>
      <c r="J609" s="3" t="s">
        <v>12</v>
      </c>
      <c r="K609" s="5" t="s">
        <v>14</v>
      </c>
      <c r="L609" s="5" t="s">
        <v>14</v>
      </c>
      <c r="Q609" s="15" t="s">
        <v>21</v>
      </c>
      <c r="R609" s="4" t="s">
        <v>73</v>
      </c>
      <c r="S609" s="13" t="s">
        <v>22</v>
      </c>
      <c r="T609" s="14" t="s">
        <v>20</v>
      </c>
      <c r="U609" s="15" t="s">
        <v>21</v>
      </c>
      <c r="V609" s="23" t="s">
        <v>28</v>
      </c>
      <c r="W609" s="191" t="s">
        <v>244</v>
      </c>
      <c r="X609" s="189" t="s">
        <v>47</v>
      </c>
      <c r="Y609" s="17" t="s">
        <v>24</v>
      </c>
      <c r="Z609" s="17" t="s">
        <v>24</v>
      </c>
    </row>
    <row r="610" spans="2:28" ht="16.5" thickBot="1">
      <c r="B610" s="8">
        <v>4</v>
      </c>
      <c r="C610" s="825" t="s">
        <v>14</v>
      </c>
      <c r="D610" s="4" t="s">
        <v>13</v>
      </c>
      <c r="E610" s="5" t="s">
        <v>14</v>
      </c>
      <c r="F610" s="4" t="s">
        <v>13</v>
      </c>
      <c r="G610" s="3" t="s">
        <v>12</v>
      </c>
      <c r="H610" s="4" t="s">
        <v>13</v>
      </c>
      <c r="I610" s="4" t="s">
        <v>13</v>
      </c>
      <c r="J610" s="4" t="s">
        <v>13</v>
      </c>
      <c r="K610" s="3" t="s">
        <v>12</v>
      </c>
      <c r="L610" s="3" t="s">
        <v>12</v>
      </c>
      <c r="R610" s="193" t="s">
        <v>155</v>
      </c>
      <c r="S610" s="19" t="s">
        <v>25</v>
      </c>
      <c r="T610" s="19" t="s">
        <v>25</v>
      </c>
      <c r="U610" s="193" t="s">
        <v>155</v>
      </c>
      <c r="V610" s="15" t="s">
        <v>21</v>
      </c>
      <c r="W610" s="13" t="s">
        <v>22</v>
      </c>
      <c r="X610" s="23" t="s">
        <v>28</v>
      </c>
      <c r="Y610" s="23" t="s">
        <v>28</v>
      </c>
      <c r="Z610" s="5" t="s">
        <v>26</v>
      </c>
    </row>
    <row r="611" spans="2:28">
      <c r="B611" s="8">
        <v>5</v>
      </c>
      <c r="C611" s="824" t="s">
        <v>12</v>
      </c>
      <c r="D611" s="3" t="s">
        <v>12</v>
      </c>
      <c r="E611" s="3" t="s">
        <v>12</v>
      </c>
      <c r="F611" s="3" t="s">
        <v>12</v>
      </c>
      <c r="H611" s="3" t="s">
        <v>12</v>
      </c>
      <c r="I611" s="3" t="s">
        <v>12</v>
      </c>
      <c r="J611" s="3" t="s">
        <v>12</v>
      </c>
      <c r="K611" s="3" t="s">
        <v>12</v>
      </c>
      <c r="L611" s="3" t="s">
        <v>12</v>
      </c>
      <c r="S611" s="15" t="s">
        <v>21</v>
      </c>
      <c r="V611" s="5" t="s">
        <v>26</v>
      </c>
      <c r="W611" s="17" t="s">
        <v>24</v>
      </c>
      <c r="X611" s="17" t="s">
        <v>24</v>
      </c>
      <c r="Z611" s="13" t="s">
        <v>22</v>
      </c>
    </row>
    <row r="612" spans="2:28">
      <c r="B612" s="8">
        <v>6</v>
      </c>
      <c r="E612" s="5" t="s">
        <v>14</v>
      </c>
      <c r="F612" s="12"/>
      <c r="J612" s="4" t="s">
        <v>13</v>
      </c>
      <c r="K612" s="3" t="s">
        <v>12</v>
      </c>
      <c r="L612" s="3" t="s">
        <v>12</v>
      </c>
      <c r="S612" s="721" t="s">
        <v>47</v>
      </c>
      <c r="W612" s="15" t="s">
        <v>21</v>
      </c>
      <c r="X612" s="190" t="s">
        <v>120</v>
      </c>
      <c r="Z612" s="15" t="s">
        <v>21</v>
      </c>
    </row>
    <row r="613" spans="2:28">
      <c r="B613" s="8">
        <v>7</v>
      </c>
      <c r="C613" s="376"/>
      <c r="E613" s="4" t="s">
        <v>13</v>
      </c>
      <c r="J613" s="3" t="s">
        <v>12</v>
      </c>
      <c r="L613" s="3" t="s">
        <v>12</v>
      </c>
      <c r="X613" s="24" t="s">
        <v>29</v>
      </c>
    </row>
    <row r="614" spans="2:28">
      <c r="B614" s="8">
        <v>8</v>
      </c>
      <c r="E614" s="3" t="s">
        <v>12</v>
      </c>
      <c r="J614" s="5" t="s">
        <v>14</v>
      </c>
      <c r="L614" s="3" t="s">
        <v>12</v>
      </c>
      <c r="X614" s="15" t="s">
        <v>21</v>
      </c>
    </row>
    <row r="615" spans="2:28">
      <c r="B615" s="8">
        <v>9</v>
      </c>
      <c r="J615" s="3" t="s">
        <v>12</v>
      </c>
      <c r="Q615" s="25" t="s">
        <v>30</v>
      </c>
      <c r="X615" s="11" t="s">
        <v>46</v>
      </c>
    </row>
    <row r="616" spans="2:28">
      <c r="B616" s="8">
        <v>10</v>
      </c>
      <c r="Q616" s="1507" t="s">
        <v>1</v>
      </c>
      <c r="R616" s="20" t="s">
        <v>2</v>
      </c>
      <c r="S616" s="20" t="s">
        <v>3</v>
      </c>
      <c r="T616" s="20" t="s">
        <v>4</v>
      </c>
      <c r="U616" s="20" t="s">
        <v>5</v>
      </c>
      <c r="V616" s="20" t="s">
        <v>6</v>
      </c>
      <c r="W616" s="20" t="s">
        <v>7</v>
      </c>
      <c r="X616" s="20" t="s">
        <v>8</v>
      </c>
      <c r="Y616" s="20" t="s">
        <v>9</v>
      </c>
      <c r="Z616" s="20" t="s">
        <v>10</v>
      </c>
    </row>
    <row r="617" spans="2:28">
      <c r="B617" t="s">
        <v>15</v>
      </c>
      <c r="C617" s="6" t="s">
        <v>16</v>
      </c>
      <c r="D617" s="6" t="s">
        <v>16</v>
      </c>
      <c r="E617" s="6" t="s">
        <v>16</v>
      </c>
      <c r="F617" s="6" t="s">
        <v>16</v>
      </c>
      <c r="G617" s="6" t="s">
        <v>16</v>
      </c>
      <c r="H617" s="6" t="s">
        <v>16</v>
      </c>
      <c r="I617" s="6" t="s">
        <v>16</v>
      </c>
      <c r="J617" s="6" t="s">
        <v>16</v>
      </c>
      <c r="K617" s="6" t="s">
        <v>16</v>
      </c>
      <c r="L617" s="13" t="s">
        <v>59</v>
      </c>
      <c r="Q617" t="s">
        <v>110</v>
      </c>
      <c r="R617" t="s">
        <v>110</v>
      </c>
      <c r="S617" t="s">
        <v>258</v>
      </c>
      <c r="T617" t="s">
        <v>1077</v>
      </c>
      <c r="U617" t="s">
        <v>261</v>
      </c>
      <c r="V617" t="s">
        <v>1078</v>
      </c>
      <c r="W617" t="s">
        <v>1080</v>
      </c>
      <c r="X617" t="s">
        <v>263</v>
      </c>
      <c r="Y617" t="s">
        <v>1082</v>
      </c>
      <c r="Z617" t="s">
        <v>264</v>
      </c>
    </row>
    <row r="618" spans="2:28">
      <c r="B618" t="s">
        <v>1564</v>
      </c>
      <c r="C618" s="45" t="s">
        <v>2595</v>
      </c>
      <c r="R618" t="s">
        <v>1076</v>
      </c>
      <c r="S618" t="s">
        <v>259</v>
      </c>
      <c r="T618" t="s">
        <v>260</v>
      </c>
      <c r="V618" t="s">
        <v>1079</v>
      </c>
      <c r="W618" t="s">
        <v>262</v>
      </c>
      <c r="X618" t="s">
        <v>1081</v>
      </c>
      <c r="Y618" t="s">
        <v>1083</v>
      </c>
    </row>
    <row r="619" spans="2:28">
      <c r="R619" t="s">
        <v>532</v>
      </c>
      <c r="V619" t="s">
        <v>1080</v>
      </c>
      <c r="X619" s="12"/>
      <c r="Y619" t="s">
        <v>1084</v>
      </c>
    </row>
    <row r="620" spans="2:28" ht="21">
      <c r="B620" s="1" t="s">
        <v>184</v>
      </c>
      <c r="Y620" t="s">
        <v>1085</v>
      </c>
    </row>
    <row r="621" spans="2:28">
      <c r="B621" s="21" t="s">
        <v>1478</v>
      </c>
      <c r="C621" s="13"/>
      <c r="E621" s="45" t="s">
        <v>599</v>
      </c>
      <c r="Q621" s="10" t="s">
        <v>19</v>
      </c>
    </row>
    <row r="622" spans="2:28">
      <c r="B622" s="9" t="s">
        <v>0</v>
      </c>
      <c r="C622" s="20" t="s">
        <v>1</v>
      </c>
      <c r="D622" s="20" t="s">
        <v>2</v>
      </c>
      <c r="E622" s="20" t="s">
        <v>3</v>
      </c>
      <c r="F622" s="20" t="s">
        <v>4</v>
      </c>
      <c r="G622" s="20" t="s">
        <v>5</v>
      </c>
      <c r="H622" s="20" t="s">
        <v>6</v>
      </c>
      <c r="I622" s="20" t="s">
        <v>7</v>
      </c>
      <c r="J622" s="20" t="s">
        <v>8</v>
      </c>
      <c r="K622" s="20" t="s">
        <v>9</v>
      </c>
      <c r="L622" s="20" t="s">
        <v>10</v>
      </c>
      <c r="M622" s="20" t="s">
        <v>36</v>
      </c>
      <c r="N622" s="20" t="s">
        <v>37</v>
      </c>
      <c r="Q622" s="11" t="s">
        <v>1</v>
      </c>
      <c r="R622" s="11" t="s">
        <v>2</v>
      </c>
      <c r="S622" s="11" t="s">
        <v>3</v>
      </c>
      <c r="T622" s="11" t="s">
        <v>4</v>
      </c>
      <c r="U622" s="11" t="s">
        <v>5</v>
      </c>
      <c r="V622" s="11" t="s">
        <v>6</v>
      </c>
      <c r="W622" s="11" t="s">
        <v>7</v>
      </c>
      <c r="X622" s="11" t="s">
        <v>8</v>
      </c>
      <c r="Y622" s="11" t="s">
        <v>9</v>
      </c>
      <c r="Z622" s="1506" t="s">
        <v>10</v>
      </c>
      <c r="AA622" s="1506" t="s">
        <v>36</v>
      </c>
      <c r="AB622" s="1506" t="s">
        <v>37</v>
      </c>
    </row>
    <row r="623" spans="2:28">
      <c r="B623" s="8">
        <v>1</v>
      </c>
      <c r="C623" s="3" t="s">
        <v>12</v>
      </c>
      <c r="D623" s="3" t="s">
        <v>12</v>
      </c>
      <c r="E623" s="3" t="s">
        <v>12</v>
      </c>
      <c r="F623" s="3" t="s">
        <v>12</v>
      </c>
      <c r="G623" s="3" t="s">
        <v>12</v>
      </c>
      <c r="H623" s="3" t="s">
        <v>12</v>
      </c>
      <c r="I623" s="3" t="s">
        <v>12</v>
      </c>
      <c r="J623" s="3" t="s">
        <v>12</v>
      </c>
      <c r="K623" s="3" t="s">
        <v>12</v>
      </c>
      <c r="L623" s="3" t="s">
        <v>12</v>
      </c>
      <c r="M623" s="3" t="s">
        <v>12</v>
      </c>
      <c r="N623" s="3" t="s">
        <v>12</v>
      </c>
      <c r="Q623" s="17" t="s">
        <v>24</v>
      </c>
      <c r="R623" s="15" t="s">
        <v>21</v>
      </c>
      <c r="S623" s="27" t="s">
        <v>44</v>
      </c>
      <c r="T623" s="13" t="s">
        <v>22</v>
      </c>
      <c r="U623" s="19" t="s">
        <v>25</v>
      </c>
      <c r="V623" s="15" t="s">
        <v>21</v>
      </c>
      <c r="W623" s="17" t="s">
        <v>24</v>
      </c>
      <c r="X623" s="19" t="s">
        <v>25</v>
      </c>
      <c r="Y623" s="19" t="s">
        <v>25</v>
      </c>
      <c r="Z623" s="5" t="s">
        <v>26</v>
      </c>
      <c r="AA623" s="195" t="s">
        <v>216</v>
      </c>
      <c r="AB623" s="17" t="s">
        <v>24</v>
      </c>
    </row>
    <row r="624" spans="2:28" ht="16.5" thickBot="1">
      <c r="B624" s="8">
        <v>2</v>
      </c>
      <c r="C624" s="5" t="s">
        <v>14</v>
      </c>
      <c r="D624" s="5" t="s">
        <v>14</v>
      </c>
      <c r="E624" s="3" t="s">
        <v>12</v>
      </c>
      <c r="F624" s="4" t="s">
        <v>13</v>
      </c>
      <c r="G624" s="5" t="s">
        <v>14</v>
      </c>
      <c r="H624" s="3" t="s">
        <v>12</v>
      </c>
      <c r="I624" s="5" t="s">
        <v>14</v>
      </c>
      <c r="J624" s="5" t="s">
        <v>14</v>
      </c>
      <c r="K624" s="5" t="s">
        <v>14</v>
      </c>
      <c r="L624" s="3" t="s">
        <v>12</v>
      </c>
      <c r="M624" s="3" t="s">
        <v>12</v>
      </c>
      <c r="N624" s="3" t="s">
        <v>12</v>
      </c>
      <c r="Q624" s="5" t="s">
        <v>26</v>
      </c>
      <c r="R624" s="13" t="s">
        <v>22</v>
      </c>
      <c r="S624" s="13" t="s">
        <v>22</v>
      </c>
      <c r="T624" s="19" t="s">
        <v>25</v>
      </c>
      <c r="U624" s="193" t="s">
        <v>155</v>
      </c>
      <c r="V624" s="19" t="s">
        <v>25</v>
      </c>
      <c r="W624" s="15" t="s">
        <v>21</v>
      </c>
      <c r="X624" s="17" t="s">
        <v>24</v>
      </c>
      <c r="Y624" s="15" t="s">
        <v>21</v>
      </c>
      <c r="Z624" s="19" t="s">
        <v>25</v>
      </c>
      <c r="AA624" s="197" t="s">
        <v>124</v>
      </c>
      <c r="AB624" s="27" t="s">
        <v>44</v>
      </c>
    </row>
    <row r="625" spans="2:28" ht="16.5" thickBot="1">
      <c r="B625" s="8">
        <v>3</v>
      </c>
      <c r="C625" s="3" t="s">
        <v>12</v>
      </c>
      <c r="D625" s="3" t="s">
        <v>12</v>
      </c>
      <c r="E625" s="3" t="s">
        <v>12</v>
      </c>
      <c r="F625" s="3" t="s">
        <v>12</v>
      </c>
      <c r="G625" s="3" t="s">
        <v>12</v>
      </c>
      <c r="H625" s="3" t="s">
        <v>12</v>
      </c>
      <c r="I625" s="3" t="s">
        <v>12</v>
      </c>
      <c r="J625" s="3" t="s">
        <v>12</v>
      </c>
      <c r="K625" s="3" t="s">
        <v>12</v>
      </c>
      <c r="L625" s="3" t="s">
        <v>12</v>
      </c>
      <c r="M625" s="5" t="s">
        <v>14</v>
      </c>
      <c r="N625" s="782" t="s">
        <v>12</v>
      </c>
      <c r="O625" s="376"/>
      <c r="Q625" s="14" t="s">
        <v>20</v>
      </c>
      <c r="R625" s="188" t="s">
        <v>109</v>
      </c>
      <c r="T625" s="27" t="s">
        <v>44</v>
      </c>
      <c r="U625" s="194" t="s">
        <v>43</v>
      </c>
      <c r="V625" s="27" t="s">
        <v>44</v>
      </c>
      <c r="W625" s="196" t="s">
        <v>114</v>
      </c>
      <c r="X625" s="27" t="s">
        <v>44</v>
      </c>
      <c r="Y625" s="189" t="s">
        <v>47</v>
      </c>
      <c r="Z625" s="13" t="s">
        <v>22</v>
      </c>
      <c r="AA625" s="17" t="s">
        <v>24</v>
      </c>
      <c r="AB625" s="19" t="s">
        <v>25</v>
      </c>
    </row>
    <row r="626" spans="2:28" ht="16.5" thickBot="1">
      <c r="B626" s="8">
        <v>4</v>
      </c>
      <c r="C626" s="187" t="s">
        <v>87</v>
      </c>
      <c r="D626" s="4" t="s">
        <v>13</v>
      </c>
      <c r="E626" s="4" t="s">
        <v>13</v>
      </c>
      <c r="F626" s="3" t="s">
        <v>12</v>
      </c>
      <c r="G626" s="4" t="s">
        <v>13</v>
      </c>
      <c r="H626" s="781" t="s">
        <v>13</v>
      </c>
      <c r="I626" s="3" t="s">
        <v>12</v>
      </c>
      <c r="J626" s="187" t="s">
        <v>87</v>
      </c>
      <c r="K626" s="3" t="s">
        <v>12</v>
      </c>
      <c r="L626" s="5" t="s">
        <v>14</v>
      </c>
      <c r="M626" s="3" t="s">
        <v>12</v>
      </c>
      <c r="N626" s="3" t="s">
        <v>12</v>
      </c>
      <c r="Q626" s="24" t="s">
        <v>29</v>
      </c>
      <c r="R626" s="27" t="s">
        <v>44</v>
      </c>
      <c r="U626" s="189" t="s">
        <v>47</v>
      </c>
      <c r="V626" s="190" t="s">
        <v>120</v>
      </c>
      <c r="W626" s="190" t="s">
        <v>120</v>
      </c>
      <c r="X626" s="5" t="s">
        <v>26</v>
      </c>
      <c r="Y626" s="13" t="s">
        <v>22</v>
      </c>
      <c r="Z626" s="27" t="s">
        <v>44</v>
      </c>
      <c r="AA626" s="193" t="s">
        <v>155</v>
      </c>
      <c r="AB626" s="13" t="s">
        <v>22</v>
      </c>
    </row>
    <row r="627" spans="2:28">
      <c r="B627" s="8">
        <v>5</v>
      </c>
      <c r="C627" s="3" t="s">
        <v>12</v>
      </c>
      <c r="D627" s="3" t="s">
        <v>12</v>
      </c>
      <c r="E627" s="3" t="s">
        <v>12</v>
      </c>
      <c r="F627" s="5" t="s">
        <v>14</v>
      </c>
      <c r="G627" s="3" t="s">
        <v>12</v>
      </c>
      <c r="H627" s="3" t="s">
        <v>12</v>
      </c>
      <c r="I627" s="3" t="s">
        <v>12</v>
      </c>
      <c r="J627" s="3" t="s">
        <v>12</v>
      </c>
      <c r="K627" s="3" t="s">
        <v>12</v>
      </c>
      <c r="L627" s="3" t="s">
        <v>12</v>
      </c>
      <c r="M627" s="5" t="s">
        <v>14</v>
      </c>
      <c r="N627" s="3" t="s">
        <v>12</v>
      </c>
      <c r="Q627" s="193" t="s">
        <v>155</v>
      </c>
      <c r="R627" s="19" t="s">
        <v>25</v>
      </c>
      <c r="U627" s="13" t="s">
        <v>22</v>
      </c>
      <c r="V627" s="13" t="s">
        <v>22</v>
      </c>
      <c r="W627" s="27" t="s">
        <v>44</v>
      </c>
      <c r="X627" s="189" t="s">
        <v>47</v>
      </c>
      <c r="Y627" s="17" t="s">
        <v>24</v>
      </c>
      <c r="Z627" s="23" t="s">
        <v>28</v>
      </c>
      <c r="AA627" s="191" t="s">
        <v>244</v>
      </c>
      <c r="AB627" s="23" t="s">
        <v>28</v>
      </c>
    </row>
    <row r="628" spans="2:28">
      <c r="B628" s="8">
        <v>6</v>
      </c>
      <c r="C628" s="4" t="s">
        <v>13</v>
      </c>
      <c r="E628" s="12"/>
      <c r="F628" s="12"/>
      <c r="H628" s="5" t="s">
        <v>14</v>
      </c>
      <c r="I628" s="4" t="s">
        <v>13</v>
      </c>
      <c r="J628" s="4" t="s">
        <v>13</v>
      </c>
      <c r="K628" s="4" t="s">
        <v>13</v>
      </c>
      <c r="L628" s="3" t="s">
        <v>12</v>
      </c>
      <c r="M628" s="3" t="s">
        <v>12</v>
      </c>
      <c r="N628" s="3" t="s">
        <v>12</v>
      </c>
      <c r="Q628" s="197" t="s">
        <v>124</v>
      </c>
      <c r="W628" s="24" t="s">
        <v>29</v>
      </c>
      <c r="X628" s="13" t="s">
        <v>22</v>
      </c>
      <c r="Y628" s="27" t="s">
        <v>44</v>
      </c>
      <c r="Z628" s="15" t="s">
        <v>21</v>
      </c>
      <c r="AA628" s="23" t="s">
        <v>28</v>
      </c>
      <c r="AB628" s="15" t="s">
        <v>21</v>
      </c>
    </row>
    <row r="629" spans="2:28">
      <c r="B629" s="8">
        <v>7</v>
      </c>
      <c r="C629" s="3" t="s">
        <v>12</v>
      </c>
      <c r="H629" s="3" t="s">
        <v>12</v>
      </c>
      <c r="I629" s="5" t="s">
        <v>14</v>
      </c>
      <c r="J629" s="3" t="s">
        <v>12</v>
      </c>
      <c r="K629" s="3" t="s">
        <v>12</v>
      </c>
      <c r="L629" s="4" t="s">
        <v>13</v>
      </c>
      <c r="M629" s="3" t="s">
        <v>12</v>
      </c>
      <c r="N629" s="3" t="s">
        <v>12</v>
      </c>
      <c r="Q629" s="15" t="s">
        <v>21</v>
      </c>
      <c r="W629" s="191" t="s">
        <v>244</v>
      </c>
      <c r="X629" s="15" t="s">
        <v>21</v>
      </c>
      <c r="Y629" s="5" t="s">
        <v>26</v>
      </c>
      <c r="AA629" s="15" t="s">
        <v>21</v>
      </c>
    </row>
    <row r="630" spans="2:28">
      <c r="B630" s="8">
        <v>8</v>
      </c>
      <c r="I630" s="3" t="s">
        <v>12</v>
      </c>
      <c r="J630" s="3" t="s">
        <v>12</v>
      </c>
      <c r="L630" s="3" t="s">
        <v>12</v>
      </c>
      <c r="N630" s="3" t="s">
        <v>12</v>
      </c>
      <c r="V630" s="12"/>
      <c r="W630" s="5" t="s">
        <v>26</v>
      </c>
      <c r="X630" s="14" t="s">
        <v>20</v>
      </c>
    </row>
    <row r="631" spans="2:28">
      <c r="B631" s="8">
        <v>9</v>
      </c>
      <c r="L631" s="3" t="s">
        <v>12</v>
      </c>
      <c r="Q631" s="25" t="s">
        <v>30</v>
      </c>
      <c r="W631" s="14" t="s">
        <v>20</v>
      </c>
    </row>
    <row r="632" spans="2:28">
      <c r="B632" s="8">
        <v>10</v>
      </c>
      <c r="Q632" s="1507" t="s">
        <v>1</v>
      </c>
      <c r="R632" s="20" t="s">
        <v>2</v>
      </c>
      <c r="S632" s="20" t="s">
        <v>3</v>
      </c>
      <c r="T632" s="20" t="s">
        <v>4</v>
      </c>
      <c r="U632" s="20" t="s">
        <v>5</v>
      </c>
      <c r="V632" s="20" t="s">
        <v>6</v>
      </c>
      <c r="W632" s="20" t="s">
        <v>7</v>
      </c>
      <c r="X632" s="20" t="s">
        <v>8</v>
      </c>
      <c r="Y632" s="20" t="s">
        <v>9</v>
      </c>
      <c r="Z632" s="20" t="s">
        <v>10</v>
      </c>
      <c r="AA632" s="20" t="s">
        <v>36</v>
      </c>
      <c r="AB632" s="20" t="s">
        <v>37</v>
      </c>
    </row>
    <row r="633" spans="2:28">
      <c r="B633" t="s">
        <v>15</v>
      </c>
      <c r="C633" s="6" t="s">
        <v>16</v>
      </c>
      <c r="D633" s="6" t="s">
        <v>16</v>
      </c>
      <c r="E633" s="7" t="s">
        <v>17</v>
      </c>
      <c r="F633" s="6" t="s">
        <v>16</v>
      </c>
      <c r="G633" s="6" t="s">
        <v>16</v>
      </c>
      <c r="H633" s="6" t="s">
        <v>16</v>
      </c>
      <c r="I633" s="6" t="s">
        <v>16</v>
      </c>
      <c r="J633" s="6" t="s">
        <v>16</v>
      </c>
      <c r="K633" s="6" t="s">
        <v>16</v>
      </c>
      <c r="L633" s="6" t="s">
        <v>16</v>
      </c>
      <c r="M633" s="6" t="s">
        <v>16</v>
      </c>
      <c r="N633" s="13" t="s">
        <v>59</v>
      </c>
      <c r="Q633" t="s">
        <v>105</v>
      </c>
      <c r="R633" t="s">
        <v>1278</v>
      </c>
      <c r="S633" t="s">
        <v>406</v>
      </c>
      <c r="T633" t="s">
        <v>1237</v>
      </c>
      <c r="U633" t="s">
        <v>1237</v>
      </c>
      <c r="V633" t="s">
        <v>351</v>
      </c>
      <c r="W633" t="s">
        <v>351</v>
      </c>
      <c r="X633" t="s">
        <v>1238</v>
      </c>
      <c r="Y633" t="s">
        <v>1239</v>
      </c>
      <c r="Z633" t="s">
        <v>1239</v>
      </c>
      <c r="AA633" t="s">
        <v>340</v>
      </c>
      <c r="AB633" t="s">
        <v>1290</v>
      </c>
    </row>
    <row r="634" spans="2:28">
      <c r="B634" t="s">
        <v>1564</v>
      </c>
      <c r="C634" s="5" t="s">
        <v>87</v>
      </c>
      <c r="D634" t="s">
        <v>201</v>
      </c>
      <c r="E634" t="s">
        <v>201</v>
      </c>
      <c r="F634" t="s">
        <v>201</v>
      </c>
      <c r="G634" t="s">
        <v>201</v>
      </c>
      <c r="H634" s="11" t="s">
        <v>77</v>
      </c>
      <c r="I634" t="s">
        <v>201</v>
      </c>
      <c r="J634" s="5" t="s">
        <v>87</v>
      </c>
      <c r="K634" t="s">
        <v>201</v>
      </c>
      <c r="L634" t="s">
        <v>201</v>
      </c>
      <c r="N634" s="45" t="s">
        <v>2591</v>
      </c>
      <c r="Q634" t="s">
        <v>406</v>
      </c>
      <c r="R634" t="s">
        <v>1279</v>
      </c>
      <c r="S634" t="s">
        <v>1237</v>
      </c>
      <c r="U634" t="s">
        <v>764</v>
      </c>
      <c r="W634" t="s">
        <v>1282</v>
      </c>
      <c r="X634" t="s">
        <v>1239</v>
      </c>
      <c r="Y634" t="s">
        <v>1285</v>
      </c>
      <c r="Z634" t="s">
        <v>1288</v>
      </c>
      <c r="AA634" t="s">
        <v>1290</v>
      </c>
      <c r="AB634" t="s">
        <v>382</v>
      </c>
    </row>
    <row r="635" spans="2:28">
      <c r="H635" s="856" t="s">
        <v>2594</v>
      </c>
      <c r="Q635" t="s">
        <v>1278</v>
      </c>
      <c r="R635" t="s">
        <v>1280</v>
      </c>
      <c r="U635" t="s">
        <v>351</v>
      </c>
      <c r="W635" t="s">
        <v>1238</v>
      </c>
      <c r="X635" t="s">
        <v>1283</v>
      </c>
      <c r="Y635" t="s">
        <v>1286</v>
      </c>
      <c r="Z635" t="s">
        <v>340</v>
      </c>
      <c r="AB635" t="s">
        <v>1291</v>
      </c>
    </row>
    <row r="636" spans="2:28">
      <c r="R636" t="s">
        <v>1281</v>
      </c>
      <c r="X636" t="s">
        <v>1284</v>
      </c>
      <c r="Y636" t="s">
        <v>1287</v>
      </c>
      <c r="Z636" t="s">
        <v>1289</v>
      </c>
      <c r="AB636" t="s">
        <v>1292</v>
      </c>
    </row>
    <row r="637" spans="2:28" ht="21">
      <c r="B637" s="1" t="s">
        <v>563</v>
      </c>
      <c r="X637" t="s">
        <v>1239</v>
      </c>
      <c r="Z637" t="s">
        <v>340</v>
      </c>
    </row>
    <row r="638" spans="2:28">
      <c r="B638" s="21" t="s">
        <v>1225</v>
      </c>
      <c r="C638" s="13"/>
      <c r="E638" s="45" t="s">
        <v>600</v>
      </c>
      <c r="Q638" s="10" t="s">
        <v>19</v>
      </c>
    </row>
    <row r="639" spans="2:28">
      <c r="B639" s="9" t="s">
        <v>0</v>
      </c>
      <c r="C639" s="20" t="s">
        <v>1</v>
      </c>
      <c r="D639" s="20" t="s">
        <v>2</v>
      </c>
      <c r="E639" s="20" t="s">
        <v>3</v>
      </c>
      <c r="F639" s="20" t="s">
        <v>4</v>
      </c>
      <c r="G639" s="20" t="s">
        <v>5</v>
      </c>
      <c r="H639" s="71" t="s">
        <v>6</v>
      </c>
      <c r="I639" s="20" t="s">
        <v>7</v>
      </c>
      <c r="J639" s="20" t="s">
        <v>8</v>
      </c>
      <c r="K639" s="20" t="s">
        <v>9</v>
      </c>
      <c r="L639" s="20" t="s">
        <v>10</v>
      </c>
      <c r="M639" s="20" t="s">
        <v>36</v>
      </c>
      <c r="Q639" s="11" t="s">
        <v>1</v>
      </c>
      <c r="R639" s="11" t="s">
        <v>2</v>
      </c>
      <c r="S639" s="11" t="s">
        <v>3</v>
      </c>
      <c r="T639" s="11" t="s">
        <v>4</v>
      </c>
      <c r="U639" s="11" t="s">
        <v>5</v>
      </c>
      <c r="V639" s="11" t="s">
        <v>6</v>
      </c>
      <c r="W639" s="11" t="s">
        <v>7</v>
      </c>
      <c r="X639" s="11" t="s">
        <v>8</v>
      </c>
      <c r="Y639" s="11" t="s">
        <v>9</v>
      </c>
      <c r="Z639" s="1506" t="s">
        <v>10</v>
      </c>
      <c r="AA639" s="1506" t="s">
        <v>36</v>
      </c>
      <c r="AB639" s="12"/>
    </row>
    <row r="640" spans="2:28">
      <c r="B640" s="8">
        <v>1</v>
      </c>
      <c r="C640" s="3" t="s">
        <v>12</v>
      </c>
      <c r="D640" s="3" t="s">
        <v>12</v>
      </c>
      <c r="E640" s="3" t="s">
        <v>12</v>
      </c>
      <c r="F640" s="3" t="s">
        <v>12</v>
      </c>
      <c r="G640" s="3" t="s">
        <v>12</v>
      </c>
      <c r="H640" s="3" t="s">
        <v>12</v>
      </c>
      <c r="I640" s="3" t="s">
        <v>12</v>
      </c>
      <c r="J640" s="3" t="s">
        <v>12</v>
      </c>
      <c r="K640" s="3" t="s">
        <v>12</v>
      </c>
      <c r="L640" s="3" t="s">
        <v>12</v>
      </c>
      <c r="M640" s="3" t="s">
        <v>12</v>
      </c>
      <c r="Q640" s="17" t="s">
        <v>24</v>
      </c>
      <c r="R640" s="19" t="s">
        <v>25</v>
      </c>
      <c r="S640" s="19" t="s">
        <v>25</v>
      </c>
      <c r="T640" s="193" t="s">
        <v>155</v>
      </c>
      <c r="U640" s="17" t="s">
        <v>24</v>
      </c>
      <c r="V640" s="17" t="s">
        <v>24</v>
      </c>
      <c r="W640" s="17" t="s">
        <v>24</v>
      </c>
      <c r="X640" s="191" t="s">
        <v>244</v>
      </c>
      <c r="Y640" s="19" t="s">
        <v>25</v>
      </c>
      <c r="Z640" s="195" t="s">
        <v>216</v>
      </c>
      <c r="AA640" s="17" t="s">
        <v>24</v>
      </c>
    </row>
    <row r="641" spans="2:29">
      <c r="B641" s="8">
        <v>2</v>
      </c>
      <c r="C641" s="4" t="s">
        <v>13</v>
      </c>
      <c r="D641" s="4" t="s">
        <v>13</v>
      </c>
      <c r="E641" s="4" t="s">
        <v>13</v>
      </c>
      <c r="F641" s="4" t="s">
        <v>13</v>
      </c>
      <c r="G641" s="3" t="s">
        <v>12</v>
      </c>
      <c r="H641" s="4" t="s">
        <v>13</v>
      </c>
      <c r="I641" s="5" t="s">
        <v>14</v>
      </c>
      <c r="J641" s="5" t="s">
        <v>14</v>
      </c>
      <c r="K641" s="5" t="s">
        <v>14</v>
      </c>
      <c r="L641" s="4" t="s">
        <v>13</v>
      </c>
      <c r="M641" s="5" t="s">
        <v>14</v>
      </c>
      <c r="Q641" s="23" t="s">
        <v>28</v>
      </c>
      <c r="R641" s="15" t="s">
        <v>21</v>
      </c>
      <c r="S641" s="11" t="s">
        <v>46</v>
      </c>
      <c r="T641" s="27" t="s">
        <v>44</v>
      </c>
      <c r="U641" s="189" t="s">
        <v>47</v>
      </c>
      <c r="V641" s="19" t="s">
        <v>25</v>
      </c>
      <c r="W641" s="13" t="s">
        <v>22</v>
      </c>
      <c r="X641" s="15" t="s">
        <v>21</v>
      </c>
      <c r="Y641" s="195" t="s">
        <v>216</v>
      </c>
      <c r="Z641" s="11" t="s">
        <v>46</v>
      </c>
      <c r="AA641" s="191" t="s">
        <v>244</v>
      </c>
    </row>
    <row r="642" spans="2:29">
      <c r="B642" s="8">
        <v>3</v>
      </c>
      <c r="C642" s="3" t="s">
        <v>12</v>
      </c>
      <c r="D642" s="3" t="s">
        <v>12</v>
      </c>
      <c r="E642" s="3" t="s">
        <v>12</v>
      </c>
      <c r="F642" s="3" t="s">
        <v>12</v>
      </c>
      <c r="G642" s="5" t="s">
        <v>14</v>
      </c>
      <c r="H642" s="3" t="s">
        <v>12</v>
      </c>
      <c r="I642" s="3" t="s">
        <v>12</v>
      </c>
      <c r="J642" s="3" t="s">
        <v>12</v>
      </c>
      <c r="K642" s="3" t="s">
        <v>12</v>
      </c>
      <c r="L642" s="3" t="s">
        <v>12</v>
      </c>
      <c r="M642" s="3" t="s">
        <v>12</v>
      </c>
      <c r="Q642" s="19" t="s">
        <v>25</v>
      </c>
      <c r="R642" s="13" t="s">
        <v>22</v>
      </c>
      <c r="S642" s="15" t="s">
        <v>21</v>
      </c>
      <c r="T642" s="14" t="s">
        <v>20</v>
      </c>
      <c r="U642" s="13" t="s">
        <v>22</v>
      </c>
      <c r="V642" s="191" t="s">
        <v>244</v>
      </c>
      <c r="W642" s="192" t="s">
        <v>68</v>
      </c>
      <c r="X642" s="189" t="s">
        <v>47</v>
      </c>
      <c r="Y642" s="23" t="s">
        <v>28</v>
      </c>
      <c r="Z642" s="13" t="s">
        <v>22</v>
      </c>
      <c r="AA642" s="19" t="s">
        <v>25</v>
      </c>
    </row>
    <row r="643" spans="2:29">
      <c r="B643" s="8">
        <v>4</v>
      </c>
      <c r="C643" s="5" t="s">
        <v>14</v>
      </c>
      <c r="D643" s="5" t="s">
        <v>14</v>
      </c>
      <c r="E643" s="5" t="s">
        <v>14</v>
      </c>
      <c r="F643" s="5" t="s">
        <v>14</v>
      </c>
      <c r="G643" s="4" t="s">
        <v>13</v>
      </c>
      <c r="H643" s="5" t="s">
        <v>14</v>
      </c>
      <c r="I643" s="4" t="s">
        <v>13</v>
      </c>
      <c r="J643" s="3" t="s">
        <v>12</v>
      </c>
      <c r="K643" s="3" t="s">
        <v>12</v>
      </c>
      <c r="L643" s="5" t="s">
        <v>14</v>
      </c>
      <c r="M643" s="3" t="s">
        <v>12</v>
      </c>
      <c r="Q643" s="191" t="s">
        <v>244</v>
      </c>
      <c r="R643" s="199" t="s">
        <v>74</v>
      </c>
      <c r="S643" s="13" t="s">
        <v>22</v>
      </c>
      <c r="T643" s="23" t="s">
        <v>28</v>
      </c>
      <c r="U643" s="192" t="s">
        <v>68</v>
      </c>
      <c r="V643" s="23" t="s">
        <v>28</v>
      </c>
      <c r="W643" s="4" t="s">
        <v>73</v>
      </c>
      <c r="X643" s="13" t="s">
        <v>22</v>
      </c>
      <c r="Y643" s="27" t="s">
        <v>44</v>
      </c>
      <c r="Z643" s="194" t="s">
        <v>43</v>
      </c>
      <c r="AA643" s="15" t="s">
        <v>21</v>
      </c>
    </row>
    <row r="644" spans="2:29">
      <c r="B644" s="8">
        <v>5</v>
      </c>
      <c r="C644" s="3" t="s">
        <v>12</v>
      </c>
      <c r="D644" s="3" t="s">
        <v>12</v>
      </c>
      <c r="E644" s="3" t="s">
        <v>12</v>
      </c>
      <c r="F644" s="3" t="s">
        <v>12</v>
      </c>
      <c r="G644" s="3" t="s">
        <v>12</v>
      </c>
      <c r="H644" s="3" t="s">
        <v>12</v>
      </c>
      <c r="I644" s="3" t="s">
        <v>12</v>
      </c>
      <c r="J644" s="4" t="s">
        <v>13</v>
      </c>
      <c r="K644" s="3" t="s">
        <v>12</v>
      </c>
      <c r="L644" s="3" t="s">
        <v>12</v>
      </c>
      <c r="M644" s="3" t="s">
        <v>12</v>
      </c>
      <c r="Q644" s="15" t="s">
        <v>21</v>
      </c>
      <c r="T644" s="13" t="s">
        <v>22</v>
      </c>
      <c r="U644" s="200" t="s">
        <v>339</v>
      </c>
      <c r="V644" s="14" t="s">
        <v>20</v>
      </c>
      <c r="X644" s="19" t="s">
        <v>25</v>
      </c>
      <c r="Y644" s="15" t="s">
        <v>21</v>
      </c>
      <c r="Z644" s="17" t="s">
        <v>24</v>
      </c>
      <c r="AA644" s="23" t="s">
        <v>28</v>
      </c>
    </row>
    <row r="645" spans="2:29">
      <c r="B645" s="8">
        <v>6</v>
      </c>
      <c r="E645" s="12"/>
      <c r="F645" s="12"/>
      <c r="H645" s="5" t="s">
        <v>14</v>
      </c>
      <c r="J645" s="3" t="s">
        <v>12</v>
      </c>
      <c r="K645" s="5" t="s">
        <v>14</v>
      </c>
      <c r="L645" s="3" t="s">
        <v>12</v>
      </c>
      <c r="M645" s="3" t="s">
        <v>12</v>
      </c>
      <c r="T645" s="19" t="s">
        <v>25</v>
      </c>
      <c r="U645" s="19" t="s">
        <v>25</v>
      </c>
      <c r="V645" s="27" t="s">
        <v>44</v>
      </c>
      <c r="X645" s="17" t="s">
        <v>24</v>
      </c>
      <c r="Y645" s="191" t="s">
        <v>244</v>
      </c>
      <c r="Z645" s="19" t="s">
        <v>25</v>
      </c>
      <c r="AA645" s="14" t="s">
        <v>20</v>
      </c>
    </row>
    <row r="646" spans="2:29">
      <c r="B646" s="8">
        <v>7</v>
      </c>
      <c r="H646" s="3" t="s">
        <v>12</v>
      </c>
      <c r="K646" s="3" t="s">
        <v>12</v>
      </c>
      <c r="M646" s="5" t="s">
        <v>14</v>
      </c>
      <c r="U646" s="15" t="s">
        <v>21</v>
      </c>
      <c r="V646" s="13" t="s">
        <v>22</v>
      </c>
    </row>
    <row r="647" spans="2:29">
      <c r="B647" s="8">
        <v>8</v>
      </c>
      <c r="H647" s="4" t="s">
        <v>13</v>
      </c>
      <c r="K647" s="3" t="s">
        <v>12</v>
      </c>
      <c r="M647" s="3" t="s">
        <v>12</v>
      </c>
      <c r="V647" s="15" t="s">
        <v>21</v>
      </c>
    </row>
    <row r="648" spans="2:29">
      <c r="B648" s="8">
        <v>9</v>
      </c>
      <c r="H648" s="3" t="s">
        <v>12</v>
      </c>
      <c r="M648" s="3" t="s">
        <v>12</v>
      </c>
      <c r="Q648" s="25" t="s">
        <v>30</v>
      </c>
      <c r="V648" s="194" t="s">
        <v>43</v>
      </c>
    </row>
    <row r="649" spans="2:29">
      <c r="B649" s="8">
        <v>10</v>
      </c>
      <c r="M649" s="3" t="s">
        <v>12</v>
      </c>
      <c r="Q649" s="1507" t="s">
        <v>1</v>
      </c>
      <c r="R649" s="20" t="s">
        <v>2</v>
      </c>
      <c r="S649" s="20" t="s">
        <v>3</v>
      </c>
      <c r="T649" s="20" t="s">
        <v>4</v>
      </c>
      <c r="U649" s="20" t="s">
        <v>5</v>
      </c>
      <c r="V649" s="20" t="s">
        <v>6</v>
      </c>
      <c r="W649" s="20" t="s">
        <v>7</v>
      </c>
      <c r="X649" s="20" t="s">
        <v>8</v>
      </c>
      <c r="Y649" s="20" t="s">
        <v>9</v>
      </c>
      <c r="Z649" s="20" t="s">
        <v>10</v>
      </c>
      <c r="AA649" s="20" t="s">
        <v>36</v>
      </c>
    </row>
    <row r="650" spans="2:29">
      <c r="B650" t="s">
        <v>15</v>
      </c>
      <c r="C650" s="6" t="s">
        <v>16</v>
      </c>
      <c r="D650" s="6" t="s">
        <v>16</v>
      </c>
      <c r="E650" s="6" t="s">
        <v>16</v>
      </c>
      <c r="F650" s="6" t="s">
        <v>16</v>
      </c>
      <c r="G650" s="6" t="s">
        <v>16</v>
      </c>
      <c r="H650" s="6" t="s">
        <v>16</v>
      </c>
      <c r="I650" s="6" t="s">
        <v>16</v>
      </c>
      <c r="J650" s="6" t="s">
        <v>16</v>
      </c>
      <c r="K650" s="6" t="s">
        <v>16</v>
      </c>
      <c r="L650" s="6" t="s">
        <v>16</v>
      </c>
      <c r="M650" s="13" t="s">
        <v>59</v>
      </c>
      <c r="Q650" t="s">
        <v>1226</v>
      </c>
      <c r="R650" t="s">
        <v>1226</v>
      </c>
      <c r="S650" t="s">
        <v>1227</v>
      </c>
      <c r="T650" t="s">
        <v>1228</v>
      </c>
      <c r="U650" t="s">
        <v>204</v>
      </c>
      <c r="V650" t="s">
        <v>1229</v>
      </c>
      <c r="W650" t="s">
        <v>1230</v>
      </c>
      <c r="X650" t="s">
        <v>1231</v>
      </c>
      <c r="Y650" t="s">
        <v>1232</v>
      </c>
      <c r="Z650" t="s">
        <v>1233</v>
      </c>
      <c r="AA650" t="s">
        <v>411</v>
      </c>
    </row>
    <row r="651" spans="2:29">
      <c r="Z651" t="s">
        <v>1234</v>
      </c>
    </row>
    <row r="652" spans="2:29" ht="21">
      <c r="B652" s="1" t="s">
        <v>1742</v>
      </c>
    </row>
    <row r="653" spans="2:29">
      <c r="B653" s="21" t="s">
        <v>2009</v>
      </c>
      <c r="C653" s="13"/>
      <c r="E653" s="45" t="s">
        <v>2010</v>
      </c>
      <c r="Q653" s="10" t="s">
        <v>19</v>
      </c>
    </row>
    <row r="654" spans="2:29" ht="16.5" thickBot="1">
      <c r="B654" s="292" t="s">
        <v>0</v>
      </c>
      <c r="C654" s="20" t="s">
        <v>1</v>
      </c>
      <c r="D654" s="20" t="s">
        <v>2</v>
      </c>
      <c r="E654" s="20" t="s">
        <v>3</v>
      </c>
      <c r="F654" s="20" t="s">
        <v>4</v>
      </c>
      <c r="G654" t="s">
        <v>5</v>
      </c>
      <c r="H654" s="20" t="s">
        <v>6</v>
      </c>
      <c r="I654" s="20" t="s">
        <v>7</v>
      </c>
      <c r="J654" s="20" t="s">
        <v>8</v>
      </c>
      <c r="K654" s="20" t="s">
        <v>9</v>
      </c>
      <c r="L654" s="20" t="s">
        <v>10</v>
      </c>
      <c r="M654" s="20" t="s">
        <v>36</v>
      </c>
      <c r="N654" s="20" t="s">
        <v>37</v>
      </c>
      <c r="O654" s="287"/>
      <c r="P654" s="573"/>
      <c r="Q654" s="11" t="s">
        <v>1</v>
      </c>
      <c r="R654" s="11" t="s">
        <v>2</v>
      </c>
      <c r="S654" s="11" t="s">
        <v>3</v>
      </c>
      <c r="T654" s="11" t="s">
        <v>4</v>
      </c>
      <c r="U654" s="11" t="s">
        <v>5</v>
      </c>
      <c r="V654" s="11" t="s">
        <v>6</v>
      </c>
      <c r="W654" s="11" t="s">
        <v>7</v>
      </c>
      <c r="X654" s="11" t="s">
        <v>8</v>
      </c>
      <c r="Y654" s="11" t="s">
        <v>9</v>
      </c>
      <c r="Z654" s="1506" t="s">
        <v>10</v>
      </c>
      <c r="AA654" s="1506" t="s">
        <v>36</v>
      </c>
      <c r="AB654" s="1506" t="s">
        <v>37</v>
      </c>
      <c r="AC654" s="12"/>
    </row>
    <row r="655" spans="2:29" ht="16.5" thickBot="1">
      <c r="B655" s="384">
        <v>1</v>
      </c>
      <c r="C655" s="3" t="s">
        <v>12</v>
      </c>
      <c r="D655" s="3" t="s">
        <v>12</v>
      </c>
      <c r="E655" s="3" t="s">
        <v>12</v>
      </c>
      <c r="F655" s="3" t="s">
        <v>12</v>
      </c>
      <c r="G655" s="787" t="s">
        <v>12</v>
      </c>
      <c r="H655" s="3" t="s">
        <v>12</v>
      </c>
      <c r="I655" s="3" t="s">
        <v>12</v>
      </c>
      <c r="J655" s="187" t="s">
        <v>87</v>
      </c>
      <c r="K655" s="3" t="s">
        <v>12</v>
      </c>
      <c r="L655" s="3" t="s">
        <v>12</v>
      </c>
      <c r="M655" s="3" t="s">
        <v>12</v>
      </c>
      <c r="N655" s="788" t="s">
        <v>12</v>
      </c>
      <c r="O655" s="12"/>
      <c r="P655" s="37"/>
      <c r="Q655" s="17" t="s">
        <v>24</v>
      </c>
      <c r="R655" s="15" t="s">
        <v>21</v>
      </c>
      <c r="S655" s="15" t="s">
        <v>21</v>
      </c>
      <c r="T655" s="17" t="s">
        <v>24</v>
      </c>
      <c r="U655" s="19" t="s">
        <v>25</v>
      </c>
      <c r="V655" s="13" t="s">
        <v>22</v>
      </c>
      <c r="W655" s="27" t="s">
        <v>44</v>
      </c>
      <c r="X655" s="17" t="s">
        <v>24</v>
      </c>
      <c r="Y655" s="15" t="s">
        <v>21</v>
      </c>
      <c r="Z655" s="188" t="s">
        <v>109</v>
      </c>
      <c r="AA655" s="17" t="s">
        <v>24</v>
      </c>
      <c r="AB655" s="17" t="s">
        <v>24</v>
      </c>
    </row>
    <row r="656" spans="2:29" ht="16.5" thickBot="1">
      <c r="B656" s="384">
        <v>2</v>
      </c>
      <c r="C656" s="3" t="s">
        <v>12</v>
      </c>
      <c r="D656" s="3" t="s">
        <v>12</v>
      </c>
      <c r="E656" s="3" t="s">
        <v>12</v>
      </c>
      <c r="F656" s="3" t="s">
        <v>12</v>
      </c>
      <c r="G656" s="3" t="s">
        <v>12</v>
      </c>
      <c r="H656" s="5" t="s">
        <v>14</v>
      </c>
      <c r="I656" s="3" t="s">
        <v>12</v>
      </c>
      <c r="J656" s="3" t="s">
        <v>12</v>
      </c>
      <c r="K656" s="3" t="s">
        <v>12</v>
      </c>
      <c r="L656" s="3" t="s">
        <v>12</v>
      </c>
      <c r="M656" s="3" t="s">
        <v>12</v>
      </c>
      <c r="N656" s="789" t="s">
        <v>12</v>
      </c>
      <c r="O656" s="376"/>
      <c r="P656" s="37"/>
      <c r="Q656" s="23" t="s">
        <v>28</v>
      </c>
      <c r="R656" s="19" t="s">
        <v>25</v>
      </c>
      <c r="S656" s="13" t="s">
        <v>22</v>
      </c>
      <c r="T656" s="23" t="s">
        <v>28</v>
      </c>
      <c r="U656" s="13" t="s">
        <v>22</v>
      </c>
      <c r="V656" s="195" t="s">
        <v>216</v>
      </c>
      <c r="W656" s="19" t="s">
        <v>25</v>
      </c>
      <c r="X656" s="27" t="s">
        <v>44</v>
      </c>
      <c r="Y656" s="19" t="s">
        <v>25</v>
      </c>
      <c r="Z656" s="13" t="s">
        <v>22</v>
      </c>
      <c r="AA656" s="13" t="s">
        <v>22</v>
      </c>
      <c r="AB656" s="15" t="s">
        <v>21</v>
      </c>
    </row>
    <row r="657" spans="2:29" ht="16.5" thickBot="1">
      <c r="B657" s="384">
        <v>3</v>
      </c>
      <c r="C657" s="5" t="s">
        <v>14</v>
      </c>
      <c r="D657" s="784" t="s">
        <v>14</v>
      </c>
      <c r="E657" s="785" t="s">
        <v>14</v>
      </c>
      <c r="F657" s="786" t="s">
        <v>12</v>
      </c>
      <c r="G657" s="4" t="s">
        <v>13</v>
      </c>
      <c r="H657" s="19" t="s">
        <v>71</v>
      </c>
      <c r="I657" s="3" t="s">
        <v>12</v>
      </c>
      <c r="J657" s="3" t="s">
        <v>12</v>
      </c>
      <c r="K657" s="4" t="s">
        <v>13</v>
      </c>
      <c r="L657" s="785" t="s">
        <v>14</v>
      </c>
      <c r="M657" s="3" t="s">
        <v>12</v>
      </c>
      <c r="N657" s="790" t="s">
        <v>14</v>
      </c>
      <c r="P657" s="37"/>
      <c r="Q657" s="19" t="s">
        <v>25</v>
      </c>
      <c r="R657" s="13" t="s">
        <v>22</v>
      </c>
      <c r="S657" s="191" t="s">
        <v>244</v>
      </c>
      <c r="T657" s="19" t="s">
        <v>25</v>
      </c>
      <c r="U657" s="195" t="s">
        <v>216</v>
      </c>
      <c r="V657" s="194" t="s">
        <v>43</v>
      </c>
      <c r="W657" s="17" t="s">
        <v>24</v>
      </c>
      <c r="X657" s="14" t="s">
        <v>20</v>
      </c>
      <c r="Y657" s="11" t="s">
        <v>46</v>
      </c>
      <c r="Z657" s="15" t="s">
        <v>21</v>
      </c>
      <c r="AA657" s="15" t="s">
        <v>21</v>
      </c>
      <c r="AB657" s="19" t="s">
        <v>25</v>
      </c>
    </row>
    <row r="658" spans="2:29" ht="16.5" thickBot="1">
      <c r="B658" s="384">
        <v>4</v>
      </c>
      <c r="C658" s="3" t="s">
        <v>12</v>
      </c>
      <c r="D658" s="3" t="s">
        <v>12</v>
      </c>
      <c r="E658" s="3" t="s">
        <v>12</v>
      </c>
      <c r="F658" s="617" t="s">
        <v>14</v>
      </c>
      <c r="G658" s="3" t="s">
        <v>12</v>
      </c>
      <c r="H658" s="3" t="s">
        <v>12</v>
      </c>
      <c r="I658" s="3" t="s">
        <v>12</v>
      </c>
      <c r="J658" s="3" t="s">
        <v>12</v>
      </c>
      <c r="K658" s="3" t="s">
        <v>12</v>
      </c>
      <c r="L658" s="3" t="s">
        <v>12</v>
      </c>
      <c r="M658" s="3" t="s">
        <v>12</v>
      </c>
      <c r="N658" s="791" t="s">
        <v>12</v>
      </c>
      <c r="P658" s="37"/>
      <c r="Q658" s="15" t="s">
        <v>21</v>
      </c>
      <c r="R658" s="191" t="s">
        <v>244</v>
      </c>
      <c r="T658" s="15" t="s">
        <v>21</v>
      </c>
      <c r="U658" s="189" t="s">
        <v>47</v>
      </c>
      <c r="V658" s="27" t="s">
        <v>44</v>
      </c>
      <c r="W658" s="15" t="s">
        <v>21</v>
      </c>
      <c r="X658" s="15" t="s">
        <v>21</v>
      </c>
      <c r="Y658" s="188" t="s">
        <v>109</v>
      </c>
      <c r="Z658" s="19" t="s">
        <v>25</v>
      </c>
      <c r="AA658" s="19" t="s">
        <v>25</v>
      </c>
      <c r="AB658" s="14" t="s">
        <v>20</v>
      </c>
    </row>
    <row r="659" spans="2:29">
      <c r="B659" s="384">
        <v>5</v>
      </c>
      <c r="C659" s="529" t="s">
        <v>1966</v>
      </c>
      <c r="D659" s="4" t="s">
        <v>13</v>
      </c>
      <c r="E659" s="4" t="s">
        <v>13</v>
      </c>
      <c r="F659" s="3" t="s">
        <v>12</v>
      </c>
      <c r="G659" s="5" t="s">
        <v>14</v>
      </c>
      <c r="H659" s="3" t="s">
        <v>12</v>
      </c>
      <c r="I659" s="4" t="s">
        <v>13</v>
      </c>
      <c r="J659" s="3" t="s">
        <v>12</v>
      </c>
      <c r="K659" s="3" t="s">
        <v>12</v>
      </c>
      <c r="L659" s="3" t="s">
        <v>12</v>
      </c>
      <c r="M659" s="5" t="s">
        <v>14</v>
      </c>
      <c r="N659" s="3" t="s">
        <v>12</v>
      </c>
      <c r="O659" s="37"/>
      <c r="P659" s="37"/>
      <c r="Q659" s="193" t="s">
        <v>155</v>
      </c>
      <c r="R659" s="192" t="s">
        <v>68</v>
      </c>
      <c r="T659" s="13" t="s">
        <v>22</v>
      </c>
      <c r="V659" s="5" t="s">
        <v>26</v>
      </c>
      <c r="W659" s="22" t="s">
        <v>27</v>
      </c>
      <c r="X659" s="197" t="s">
        <v>124</v>
      </c>
      <c r="Y659" s="13" t="s">
        <v>22</v>
      </c>
      <c r="Z659" s="17" t="s">
        <v>24</v>
      </c>
      <c r="AA659" s="191" t="s">
        <v>244</v>
      </c>
      <c r="AB659" s="23" t="s">
        <v>28</v>
      </c>
    </row>
    <row r="660" spans="2:29" ht="16.5" thickBot="1">
      <c r="B660" s="384">
        <v>6</v>
      </c>
      <c r="C660" s="3" t="s">
        <v>12</v>
      </c>
      <c r="D660" s="3" t="s">
        <v>12</v>
      </c>
      <c r="E660" s="3" t="s">
        <v>12</v>
      </c>
      <c r="F660" s="4" t="s">
        <v>13</v>
      </c>
      <c r="G660" s="3" t="s">
        <v>12</v>
      </c>
      <c r="H660" s="3" t="s">
        <v>12</v>
      </c>
      <c r="I660" s="3" t="s">
        <v>12</v>
      </c>
      <c r="J660" s="3" t="s">
        <v>12</v>
      </c>
      <c r="K660" s="3" t="s">
        <v>12</v>
      </c>
      <c r="L660" s="3" t="s">
        <v>12</v>
      </c>
      <c r="M660" s="3" t="s">
        <v>12</v>
      </c>
      <c r="N660" s="3" t="s">
        <v>12</v>
      </c>
      <c r="O660" s="572"/>
      <c r="P660" s="37"/>
      <c r="Q660" s="4" t="s">
        <v>73</v>
      </c>
      <c r="W660" s="24" t="s">
        <v>29</v>
      </c>
      <c r="X660" s="193" t="s">
        <v>155</v>
      </c>
      <c r="Y660" s="27" t="s">
        <v>44</v>
      </c>
      <c r="Z660" s="194" t="s">
        <v>43</v>
      </c>
      <c r="AA660" s="14" t="s">
        <v>20</v>
      </c>
      <c r="AB660" s="194" t="s">
        <v>43</v>
      </c>
    </row>
    <row r="661" spans="2:29" ht="16.5" thickBot="1">
      <c r="B661" s="384">
        <v>7</v>
      </c>
      <c r="F661" s="3" t="s">
        <v>12</v>
      </c>
      <c r="H661" s="5" t="s">
        <v>14</v>
      </c>
      <c r="I661" s="787" t="s">
        <v>12</v>
      </c>
      <c r="J661" s="3" t="s">
        <v>12</v>
      </c>
      <c r="K661" s="5" t="s">
        <v>14</v>
      </c>
      <c r="L661" s="4" t="s">
        <v>13</v>
      </c>
      <c r="M661" s="3" t="s">
        <v>12</v>
      </c>
      <c r="N661" s="3" t="s">
        <v>12</v>
      </c>
      <c r="O661" s="287"/>
      <c r="P661" s="564"/>
      <c r="Q661" s="188" t="s">
        <v>109</v>
      </c>
      <c r="Z661" s="23" t="s">
        <v>28</v>
      </c>
    </row>
    <row r="662" spans="2:29">
      <c r="B662" s="384">
        <v>8</v>
      </c>
      <c r="H662" s="3" t="s">
        <v>12</v>
      </c>
      <c r="I662" s="5" t="s">
        <v>14</v>
      </c>
      <c r="J662" s="3" t="s">
        <v>12</v>
      </c>
      <c r="K662" s="3" t="s">
        <v>12</v>
      </c>
      <c r="L662" s="3" t="s">
        <v>12</v>
      </c>
      <c r="M662" s="3" t="s">
        <v>12</v>
      </c>
      <c r="N662" s="3" t="s">
        <v>12</v>
      </c>
      <c r="Q662" s="5" t="s">
        <v>26</v>
      </c>
      <c r="Z662" s="24" t="s">
        <v>29</v>
      </c>
    </row>
    <row r="663" spans="2:29">
      <c r="B663" s="384">
        <v>9</v>
      </c>
      <c r="I663" s="3" t="s">
        <v>12</v>
      </c>
      <c r="J663" s="5" t="s">
        <v>14</v>
      </c>
      <c r="L663" s="384"/>
      <c r="Q663" s="25" t="s">
        <v>30</v>
      </c>
      <c r="Z663" s="189" t="s">
        <v>47</v>
      </c>
    </row>
    <row r="664" spans="2:29">
      <c r="B664" s="384">
        <v>10</v>
      </c>
      <c r="J664" s="3" t="s">
        <v>12</v>
      </c>
      <c r="L664" s="384"/>
      <c r="Q664" s="1507" t="s">
        <v>1</v>
      </c>
      <c r="R664" s="20" t="s">
        <v>2</v>
      </c>
      <c r="S664" s="20" t="s">
        <v>3</v>
      </c>
      <c r="T664" s="20" t="s">
        <v>4</v>
      </c>
      <c r="U664" s="20" t="s">
        <v>5</v>
      </c>
      <c r="V664" s="20" t="s">
        <v>6</v>
      </c>
      <c r="W664" s="20" t="s">
        <v>7</v>
      </c>
      <c r="X664" s="20" t="s">
        <v>8</v>
      </c>
      <c r="Y664" s="20" t="s">
        <v>9</v>
      </c>
      <c r="Z664" s="20" t="s">
        <v>10</v>
      </c>
      <c r="AA664" s="20" t="s">
        <v>36</v>
      </c>
      <c r="AB664" s="20" t="s">
        <v>37</v>
      </c>
    </row>
    <row r="665" spans="2:29">
      <c r="B665" t="s">
        <v>15</v>
      </c>
      <c r="C665" s="6" t="s">
        <v>1965</v>
      </c>
      <c r="D665" s="6" t="s">
        <v>16</v>
      </c>
      <c r="E665" s="6" t="s">
        <v>16</v>
      </c>
      <c r="F665" s="6" t="s">
        <v>16</v>
      </c>
      <c r="G665" s="6" t="s">
        <v>16</v>
      </c>
      <c r="H665" s="6" t="s">
        <v>16</v>
      </c>
      <c r="I665" s="6" t="s">
        <v>16</v>
      </c>
      <c r="J665" s="6" t="s">
        <v>16</v>
      </c>
      <c r="K665" s="7" t="s">
        <v>17</v>
      </c>
      <c r="L665" s="6" t="s">
        <v>16</v>
      </c>
      <c r="M665" s="6" t="s">
        <v>16</v>
      </c>
      <c r="N665" s="13" t="s">
        <v>59</v>
      </c>
      <c r="Q665" t="s">
        <v>105</v>
      </c>
      <c r="R665" t="s">
        <v>1967</v>
      </c>
      <c r="S665" t="s">
        <v>228</v>
      </c>
      <c r="T665" t="s">
        <v>1970</v>
      </c>
      <c r="U665" t="s">
        <v>1972</v>
      </c>
      <c r="V665" t="s">
        <v>1972</v>
      </c>
      <c r="W665" t="s">
        <v>92</v>
      </c>
      <c r="X665" t="s">
        <v>1983</v>
      </c>
      <c r="Y665" t="s">
        <v>1983</v>
      </c>
      <c r="Z665" t="s">
        <v>1984</v>
      </c>
      <c r="AA665" t="s">
        <v>1985</v>
      </c>
      <c r="AB665" t="s">
        <v>2007</v>
      </c>
    </row>
    <row r="666" spans="2:29">
      <c r="B666" t="s">
        <v>1564</v>
      </c>
      <c r="C666" s="529" t="s">
        <v>1966</v>
      </c>
      <c r="D666" s="46" t="s">
        <v>1567</v>
      </c>
      <c r="E666" s="5" t="s">
        <v>87</v>
      </c>
      <c r="F666" s="533" t="s">
        <v>1971</v>
      </c>
      <c r="G666" s="11" t="s">
        <v>45</v>
      </c>
      <c r="I666" s="11" t="s">
        <v>45</v>
      </c>
      <c r="J666" s="5" t="s">
        <v>87</v>
      </c>
      <c r="L666" s="14" t="s">
        <v>199</v>
      </c>
      <c r="N666" s="45" t="s">
        <v>1563</v>
      </c>
      <c r="Q666" t="s">
        <v>1967</v>
      </c>
      <c r="R666" t="s">
        <v>228</v>
      </c>
      <c r="S666" t="s">
        <v>1970</v>
      </c>
      <c r="T666" t="s">
        <v>1972</v>
      </c>
      <c r="V666" t="s">
        <v>92</v>
      </c>
      <c r="W666" t="s">
        <v>1983</v>
      </c>
      <c r="Y666" t="s">
        <v>1984</v>
      </c>
      <c r="Z666" t="s">
        <v>1985</v>
      </c>
      <c r="AA666" t="s">
        <v>2007</v>
      </c>
      <c r="AB666" t="s">
        <v>249</v>
      </c>
    </row>
    <row r="667" spans="2:29">
      <c r="G667" s="11" t="s">
        <v>2602</v>
      </c>
      <c r="Q667" t="s">
        <v>1968</v>
      </c>
    </row>
    <row r="668" spans="2:29" ht="21">
      <c r="B668" s="1" t="s">
        <v>2056</v>
      </c>
    </row>
    <row r="669" spans="2:29">
      <c r="B669" s="21" t="s">
        <v>2618</v>
      </c>
      <c r="C669" s="13"/>
      <c r="E669" s="45" t="s">
        <v>2619</v>
      </c>
      <c r="Q669" s="10" t="s">
        <v>19</v>
      </c>
    </row>
    <row r="670" spans="2:29">
      <c r="B670" s="9" t="s">
        <v>0</v>
      </c>
      <c r="C670" s="20" t="s">
        <v>1</v>
      </c>
      <c r="D670" s="20" t="s">
        <v>2</v>
      </c>
      <c r="E670" s="20" t="s">
        <v>3</v>
      </c>
      <c r="F670" s="20" t="s">
        <v>4</v>
      </c>
      <c r="G670" s="20" t="s">
        <v>5</v>
      </c>
      <c r="H670" s="20" t="s">
        <v>6</v>
      </c>
      <c r="I670" s="20" t="s">
        <v>7</v>
      </c>
      <c r="J670" s="20" t="s">
        <v>8</v>
      </c>
      <c r="K670" s="20" t="s">
        <v>9</v>
      </c>
      <c r="L670" s="20" t="s">
        <v>10</v>
      </c>
      <c r="M670" s="20" t="s">
        <v>36</v>
      </c>
      <c r="N670" s="20" t="s">
        <v>37</v>
      </c>
      <c r="Q670" s="11" t="s">
        <v>1</v>
      </c>
      <c r="R670" s="11" t="s">
        <v>2</v>
      </c>
      <c r="S670" s="11" t="s">
        <v>3</v>
      </c>
      <c r="T670" s="11" t="s">
        <v>4</v>
      </c>
      <c r="U670" s="11" t="s">
        <v>5</v>
      </c>
      <c r="V670" s="11" t="s">
        <v>6</v>
      </c>
      <c r="W670" s="11" t="s">
        <v>7</v>
      </c>
      <c r="X670" s="11" t="s">
        <v>8</v>
      </c>
      <c r="Y670" s="11" t="s">
        <v>9</v>
      </c>
      <c r="Z670" s="1506" t="s">
        <v>10</v>
      </c>
      <c r="AA670" s="1506" t="s">
        <v>36</v>
      </c>
      <c r="AB670" s="1506" t="s">
        <v>37</v>
      </c>
      <c r="AC670" s="12"/>
    </row>
    <row r="671" spans="2:29" ht="16.5" thickBot="1">
      <c r="B671" s="8">
        <v>1</v>
      </c>
      <c r="C671" s="3" t="s">
        <v>12</v>
      </c>
      <c r="D671" s="3" t="s">
        <v>12</v>
      </c>
      <c r="E671" s="3" t="s">
        <v>12</v>
      </c>
      <c r="F671" s="3" t="s">
        <v>12</v>
      </c>
      <c r="G671" s="3" t="s">
        <v>12</v>
      </c>
      <c r="H671" s="3" t="s">
        <v>12</v>
      </c>
      <c r="I671" s="3" t="s">
        <v>12</v>
      </c>
      <c r="J671" s="3" t="s">
        <v>12</v>
      </c>
      <c r="K671" s="3" t="s">
        <v>12</v>
      </c>
      <c r="L671" s="3" t="s">
        <v>12</v>
      </c>
      <c r="M671" s="3" t="s">
        <v>12</v>
      </c>
      <c r="N671" s="3" t="s">
        <v>12</v>
      </c>
      <c r="Q671" s="191" t="s">
        <v>244</v>
      </c>
      <c r="R671" s="15" t="s">
        <v>21</v>
      </c>
      <c r="S671" s="15" t="s">
        <v>21</v>
      </c>
      <c r="T671" s="15" t="s">
        <v>21</v>
      </c>
      <c r="U671" s="13" t="s">
        <v>22</v>
      </c>
      <c r="V671" s="17" t="s">
        <v>24</v>
      </c>
      <c r="W671" s="15" t="s">
        <v>21</v>
      </c>
      <c r="X671" s="13" t="s">
        <v>22</v>
      </c>
      <c r="Y671" s="15" t="s">
        <v>21</v>
      </c>
      <c r="Z671" s="15" t="s">
        <v>21</v>
      </c>
      <c r="AA671" s="15" t="s">
        <v>21</v>
      </c>
      <c r="AB671" s="14" t="s">
        <v>20</v>
      </c>
    </row>
    <row r="672" spans="2:29" ht="16.5" thickBot="1">
      <c r="B672" s="8">
        <v>2</v>
      </c>
      <c r="C672" s="613" t="s">
        <v>12</v>
      </c>
      <c r="D672" s="5" t="s">
        <v>14</v>
      </c>
      <c r="E672" s="617" t="s">
        <v>14</v>
      </c>
      <c r="F672" s="3" t="s">
        <v>12</v>
      </c>
      <c r="G672" s="4" t="s">
        <v>13</v>
      </c>
      <c r="H672" s="4" t="s">
        <v>13</v>
      </c>
      <c r="I672" s="5" t="s">
        <v>14</v>
      </c>
      <c r="J672" s="5" t="s">
        <v>14</v>
      </c>
      <c r="K672" s="614" t="s">
        <v>12</v>
      </c>
      <c r="L672" s="3" t="s">
        <v>12</v>
      </c>
      <c r="M672" s="3" t="s">
        <v>12</v>
      </c>
      <c r="N672" s="3" t="s">
        <v>12</v>
      </c>
      <c r="Q672" s="15" t="s">
        <v>21</v>
      </c>
      <c r="R672" s="19" t="s">
        <v>25</v>
      </c>
      <c r="S672" s="19" t="s">
        <v>25</v>
      </c>
      <c r="T672" s="191" t="s">
        <v>244</v>
      </c>
      <c r="U672" s="15" t="s">
        <v>21</v>
      </c>
      <c r="V672" s="198" t="s">
        <v>234</v>
      </c>
      <c r="W672" s="19" t="s">
        <v>25</v>
      </c>
      <c r="X672" s="15" t="s">
        <v>21</v>
      </c>
      <c r="Y672" s="27" t="s">
        <v>44</v>
      </c>
      <c r="Z672" s="13" t="s">
        <v>22</v>
      </c>
      <c r="AA672" s="193" t="s">
        <v>155</v>
      </c>
      <c r="AB672" s="15" t="s">
        <v>21</v>
      </c>
    </row>
    <row r="673" spans="2:28" ht="16.5" thickBot="1">
      <c r="B673" s="8">
        <v>3</v>
      </c>
      <c r="C673" s="3" t="s">
        <v>12</v>
      </c>
      <c r="D673" s="3" t="s">
        <v>12</v>
      </c>
      <c r="E673" s="3" t="s">
        <v>12</v>
      </c>
      <c r="F673" s="3" t="s">
        <v>12</v>
      </c>
      <c r="G673" s="3" t="s">
        <v>12</v>
      </c>
      <c r="H673" s="3" t="s">
        <v>12</v>
      </c>
      <c r="I673" s="3" t="s">
        <v>12</v>
      </c>
      <c r="J673" s="3" t="s">
        <v>12</v>
      </c>
      <c r="K673" s="4" t="s">
        <v>13</v>
      </c>
      <c r="L673" s="5" t="s">
        <v>14</v>
      </c>
      <c r="M673" s="3" t="s">
        <v>12</v>
      </c>
      <c r="N673" s="3" t="s">
        <v>12</v>
      </c>
      <c r="Q673" s="19" t="s">
        <v>25</v>
      </c>
      <c r="R673" s="5" t="s">
        <v>26</v>
      </c>
      <c r="S673" s="27" t="s">
        <v>44</v>
      </c>
      <c r="T673" s="194" t="s">
        <v>43</v>
      </c>
      <c r="U673" s="19" t="s">
        <v>25</v>
      </c>
      <c r="V673" s="15" t="s">
        <v>21</v>
      </c>
      <c r="W673" s="13" t="s">
        <v>22</v>
      </c>
      <c r="X673" s="27" t="s">
        <v>44</v>
      </c>
      <c r="Y673" s="24" t="s">
        <v>29</v>
      </c>
      <c r="Z673" s="17" t="s">
        <v>24</v>
      </c>
      <c r="AA673" s="188" t="s">
        <v>109</v>
      </c>
      <c r="AB673" s="23" t="s">
        <v>28</v>
      </c>
    </row>
    <row r="674" spans="2:28" ht="16.5" thickBot="1">
      <c r="B674" s="8">
        <v>4</v>
      </c>
      <c r="C674" s="3" t="s">
        <v>12</v>
      </c>
      <c r="D674" s="4" t="s">
        <v>13</v>
      </c>
      <c r="E674" s="3" t="s">
        <v>12</v>
      </c>
      <c r="F674" s="19" t="s">
        <v>71</v>
      </c>
      <c r="G674" s="614" t="s">
        <v>12</v>
      </c>
      <c r="H674" s="5" t="s">
        <v>14</v>
      </c>
      <c r="I674" s="3" t="s">
        <v>12</v>
      </c>
      <c r="J674" s="4" t="s">
        <v>13</v>
      </c>
      <c r="K674" s="3" t="s">
        <v>12</v>
      </c>
      <c r="L674" s="3" t="s">
        <v>12</v>
      </c>
      <c r="M674" s="3" t="s">
        <v>12</v>
      </c>
      <c r="N674" s="3" t="s">
        <v>12</v>
      </c>
      <c r="Q674" s="13" t="s">
        <v>22</v>
      </c>
      <c r="R674" s="23" t="s">
        <v>28</v>
      </c>
      <c r="S674" s="191" t="s">
        <v>244</v>
      </c>
      <c r="T674" s="22" t="s">
        <v>27</v>
      </c>
      <c r="U674" s="11" t="s">
        <v>46</v>
      </c>
      <c r="V674" s="23" t="s">
        <v>28</v>
      </c>
      <c r="W674" s="22" t="s">
        <v>27</v>
      </c>
      <c r="X674" s="193" t="s">
        <v>155</v>
      </c>
      <c r="Y674" s="23" t="s">
        <v>28</v>
      </c>
      <c r="Z674" s="14" t="s">
        <v>20</v>
      </c>
      <c r="AA674" s="14" t="s">
        <v>20</v>
      </c>
      <c r="AB674" s="13" t="s">
        <v>22</v>
      </c>
    </row>
    <row r="675" spans="2:28" ht="16.5" thickBot="1">
      <c r="B675" s="8">
        <v>5</v>
      </c>
      <c r="C675" s="38" t="s">
        <v>231</v>
      </c>
      <c r="D675" s="3" t="s">
        <v>12</v>
      </c>
      <c r="E675" s="3" t="s">
        <v>12</v>
      </c>
      <c r="F675" s="3" t="s">
        <v>12</v>
      </c>
      <c r="G675" s="5" t="s">
        <v>14</v>
      </c>
      <c r="H675" s="3" t="s">
        <v>12</v>
      </c>
      <c r="I675" s="3" t="s">
        <v>12</v>
      </c>
      <c r="J675" s="3" t="s">
        <v>12</v>
      </c>
      <c r="K675" s="3" t="s">
        <v>12</v>
      </c>
      <c r="L675" s="5" t="s">
        <v>14</v>
      </c>
      <c r="M675" s="5" t="s">
        <v>14</v>
      </c>
      <c r="N675" s="3" t="s">
        <v>12</v>
      </c>
      <c r="Q675" s="17" t="s">
        <v>24</v>
      </c>
      <c r="R675" s="27" t="s">
        <v>44</v>
      </c>
      <c r="S675" s="17" t="s">
        <v>24</v>
      </c>
      <c r="T675" s="14" t="s">
        <v>20</v>
      </c>
      <c r="U675" s="189" t="s">
        <v>47</v>
      </c>
      <c r="W675" s="5" t="s">
        <v>26</v>
      </c>
      <c r="X675" s="11" t="s">
        <v>46</v>
      </c>
      <c r="Y675" s="19" t="s">
        <v>25</v>
      </c>
      <c r="Z675" s="191" t="s">
        <v>244</v>
      </c>
      <c r="AA675" s="191" t="s">
        <v>244</v>
      </c>
      <c r="AB675" s="27" t="s">
        <v>44</v>
      </c>
    </row>
    <row r="676" spans="2:28" ht="16.5" thickBot="1">
      <c r="B676" s="8">
        <v>6</v>
      </c>
      <c r="C676" s="3" t="s">
        <v>12</v>
      </c>
      <c r="D676" s="3" t="s">
        <v>12</v>
      </c>
      <c r="E676" s="5" t="s">
        <v>14</v>
      </c>
      <c r="F676" s="5" t="s">
        <v>14</v>
      </c>
      <c r="G676" s="3" t="s">
        <v>12</v>
      </c>
      <c r="I676" s="4" t="s">
        <v>13</v>
      </c>
      <c r="J676" s="3" t="s">
        <v>12</v>
      </c>
      <c r="K676" s="5" t="s">
        <v>14</v>
      </c>
      <c r="L676" s="3" t="s">
        <v>12</v>
      </c>
      <c r="M676" s="729" t="s">
        <v>12</v>
      </c>
      <c r="N676" s="3" t="s">
        <v>12</v>
      </c>
      <c r="Q676" s="194" t="s">
        <v>43</v>
      </c>
      <c r="R676" s="188" t="s">
        <v>109</v>
      </c>
      <c r="S676" s="194" t="s">
        <v>43</v>
      </c>
      <c r="T676" s="193" t="s">
        <v>155</v>
      </c>
      <c r="W676" s="17" t="s">
        <v>24</v>
      </c>
      <c r="X676" s="192" t="s">
        <v>68</v>
      </c>
      <c r="Y676" s="200" t="s">
        <v>339</v>
      </c>
      <c r="Z676" s="189" t="s">
        <v>47</v>
      </c>
      <c r="AB676" s="19" t="s">
        <v>25</v>
      </c>
    </row>
    <row r="677" spans="2:28">
      <c r="B677" s="8">
        <v>7</v>
      </c>
      <c r="C677" s="3" t="s">
        <v>12</v>
      </c>
      <c r="E677" s="3" t="s">
        <v>12</v>
      </c>
      <c r="F677" s="3" t="s">
        <v>12</v>
      </c>
      <c r="I677" s="3" t="s">
        <v>12</v>
      </c>
      <c r="J677" s="3" t="s">
        <v>12</v>
      </c>
      <c r="K677" s="3" t="s">
        <v>12</v>
      </c>
      <c r="L677" s="3" t="s">
        <v>12</v>
      </c>
      <c r="N677" s="3" t="s">
        <v>12</v>
      </c>
      <c r="Q677" s="190" t="s">
        <v>120</v>
      </c>
      <c r="R677" s="13" t="s">
        <v>22</v>
      </c>
      <c r="W677" s="189" t="s">
        <v>47</v>
      </c>
      <c r="X677" s="24" t="s">
        <v>29</v>
      </c>
      <c r="Y677" s="188" t="s">
        <v>109</v>
      </c>
      <c r="AB677" s="5" t="s">
        <v>26</v>
      </c>
    </row>
    <row r="678" spans="2:28">
      <c r="B678" s="8">
        <v>8</v>
      </c>
      <c r="C678" s="3" t="s">
        <v>12</v>
      </c>
      <c r="F678" s="4" t="s">
        <v>13</v>
      </c>
      <c r="L678" s="3" t="s">
        <v>12</v>
      </c>
      <c r="N678" s="3" t="s">
        <v>12</v>
      </c>
      <c r="Q678" s="27" t="s">
        <v>44</v>
      </c>
      <c r="X678" s="189" t="s">
        <v>47</v>
      </c>
    </row>
    <row r="679" spans="2:28">
      <c r="B679" s="8">
        <v>9</v>
      </c>
      <c r="C679" s="5" t="s">
        <v>14</v>
      </c>
      <c r="F679" s="3" t="s">
        <v>12</v>
      </c>
      <c r="Q679" s="24" t="s">
        <v>29</v>
      </c>
    </row>
    <row r="680" spans="2:28">
      <c r="B680" s="8">
        <v>10</v>
      </c>
      <c r="C680" s="3" t="s">
        <v>12</v>
      </c>
      <c r="Q680" s="197" t="s">
        <v>124</v>
      </c>
    </row>
    <row r="681" spans="2:28">
      <c r="B681" s="8">
        <v>11</v>
      </c>
      <c r="Q681" s="25" t="s">
        <v>30</v>
      </c>
    </row>
    <row r="682" spans="2:28">
      <c r="B682" t="s">
        <v>15</v>
      </c>
      <c r="C682" s="6" t="s">
        <v>16</v>
      </c>
      <c r="D682" s="6" t="s">
        <v>16</v>
      </c>
      <c r="E682" s="6" t="s">
        <v>16</v>
      </c>
      <c r="F682" s="6" t="s">
        <v>16</v>
      </c>
      <c r="G682" s="6" t="s">
        <v>16</v>
      </c>
      <c r="H682" s="6" t="s">
        <v>16</v>
      </c>
      <c r="I682" s="6" t="s">
        <v>16</v>
      </c>
      <c r="J682" s="7" t="s">
        <v>17</v>
      </c>
      <c r="K682" s="6" t="s">
        <v>16</v>
      </c>
      <c r="L682" s="6" t="s">
        <v>16</v>
      </c>
      <c r="M682" s="6" t="s">
        <v>16</v>
      </c>
      <c r="N682" s="13" t="s">
        <v>59</v>
      </c>
      <c r="Q682" s="1507" t="s">
        <v>1</v>
      </c>
      <c r="R682" s="20" t="s">
        <v>2</v>
      </c>
      <c r="S682" s="20" t="s">
        <v>3</v>
      </c>
      <c r="T682" s="20" t="s">
        <v>4</v>
      </c>
      <c r="U682" s="20" t="s">
        <v>5</v>
      </c>
      <c r="V682" s="20" t="s">
        <v>6</v>
      </c>
      <c r="W682" s="20" t="s">
        <v>7</v>
      </c>
      <c r="X682" s="20" t="s">
        <v>8</v>
      </c>
      <c r="Y682" s="20" t="s">
        <v>9</v>
      </c>
      <c r="Z682" s="20" t="s">
        <v>10</v>
      </c>
      <c r="AA682" s="20" t="s">
        <v>36</v>
      </c>
      <c r="AB682" s="20" t="s">
        <v>37</v>
      </c>
    </row>
    <row r="683" spans="2:28">
      <c r="B683" t="s">
        <v>1564</v>
      </c>
      <c r="C683" s="5" t="s">
        <v>2596</v>
      </c>
      <c r="E683" s="533" t="s">
        <v>1971</v>
      </c>
      <c r="G683" s="11" t="s">
        <v>45</v>
      </c>
      <c r="K683" s="11" t="s">
        <v>2078</v>
      </c>
      <c r="M683" s="45" t="s">
        <v>2482</v>
      </c>
      <c r="Q683" t="s">
        <v>2057</v>
      </c>
      <c r="R683" t="s">
        <v>113</v>
      </c>
      <c r="S683" t="s">
        <v>165</v>
      </c>
      <c r="T683" t="s">
        <v>165</v>
      </c>
      <c r="U683" t="s">
        <v>485</v>
      </c>
      <c r="V683" t="s">
        <v>2067</v>
      </c>
      <c r="W683" t="s">
        <v>158</v>
      </c>
      <c r="X683" t="s">
        <v>349</v>
      </c>
      <c r="Y683" t="s">
        <v>349</v>
      </c>
      <c r="Z683" t="s">
        <v>79</v>
      </c>
      <c r="AA683" t="s">
        <v>75</v>
      </c>
      <c r="AB683" t="s">
        <v>52</v>
      </c>
    </row>
    <row r="684" spans="2:28">
      <c r="C684" s="5" t="s">
        <v>2600</v>
      </c>
      <c r="K684" s="11" t="s">
        <v>2077</v>
      </c>
      <c r="Q684" t="s">
        <v>113</v>
      </c>
      <c r="R684" t="s">
        <v>165</v>
      </c>
      <c r="S684" t="s">
        <v>2059</v>
      </c>
      <c r="T684" t="s">
        <v>485</v>
      </c>
      <c r="U684" t="s">
        <v>2062</v>
      </c>
      <c r="V684" t="s">
        <v>2068</v>
      </c>
      <c r="W684" t="s">
        <v>349</v>
      </c>
      <c r="Y684" t="s">
        <v>79</v>
      </c>
      <c r="Z684" t="s">
        <v>75</v>
      </c>
      <c r="AA684" t="s">
        <v>52</v>
      </c>
      <c r="AB684" t="s">
        <v>118</v>
      </c>
    </row>
    <row r="685" spans="2:28">
      <c r="V685" t="s">
        <v>2069</v>
      </c>
    </row>
  </sheetData>
  <mergeCells count="1">
    <mergeCell ref="B4:D4"/>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8901-11A3-4DD3-B132-4A4F70E1BF2A}">
  <sheetPr codeName="Sheet25"/>
  <dimension ref="A1:AV2297"/>
  <sheetViews>
    <sheetView tabSelected="1" topLeftCell="T1" workbookViewId="0">
      <selection activeCell="AO5" sqref="AO5"/>
    </sheetView>
  </sheetViews>
  <sheetFormatPr defaultRowHeight="15.75"/>
  <cols>
    <col min="1" max="1" width="11.375" bestFit="1" customWidth="1"/>
    <col min="2" max="2" width="11"/>
    <col min="3" max="3" width="19.375" bestFit="1" customWidth="1"/>
    <col min="4" max="4" width="17.25" customWidth="1"/>
    <col min="5" max="14" width="11"/>
    <col min="15" max="15" width="12" bestFit="1" customWidth="1"/>
    <col min="16" max="16" width="9.625" bestFit="1" customWidth="1"/>
    <col min="18" max="18" width="13.5" bestFit="1" customWidth="1"/>
    <col min="19" max="26" width="10.5" bestFit="1" customWidth="1"/>
    <col min="27" max="30" width="11.5" bestFit="1" customWidth="1"/>
    <col min="32" max="32" width="12.875" bestFit="1" customWidth="1"/>
    <col min="33" max="33" width="10.875" customWidth="1"/>
    <col min="34" max="34" width="13.5" bestFit="1" customWidth="1"/>
    <col min="35" max="35" width="16" bestFit="1" customWidth="1"/>
    <col min="36" max="36" width="19.375" bestFit="1" customWidth="1"/>
    <col min="38" max="38" width="11.375" customWidth="1"/>
    <col min="40" max="40" width="9.625" bestFit="1" customWidth="1"/>
  </cols>
  <sheetData>
    <row r="1" spans="1:40">
      <c r="A1" t="s">
        <v>2860</v>
      </c>
      <c r="B1" t="s">
        <v>2861</v>
      </c>
      <c r="C1" t="s">
        <v>2847</v>
      </c>
      <c r="D1" t="s">
        <v>2848</v>
      </c>
      <c r="E1" t="s">
        <v>2849</v>
      </c>
      <c r="F1" t="s">
        <v>2850</v>
      </c>
      <c r="G1" t="s">
        <v>2851</v>
      </c>
      <c r="H1" t="s">
        <v>2852</v>
      </c>
      <c r="I1" t="s">
        <v>2853</v>
      </c>
      <c r="J1" t="s">
        <v>2854</v>
      </c>
      <c r="K1" t="s">
        <v>2855</v>
      </c>
      <c r="L1" t="s">
        <v>2856</v>
      </c>
      <c r="M1" t="s">
        <v>2857</v>
      </c>
      <c r="N1" t="s">
        <v>2858</v>
      </c>
      <c r="O1" t="s">
        <v>2859</v>
      </c>
    </row>
    <row r="2" spans="1:40" ht="16.5" thickBot="1">
      <c r="A2">
        <v>1</v>
      </c>
      <c r="B2">
        <v>1</v>
      </c>
      <c r="C2" s="3" t="s">
        <v>12</v>
      </c>
      <c r="D2" s="3" t="s">
        <v>12</v>
      </c>
      <c r="E2" s="19" t="s">
        <v>71</v>
      </c>
      <c r="F2" s="3" t="s">
        <v>12</v>
      </c>
      <c r="G2" s="4" t="s">
        <v>13</v>
      </c>
      <c r="H2" s="3" t="s">
        <v>12</v>
      </c>
      <c r="I2" s="12"/>
    </row>
    <row r="3" spans="1:40" ht="23.25">
      <c r="A3">
        <v>1</v>
      </c>
      <c r="B3">
        <v>2</v>
      </c>
      <c r="C3" s="19" t="s">
        <v>71</v>
      </c>
      <c r="D3" s="3" t="s">
        <v>12</v>
      </c>
      <c r="E3" s="4" t="s">
        <v>13</v>
      </c>
      <c r="F3" s="3" t="s">
        <v>12</v>
      </c>
      <c r="G3" s="5" t="s">
        <v>14</v>
      </c>
      <c r="Q3" s="1601" t="s">
        <v>2864</v>
      </c>
      <c r="R3" s="1602"/>
      <c r="S3" s="1602"/>
      <c r="T3" s="1602"/>
      <c r="U3" s="1602"/>
      <c r="V3" s="1602"/>
      <c r="W3" s="1602"/>
      <c r="X3" s="1602"/>
      <c r="Y3" s="1602"/>
      <c r="Z3" s="1602"/>
      <c r="AA3" s="1602"/>
      <c r="AB3" s="1602"/>
      <c r="AC3" s="1602"/>
      <c r="AD3" s="1602"/>
      <c r="AE3" s="1602"/>
      <c r="AF3" s="1602"/>
      <c r="AG3" s="1602"/>
      <c r="AH3" s="1602"/>
      <c r="AI3" s="1603"/>
    </row>
    <row r="4" spans="1:40" ht="63.75" customHeight="1">
      <c r="A4">
        <v>1</v>
      </c>
      <c r="B4">
        <v>3</v>
      </c>
      <c r="C4" s="19" t="s">
        <v>71</v>
      </c>
      <c r="D4" s="3" t="s">
        <v>12</v>
      </c>
      <c r="E4" s="4" t="s">
        <v>13</v>
      </c>
      <c r="F4" s="3" t="s">
        <v>12</v>
      </c>
      <c r="G4" s="5" t="s">
        <v>14</v>
      </c>
      <c r="H4" s="3" t="s">
        <v>12</v>
      </c>
      <c r="Q4" s="1604" t="s">
        <v>2876</v>
      </c>
      <c r="R4" s="1605"/>
      <c r="S4" s="1605"/>
      <c r="T4" s="1605"/>
      <c r="U4" s="1605"/>
      <c r="V4" s="1605"/>
      <c r="W4" s="1605"/>
      <c r="X4" s="1605"/>
      <c r="Y4" s="1605"/>
      <c r="Z4" s="1605"/>
      <c r="AA4" s="1605"/>
      <c r="AB4" s="1605"/>
      <c r="AC4" s="1605"/>
      <c r="AD4" s="1605"/>
      <c r="AE4" s="1605"/>
      <c r="AF4" s="1605"/>
      <c r="AG4" s="1605"/>
      <c r="AH4" s="1605"/>
      <c r="AI4" s="1606"/>
    </row>
    <row r="5" spans="1:40">
      <c r="A5">
        <v>1</v>
      </c>
      <c r="B5">
        <v>4</v>
      </c>
      <c r="C5" s="19" t="s">
        <v>71</v>
      </c>
      <c r="D5" s="3" t="s">
        <v>12</v>
      </c>
      <c r="E5" s="4" t="s">
        <v>13</v>
      </c>
      <c r="F5" s="3" t="s">
        <v>12</v>
      </c>
      <c r="G5" s="5" t="s">
        <v>14</v>
      </c>
      <c r="Q5" s="1329" t="s">
        <v>183</v>
      </c>
      <c r="R5" t="s">
        <v>1110</v>
      </c>
      <c r="S5" t="s">
        <v>185</v>
      </c>
      <c r="T5" t="s">
        <v>186</v>
      </c>
      <c r="U5" t="s">
        <v>187</v>
      </c>
      <c r="V5" t="s">
        <v>188</v>
      </c>
      <c r="W5" t="s">
        <v>189</v>
      </c>
      <c r="X5" t="s">
        <v>190</v>
      </c>
      <c r="Y5" t="s">
        <v>191</v>
      </c>
      <c r="Z5" t="s">
        <v>192</v>
      </c>
      <c r="AA5" t="s">
        <v>193</v>
      </c>
      <c r="AB5" t="s">
        <v>194</v>
      </c>
      <c r="AC5" t="s">
        <v>1637</v>
      </c>
      <c r="AD5" t="s">
        <v>1638</v>
      </c>
      <c r="AE5" t="s">
        <v>1639</v>
      </c>
      <c r="AF5" t="s">
        <v>1215</v>
      </c>
      <c r="AG5" t="s">
        <v>1112</v>
      </c>
      <c r="AH5" t="s">
        <v>2867</v>
      </c>
      <c r="AI5" s="1110" t="s">
        <v>1564</v>
      </c>
    </row>
    <row r="6" spans="1:40" ht="16.5" thickBot="1">
      <c r="A6">
        <v>1</v>
      </c>
      <c r="B6">
        <v>5</v>
      </c>
      <c r="C6" s="19" t="s">
        <v>71</v>
      </c>
      <c r="D6" s="3" t="s">
        <v>12</v>
      </c>
      <c r="E6" s="4" t="s">
        <v>13</v>
      </c>
      <c r="F6" s="3" t="s">
        <v>12</v>
      </c>
      <c r="G6" s="5" t="s">
        <v>14</v>
      </c>
      <c r="H6" s="3" t="s">
        <v>12</v>
      </c>
      <c r="Q6" s="1585"/>
      <c r="R6" s="1108"/>
      <c r="S6" s="1108"/>
      <c r="T6" s="1108"/>
      <c r="U6" s="1108"/>
      <c r="V6" s="1108"/>
      <c r="W6" s="1108"/>
      <c r="X6" s="1108"/>
      <c r="Y6" s="1108"/>
      <c r="Z6" s="1108"/>
      <c r="AA6" s="1108"/>
      <c r="AB6" s="1108"/>
      <c r="AC6" s="1108"/>
      <c r="AD6" s="1108"/>
      <c r="AE6" s="1108"/>
      <c r="AF6" s="1287"/>
      <c r="AG6" s="1598"/>
      <c r="AH6" s="1108"/>
      <c r="AI6" s="1109"/>
    </row>
    <row r="7" spans="1:40" ht="16.5" thickBot="1">
      <c r="A7">
        <v>1</v>
      </c>
      <c r="B7">
        <v>6</v>
      </c>
      <c r="C7" s="3" t="s">
        <v>12</v>
      </c>
      <c r="D7" s="19" t="s">
        <v>71</v>
      </c>
      <c r="E7" s="3" t="s">
        <v>12</v>
      </c>
      <c r="F7" s="4" t="s">
        <v>13</v>
      </c>
      <c r="G7" s="3" t="s">
        <v>12</v>
      </c>
      <c r="H7" s="5" t="s">
        <v>14</v>
      </c>
      <c r="P7" s="1596" t="str" cm="1">
        <f t="array" ref="P7:AJ464">_xldudf_SQLOOKUP(_xlfn._LONGTEXT("
SELECT challenges.Season_Num as 'Season #', 
challenges.Leg_Num as 'Leg #',
challenges.Challenge_1 as 'Challenge 1',
challenges.Challenge_2 as 'Challenge 2',
challenges.Challenge_3 as 'Challenge 3',
challenges.Challenge_4 as 'Challenge 4',
challenges.Cha","llenge_5 as 'Challenge 5',
challenges.Challenge_6 as 'Challenge 6',
challenges.Challenge_7 as 'Challenge 7',
challenges.Challenge_8 as 'Challenge 8',
challenges.Challenge_9 as 'Challenge 9',
challenges.Challenge_10 as 'Challenge 10',
challenges.Challenge_","11 as 'Challenge 11',
challenges.Challenge_12 as 'Challenge 12',
challenges.Challenge_13 as 'Challenge 13',
locations.Country,
locations.Geographic_Area as 'Area of World',
elimination.Elimination,
twists.Twist,
twists.Challenge_Num as 'Twist Challenge #'",",
winners.Winning_Team as 'Leg Winner'
FROM challenges
INNER JOIN locations ON challenges.Season_Num=locations.Season_Num AND challenges.Leg_Num=locations.Leg_Num
INNER JOIN elimination ON challenges.Season_Num=elimination.Season_Num AND challenges.Leg_Nu","m=elimination.Leg_Num
INNER JOIN twists ON challenges.Season_Num=twists.Season_Num AND challenges.Leg_Num=twists.Leg_Num
INNER JOIN winners ON challenges.Season_Num=winners.Season_Num AND challenges.Leg_Num=winners.Leg_Num
WHERE 
('")&amp;R6&amp;"' = '' OR challenges.Leg_Num = '"&amp;R6&amp;"')
AND ('"&amp;Q6&amp;"' = '' OR challenges.Season_Num = '"&amp;Q6&amp;"')
AND ('"&amp;S6&amp;"' = '' OR challenges.Challenge_1 = '"&amp;S6&amp;"')
AND ('"&amp;T6&amp;"' = '' OR challenges.Challenge_2 = '"&amp;T6&amp;"') 
AND ('"&amp;U6&amp;"' = '' OR challenges.Challenge_3 = '"&amp;U6&amp;"')
AND ('"&amp;V6&amp;"' = '' OR challenges.Challenge_4 = '"&amp;V6&amp;"')
AND ('"&amp;W6&amp;"' = '' OR challenges.Challenge_5 = '"&amp;W6&amp;"')
AND ('"&amp;X6&amp;"' = '' OR challenges.Challenge_6 = '"&amp;X6&amp;"')
AND ('"&amp;Y6&amp;"' = '' OR challenges.Challenge_7 = '"&amp;Y6&amp;"')
AND ('"&amp;Z6&amp;"' = '' OR challenges.Challenge_8 = '"&amp;Z6&amp;"')
AND ('"&amp;AA6&amp;"' = '' OR challenges.Challenge_9 = '"&amp;AA6&amp;"')
AND ('"&amp;AB6&amp;"' = '' OR challenges.Challenge_10 = '"&amp;AB6&amp;"')
AND ('"&amp;AC6&amp;"' = '' OR challenges.Challenge_11 = '"&amp;AC6&amp;"')
AND ('"&amp;AD6&amp;"' = '' OR challenges.Challenge_12 = '"&amp;AD6&amp;"')
AND ('"&amp;AE6&amp;"' = '' OR challenges.Challenge_13 = '"&amp;AE6&amp;"')
AND ('"&amp;AF6&amp;"' = '' OR locations.Country = '"&amp;AF6&amp;"')
AND ('"&amp;AG6&amp;"' = '' OR locations.Geographic_Area = '"&amp;AG6&amp;"')
AND ('"&amp;AH6&amp;"' = '' OR elimination.Elimination = '"&amp;AH6&amp;"')
AND ('"&amp;AI6&amp;"' = '' OR twists.Twist = '"&amp;AI6&amp;"')",
"challenges", $A$1:$O$458, "locations", A460:D917, "elimination", A920:C1377, "twists", A1380:D1837, "winners", A1840:C2297)</f>
        <v>Season #</v>
      </c>
      <c r="Q7" s="1836" t="str">
        <v>Leg #</v>
      </c>
      <c r="R7" s="1836" t="str">
        <v>Challenge 1</v>
      </c>
      <c r="S7" s="1836" t="str">
        <v>Challenge 2</v>
      </c>
      <c r="T7" s="1836" t="str">
        <v>Challenge 3</v>
      </c>
      <c r="U7" s="1836" t="str">
        <v>Challenge 4</v>
      </c>
      <c r="V7" s="1836" t="str">
        <v>Challenge 5</v>
      </c>
      <c r="W7" s="1836" t="str">
        <v>Challenge 6</v>
      </c>
      <c r="X7" s="1836" t="str">
        <v>Challenge 7</v>
      </c>
      <c r="Y7" s="1836" t="str">
        <v>Challenge 8</v>
      </c>
      <c r="Z7" s="1836" t="str">
        <v>Challenge 9</v>
      </c>
      <c r="AA7" s="1836" t="str">
        <v>Challenge 10</v>
      </c>
      <c r="AB7" s="1836" t="str">
        <v>Challenge 11</v>
      </c>
      <c r="AC7" s="1836" t="str">
        <v>Challenge 12</v>
      </c>
      <c r="AD7" s="1836" t="str">
        <v>Challenge 13</v>
      </c>
      <c r="AE7" s="1836" t="str">
        <v>Country</v>
      </c>
      <c r="AF7" s="1836" t="str">
        <v>Area of World</v>
      </c>
      <c r="AG7" s="1836" t="str">
        <v>Elimination</v>
      </c>
      <c r="AH7" s="1836" t="str">
        <v>Twist</v>
      </c>
      <c r="AI7" s="1836" t="str">
        <v>Twist Challenge #</v>
      </c>
      <c r="AJ7" s="1597" t="str">
        <v>Leg Winner</v>
      </c>
      <c r="AK7" s="1837"/>
      <c r="AL7" s="1838"/>
      <c r="AM7" s="105"/>
      <c r="AN7" s="1839" t="str" cm="1">
        <f t="array" ref="AN7:AN8">_xldudf_SQLOOKUP(_xlfn._LONGTEXT("SELECT COUNT(*) as 'Your query returned this many legs:'
FROM challenges
INNER JOIN locations ON challenges.Season_Num=locations.Season_Num AND challenges.Leg_Num=locations.Leg_Num
INNER JOIN elimination ON challenges.Season_Num=elimination.Season_Num AND"," challenges.Leg_Num=elimination.Leg_Num
INNER JOIN twists ON challenges.Season_Num=twists.Season_Num AND challenges.Leg_Num=twists.Leg_Num
INNER JOIN winners ON challenges.Season_Num=winners.Season_Num AND challenges.Leg_Num=winners.Leg_Num
WHERE 
('")&amp;R6&amp;"' = '' OR challenges.Leg_Num = '"&amp;R6&amp;"')
AND ('"&amp;Q6&amp;"' = '' OR challenges.Season_Num = '"&amp;Q6&amp;"')
AND ('"&amp;S6&amp;"' = '' OR challenges.Challenge_1 = '"&amp;S6&amp;"')
AND ('"&amp;T6&amp;"' = '' OR challenges.Challenge_2 = '"&amp;T6&amp;"') 
AND ('"&amp;U6&amp;"' = '' OR challenges.Challenge_3 = '"&amp;U6&amp;"')
AND ('"&amp;V6&amp;"' = '' OR challenges.Challenge_4 = '"&amp;V6&amp;"')
AND ('"&amp;W6&amp;"' = '' OR challenges.Challenge_5 = '"&amp;W6&amp;"')
AND ('"&amp;X6&amp;"' = '' OR challenges.Challenge_6 = '"&amp;X6&amp;"')
AND ('"&amp;Y6&amp;"' = '' OR challenges.Challenge_7 = '"&amp;Y6&amp;"')
AND ('"&amp;Z6&amp;"' = '' OR challenges.Challenge_8 = '"&amp;Z6&amp;"')
AND ('"&amp;AA6&amp;"' = '' OR challenges.Challenge_9 = '"&amp;AA6&amp;"')
AND ('"&amp;AB6&amp;"' = '' OR challenges.Challenge_10 = '"&amp;AB6&amp;"')
AND ('"&amp;AC6&amp;"' = '' OR challenges.Challenge_11 = '"&amp;AC6&amp;"')
AND ('"&amp;AD6&amp;"' = '' OR challenges.Challenge_12 = '"&amp;AD6&amp;"')
AND ('"&amp;AE6&amp;"' = '' OR challenges.Challenge_13 = '"&amp;AE6&amp;"')
AND ('"&amp;AF6&amp;"' = '' OR locations.Country = '"&amp;AF6&amp;"')
AND ('"&amp;AG6&amp;"' = '' OR locations.Geographic_Area = '"&amp;AG6&amp;"')
AND ('"&amp;AH6&amp;"' = '' OR elimination.Elimination = '"&amp;AH6&amp;"')
AND ('"&amp;AI6&amp;"' = '' OR twists.Twist = '"&amp;AI6&amp;"')",
"challenges", $A$1:$O$458, "locations", A460:D917, "elimination", A920:C1377, "twists", A1380:D1837, "winners", A1840:C2297)</f>
        <v>Your query returned this many legs:</v>
      </c>
    </row>
    <row r="8" spans="1:40" ht="16.5" thickTop="1">
      <c r="A8">
        <v>1</v>
      </c>
      <c r="B8">
        <v>7</v>
      </c>
      <c r="C8" s="19" t="s">
        <v>71</v>
      </c>
      <c r="D8" s="4" t="s">
        <v>13</v>
      </c>
      <c r="E8" s="3" t="s">
        <v>12</v>
      </c>
      <c r="F8" s="5" t="s">
        <v>14</v>
      </c>
      <c r="G8" s="3" t="s">
        <v>12</v>
      </c>
      <c r="P8" s="1329">
        <v>1</v>
      </c>
      <c r="Q8" s="1837">
        <v>1</v>
      </c>
      <c r="R8" s="1837" t="str">
        <v>Route Info</v>
      </c>
      <c r="S8" s="1837" t="str">
        <v>Route Info</v>
      </c>
      <c r="T8" s="1837" t="str">
        <v>Fast Forward</v>
      </c>
      <c r="U8" s="1837" t="str">
        <v>Route Info</v>
      </c>
      <c r="V8" s="1837" t="str">
        <v>Detour</v>
      </c>
      <c r="W8" s="1837" t="str">
        <v>Route Info</v>
      </c>
      <c r="X8" s="1837" t="str">
        <v/>
      </c>
      <c r="Y8" s="1837" t="str">
        <v/>
      </c>
      <c r="Z8" s="1837" t="str">
        <v/>
      </c>
      <c r="AA8" s="1837" t="str">
        <v/>
      </c>
      <c r="AB8" s="1837" t="str">
        <v/>
      </c>
      <c r="AC8" s="1837" t="str">
        <v/>
      </c>
      <c r="AD8" s="1837" t="str">
        <v/>
      </c>
      <c r="AE8" s="1837" t="str">
        <v>Zambia</v>
      </c>
      <c r="AF8" s="1837" t="str">
        <v>Southern Africa</v>
      </c>
      <c r="AG8" s="1837" t="str">
        <v>Yes</v>
      </c>
      <c r="AH8" s="1837" t="str">
        <v/>
      </c>
      <c r="AI8" s="1837" t="str">
        <v/>
      </c>
      <c r="AJ8" s="1110" t="str">
        <v>Rob &amp; Brennan</v>
      </c>
      <c r="AK8" s="1837"/>
      <c r="AL8" s="145"/>
      <c r="AM8" s="20"/>
      <c r="AN8" s="32">
        <v>457</v>
      </c>
    </row>
    <row r="9" spans="1:40">
      <c r="A9">
        <v>1</v>
      </c>
      <c r="B9">
        <v>8</v>
      </c>
      <c r="C9" s="3" t="s">
        <v>12</v>
      </c>
      <c r="D9" s="19" t="s">
        <v>71</v>
      </c>
      <c r="E9" s="3" t="s">
        <v>12</v>
      </c>
      <c r="F9" s="4" t="s">
        <v>13</v>
      </c>
      <c r="G9" s="3" t="s">
        <v>12</v>
      </c>
      <c r="H9" s="5" t="s">
        <v>14</v>
      </c>
      <c r="I9" s="3" t="s">
        <v>12</v>
      </c>
      <c r="P9" s="1329">
        <v>1</v>
      </c>
      <c r="Q9" s="1837">
        <v>2</v>
      </c>
      <c r="R9" s="1837" t="str">
        <v>Fast Forward</v>
      </c>
      <c r="S9" s="1837" t="str">
        <v>Route Info</v>
      </c>
      <c r="T9" s="1837" t="str">
        <v>Detour</v>
      </c>
      <c r="U9" s="1837" t="str">
        <v>Route Info</v>
      </c>
      <c r="V9" s="1837" t="str">
        <v>Road Block</v>
      </c>
      <c r="W9" s="1837" t="str">
        <v/>
      </c>
      <c r="X9" s="1837" t="str">
        <v/>
      </c>
      <c r="Y9" s="1837" t="str">
        <v/>
      </c>
      <c r="Z9" s="1837" t="str">
        <v/>
      </c>
      <c r="AA9" s="1837" t="str">
        <v/>
      </c>
      <c r="AB9" s="1837" t="str">
        <v/>
      </c>
      <c r="AC9" s="1837" t="str">
        <v/>
      </c>
      <c r="AD9" s="1837" t="str">
        <v/>
      </c>
      <c r="AE9" s="1837" t="str">
        <v>France</v>
      </c>
      <c r="AF9" s="1837" t="str">
        <v>Western Europe</v>
      </c>
      <c r="AG9" s="1837" t="str">
        <v>Yes</v>
      </c>
      <c r="AH9" s="1837" t="str">
        <v/>
      </c>
      <c r="AI9" s="1837" t="str">
        <v/>
      </c>
      <c r="AJ9" s="1110" t="str">
        <v>Pat &amp; Brenda</v>
      </c>
    </row>
    <row r="10" spans="1:40">
      <c r="A10">
        <v>1</v>
      </c>
      <c r="B10">
        <v>9</v>
      </c>
      <c r="C10" s="19" t="s">
        <v>71</v>
      </c>
      <c r="D10" s="3" t="s">
        <v>12</v>
      </c>
      <c r="E10" s="4" t="s">
        <v>13</v>
      </c>
      <c r="F10" s="5" t="s">
        <v>14</v>
      </c>
      <c r="G10" s="3" t="s">
        <v>12</v>
      </c>
      <c r="P10" s="1329">
        <v>1</v>
      </c>
      <c r="Q10" s="1837">
        <v>3</v>
      </c>
      <c r="R10" s="1837" t="str">
        <v>Fast Forward</v>
      </c>
      <c r="S10" s="1837" t="str">
        <v>Route Info</v>
      </c>
      <c r="T10" s="1837" t="str">
        <v>Detour</v>
      </c>
      <c r="U10" s="1837" t="str">
        <v>Route Info</v>
      </c>
      <c r="V10" s="1837" t="str">
        <v>Road Block</v>
      </c>
      <c r="W10" s="1837" t="str">
        <v>Route Info</v>
      </c>
      <c r="X10" s="1837" t="str">
        <v/>
      </c>
      <c r="Y10" s="1837" t="str">
        <v/>
      </c>
      <c r="Z10" s="1837" t="str">
        <v/>
      </c>
      <c r="AA10" s="1837" t="str">
        <v/>
      </c>
      <c r="AB10" s="1837" t="str">
        <v/>
      </c>
      <c r="AC10" s="1837" t="str">
        <v/>
      </c>
      <c r="AD10" s="1837" t="str">
        <v/>
      </c>
      <c r="AE10" s="1837" t="str">
        <v>France</v>
      </c>
      <c r="AF10" s="1837" t="str">
        <v>Western Europe</v>
      </c>
      <c r="AG10" s="1837" t="str">
        <v>Yes</v>
      </c>
      <c r="AH10" s="1837" t="str">
        <v/>
      </c>
      <c r="AI10" s="1837" t="str">
        <v/>
      </c>
      <c r="AJ10" s="1110" t="str">
        <v>Kevin &amp; Drew</v>
      </c>
    </row>
    <row r="11" spans="1:40">
      <c r="A11">
        <v>1</v>
      </c>
      <c r="B11">
        <v>10</v>
      </c>
      <c r="C11" s="19" t="s">
        <v>71</v>
      </c>
      <c r="D11" s="3" t="s">
        <v>12</v>
      </c>
      <c r="E11" s="4" t="s">
        <v>13</v>
      </c>
      <c r="F11" s="3" t="s">
        <v>12</v>
      </c>
      <c r="G11" s="5" t="s">
        <v>14</v>
      </c>
      <c r="H11" s="3" t="s">
        <v>12</v>
      </c>
      <c r="I11" s="3" t="s">
        <v>12</v>
      </c>
      <c r="P11" s="1329">
        <v>1</v>
      </c>
      <c r="Q11" s="1837">
        <v>4</v>
      </c>
      <c r="R11" s="1837" t="str">
        <v>Fast Forward</v>
      </c>
      <c r="S11" s="1837" t="str">
        <v>Route Info</v>
      </c>
      <c r="T11" s="1837" t="str">
        <v>Detour</v>
      </c>
      <c r="U11" s="1837" t="str">
        <v>Route Info</v>
      </c>
      <c r="V11" s="1837" t="str">
        <v>Road Block</v>
      </c>
      <c r="W11" s="1837" t="str">
        <v/>
      </c>
      <c r="X11" s="1837" t="str">
        <v/>
      </c>
      <c r="Y11" s="1837" t="str">
        <v/>
      </c>
      <c r="Z11" s="1837" t="str">
        <v/>
      </c>
      <c r="AA11" s="1837" t="str">
        <v/>
      </c>
      <c r="AB11" s="1837" t="str">
        <v/>
      </c>
      <c r="AC11" s="1837" t="str">
        <v/>
      </c>
      <c r="AD11" s="1837" t="str">
        <v/>
      </c>
      <c r="AE11" s="1837" t="str">
        <v>Tunisia</v>
      </c>
      <c r="AF11" s="1837" t="str">
        <v>Northern Africa</v>
      </c>
      <c r="AG11" s="1837" t="str">
        <v>Yes</v>
      </c>
      <c r="AH11" s="1837" t="str">
        <v/>
      </c>
      <c r="AI11" s="1837" t="str">
        <v/>
      </c>
      <c r="AJ11" s="1110" t="str">
        <v>Joe &amp; Bill</v>
      </c>
    </row>
    <row r="12" spans="1:40">
      <c r="A12">
        <v>1</v>
      </c>
      <c r="B12">
        <v>11</v>
      </c>
      <c r="C12" s="19" t="s">
        <v>71</v>
      </c>
      <c r="D12" s="3" t="s">
        <v>12</v>
      </c>
      <c r="E12" s="4" t="s">
        <v>13</v>
      </c>
      <c r="F12" s="3" t="s">
        <v>12</v>
      </c>
      <c r="G12" s="3" t="s">
        <v>12</v>
      </c>
      <c r="H12" s="5" t="s">
        <v>14</v>
      </c>
      <c r="P12" s="1329">
        <v>1</v>
      </c>
      <c r="Q12" s="1837">
        <v>5</v>
      </c>
      <c r="R12" s="1837" t="str">
        <v>Fast Forward</v>
      </c>
      <c r="S12" s="1837" t="str">
        <v>Route Info</v>
      </c>
      <c r="T12" s="1837" t="str">
        <v>Detour</v>
      </c>
      <c r="U12" s="1837" t="str">
        <v>Route Info</v>
      </c>
      <c r="V12" s="1837" t="str">
        <v>Road Block</v>
      </c>
      <c r="W12" s="1837" t="str">
        <v>Route Info</v>
      </c>
      <c r="X12" s="1837" t="str">
        <v/>
      </c>
      <c r="Y12" s="1837" t="str">
        <v/>
      </c>
      <c r="Z12" s="1837" t="str">
        <v/>
      </c>
      <c r="AA12" s="1837" t="str">
        <v/>
      </c>
      <c r="AB12" s="1837" t="str">
        <v/>
      </c>
      <c r="AC12" s="1837" t="str">
        <v/>
      </c>
      <c r="AD12" s="1837" t="str">
        <v/>
      </c>
      <c r="AE12" s="1837" t="str">
        <v>Tunisia</v>
      </c>
      <c r="AF12" s="1837" t="str">
        <v>Northern Africa</v>
      </c>
      <c r="AG12" s="1837" t="str">
        <v>Yes</v>
      </c>
      <c r="AH12" s="1837" t="str">
        <v/>
      </c>
      <c r="AI12" s="1837" t="str">
        <v/>
      </c>
      <c r="AJ12" s="1110" t="str">
        <v>Kevin &amp; Drew</v>
      </c>
    </row>
    <row r="13" spans="1:40">
      <c r="A13">
        <v>1</v>
      </c>
      <c r="B13">
        <v>12</v>
      </c>
      <c r="C13" s="3" t="s">
        <v>12</v>
      </c>
      <c r="D13" s="3" t="s">
        <v>12</v>
      </c>
      <c r="E13" s="4" t="s">
        <v>13</v>
      </c>
      <c r="F13" s="3" t="s">
        <v>12</v>
      </c>
      <c r="G13" s="3" t="s">
        <v>12</v>
      </c>
      <c r="H13" s="3" t="s">
        <v>12</v>
      </c>
      <c r="I13" s="5" t="s">
        <v>14</v>
      </c>
      <c r="J13" s="3" t="s">
        <v>12</v>
      </c>
      <c r="P13" s="1329">
        <v>1</v>
      </c>
      <c r="Q13" s="1837">
        <v>6</v>
      </c>
      <c r="R13" s="1837" t="str">
        <v>Route Info</v>
      </c>
      <c r="S13" s="1837" t="str">
        <v>Fast Forward</v>
      </c>
      <c r="T13" s="1837" t="str">
        <v>Route Info</v>
      </c>
      <c r="U13" s="1837" t="str">
        <v>Detour</v>
      </c>
      <c r="V13" s="1837" t="str">
        <v>Route Info</v>
      </c>
      <c r="W13" s="1837" t="str">
        <v>Road Block</v>
      </c>
      <c r="X13" s="1837" t="str">
        <v/>
      </c>
      <c r="Y13" s="1837" t="str">
        <v/>
      </c>
      <c r="Z13" s="1837" t="str">
        <v/>
      </c>
      <c r="AA13" s="1837" t="str">
        <v/>
      </c>
      <c r="AB13" s="1837" t="str">
        <v/>
      </c>
      <c r="AC13" s="1837" t="str">
        <v/>
      </c>
      <c r="AD13" s="1837" t="str">
        <v/>
      </c>
      <c r="AE13" s="1837" t="str">
        <v>Italy</v>
      </c>
      <c r="AF13" s="1837" t="str">
        <v>Southern Europe</v>
      </c>
      <c r="AG13" s="1837" t="str">
        <v>No</v>
      </c>
      <c r="AH13" s="1837" t="str">
        <v/>
      </c>
      <c r="AI13" s="1837" t="str">
        <v/>
      </c>
      <c r="AJ13" s="1110" t="str">
        <v>Frank &amp; Margarita</v>
      </c>
    </row>
    <row r="14" spans="1:40">
      <c r="A14">
        <v>1</v>
      </c>
      <c r="B14" t="s">
        <v>2862</v>
      </c>
      <c r="C14" s="3" t="s">
        <v>12</v>
      </c>
      <c r="D14" s="4" t="s">
        <v>13</v>
      </c>
      <c r="E14" s="5" t="s">
        <v>14</v>
      </c>
      <c r="F14" s="3" t="s">
        <v>12</v>
      </c>
      <c r="G14" s="3" t="s">
        <v>12</v>
      </c>
      <c r="P14" s="1329">
        <v>1</v>
      </c>
      <c r="Q14" s="1837">
        <v>7</v>
      </c>
      <c r="R14" s="1837" t="str">
        <v>Fast Forward</v>
      </c>
      <c r="S14" s="1837" t="str">
        <v>Detour</v>
      </c>
      <c r="T14" s="1837" t="str">
        <v>Route Info</v>
      </c>
      <c r="U14" s="1837" t="str">
        <v>Road Block</v>
      </c>
      <c r="V14" s="1837" t="str">
        <v>Route Info</v>
      </c>
      <c r="W14" s="1837" t="str">
        <v/>
      </c>
      <c r="X14" s="1837" t="str">
        <v/>
      </c>
      <c r="Y14" s="1837" t="str">
        <v/>
      </c>
      <c r="Z14" s="1837" t="str">
        <v/>
      </c>
      <c r="AA14" s="1837" t="str">
        <v/>
      </c>
      <c r="AB14" s="1837" t="str">
        <v/>
      </c>
      <c r="AC14" s="1837" t="str">
        <v/>
      </c>
      <c r="AD14" s="1837" t="str">
        <v/>
      </c>
      <c r="AE14" s="1837" t="str">
        <v>India</v>
      </c>
      <c r="AF14" s="1837" t="str">
        <v>South Asia</v>
      </c>
      <c r="AG14" s="1837" t="str">
        <v>Yes</v>
      </c>
      <c r="AH14" s="1837" t="str">
        <v/>
      </c>
      <c r="AI14" s="1837" t="str">
        <v/>
      </c>
      <c r="AJ14" s="1110" t="str">
        <v>Frank &amp; Margarita</v>
      </c>
    </row>
    <row r="15" spans="1:40">
      <c r="A15">
        <v>2</v>
      </c>
      <c r="B15">
        <v>1</v>
      </c>
      <c r="C15" s="3" t="s">
        <v>12</v>
      </c>
      <c r="D15" s="3" t="s">
        <v>12</v>
      </c>
      <c r="E15" s="19" t="s">
        <v>71</v>
      </c>
      <c r="F15" s="3" t="s">
        <v>12</v>
      </c>
      <c r="G15" s="4" t="s">
        <v>13</v>
      </c>
      <c r="H15" s="3" t="s">
        <v>12</v>
      </c>
      <c r="P15" s="1329">
        <v>1</v>
      </c>
      <c r="Q15" s="1837">
        <v>8</v>
      </c>
      <c r="R15" s="1837" t="str">
        <v>Route Info</v>
      </c>
      <c r="S15" s="1837" t="str">
        <v>Fast Forward</v>
      </c>
      <c r="T15" s="1837" t="str">
        <v>Route Info</v>
      </c>
      <c r="U15" s="1837" t="str">
        <v>Detour</v>
      </c>
      <c r="V15" s="1837" t="str">
        <v>Route Info</v>
      </c>
      <c r="W15" s="1837" t="str">
        <v>Road Block</v>
      </c>
      <c r="X15" s="1837" t="str">
        <v>Route Info</v>
      </c>
      <c r="Y15" s="1837" t="str">
        <v/>
      </c>
      <c r="Z15" s="1837" t="str">
        <v/>
      </c>
      <c r="AA15" s="1837" t="str">
        <v/>
      </c>
      <c r="AB15" s="1837" t="str">
        <v/>
      </c>
      <c r="AC15" s="1837" t="str">
        <v/>
      </c>
      <c r="AD15" s="1837" t="str">
        <v/>
      </c>
      <c r="AE15" s="1837" t="str">
        <v>India</v>
      </c>
      <c r="AF15" s="1837" t="str">
        <v>South Asia</v>
      </c>
      <c r="AG15" s="1837" t="str">
        <v>No</v>
      </c>
      <c r="AH15" s="1837" t="str">
        <v/>
      </c>
      <c r="AI15" s="1837" t="str">
        <v/>
      </c>
      <c r="AJ15" s="1110" t="str">
        <v>Kevin &amp; Drew</v>
      </c>
    </row>
    <row r="16" spans="1:40">
      <c r="A16">
        <v>2</v>
      </c>
      <c r="B16">
        <v>2</v>
      </c>
      <c r="C16" s="3" t="s">
        <v>12</v>
      </c>
      <c r="D16" s="19" t="s">
        <v>71</v>
      </c>
      <c r="E16" s="3" t="s">
        <v>12</v>
      </c>
      <c r="F16" s="4" t="s">
        <v>13</v>
      </c>
      <c r="G16" s="3" t="s">
        <v>12</v>
      </c>
      <c r="H16" s="3" t="s">
        <v>12</v>
      </c>
      <c r="I16" s="5" t="s">
        <v>14</v>
      </c>
      <c r="J16" s="3" t="s">
        <v>12</v>
      </c>
      <c r="P16" s="1329">
        <v>1</v>
      </c>
      <c r="Q16" s="1837">
        <v>9</v>
      </c>
      <c r="R16" s="1837" t="str">
        <v>Fast Forward</v>
      </c>
      <c r="S16" s="1837" t="str">
        <v>Route Info</v>
      </c>
      <c r="T16" s="1837" t="str">
        <v>Detour</v>
      </c>
      <c r="U16" s="1837" t="str">
        <v>Road Block</v>
      </c>
      <c r="V16" s="1837" t="str">
        <v>Route Info</v>
      </c>
      <c r="W16" s="1837" t="str">
        <v/>
      </c>
      <c r="X16" s="1837" t="str">
        <v/>
      </c>
      <c r="Y16" s="1837" t="str">
        <v/>
      </c>
      <c r="Z16" s="1837" t="str">
        <v/>
      </c>
      <c r="AA16" s="1837" t="str">
        <v/>
      </c>
      <c r="AB16" s="1837" t="str">
        <v/>
      </c>
      <c r="AC16" s="1837" t="str">
        <v/>
      </c>
      <c r="AD16" s="1837" t="str">
        <v/>
      </c>
      <c r="AE16" s="1837" t="str">
        <v>Thailand</v>
      </c>
      <c r="AF16" s="1837" t="str">
        <v>South East Asia</v>
      </c>
      <c r="AG16" s="1837" t="str">
        <v>Yes</v>
      </c>
      <c r="AH16" s="1837" t="str">
        <v/>
      </c>
      <c r="AI16" s="1837" t="str">
        <v/>
      </c>
      <c r="AJ16" s="1110" t="str">
        <v>Rob &amp; Brennan</v>
      </c>
    </row>
    <row r="17" spans="1:48">
      <c r="A17">
        <v>2</v>
      </c>
      <c r="B17">
        <v>3</v>
      </c>
      <c r="C17" s="3" t="s">
        <v>12</v>
      </c>
      <c r="D17" s="19" t="s">
        <v>71</v>
      </c>
      <c r="E17" s="3" t="s">
        <v>12</v>
      </c>
      <c r="F17" s="4" t="s">
        <v>13</v>
      </c>
      <c r="G17" s="3" t="s">
        <v>12</v>
      </c>
      <c r="H17" s="5" t="s">
        <v>14</v>
      </c>
      <c r="P17" s="1329">
        <v>1</v>
      </c>
      <c r="Q17" s="1837">
        <v>10</v>
      </c>
      <c r="R17" s="1837" t="str">
        <v>Fast Forward</v>
      </c>
      <c r="S17" s="1837" t="str">
        <v>Route Info</v>
      </c>
      <c r="T17" s="1837" t="str">
        <v>Detour</v>
      </c>
      <c r="U17" s="1837" t="str">
        <v>Route Info</v>
      </c>
      <c r="V17" s="1837" t="str">
        <v>Road Block</v>
      </c>
      <c r="W17" s="1837" t="str">
        <v>Route Info</v>
      </c>
      <c r="X17" s="1837" t="str">
        <v>Route Info</v>
      </c>
      <c r="Y17" s="1837" t="str">
        <v/>
      </c>
      <c r="Z17" s="1837" t="str">
        <v/>
      </c>
      <c r="AA17" s="1837" t="str">
        <v/>
      </c>
      <c r="AB17" s="1837" t="str">
        <v/>
      </c>
      <c r="AC17" s="1837" t="str">
        <v/>
      </c>
      <c r="AD17" s="1837" t="str">
        <v/>
      </c>
      <c r="AE17" s="1837" t="str">
        <v>Thailand</v>
      </c>
      <c r="AF17" s="1837" t="str">
        <v>South East Asia</v>
      </c>
      <c r="AG17" s="1837" t="str">
        <v>No</v>
      </c>
      <c r="AH17" s="1837" t="str">
        <v/>
      </c>
      <c r="AI17" s="1837" t="str">
        <v/>
      </c>
      <c r="AJ17" s="1110" t="str">
        <v>Rob &amp; Brennan</v>
      </c>
    </row>
    <row r="18" spans="1:48">
      <c r="A18">
        <v>2</v>
      </c>
      <c r="B18">
        <v>4</v>
      </c>
      <c r="C18" s="3" t="s">
        <v>12</v>
      </c>
      <c r="D18" s="3" t="s">
        <v>12</v>
      </c>
      <c r="E18" s="19" t="s">
        <v>71</v>
      </c>
      <c r="F18" s="3" t="s">
        <v>12</v>
      </c>
      <c r="G18" s="3" t="s">
        <v>12</v>
      </c>
      <c r="H18" s="4" t="s">
        <v>13</v>
      </c>
      <c r="I18" s="3" t="s">
        <v>12</v>
      </c>
      <c r="J18" s="3" t="s">
        <v>12</v>
      </c>
      <c r="K18" s="5" t="s">
        <v>14</v>
      </c>
      <c r="L18" s="3" t="s">
        <v>12</v>
      </c>
      <c r="P18" s="1329">
        <v>1</v>
      </c>
      <c r="Q18" s="1837">
        <v>11</v>
      </c>
      <c r="R18" s="1837" t="str">
        <v>Fast Forward</v>
      </c>
      <c r="S18" s="1837" t="str">
        <v>Route Info</v>
      </c>
      <c r="T18" s="1837" t="str">
        <v>Detour</v>
      </c>
      <c r="U18" s="1837" t="str">
        <v>Route Info</v>
      </c>
      <c r="V18" s="1837" t="str">
        <v>Route Info</v>
      </c>
      <c r="W18" s="1837" t="str">
        <v>Road Block</v>
      </c>
      <c r="X18" s="1837" t="str">
        <v/>
      </c>
      <c r="Y18" s="1837" t="str">
        <v/>
      </c>
      <c r="Z18" s="1837" t="str">
        <v/>
      </c>
      <c r="AA18" s="1837" t="str">
        <v/>
      </c>
      <c r="AB18" s="1837" t="str">
        <v/>
      </c>
      <c r="AC18" s="1837" t="str">
        <v/>
      </c>
      <c r="AD18" s="1837" t="str">
        <v/>
      </c>
      <c r="AE18" s="1837" t="str">
        <v>China</v>
      </c>
      <c r="AF18" s="1837" t="str">
        <v>East Asia</v>
      </c>
      <c r="AG18" s="1837" t="str">
        <v>Yes</v>
      </c>
      <c r="AH18" s="1837" t="str">
        <v/>
      </c>
      <c r="AI18" s="1837" t="str">
        <v/>
      </c>
      <c r="AJ18" s="1110" t="str">
        <v>Frank &amp; Margarita</v>
      </c>
    </row>
    <row r="19" spans="1:48">
      <c r="A19">
        <v>2</v>
      </c>
      <c r="B19">
        <v>5</v>
      </c>
      <c r="C19" s="19" t="s">
        <v>71</v>
      </c>
      <c r="D19" s="3" t="s">
        <v>12</v>
      </c>
      <c r="E19" s="4" t="s">
        <v>13</v>
      </c>
      <c r="F19" s="3" t="s">
        <v>12</v>
      </c>
      <c r="G19" s="5" t="s">
        <v>14</v>
      </c>
      <c r="H19" s="3" t="s">
        <v>12</v>
      </c>
      <c r="P19" s="1329">
        <v>1</v>
      </c>
      <c r="Q19" s="1837">
        <v>12</v>
      </c>
      <c r="R19" s="1837" t="str">
        <v>Route Info</v>
      </c>
      <c r="S19" s="1837" t="str">
        <v>Route Info</v>
      </c>
      <c r="T19" s="1837" t="str">
        <v>Detour</v>
      </c>
      <c r="U19" s="1837" t="str">
        <v>Route Info</v>
      </c>
      <c r="V19" s="1837" t="str">
        <v>Route Info</v>
      </c>
      <c r="W19" s="1837" t="str">
        <v>Route Info</v>
      </c>
      <c r="X19" s="1837" t="str">
        <v>Road Block</v>
      </c>
      <c r="Y19" s="1837" t="str">
        <v>Route Info</v>
      </c>
      <c r="Z19" s="1837" t="str">
        <v/>
      </c>
      <c r="AA19" s="1837" t="str">
        <v/>
      </c>
      <c r="AB19" s="1837" t="str">
        <v/>
      </c>
      <c r="AC19" s="1837" t="str">
        <v/>
      </c>
      <c r="AD19" s="1837" t="str">
        <v/>
      </c>
      <c r="AE19" s="1837" t="str">
        <v>USA</v>
      </c>
      <c r="AF19" s="1837" t="str">
        <v>North America</v>
      </c>
      <c r="AG19" s="1837" t="str">
        <v>No</v>
      </c>
      <c r="AH19" s="1837" t="str">
        <v/>
      </c>
      <c r="AI19" s="1837" t="str">
        <v/>
      </c>
      <c r="AJ19" s="1110" t="str">
        <v>Rob &amp; Brennan</v>
      </c>
      <c r="AQ19" s="1600" t="s">
        <v>2875</v>
      </c>
      <c r="AR19" s="1600"/>
      <c r="AS19" s="1600"/>
      <c r="AT19" s="1600"/>
      <c r="AU19" s="1600"/>
      <c r="AV19" s="1600"/>
    </row>
    <row r="20" spans="1:48">
      <c r="A20">
        <v>2</v>
      </c>
      <c r="B20">
        <v>6</v>
      </c>
      <c r="C20" s="19" t="s">
        <v>71</v>
      </c>
      <c r="D20" s="3" t="s">
        <v>12</v>
      </c>
      <c r="E20" s="4" t="s">
        <v>13</v>
      </c>
      <c r="F20" s="3" t="s">
        <v>12</v>
      </c>
      <c r="G20" s="5" t="s">
        <v>14</v>
      </c>
      <c r="H20" s="3" t="s">
        <v>12</v>
      </c>
      <c r="P20" s="1329">
        <v>1</v>
      </c>
      <c r="Q20" s="1837" t="str">
        <v xml:space="preserve">Final </v>
      </c>
      <c r="R20" s="1837" t="str">
        <v>Route Info</v>
      </c>
      <c r="S20" s="1837" t="str">
        <v>Detour</v>
      </c>
      <c r="T20" s="1837" t="str">
        <v>Road Block</v>
      </c>
      <c r="U20" s="1837" t="str">
        <v>Route Info</v>
      </c>
      <c r="V20" s="1837" t="str">
        <v>Route Info</v>
      </c>
      <c r="W20" s="1837" t="str">
        <v/>
      </c>
      <c r="X20" s="1837" t="str">
        <v/>
      </c>
      <c r="Y20" s="1837" t="str">
        <v/>
      </c>
      <c r="Z20" s="1837" t="str">
        <v/>
      </c>
      <c r="AA20" s="1837" t="str">
        <v/>
      </c>
      <c r="AB20" s="1837" t="str">
        <v/>
      </c>
      <c r="AC20" s="1837" t="str">
        <v/>
      </c>
      <c r="AD20" s="1837" t="str">
        <v/>
      </c>
      <c r="AE20" s="1837" t="str">
        <v>USA</v>
      </c>
      <c r="AF20" s="1837" t="str">
        <v>North America</v>
      </c>
      <c r="AG20" s="1837" t="str">
        <v>Final Leg</v>
      </c>
      <c r="AH20" s="1837" t="str">
        <v/>
      </c>
      <c r="AI20" s="1837" t="str">
        <v/>
      </c>
      <c r="AJ20" s="1110" t="str">
        <v>Rob &amp; Brennan</v>
      </c>
      <c r="AP20" s="20" t="s">
        <v>183</v>
      </c>
      <c r="AQ20" s="20" t="s">
        <v>1110</v>
      </c>
      <c r="AR20" s="20" t="s">
        <v>2863</v>
      </c>
      <c r="AS20" s="20" t="s">
        <v>1215</v>
      </c>
      <c r="AT20" s="20" t="s">
        <v>1213</v>
      </c>
      <c r="AU20" s="20" t="s">
        <v>2867</v>
      </c>
      <c r="AV20" s="20" t="s">
        <v>1564</v>
      </c>
    </row>
    <row r="21" spans="1:48">
      <c r="A21">
        <v>2</v>
      </c>
      <c r="B21">
        <v>7</v>
      </c>
      <c r="C21" s="3" t="s">
        <v>12</v>
      </c>
      <c r="D21" s="3" t="s">
        <v>12</v>
      </c>
      <c r="E21" s="19" t="s">
        <v>71</v>
      </c>
      <c r="F21" s="3" t="s">
        <v>12</v>
      </c>
      <c r="G21" s="4" t="s">
        <v>13</v>
      </c>
      <c r="H21" s="3" t="s">
        <v>12</v>
      </c>
      <c r="I21" s="5" t="s">
        <v>14</v>
      </c>
      <c r="J21" s="3" t="s">
        <v>12</v>
      </c>
      <c r="P21" s="1329">
        <v>2</v>
      </c>
      <c r="Q21" s="1837">
        <v>1</v>
      </c>
      <c r="R21" s="1837" t="str">
        <v>Route Info</v>
      </c>
      <c r="S21" s="1837" t="str">
        <v>Route Info</v>
      </c>
      <c r="T21" s="1837" t="str">
        <v>Fast Forward</v>
      </c>
      <c r="U21" s="1837" t="str">
        <v>Route Info</v>
      </c>
      <c r="V21" s="1837" t="str">
        <v>Detour</v>
      </c>
      <c r="W21" s="1837" t="str">
        <v>Route Info</v>
      </c>
      <c r="X21" s="1837" t="str">
        <v/>
      </c>
      <c r="Y21" s="1837" t="str">
        <v/>
      </c>
      <c r="Z21" s="1837" t="str">
        <v/>
      </c>
      <c r="AA21" s="1837" t="str">
        <v/>
      </c>
      <c r="AB21" s="1837" t="str">
        <v/>
      </c>
      <c r="AC21" s="1837" t="str">
        <v/>
      </c>
      <c r="AD21" s="1837" t="str">
        <v/>
      </c>
      <c r="AE21" s="1837" t="str">
        <v>Brazil</v>
      </c>
      <c r="AF21" s="1837" t="str">
        <v>South America</v>
      </c>
      <c r="AG21" s="1837" t="str">
        <v>Yes</v>
      </c>
      <c r="AH21" s="1837" t="str">
        <v/>
      </c>
      <c r="AI21" s="1837" t="str">
        <v/>
      </c>
      <c r="AJ21" s="1110" t="str">
        <v>Tara &amp; Wil</v>
      </c>
      <c r="AP21">
        <v>1</v>
      </c>
      <c r="AQ21">
        <v>1</v>
      </c>
      <c r="AR21" t="s">
        <v>12</v>
      </c>
      <c r="AS21" s="37" t="s">
        <v>99</v>
      </c>
      <c r="AT21" s="53" t="s">
        <v>1166</v>
      </c>
      <c r="AU21" t="s">
        <v>16</v>
      </c>
      <c r="AV21" t="s">
        <v>1565</v>
      </c>
    </row>
    <row r="22" spans="1:48">
      <c r="A22">
        <v>2</v>
      </c>
      <c r="B22">
        <v>8</v>
      </c>
      <c r="C22" s="19" t="s">
        <v>71</v>
      </c>
      <c r="D22" s="3" t="s">
        <v>12</v>
      </c>
      <c r="E22" s="3" t="s">
        <v>12</v>
      </c>
      <c r="F22" s="4" t="s">
        <v>13</v>
      </c>
      <c r="G22" s="3" t="s">
        <v>12</v>
      </c>
      <c r="H22" s="5" t="s">
        <v>14</v>
      </c>
      <c r="I22" s="3" t="s">
        <v>12</v>
      </c>
      <c r="P22" s="1329">
        <v>2</v>
      </c>
      <c r="Q22" s="1837">
        <v>2</v>
      </c>
      <c r="R22" s="1837" t="str">
        <v>Route Info</v>
      </c>
      <c r="S22" s="1837" t="str">
        <v>Fast Forward</v>
      </c>
      <c r="T22" s="1837" t="str">
        <v>Route Info</v>
      </c>
      <c r="U22" s="1837" t="str">
        <v>Detour</v>
      </c>
      <c r="V22" s="1837" t="str">
        <v>Route Info</v>
      </c>
      <c r="W22" s="1837" t="str">
        <v>Route Info</v>
      </c>
      <c r="X22" s="1837" t="str">
        <v>Road Block</v>
      </c>
      <c r="Y22" s="1837" t="str">
        <v>Route Info</v>
      </c>
      <c r="Z22" s="1837" t="str">
        <v/>
      </c>
      <c r="AA22" s="1837" t="str">
        <v/>
      </c>
      <c r="AB22" s="1837" t="str">
        <v/>
      </c>
      <c r="AC22" s="1837" t="str">
        <v/>
      </c>
      <c r="AD22" s="1837" t="str">
        <v/>
      </c>
      <c r="AE22" s="1837" t="str">
        <v>Brazil</v>
      </c>
      <c r="AF22" s="1837" t="str">
        <v>South America</v>
      </c>
      <c r="AG22" s="1837" t="str">
        <v>Yes</v>
      </c>
      <c r="AH22" s="1837" t="str">
        <v/>
      </c>
      <c r="AI22" s="1837" t="str">
        <v/>
      </c>
      <c r="AJ22" s="1110" t="str">
        <v>Shola &amp; Doyin</v>
      </c>
      <c r="AP22">
        <v>2</v>
      </c>
      <c r="AQ22">
        <v>2</v>
      </c>
      <c r="AR22" t="s">
        <v>14</v>
      </c>
      <c r="AS22" t="s">
        <v>292</v>
      </c>
      <c r="AT22" s="53" t="s">
        <v>1141</v>
      </c>
      <c r="AU22" t="s">
        <v>17</v>
      </c>
      <c r="AV22" t="s">
        <v>1971</v>
      </c>
    </row>
    <row r="23" spans="1:48">
      <c r="A23">
        <v>2</v>
      </c>
      <c r="B23">
        <v>9</v>
      </c>
      <c r="C23" s="19" t="s">
        <v>71</v>
      </c>
      <c r="D23" s="3" t="s">
        <v>12</v>
      </c>
      <c r="E23" s="3" t="s">
        <v>12</v>
      </c>
      <c r="F23" s="4" t="s">
        <v>13</v>
      </c>
      <c r="G23" s="3" t="s">
        <v>12</v>
      </c>
      <c r="H23" s="5" t="s">
        <v>14</v>
      </c>
      <c r="I23" s="3" t="s">
        <v>12</v>
      </c>
      <c r="P23" s="1329">
        <v>2</v>
      </c>
      <c r="Q23" s="1837">
        <v>3</v>
      </c>
      <c r="R23" s="1837" t="str">
        <v>Route Info</v>
      </c>
      <c r="S23" s="1837" t="str">
        <v>Fast Forward</v>
      </c>
      <c r="T23" s="1837" t="str">
        <v>Route Info</v>
      </c>
      <c r="U23" s="1837" t="str">
        <v>Detour</v>
      </c>
      <c r="V23" s="1837" t="str">
        <v>Route Info</v>
      </c>
      <c r="W23" s="1837" t="str">
        <v>Road Block</v>
      </c>
      <c r="X23" s="1837" t="str">
        <v/>
      </c>
      <c r="Y23" s="1837" t="str">
        <v/>
      </c>
      <c r="Z23" s="1837" t="str">
        <v/>
      </c>
      <c r="AA23" s="1837" t="str">
        <v/>
      </c>
      <c r="AB23" s="1837" t="str">
        <v/>
      </c>
      <c r="AC23" s="1837" t="str">
        <v/>
      </c>
      <c r="AD23" s="1837" t="str">
        <v/>
      </c>
      <c r="AE23" s="1837" t="str">
        <v>South Africa</v>
      </c>
      <c r="AF23" s="1837" t="str">
        <v>Southern Africa</v>
      </c>
      <c r="AG23" s="1837" t="str">
        <v>Yes</v>
      </c>
      <c r="AH23" s="1837" t="str">
        <v/>
      </c>
      <c r="AI23" s="1837" t="str">
        <v/>
      </c>
      <c r="AJ23" s="1110" t="str">
        <v>Oswald &amp; Danny</v>
      </c>
      <c r="AP23">
        <v>3</v>
      </c>
      <c r="AQ23">
        <v>3</v>
      </c>
      <c r="AR23" t="s">
        <v>13</v>
      </c>
      <c r="AS23" s="52" t="s">
        <v>310</v>
      </c>
      <c r="AT23" s="90" t="s">
        <v>1126</v>
      </c>
      <c r="AU23" t="s">
        <v>59</v>
      </c>
      <c r="AV23" t="s">
        <v>87</v>
      </c>
    </row>
    <row r="24" spans="1:48">
      <c r="A24">
        <v>2</v>
      </c>
      <c r="B24">
        <v>10</v>
      </c>
      <c r="C24" s="19" t="s">
        <v>71</v>
      </c>
      <c r="D24" s="3" t="s">
        <v>12</v>
      </c>
      <c r="E24" s="3" t="s">
        <v>12</v>
      </c>
      <c r="F24" s="4" t="s">
        <v>13</v>
      </c>
      <c r="G24" s="3" t="s">
        <v>12</v>
      </c>
      <c r="H24" s="5" t="s">
        <v>14</v>
      </c>
      <c r="P24" s="1329">
        <v>2</v>
      </c>
      <c r="Q24" s="1837">
        <v>4</v>
      </c>
      <c r="R24" s="1837" t="str">
        <v>Route Info</v>
      </c>
      <c r="S24" s="1837" t="str">
        <v>Route Info</v>
      </c>
      <c r="T24" s="1837" t="str">
        <v>Fast Forward</v>
      </c>
      <c r="U24" s="1837" t="str">
        <v>Route Info</v>
      </c>
      <c r="V24" s="1837" t="str">
        <v>Route Info</v>
      </c>
      <c r="W24" s="1837" t="str">
        <v>Detour</v>
      </c>
      <c r="X24" s="1837" t="str">
        <v>Route Info</v>
      </c>
      <c r="Y24" s="1837" t="str">
        <v>Route Info</v>
      </c>
      <c r="Z24" s="1837" t="str">
        <v>Road Block</v>
      </c>
      <c r="AA24" s="1837" t="str">
        <v>Route Info</v>
      </c>
      <c r="AB24" s="1837" t="str">
        <v/>
      </c>
      <c r="AC24" s="1837" t="str">
        <v/>
      </c>
      <c r="AD24" s="1837" t="str">
        <v/>
      </c>
      <c r="AE24" s="1837" t="str">
        <v>Namibia</v>
      </c>
      <c r="AF24" s="1837" t="str">
        <v>Southern Africa</v>
      </c>
      <c r="AG24" s="1837" t="str">
        <v>Yes</v>
      </c>
      <c r="AH24" s="1837" t="str">
        <v/>
      </c>
      <c r="AI24" s="1837" t="str">
        <v/>
      </c>
      <c r="AJ24" s="1110" t="str">
        <v>Oswald &amp; Danny</v>
      </c>
      <c r="AP24">
        <v>4</v>
      </c>
      <c r="AQ24">
        <v>4</v>
      </c>
      <c r="AR24" t="s">
        <v>71</v>
      </c>
      <c r="AS24" t="s">
        <v>315</v>
      </c>
      <c r="AT24" s="90" t="s">
        <v>1131</v>
      </c>
      <c r="AV24" t="s">
        <v>1566</v>
      </c>
    </row>
    <row r="25" spans="1:48">
      <c r="A25">
        <v>2</v>
      </c>
      <c r="B25">
        <v>11</v>
      </c>
      <c r="C25" s="3" t="s">
        <v>12</v>
      </c>
      <c r="D25" s="19" t="s">
        <v>71</v>
      </c>
      <c r="E25" s="3" t="s">
        <v>12</v>
      </c>
      <c r="F25" s="4" t="s">
        <v>13</v>
      </c>
      <c r="G25" s="3" t="s">
        <v>12</v>
      </c>
      <c r="H25" s="5" t="s">
        <v>14</v>
      </c>
      <c r="I25" s="3" t="s">
        <v>12</v>
      </c>
      <c r="P25" s="1329">
        <v>2</v>
      </c>
      <c r="Q25" s="1837">
        <v>5</v>
      </c>
      <c r="R25" s="1837" t="str">
        <v>Fast Forward</v>
      </c>
      <c r="S25" s="1837" t="str">
        <v>Route Info</v>
      </c>
      <c r="T25" s="1837" t="str">
        <v>Detour</v>
      </c>
      <c r="U25" s="1837" t="str">
        <v>Route Info</v>
      </c>
      <c r="V25" s="1837" t="str">
        <v>Road Block</v>
      </c>
      <c r="W25" s="1837" t="str">
        <v>Route Info</v>
      </c>
      <c r="X25" s="1837" t="str">
        <v/>
      </c>
      <c r="Y25" s="1837" t="str">
        <v/>
      </c>
      <c r="Z25" s="1837" t="str">
        <v/>
      </c>
      <c r="AA25" s="1837" t="str">
        <v/>
      </c>
      <c r="AB25" s="1837" t="str">
        <v/>
      </c>
      <c r="AC25" s="1837" t="str">
        <v/>
      </c>
      <c r="AD25" s="1837" t="str">
        <v/>
      </c>
      <c r="AE25" s="1837" t="str">
        <v>Thailand</v>
      </c>
      <c r="AF25" s="1837" t="str">
        <v>South East Asia</v>
      </c>
      <c r="AG25" s="1837" t="str">
        <v>Yes</v>
      </c>
      <c r="AH25" s="1837" t="str">
        <v/>
      </c>
      <c r="AI25" s="1837" t="str">
        <v/>
      </c>
      <c r="AJ25" s="1110" t="str">
        <v>Chris &amp; Alex</v>
      </c>
      <c r="AP25">
        <v>5</v>
      </c>
      <c r="AQ25">
        <v>5</v>
      </c>
      <c r="AR25" t="s">
        <v>49</v>
      </c>
      <c r="AS25" t="s">
        <v>316</v>
      </c>
      <c r="AT25" s="90" t="s">
        <v>1119</v>
      </c>
      <c r="AV25" t="s">
        <v>1567</v>
      </c>
    </row>
    <row r="26" spans="1:48">
      <c r="A26">
        <v>2</v>
      </c>
      <c r="B26">
        <v>12</v>
      </c>
      <c r="C26" s="3" t="s">
        <v>12</v>
      </c>
      <c r="D26" s="3" t="s">
        <v>12</v>
      </c>
      <c r="E26" s="3" t="s">
        <v>12</v>
      </c>
      <c r="F26" s="4" t="s">
        <v>13</v>
      </c>
      <c r="G26" s="3" t="s">
        <v>12</v>
      </c>
      <c r="H26" s="5" t="s">
        <v>14</v>
      </c>
      <c r="I26" s="3" t="s">
        <v>12</v>
      </c>
      <c r="P26" s="1329">
        <v>2</v>
      </c>
      <c r="Q26" s="1837">
        <v>6</v>
      </c>
      <c r="R26" s="1837" t="str">
        <v>Fast Forward</v>
      </c>
      <c r="S26" s="1837" t="str">
        <v>Route Info</v>
      </c>
      <c r="T26" s="1837" t="str">
        <v>Detour</v>
      </c>
      <c r="U26" s="1837" t="str">
        <v>Route Info</v>
      </c>
      <c r="V26" s="1837" t="str">
        <v>Road Block</v>
      </c>
      <c r="W26" s="1837" t="str">
        <v>Route Info</v>
      </c>
      <c r="X26" s="1837" t="str">
        <v/>
      </c>
      <c r="Y26" s="1837" t="str">
        <v/>
      </c>
      <c r="Z26" s="1837" t="str">
        <v/>
      </c>
      <c r="AA26" s="1837" t="str">
        <v/>
      </c>
      <c r="AB26" s="1837" t="str">
        <v/>
      </c>
      <c r="AC26" s="1837" t="str">
        <v/>
      </c>
      <c r="AD26" s="1837" t="str">
        <v/>
      </c>
      <c r="AE26" s="1837" t="str">
        <v>Thailand</v>
      </c>
      <c r="AF26" s="1837" t="str">
        <v>South East Asia</v>
      </c>
      <c r="AG26" s="1837" t="str">
        <v>No</v>
      </c>
      <c r="AH26" s="1837" t="str">
        <v/>
      </c>
      <c r="AI26" s="1837" t="str">
        <v/>
      </c>
      <c r="AJ26" s="1110" t="str">
        <v>Mary &amp; Peach</v>
      </c>
      <c r="AP26">
        <v>6</v>
      </c>
      <c r="AQ26">
        <v>6</v>
      </c>
      <c r="AR26" t="s">
        <v>231</v>
      </c>
      <c r="AS26" s="37" t="s">
        <v>289</v>
      </c>
      <c r="AT26" s="90" t="s">
        <v>1125</v>
      </c>
      <c r="AV26" t="s">
        <v>167</v>
      </c>
    </row>
    <row r="27" spans="1:48">
      <c r="A27">
        <v>2</v>
      </c>
      <c r="B27" t="s">
        <v>2862</v>
      </c>
      <c r="C27" s="3" t="s">
        <v>12</v>
      </c>
      <c r="D27" s="3" t="s">
        <v>12</v>
      </c>
      <c r="E27" s="3" t="s">
        <v>12</v>
      </c>
      <c r="F27" s="3" t="s">
        <v>12</v>
      </c>
      <c r="G27" s="3" t="s">
        <v>12</v>
      </c>
      <c r="H27" s="3" t="s">
        <v>12</v>
      </c>
      <c r="I27" s="5" t="s">
        <v>14</v>
      </c>
      <c r="J27" s="3" t="s">
        <v>12</v>
      </c>
      <c r="K27" s="3" t="s">
        <v>12</v>
      </c>
      <c r="P27" s="1329">
        <v>2</v>
      </c>
      <c r="Q27" s="1837">
        <v>7</v>
      </c>
      <c r="R27" s="1837" t="str">
        <v>Route Info</v>
      </c>
      <c r="S27" s="1837" t="str">
        <v>Route Info</v>
      </c>
      <c r="T27" s="1837" t="str">
        <v>Fast Forward</v>
      </c>
      <c r="U27" s="1837" t="str">
        <v>Route Info</v>
      </c>
      <c r="V27" s="1837" t="str">
        <v>Detour</v>
      </c>
      <c r="W27" s="1837" t="str">
        <v>Route Info</v>
      </c>
      <c r="X27" s="1837" t="str">
        <v>Road Block</v>
      </c>
      <c r="Y27" s="1837" t="str">
        <v>Route Info</v>
      </c>
      <c r="Z27" s="1837" t="str">
        <v/>
      </c>
      <c r="AA27" s="1837" t="str">
        <v/>
      </c>
      <c r="AB27" s="1837" t="str">
        <v/>
      </c>
      <c r="AC27" s="1837" t="str">
        <v/>
      </c>
      <c r="AD27" s="1837" t="str">
        <v/>
      </c>
      <c r="AE27" s="1837" t="str">
        <v>China</v>
      </c>
      <c r="AF27" s="1837" t="str">
        <v>East Asia</v>
      </c>
      <c r="AG27" s="1837" t="str">
        <v>Yes</v>
      </c>
      <c r="AH27" s="1837" t="str">
        <v/>
      </c>
      <c r="AI27" s="1837" t="str">
        <v/>
      </c>
      <c r="AJ27" s="1110" t="str">
        <v>Gary &amp; Dave</v>
      </c>
      <c r="AP27">
        <v>7</v>
      </c>
      <c r="AQ27">
        <v>7</v>
      </c>
      <c r="AR27" t="s">
        <v>87</v>
      </c>
      <c r="AS27" t="s">
        <v>313</v>
      </c>
      <c r="AT27" s="53" t="s">
        <v>1132</v>
      </c>
      <c r="AV27" t="s">
        <v>1526</v>
      </c>
    </row>
    <row r="28" spans="1:48">
      <c r="A28">
        <v>3</v>
      </c>
      <c r="B28">
        <v>1</v>
      </c>
      <c r="C28" s="3" t="s">
        <v>12</v>
      </c>
      <c r="D28" s="3" t="s">
        <v>12</v>
      </c>
      <c r="E28" s="19" t="s">
        <v>71</v>
      </c>
      <c r="F28" s="3" t="s">
        <v>12</v>
      </c>
      <c r="G28" s="4" t="s">
        <v>13</v>
      </c>
      <c r="H28" s="3" t="s">
        <v>12</v>
      </c>
      <c r="P28" s="1329">
        <v>2</v>
      </c>
      <c r="Q28" s="1837">
        <v>8</v>
      </c>
      <c r="R28" s="1837" t="str">
        <v>Fast Forward</v>
      </c>
      <c r="S28" s="1837" t="str">
        <v>Route Info</v>
      </c>
      <c r="T28" s="1837" t="str">
        <v>Route Info</v>
      </c>
      <c r="U28" s="1837" t="str">
        <v>Detour</v>
      </c>
      <c r="V28" s="1837" t="str">
        <v>Route Info</v>
      </c>
      <c r="W28" s="1837" t="str">
        <v>Road Block</v>
      </c>
      <c r="X28" s="1837" t="str">
        <v>Route Info</v>
      </c>
      <c r="Y28" s="1837" t="str">
        <v/>
      </c>
      <c r="Z28" s="1837" t="str">
        <v/>
      </c>
      <c r="AA28" s="1837" t="str">
        <v/>
      </c>
      <c r="AB28" s="1837" t="str">
        <v/>
      </c>
      <c r="AC28" s="1837" t="str">
        <v/>
      </c>
      <c r="AD28" s="1837" t="str">
        <v/>
      </c>
      <c r="AE28" s="1837" t="str">
        <v>Australia</v>
      </c>
      <c r="AF28" s="1837" t="str">
        <v>Oceania</v>
      </c>
      <c r="AG28" s="1837" t="str">
        <v>No</v>
      </c>
      <c r="AH28" s="1837" t="str">
        <v/>
      </c>
      <c r="AI28" s="1837" t="str">
        <v/>
      </c>
      <c r="AJ28" s="1110" t="str">
        <v>Oswald &amp; Danny</v>
      </c>
      <c r="AP28">
        <v>8</v>
      </c>
      <c r="AQ28">
        <v>8</v>
      </c>
      <c r="AR28" t="s">
        <v>56</v>
      </c>
      <c r="AS28" s="37" t="s">
        <v>1235</v>
      </c>
      <c r="AT28" s="90" t="s">
        <v>1120</v>
      </c>
      <c r="AV28" t="s">
        <v>1568</v>
      </c>
    </row>
    <row r="29" spans="1:48">
      <c r="A29">
        <v>3</v>
      </c>
      <c r="B29">
        <v>2</v>
      </c>
      <c r="C29" s="19" t="s">
        <v>71</v>
      </c>
      <c r="D29" s="3" t="s">
        <v>12</v>
      </c>
      <c r="E29" s="3" t="s">
        <v>12</v>
      </c>
      <c r="F29" s="4" t="s">
        <v>13</v>
      </c>
      <c r="G29" s="3" t="s">
        <v>12</v>
      </c>
      <c r="H29" s="5" t="s">
        <v>14</v>
      </c>
      <c r="I29" s="3" t="s">
        <v>12</v>
      </c>
      <c r="P29" s="1329">
        <v>2</v>
      </c>
      <c r="Q29" s="1837">
        <v>9</v>
      </c>
      <c r="R29" s="1837" t="str">
        <v>Fast Forward</v>
      </c>
      <c r="S29" s="1837" t="str">
        <v>Route Info</v>
      </c>
      <c r="T29" s="1837" t="str">
        <v>Route Info</v>
      </c>
      <c r="U29" s="1837" t="str">
        <v>Detour</v>
      </c>
      <c r="V29" s="1837" t="str">
        <v>Route Info</v>
      </c>
      <c r="W29" s="1837" t="str">
        <v>Road Block</v>
      </c>
      <c r="X29" s="1837" t="str">
        <v>Route Info</v>
      </c>
      <c r="Y29" s="1837" t="str">
        <v/>
      </c>
      <c r="Z29" s="1837" t="str">
        <v/>
      </c>
      <c r="AA29" s="1837" t="str">
        <v/>
      </c>
      <c r="AB29" s="1837" t="str">
        <v/>
      </c>
      <c r="AC29" s="1837" t="str">
        <v/>
      </c>
      <c r="AD29" s="1837" t="str">
        <v/>
      </c>
      <c r="AE29" s="1837" t="str">
        <v>Australia</v>
      </c>
      <c r="AF29" s="1837" t="str">
        <v>Oceania</v>
      </c>
      <c r="AG29" s="1837" t="str">
        <v>Yes</v>
      </c>
      <c r="AH29" s="1837" t="str">
        <v/>
      </c>
      <c r="AI29" s="1837" t="str">
        <v/>
      </c>
      <c r="AJ29" s="1110" t="str">
        <v>Chris &amp; Alex</v>
      </c>
      <c r="AP29">
        <v>9</v>
      </c>
      <c r="AQ29">
        <v>9</v>
      </c>
      <c r="AR29" t="s">
        <v>1966</v>
      </c>
      <c r="AS29" t="s">
        <v>287</v>
      </c>
      <c r="AT29" s="90" t="s">
        <v>1117</v>
      </c>
      <c r="AV29" t="s">
        <v>77</v>
      </c>
    </row>
    <row r="30" spans="1:48">
      <c r="A30">
        <v>3</v>
      </c>
      <c r="B30">
        <v>3</v>
      </c>
      <c r="C30" s="19" t="s">
        <v>71</v>
      </c>
      <c r="D30" s="3" t="s">
        <v>12</v>
      </c>
      <c r="E30" s="4" t="s">
        <v>13</v>
      </c>
      <c r="F30" s="3" t="s">
        <v>12</v>
      </c>
      <c r="G30" s="5" t="s">
        <v>14</v>
      </c>
      <c r="H30" s="3" t="s">
        <v>12</v>
      </c>
      <c r="P30" s="1329">
        <v>2</v>
      </c>
      <c r="Q30" s="1837">
        <v>10</v>
      </c>
      <c r="R30" s="1837" t="str">
        <v>Fast Forward</v>
      </c>
      <c r="S30" s="1837" t="str">
        <v>Route Info</v>
      </c>
      <c r="T30" s="1837" t="str">
        <v>Route Info</v>
      </c>
      <c r="U30" s="1837" t="str">
        <v>Detour</v>
      </c>
      <c r="V30" s="1837" t="str">
        <v>Route Info</v>
      </c>
      <c r="W30" s="1837" t="str">
        <v>Road Block</v>
      </c>
      <c r="X30" s="1837" t="str">
        <v/>
      </c>
      <c r="Y30" s="1837" t="str">
        <v/>
      </c>
      <c r="Z30" s="1837" t="str">
        <v/>
      </c>
      <c r="AA30" s="1837" t="str">
        <v/>
      </c>
      <c r="AB30" s="1837" t="str">
        <v/>
      </c>
      <c r="AC30" s="1837" t="str">
        <v/>
      </c>
      <c r="AD30" s="1837" t="str">
        <v/>
      </c>
      <c r="AE30" s="1837" t="str">
        <v>New Zealand</v>
      </c>
      <c r="AF30" s="1837" t="str">
        <v>Oceania</v>
      </c>
      <c r="AG30" s="1837" t="str">
        <v>No</v>
      </c>
      <c r="AH30" s="1837" t="str">
        <v/>
      </c>
      <c r="AI30" s="1837" t="str">
        <v/>
      </c>
      <c r="AJ30" s="1110" t="str">
        <v>Blake &amp; Paige</v>
      </c>
      <c r="AP30">
        <v>10</v>
      </c>
      <c r="AQ30">
        <v>10</v>
      </c>
      <c r="AS30" s="37" t="s">
        <v>1156</v>
      </c>
      <c r="AT30" s="90" t="s">
        <v>1134</v>
      </c>
      <c r="AV30" t="s">
        <v>42</v>
      </c>
    </row>
    <row r="31" spans="1:48">
      <c r="A31">
        <v>3</v>
      </c>
      <c r="B31">
        <v>4</v>
      </c>
      <c r="C31" s="19" t="s">
        <v>71</v>
      </c>
      <c r="D31" s="3" t="s">
        <v>12</v>
      </c>
      <c r="E31" s="3" t="s">
        <v>12</v>
      </c>
      <c r="F31" s="4" t="s">
        <v>13</v>
      </c>
      <c r="G31" s="3" t="s">
        <v>12</v>
      </c>
      <c r="H31" s="5" t="s">
        <v>14</v>
      </c>
      <c r="I31" s="3" t="s">
        <v>12</v>
      </c>
      <c r="P31" s="1329">
        <v>2</v>
      </c>
      <c r="Q31" s="1837">
        <v>11</v>
      </c>
      <c r="R31" s="1837" t="str">
        <v>Route Info</v>
      </c>
      <c r="S31" s="1837" t="str">
        <v>Fast Forward</v>
      </c>
      <c r="T31" s="1837" t="str">
        <v>Route Info</v>
      </c>
      <c r="U31" s="1837" t="str">
        <v>Detour</v>
      </c>
      <c r="V31" s="1837" t="str">
        <v>Route Info</v>
      </c>
      <c r="W31" s="1837" t="str">
        <v>Road Block</v>
      </c>
      <c r="X31" s="1837" t="str">
        <v>Route Info</v>
      </c>
      <c r="Y31" s="1837" t="str">
        <v/>
      </c>
      <c r="Z31" s="1837" t="str">
        <v/>
      </c>
      <c r="AA31" s="1837" t="str">
        <v/>
      </c>
      <c r="AB31" s="1837" t="str">
        <v/>
      </c>
      <c r="AC31" s="1837" t="str">
        <v/>
      </c>
      <c r="AD31" s="1837" t="str">
        <v/>
      </c>
      <c r="AE31" s="1837" t="str">
        <v>New Zealand</v>
      </c>
      <c r="AF31" s="1837" t="str">
        <v>Oceania</v>
      </c>
      <c r="AG31" s="1837" t="str">
        <v>Yes</v>
      </c>
      <c r="AH31" s="1837" t="str">
        <v/>
      </c>
      <c r="AI31" s="1837" t="str">
        <v/>
      </c>
      <c r="AJ31" s="1110" t="str">
        <v>Tara &amp; Wil</v>
      </c>
      <c r="AP31">
        <v>11</v>
      </c>
      <c r="AQ31">
        <v>11</v>
      </c>
      <c r="AS31" t="s">
        <v>312</v>
      </c>
      <c r="AT31" s="53" t="s">
        <v>1123</v>
      </c>
    </row>
    <row r="32" spans="1:48">
      <c r="A32">
        <v>3</v>
      </c>
      <c r="B32">
        <v>5</v>
      </c>
      <c r="C32" s="19" t="s">
        <v>71</v>
      </c>
      <c r="D32" s="3" t="s">
        <v>12</v>
      </c>
      <c r="E32" s="4" t="s">
        <v>13</v>
      </c>
      <c r="F32" s="3" t="s">
        <v>12</v>
      </c>
      <c r="G32" s="3" t="s">
        <v>12</v>
      </c>
      <c r="H32" s="5" t="s">
        <v>14</v>
      </c>
      <c r="I32" s="3" t="s">
        <v>12</v>
      </c>
      <c r="P32" s="1329">
        <v>2</v>
      </c>
      <c r="Q32" s="1837">
        <v>12</v>
      </c>
      <c r="R32" s="1837" t="str">
        <v>Route Info</v>
      </c>
      <c r="S32" s="1837" t="str">
        <v>Route Info</v>
      </c>
      <c r="T32" s="1837" t="str">
        <v>Route Info</v>
      </c>
      <c r="U32" s="1837" t="str">
        <v>Detour</v>
      </c>
      <c r="V32" s="1837" t="str">
        <v>Route Info</v>
      </c>
      <c r="W32" s="1837" t="str">
        <v>Road Block</v>
      </c>
      <c r="X32" s="1837" t="str">
        <v>Route Info</v>
      </c>
      <c r="Y32" s="1837" t="str">
        <v/>
      </c>
      <c r="Z32" s="1837" t="str">
        <v/>
      </c>
      <c r="AA32" s="1837" t="str">
        <v/>
      </c>
      <c r="AB32" s="1837" t="str">
        <v/>
      </c>
      <c r="AC32" s="1837" t="str">
        <v/>
      </c>
      <c r="AD32" s="1837" t="str">
        <v/>
      </c>
      <c r="AE32" s="1837" t="str">
        <v>USA</v>
      </c>
      <c r="AF32" s="1837" t="str">
        <v>North America</v>
      </c>
      <c r="AG32" s="1837" t="str">
        <v>No</v>
      </c>
      <c r="AH32" s="1837" t="str">
        <v/>
      </c>
      <c r="AI32" s="1837" t="str">
        <v/>
      </c>
      <c r="AJ32" s="1110" t="str">
        <v>Tara &amp; Wil\nBlake &amp; Paige</v>
      </c>
      <c r="AP32">
        <v>12</v>
      </c>
      <c r="AQ32">
        <v>12</v>
      </c>
      <c r="AS32" s="37" t="s">
        <v>275</v>
      </c>
      <c r="AT32" s="53" t="s">
        <v>1121</v>
      </c>
    </row>
    <row r="33" spans="1:46">
      <c r="A33">
        <v>3</v>
      </c>
      <c r="B33">
        <v>6</v>
      </c>
      <c r="C33" s="3" t="s">
        <v>12</v>
      </c>
      <c r="D33" s="19" t="s">
        <v>71</v>
      </c>
      <c r="E33" s="3" t="s">
        <v>12</v>
      </c>
      <c r="F33" s="4" t="s">
        <v>13</v>
      </c>
      <c r="G33" s="3" t="s">
        <v>12</v>
      </c>
      <c r="H33" s="5" t="s">
        <v>14</v>
      </c>
      <c r="I33" s="3" t="s">
        <v>12</v>
      </c>
      <c r="P33" s="1329">
        <v>2</v>
      </c>
      <c r="Q33" s="1837" t="str">
        <v xml:space="preserve">Final </v>
      </c>
      <c r="R33" s="1837" t="str">
        <v>Route Info</v>
      </c>
      <c r="S33" s="1837" t="str">
        <v>Route Info</v>
      </c>
      <c r="T33" s="1837" t="str">
        <v>Route Info</v>
      </c>
      <c r="U33" s="1837" t="str">
        <v>Route Info</v>
      </c>
      <c r="V33" s="1837" t="str">
        <v>Route Info</v>
      </c>
      <c r="W33" s="1837" t="str">
        <v>Route Info</v>
      </c>
      <c r="X33" s="1837" t="str">
        <v>Road Block</v>
      </c>
      <c r="Y33" s="1837" t="str">
        <v>Route Info</v>
      </c>
      <c r="Z33" s="1837" t="str">
        <v>Route Info</v>
      </c>
      <c r="AA33" s="1837" t="str">
        <v/>
      </c>
      <c r="AB33" s="1837" t="str">
        <v/>
      </c>
      <c r="AC33" s="1837" t="str">
        <v/>
      </c>
      <c r="AD33" s="1837" t="str">
        <v/>
      </c>
      <c r="AE33" s="1837" t="str">
        <v>USA</v>
      </c>
      <c r="AF33" s="1837" t="str">
        <v>North America</v>
      </c>
      <c r="AG33" s="1837" t="str">
        <v>Final Leg</v>
      </c>
      <c r="AH33" s="1837" t="str">
        <v/>
      </c>
      <c r="AI33" s="1837" t="str">
        <v/>
      </c>
      <c r="AJ33" s="1110" t="str">
        <v>Chris &amp; Alex</v>
      </c>
      <c r="AP33">
        <v>13</v>
      </c>
      <c r="AQ33" t="s">
        <v>2810</v>
      </c>
      <c r="AS33" t="s">
        <v>1976</v>
      </c>
      <c r="AT33" s="90" t="s">
        <v>1118</v>
      </c>
    </row>
    <row r="34" spans="1:46">
      <c r="A34">
        <v>3</v>
      </c>
      <c r="B34">
        <v>7</v>
      </c>
      <c r="C34" s="3" t="s">
        <v>12</v>
      </c>
      <c r="D34" s="19" t="s">
        <v>71</v>
      </c>
      <c r="E34" s="3" t="s">
        <v>12</v>
      </c>
      <c r="F34" s="4" t="s">
        <v>13</v>
      </c>
      <c r="G34" s="3" t="s">
        <v>12</v>
      </c>
      <c r="H34" s="5" t="s">
        <v>14</v>
      </c>
      <c r="I34" s="3" t="s">
        <v>12</v>
      </c>
      <c r="P34" s="1329">
        <v>3</v>
      </c>
      <c r="Q34" s="1837">
        <v>1</v>
      </c>
      <c r="R34" s="1837" t="str">
        <v>Route Info</v>
      </c>
      <c r="S34" s="1837" t="str">
        <v>Route Info</v>
      </c>
      <c r="T34" s="1837" t="str">
        <v>Fast Forward</v>
      </c>
      <c r="U34" s="1837" t="str">
        <v>Route Info</v>
      </c>
      <c r="V34" s="1837" t="str">
        <v>Detour</v>
      </c>
      <c r="W34" s="1837" t="str">
        <v>Route Info</v>
      </c>
      <c r="X34" s="1837" t="str">
        <v/>
      </c>
      <c r="Y34" s="1837" t="str">
        <v/>
      </c>
      <c r="Z34" s="1837" t="str">
        <v/>
      </c>
      <c r="AA34" s="1837" t="str">
        <v/>
      </c>
      <c r="AB34" s="1837" t="str">
        <v/>
      </c>
      <c r="AC34" s="1837" t="str">
        <v/>
      </c>
      <c r="AD34" s="1837" t="str">
        <v/>
      </c>
      <c r="AE34" s="1837" t="str">
        <v>Mexico</v>
      </c>
      <c r="AF34" s="1837" t="str">
        <v>North America</v>
      </c>
      <c r="AG34" s="1837" t="str">
        <v>Yes</v>
      </c>
      <c r="AH34" s="1837" t="str">
        <v/>
      </c>
      <c r="AI34" s="1837" t="str">
        <v/>
      </c>
      <c r="AJ34" s="1110" t="str">
        <v>Ken &amp; Gerard</v>
      </c>
      <c r="AP34">
        <v>14</v>
      </c>
      <c r="AS34" s="52" t="s">
        <v>1152</v>
      </c>
      <c r="AT34" s="90" t="s">
        <v>1973</v>
      </c>
    </row>
    <row r="35" spans="1:46">
      <c r="A35">
        <v>3</v>
      </c>
      <c r="B35">
        <v>8</v>
      </c>
      <c r="C35" s="3" t="s">
        <v>12</v>
      </c>
      <c r="D35" s="19" t="s">
        <v>71</v>
      </c>
      <c r="E35" s="3" t="s">
        <v>12</v>
      </c>
      <c r="F35" s="3" t="s">
        <v>12</v>
      </c>
      <c r="G35" s="4" t="s">
        <v>13</v>
      </c>
      <c r="H35" s="3" t="s">
        <v>12</v>
      </c>
      <c r="I35" s="5" t="s">
        <v>14</v>
      </c>
      <c r="J35" s="3" t="s">
        <v>12</v>
      </c>
      <c r="P35" s="1329">
        <v>3</v>
      </c>
      <c r="Q35" s="1837">
        <v>2</v>
      </c>
      <c r="R35" s="1837" t="str">
        <v>Fast Forward</v>
      </c>
      <c r="S35" s="1837" t="str">
        <v>Route Info</v>
      </c>
      <c r="T35" s="1837" t="str">
        <v>Route Info</v>
      </c>
      <c r="U35" s="1837" t="str">
        <v>Detour</v>
      </c>
      <c r="V35" s="1837" t="str">
        <v>Route Info</v>
      </c>
      <c r="W35" s="1837" t="str">
        <v>Road Block</v>
      </c>
      <c r="X35" s="1837" t="str">
        <v>Route Info</v>
      </c>
      <c r="Y35" s="1837" t="str">
        <v/>
      </c>
      <c r="Z35" s="1837" t="str">
        <v/>
      </c>
      <c r="AA35" s="1837" t="str">
        <v/>
      </c>
      <c r="AB35" s="1837" t="str">
        <v/>
      </c>
      <c r="AC35" s="1837" t="str">
        <v/>
      </c>
      <c r="AD35" s="1837" t="str">
        <v/>
      </c>
      <c r="AE35" s="1837" t="str">
        <v>Mexico</v>
      </c>
      <c r="AF35" s="1837" t="str">
        <v>North America</v>
      </c>
      <c r="AG35" s="1837" t="str">
        <v>Yes</v>
      </c>
      <c r="AH35" s="1837" t="str">
        <v/>
      </c>
      <c r="AI35" s="1837" t="str">
        <v/>
      </c>
      <c r="AJ35" s="1110" t="str">
        <v>Derek &amp; Drew</v>
      </c>
      <c r="AP35">
        <v>15</v>
      </c>
      <c r="AS35" t="s">
        <v>280</v>
      </c>
      <c r="AT35" s="90" t="s">
        <v>1114</v>
      </c>
    </row>
    <row r="36" spans="1:46">
      <c r="A36">
        <v>3</v>
      </c>
      <c r="B36">
        <v>9</v>
      </c>
      <c r="C36" s="3" t="s">
        <v>12</v>
      </c>
      <c r="D36" s="19" t="s">
        <v>71</v>
      </c>
      <c r="E36" s="3" t="s">
        <v>12</v>
      </c>
      <c r="F36" s="4" t="s">
        <v>13</v>
      </c>
      <c r="G36" s="3" t="s">
        <v>12</v>
      </c>
      <c r="H36" s="5" t="s">
        <v>14</v>
      </c>
      <c r="I36" s="3" t="s">
        <v>12</v>
      </c>
      <c r="P36" s="1329">
        <v>3</v>
      </c>
      <c r="Q36" s="1837">
        <v>3</v>
      </c>
      <c r="R36" s="1837" t="str">
        <v>Fast Forward</v>
      </c>
      <c r="S36" s="1837" t="str">
        <v>Route Info</v>
      </c>
      <c r="T36" s="1837" t="str">
        <v>Detour</v>
      </c>
      <c r="U36" s="1837" t="str">
        <v>Route Info</v>
      </c>
      <c r="V36" s="1837" t="str">
        <v>Road Block</v>
      </c>
      <c r="W36" s="1837" t="str">
        <v>Route Info</v>
      </c>
      <c r="X36" s="1837" t="str">
        <v/>
      </c>
      <c r="Y36" s="1837" t="str">
        <v/>
      </c>
      <c r="Z36" s="1837" t="str">
        <v/>
      </c>
      <c r="AA36" s="1837" t="str">
        <v/>
      </c>
      <c r="AB36" s="1837" t="str">
        <v/>
      </c>
      <c r="AC36" s="1837" t="str">
        <v/>
      </c>
      <c r="AD36" s="1837" t="str">
        <v/>
      </c>
      <c r="AE36" s="1837" t="str">
        <v>England\nScotland</v>
      </c>
      <c r="AF36" s="1837" t="str">
        <v>Western Europe\nWestern Europe</v>
      </c>
      <c r="AG36" s="1837" t="str">
        <v>Yes</v>
      </c>
      <c r="AH36" s="1837" t="str">
        <v/>
      </c>
      <c r="AI36" s="1837" t="str">
        <v/>
      </c>
      <c r="AJ36" s="1110" t="str">
        <v>Derek &amp; Drew</v>
      </c>
      <c r="AP36">
        <v>16</v>
      </c>
      <c r="AS36" s="37" t="s">
        <v>311</v>
      </c>
      <c r="AT36" s="90" t="s">
        <v>1143</v>
      </c>
    </row>
    <row r="37" spans="1:46">
      <c r="A37">
        <v>3</v>
      </c>
      <c r="B37">
        <v>10</v>
      </c>
      <c r="C37" s="3" t="s">
        <v>12</v>
      </c>
      <c r="D37" s="3" t="s">
        <v>12</v>
      </c>
      <c r="E37" s="3" t="s">
        <v>12</v>
      </c>
      <c r="F37" s="3" t="s">
        <v>12</v>
      </c>
      <c r="G37" s="4" t="s">
        <v>13</v>
      </c>
      <c r="H37" s="19" t="s">
        <v>71</v>
      </c>
      <c r="I37" s="3" t="s">
        <v>12</v>
      </c>
      <c r="J37" s="5" t="s">
        <v>14</v>
      </c>
      <c r="K37" s="3" t="s">
        <v>12</v>
      </c>
      <c r="P37" s="1329">
        <v>3</v>
      </c>
      <c r="Q37" s="1837">
        <v>4</v>
      </c>
      <c r="R37" s="1837" t="str">
        <v>Fast Forward</v>
      </c>
      <c r="S37" s="1837" t="str">
        <v>Route Info</v>
      </c>
      <c r="T37" s="1837" t="str">
        <v>Route Info</v>
      </c>
      <c r="U37" s="1837" t="str">
        <v>Detour</v>
      </c>
      <c r="V37" s="1837" t="str">
        <v>Route Info</v>
      </c>
      <c r="W37" s="1837" t="str">
        <v>Road Block</v>
      </c>
      <c r="X37" s="1837" t="str">
        <v>Route Info</v>
      </c>
      <c r="Y37" s="1837" t="str">
        <v/>
      </c>
      <c r="Z37" s="1837" t="str">
        <v/>
      </c>
      <c r="AA37" s="1837" t="str">
        <v/>
      </c>
      <c r="AB37" s="1837" t="str">
        <v/>
      </c>
      <c r="AC37" s="1837" t="str">
        <v/>
      </c>
      <c r="AD37" s="1837" t="str">
        <v/>
      </c>
      <c r="AE37" s="1837" t="str">
        <v>Portugal</v>
      </c>
      <c r="AF37" s="1837" t="str">
        <v>Western Europe</v>
      </c>
      <c r="AG37" s="1837" t="str">
        <v>Yes</v>
      </c>
      <c r="AH37" s="1837" t="str">
        <v/>
      </c>
      <c r="AI37" s="1837" t="str">
        <v/>
      </c>
      <c r="AJ37" s="1110" t="str">
        <v>Ken &amp; Gerard</v>
      </c>
      <c r="AP37">
        <v>17</v>
      </c>
      <c r="AS37" s="37" t="s">
        <v>305</v>
      </c>
      <c r="AT37" s="90" t="s">
        <v>1153</v>
      </c>
    </row>
    <row r="38" spans="1:46">
      <c r="A38">
        <v>3</v>
      </c>
      <c r="B38">
        <v>11</v>
      </c>
      <c r="C38" s="3" t="s">
        <v>12</v>
      </c>
      <c r="D38" s="19" t="s">
        <v>71</v>
      </c>
      <c r="E38" s="3" t="s">
        <v>12</v>
      </c>
      <c r="F38" s="4" t="s">
        <v>13</v>
      </c>
      <c r="G38" s="3" t="s">
        <v>12</v>
      </c>
      <c r="H38" s="5" t="s">
        <v>14</v>
      </c>
      <c r="P38" s="1329">
        <v>3</v>
      </c>
      <c r="Q38" s="1837">
        <v>5</v>
      </c>
      <c r="R38" s="1837" t="str">
        <v>Fast Forward</v>
      </c>
      <c r="S38" s="1837" t="str">
        <v>Route Info</v>
      </c>
      <c r="T38" s="1837" t="str">
        <v>Detour</v>
      </c>
      <c r="U38" s="1837" t="str">
        <v>Route Info</v>
      </c>
      <c r="V38" s="1837" t="str">
        <v>Route Info</v>
      </c>
      <c r="W38" s="1837" t="str">
        <v>Road Block</v>
      </c>
      <c r="X38" s="1837" t="str">
        <v>Route Info</v>
      </c>
      <c r="Y38" s="1837" t="str">
        <v/>
      </c>
      <c r="Z38" s="1837" t="str">
        <v/>
      </c>
      <c r="AA38" s="1837" t="str">
        <v/>
      </c>
      <c r="AB38" s="1837" t="str">
        <v/>
      </c>
      <c r="AC38" s="1837" t="str">
        <v/>
      </c>
      <c r="AD38" s="1837" t="str">
        <v/>
      </c>
      <c r="AE38" s="1837" t="str">
        <v>Morocco</v>
      </c>
      <c r="AF38" s="1837" t="str">
        <v>Northern Africa</v>
      </c>
      <c r="AG38" s="1837" t="str">
        <v>Yes</v>
      </c>
      <c r="AH38" s="1837" t="str">
        <v/>
      </c>
      <c r="AI38" s="1837" t="str">
        <v/>
      </c>
      <c r="AJ38" s="1110" t="str">
        <v>Ken &amp; Gerard</v>
      </c>
      <c r="AP38">
        <v>18</v>
      </c>
      <c r="AS38" t="s">
        <v>295</v>
      </c>
      <c r="AT38" s="90" t="s">
        <v>1170</v>
      </c>
    </row>
    <row r="39" spans="1:46">
      <c r="A39">
        <v>3</v>
      </c>
      <c r="B39">
        <v>12</v>
      </c>
      <c r="C39" s="3" t="s">
        <v>12</v>
      </c>
      <c r="D39" s="3" t="s">
        <v>12</v>
      </c>
      <c r="E39" s="4" t="s">
        <v>13</v>
      </c>
      <c r="F39" s="3" t="s">
        <v>12</v>
      </c>
      <c r="G39" s="5" t="s">
        <v>14</v>
      </c>
      <c r="H39" s="3" t="s">
        <v>12</v>
      </c>
      <c r="P39" s="1329">
        <v>3</v>
      </c>
      <c r="Q39" s="1837">
        <v>6</v>
      </c>
      <c r="R39" s="1837" t="str">
        <v>Route Info</v>
      </c>
      <c r="S39" s="1837" t="str">
        <v>Fast Forward</v>
      </c>
      <c r="T39" s="1837" t="str">
        <v>Route Info</v>
      </c>
      <c r="U39" s="1837" t="str">
        <v>Detour</v>
      </c>
      <c r="V39" s="1837" t="str">
        <v>Route Info</v>
      </c>
      <c r="W39" s="1837" t="str">
        <v>Road Block</v>
      </c>
      <c r="X39" s="1837" t="str">
        <v>Route Info</v>
      </c>
      <c r="Y39" s="1837" t="str">
        <v/>
      </c>
      <c r="Z39" s="1837" t="str">
        <v/>
      </c>
      <c r="AA39" s="1837" t="str">
        <v/>
      </c>
      <c r="AB39" s="1837" t="str">
        <v/>
      </c>
      <c r="AC39" s="1837" t="str">
        <v/>
      </c>
      <c r="AD39" s="1837" t="str">
        <v/>
      </c>
      <c r="AE39" s="1837" t="str">
        <v>Morocco</v>
      </c>
      <c r="AF39" s="1837" t="str">
        <v>Northern Africa</v>
      </c>
      <c r="AG39" s="1837" t="str">
        <v>Yes</v>
      </c>
      <c r="AH39" s="1837" t="str">
        <v/>
      </c>
      <c r="AI39" s="1837" t="str">
        <v/>
      </c>
      <c r="AJ39" s="1110" t="str">
        <v>Teri &amp; Ian</v>
      </c>
      <c r="AP39">
        <v>19</v>
      </c>
      <c r="AS39" s="37" t="s">
        <v>273</v>
      </c>
      <c r="AT39" s="90" t="s">
        <v>1115</v>
      </c>
    </row>
    <row r="40" spans="1:46">
      <c r="A40">
        <v>3</v>
      </c>
      <c r="B40" t="s">
        <v>2810</v>
      </c>
      <c r="C40" s="3" t="s">
        <v>12</v>
      </c>
      <c r="D40" s="3" t="s">
        <v>12</v>
      </c>
      <c r="E40" s="3" t="s">
        <v>12</v>
      </c>
      <c r="F40" s="4" t="s">
        <v>13</v>
      </c>
      <c r="G40" s="3" t="s">
        <v>12</v>
      </c>
      <c r="H40" s="3" t="s">
        <v>12</v>
      </c>
      <c r="I40" s="3" t="s">
        <v>12</v>
      </c>
      <c r="J40" s="5" t="s">
        <v>14</v>
      </c>
      <c r="K40" s="3" t="s">
        <v>12</v>
      </c>
      <c r="P40" s="1329">
        <v>3</v>
      </c>
      <c r="Q40" s="1837">
        <v>7</v>
      </c>
      <c r="R40" s="1837" t="str">
        <v>Route Info</v>
      </c>
      <c r="S40" s="1837" t="str">
        <v>Fast Forward</v>
      </c>
      <c r="T40" s="1837" t="str">
        <v>Route Info</v>
      </c>
      <c r="U40" s="1837" t="str">
        <v>Detour</v>
      </c>
      <c r="V40" s="1837" t="str">
        <v>Route Info</v>
      </c>
      <c r="W40" s="1837" t="str">
        <v>Road Block</v>
      </c>
      <c r="X40" s="1837" t="str">
        <v>Route Info</v>
      </c>
      <c r="Y40" s="1837" t="str">
        <v/>
      </c>
      <c r="Z40" s="1837" t="str">
        <v/>
      </c>
      <c r="AA40" s="1837" t="str">
        <v/>
      </c>
      <c r="AB40" s="1837" t="str">
        <v/>
      </c>
      <c r="AC40" s="1837" t="str">
        <v/>
      </c>
      <c r="AD40" s="1837" t="str">
        <v/>
      </c>
      <c r="AE40" s="1837" t="str">
        <v>Germany\nAustria</v>
      </c>
      <c r="AF40" s="1837" t="str">
        <v>Central Europe\nCentral Europe</v>
      </c>
      <c r="AG40" s="1837" t="str">
        <v>Yes</v>
      </c>
      <c r="AH40" s="1837" t="str">
        <v/>
      </c>
      <c r="AI40" s="1837" t="str">
        <v/>
      </c>
      <c r="AJ40" s="1110" t="str">
        <v>Flo &amp; Zach</v>
      </c>
      <c r="AP40">
        <v>20</v>
      </c>
      <c r="AS40" s="37" t="s">
        <v>1142</v>
      </c>
    </row>
    <row r="41" spans="1:46">
      <c r="A41">
        <v>4</v>
      </c>
      <c r="B41">
        <v>1</v>
      </c>
      <c r="C41" s="3" t="s">
        <v>12</v>
      </c>
      <c r="D41" s="3" t="s">
        <v>12</v>
      </c>
      <c r="E41" s="19" t="s">
        <v>71</v>
      </c>
      <c r="F41" s="3" t="s">
        <v>12</v>
      </c>
      <c r="G41" s="4" t="s">
        <v>13</v>
      </c>
      <c r="H41" s="3" t="s">
        <v>12</v>
      </c>
      <c r="P41" s="1329">
        <v>3</v>
      </c>
      <c r="Q41" s="1837">
        <v>8</v>
      </c>
      <c r="R41" s="1837" t="str">
        <v>Route Info</v>
      </c>
      <c r="S41" s="1837" t="str">
        <v>Fast Forward</v>
      </c>
      <c r="T41" s="1837" t="str">
        <v>Route Info</v>
      </c>
      <c r="U41" s="1837" t="str">
        <v>Route Info</v>
      </c>
      <c r="V41" s="1837" t="str">
        <v>Detour</v>
      </c>
      <c r="W41" s="1837" t="str">
        <v>Route Info</v>
      </c>
      <c r="X41" s="1837" t="str">
        <v>Road Block</v>
      </c>
      <c r="Y41" s="1837" t="str">
        <v>Route Info</v>
      </c>
      <c r="Z41" s="1837" t="str">
        <v/>
      </c>
      <c r="AA41" s="1837" t="str">
        <v/>
      </c>
      <c r="AB41" s="1837" t="str">
        <v/>
      </c>
      <c r="AC41" s="1837" t="str">
        <v/>
      </c>
      <c r="AD41" s="1837" t="str">
        <v/>
      </c>
      <c r="AE41" s="1837" t="str">
        <v>Switzerland</v>
      </c>
      <c r="AF41" s="1837" t="str">
        <v>Central Europe</v>
      </c>
      <c r="AG41" s="1837" t="str">
        <v>No</v>
      </c>
      <c r="AH41" s="1837" t="str">
        <v/>
      </c>
      <c r="AI41" s="1837" t="str">
        <v/>
      </c>
      <c r="AJ41" s="1110" t="str">
        <v>Derek &amp; Drew</v>
      </c>
      <c r="AP41">
        <v>21</v>
      </c>
      <c r="AS41" t="s">
        <v>285</v>
      </c>
    </row>
    <row r="42" spans="1:46">
      <c r="A42">
        <v>4</v>
      </c>
      <c r="B42">
        <v>2</v>
      </c>
      <c r="C42" s="3" t="s">
        <v>12</v>
      </c>
      <c r="D42" s="19" t="s">
        <v>71</v>
      </c>
      <c r="E42" s="3" t="s">
        <v>12</v>
      </c>
      <c r="F42" s="4" t="s">
        <v>13</v>
      </c>
      <c r="G42" s="3" t="s">
        <v>12</v>
      </c>
      <c r="H42" s="5" t="s">
        <v>14</v>
      </c>
      <c r="I42" s="3" t="s">
        <v>12</v>
      </c>
      <c r="P42" s="1329">
        <v>3</v>
      </c>
      <c r="Q42" s="1837">
        <v>9</v>
      </c>
      <c r="R42" s="1837" t="str">
        <v>Route Info</v>
      </c>
      <c r="S42" s="1837" t="str">
        <v>Fast Forward</v>
      </c>
      <c r="T42" s="1837" t="str">
        <v>Route Info</v>
      </c>
      <c r="U42" s="1837" t="str">
        <v>Detour</v>
      </c>
      <c r="V42" s="1837" t="str">
        <v>Route Info</v>
      </c>
      <c r="W42" s="1837" t="str">
        <v>Road Block</v>
      </c>
      <c r="X42" s="1837" t="str">
        <v>Route Info</v>
      </c>
      <c r="Y42" s="1837" t="str">
        <v/>
      </c>
      <c r="Z42" s="1837" t="str">
        <v/>
      </c>
      <c r="AA42" s="1837" t="str">
        <v/>
      </c>
      <c r="AB42" s="1837" t="str">
        <v/>
      </c>
      <c r="AC42" s="1837" t="str">
        <v/>
      </c>
      <c r="AD42" s="1837" t="str">
        <v/>
      </c>
      <c r="AE42" s="1837" t="str">
        <v>Switzerland</v>
      </c>
      <c r="AF42" s="1837" t="str">
        <v>Central Europe</v>
      </c>
      <c r="AG42" s="1837" t="str">
        <v>No</v>
      </c>
      <c r="AH42" s="1837" t="str">
        <v/>
      </c>
      <c r="AI42" s="1837" t="str">
        <v/>
      </c>
      <c r="AJ42" s="1110" t="str">
        <v>John Vito &amp; Jill</v>
      </c>
      <c r="AP42">
        <v>22</v>
      </c>
      <c r="AS42" t="s">
        <v>288</v>
      </c>
    </row>
    <row r="43" spans="1:46">
      <c r="A43">
        <v>4</v>
      </c>
      <c r="B43">
        <v>3</v>
      </c>
      <c r="C43" s="3" t="s">
        <v>12</v>
      </c>
      <c r="D43" s="19" t="s">
        <v>71</v>
      </c>
      <c r="E43" s="3" t="s">
        <v>12</v>
      </c>
      <c r="F43" s="4" t="s">
        <v>13</v>
      </c>
      <c r="G43" s="3" t="s">
        <v>12</v>
      </c>
      <c r="H43" s="5" t="s">
        <v>14</v>
      </c>
      <c r="I43" s="3" t="s">
        <v>12</v>
      </c>
      <c r="P43" s="1329">
        <v>3</v>
      </c>
      <c r="Q43" s="1837">
        <v>10</v>
      </c>
      <c r="R43" s="1837" t="str">
        <v>Route Info</v>
      </c>
      <c r="S43" s="1837" t="str">
        <v>Route Info</v>
      </c>
      <c r="T43" s="1837" t="str">
        <v>Route Info</v>
      </c>
      <c r="U43" s="1837" t="str">
        <v>Route Info</v>
      </c>
      <c r="V43" s="1837" t="str">
        <v>Detour</v>
      </c>
      <c r="W43" s="1837" t="str">
        <v>Fast Forward</v>
      </c>
      <c r="X43" s="1837" t="str">
        <v>Route Info</v>
      </c>
      <c r="Y43" s="1837" t="str">
        <v>Road Block</v>
      </c>
      <c r="Z43" s="1837" t="str">
        <v>Route Info</v>
      </c>
      <c r="AA43" s="1837" t="str">
        <v/>
      </c>
      <c r="AB43" s="1837" t="str">
        <v/>
      </c>
      <c r="AC43" s="1837" t="str">
        <v/>
      </c>
      <c r="AD43" s="1837" t="str">
        <v/>
      </c>
      <c r="AE43" s="1837" t="str">
        <v>Malaysia\nSingapore</v>
      </c>
      <c r="AF43" s="1837" t="str">
        <v>South East Asia\nSouth East Asia</v>
      </c>
      <c r="AG43" s="1837" t="str">
        <v>Yes</v>
      </c>
      <c r="AH43" s="1837" t="str">
        <v/>
      </c>
      <c r="AI43" s="1837" t="str">
        <v/>
      </c>
      <c r="AJ43" s="1110" t="str">
        <v>Derek &amp; Drew</v>
      </c>
      <c r="AP43">
        <v>23</v>
      </c>
      <c r="AS43" t="s">
        <v>1163</v>
      </c>
    </row>
    <row r="44" spans="1:46">
      <c r="A44">
        <v>4</v>
      </c>
      <c r="B44">
        <v>4</v>
      </c>
      <c r="C44" s="3" t="s">
        <v>12</v>
      </c>
      <c r="D44" s="5" t="s">
        <v>14</v>
      </c>
      <c r="E44" s="3" t="s">
        <v>12</v>
      </c>
      <c r="F44" s="19" t="s">
        <v>71</v>
      </c>
      <c r="G44" s="3" t="s">
        <v>12</v>
      </c>
      <c r="H44" s="4" t="s">
        <v>13</v>
      </c>
      <c r="I44" s="3" t="s">
        <v>12</v>
      </c>
      <c r="P44" s="1329">
        <v>3</v>
      </c>
      <c r="Q44" s="1837">
        <v>11</v>
      </c>
      <c r="R44" s="1837" t="str">
        <v>Route Info</v>
      </c>
      <c r="S44" s="1837" t="str">
        <v>Fast Forward</v>
      </c>
      <c r="T44" s="1837" t="str">
        <v>Route Info</v>
      </c>
      <c r="U44" s="1837" t="str">
        <v>Detour</v>
      </c>
      <c r="V44" s="1837" t="str">
        <v>Route Info</v>
      </c>
      <c r="W44" s="1837" t="str">
        <v>Road Block</v>
      </c>
      <c r="X44" s="1837" t="str">
        <v/>
      </c>
      <c r="Y44" s="1837" t="str">
        <v/>
      </c>
      <c r="Z44" s="1837" t="str">
        <v/>
      </c>
      <c r="AA44" s="1837" t="str">
        <v/>
      </c>
      <c r="AB44" s="1837" t="str">
        <v/>
      </c>
      <c r="AC44" s="1837" t="str">
        <v/>
      </c>
      <c r="AD44" s="1837" t="str">
        <v/>
      </c>
      <c r="AE44" s="1837" t="str">
        <v>Vietnam</v>
      </c>
      <c r="AF44" s="1837" t="str">
        <v>South East Asia</v>
      </c>
      <c r="AG44" s="1837" t="str">
        <v>Yes</v>
      </c>
      <c r="AH44" s="1837" t="str">
        <v/>
      </c>
      <c r="AI44" s="1837" t="str">
        <v/>
      </c>
      <c r="AJ44" s="1110" t="str">
        <v>Teri &amp; Ian</v>
      </c>
      <c r="AP44">
        <v>24</v>
      </c>
      <c r="AS44" s="37" t="s">
        <v>1236</v>
      </c>
    </row>
    <row r="45" spans="1:46">
      <c r="A45">
        <v>4</v>
      </c>
      <c r="B45">
        <v>5</v>
      </c>
      <c r="C45" s="3" t="s">
        <v>12</v>
      </c>
      <c r="D45" s="19" t="s">
        <v>71</v>
      </c>
      <c r="E45" s="3" t="s">
        <v>12</v>
      </c>
      <c r="F45" s="4" t="s">
        <v>13</v>
      </c>
      <c r="G45" s="3" t="s">
        <v>12</v>
      </c>
      <c r="H45" s="5" t="s">
        <v>14</v>
      </c>
      <c r="I45" s="3" t="s">
        <v>12</v>
      </c>
      <c r="P45" s="1329">
        <v>3</v>
      </c>
      <c r="Q45" s="1837">
        <v>12</v>
      </c>
      <c r="R45" s="1837" t="str">
        <v>Route Info</v>
      </c>
      <c r="S45" s="1837" t="str">
        <v>Route Info</v>
      </c>
      <c r="T45" s="1837" t="str">
        <v>Detour</v>
      </c>
      <c r="U45" s="1837" t="str">
        <v>Route Info</v>
      </c>
      <c r="V45" s="1837" t="str">
        <v>Road Block</v>
      </c>
      <c r="W45" s="1837" t="str">
        <v>Route Info</v>
      </c>
      <c r="X45" s="1837" t="str">
        <v/>
      </c>
      <c r="Y45" s="1837" t="str">
        <v/>
      </c>
      <c r="Z45" s="1837" t="str">
        <v/>
      </c>
      <c r="AA45" s="1837" t="str">
        <v/>
      </c>
      <c r="AB45" s="1837" t="str">
        <v/>
      </c>
      <c r="AC45" s="1837" t="str">
        <v/>
      </c>
      <c r="AD45" s="1837" t="str">
        <v/>
      </c>
      <c r="AE45" s="1837" t="str">
        <v>Vietnam</v>
      </c>
      <c r="AF45" s="1837" t="str">
        <v>South East Asia</v>
      </c>
      <c r="AG45" s="1837" t="str">
        <v>No</v>
      </c>
      <c r="AH45" s="1837" t="str">
        <v/>
      </c>
      <c r="AI45" s="1837" t="str">
        <v/>
      </c>
      <c r="AJ45" s="1110" t="str">
        <v>Teri &amp; Ian</v>
      </c>
      <c r="AP45">
        <v>25</v>
      </c>
      <c r="AS45" s="37" t="s">
        <v>1149</v>
      </c>
    </row>
    <row r="46" spans="1:46">
      <c r="A46">
        <v>4</v>
      </c>
      <c r="B46">
        <v>6</v>
      </c>
      <c r="C46" s="3" t="s">
        <v>12</v>
      </c>
      <c r="D46" s="19" t="s">
        <v>71</v>
      </c>
      <c r="E46" s="3" t="s">
        <v>12</v>
      </c>
      <c r="F46" s="4" t="s">
        <v>13</v>
      </c>
      <c r="G46" s="3" t="s">
        <v>12</v>
      </c>
      <c r="H46" s="5" t="s">
        <v>14</v>
      </c>
      <c r="I46" s="3" t="s">
        <v>12</v>
      </c>
      <c r="P46" s="1329">
        <v>3</v>
      </c>
      <c r="Q46" s="1837" t="str">
        <v>Final</v>
      </c>
      <c r="R46" s="1837" t="str">
        <v>Route Info</v>
      </c>
      <c r="S46" s="1837" t="str">
        <v>Route Info</v>
      </c>
      <c r="T46" s="1837" t="str">
        <v>Route Info</v>
      </c>
      <c r="U46" s="1837" t="str">
        <v>Detour</v>
      </c>
      <c r="V46" s="1837" t="str">
        <v>Route Info</v>
      </c>
      <c r="W46" s="1837" t="str">
        <v>Route Info</v>
      </c>
      <c r="X46" s="1837" t="str">
        <v>Route Info</v>
      </c>
      <c r="Y46" s="1837" t="str">
        <v>Road Block</v>
      </c>
      <c r="Z46" s="1837" t="str">
        <v>Route Info</v>
      </c>
      <c r="AA46" s="1837" t="str">
        <v/>
      </c>
      <c r="AB46" s="1837" t="str">
        <v/>
      </c>
      <c r="AC46" s="1837" t="str">
        <v/>
      </c>
      <c r="AD46" s="1837" t="str">
        <v/>
      </c>
      <c r="AE46" s="1837" t="str">
        <v>USA</v>
      </c>
      <c r="AF46" s="1837" t="str">
        <v>North America</v>
      </c>
      <c r="AG46" s="1837" t="str">
        <v>Final Leg</v>
      </c>
      <c r="AH46" s="1837" t="str">
        <v/>
      </c>
      <c r="AI46" s="1837" t="str">
        <v/>
      </c>
      <c r="AJ46" s="1110" t="str">
        <v>Flo &amp; Zach</v>
      </c>
      <c r="AP46">
        <v>26</v>
      </c>
      <c r="AS46" t="s">
        <v>1130</v>
      </c>
    </row>
    <row r="47" spans="1:46">
      <c r="A47">
        <v>4</v>
      </c>
      <c r="B47">
        <v>7</v>
      </c>
      <c r="C47" s="3" t="s">
        <v>12</v>
      </c>
      <c r="D47" s="19" t="s">
        <v>71</v>
      </c>
      <c r="E47" s="3" t="s">
        <v>12</v>
      </c>
      <c r="F47" s="5" t="s">
        <v>14</v>
      </c>
      <c r="G47" s="3" t="s">
        <v>12</v>
      </c>
      <c r="H47" s="4" t="s">
        <v>13</v>
      </c>
      <c r="I47" s="3" t="s">
        <v>12</v>
      </c>
      <c r="P47" s="1329">
        <v>4</v>
      </c>
      <c r="Q47" s="1837">
        <v>1</v>
      </c>
      <c r="R47" s="1837" t="str">
        <v>Route Info</v>
      </c>
      <c r="S47" s="1837" t="str">
        <v>Route Info</v>
      </c>
      <c r="T47" s="1837" t="str">
        <v>Fast Forward</v>
      </c>
      <c r="U47" s="1837" t="str">
        <v>Route Info</v>
      </c>
      <c r="V47" s="1837" t="str">
        <v>Detour</v>
      </c>
      <c r="W47" s="1837" t="str">
        <v>Route Info</v>
      </c>
      <c r="X47" s="1837" t="str">
        <v/>
      </c>
      <c r="Y47" s="1837" t="str">
        <v/>
      </c>
      <c r="Z47" s="1837" t="str">
        <v/>
      </c>
      <c r="AA47" s="1837" t="str">
        <v/>
      </c>
      <c r="AB47" s="1837" t="str">
        <v/>
      </c>
      <c r="AC47" s="1837" t="str">
        <v/>
      </c>
      <c r="AD47" s="1837" t="str">
        <v/>
      </c>
      <c r="AE47" s="1837" t="str">
        <v>Italy</v>
      </c>
      <c r="AF47" s="1837" t="str">
        <v>Western Europe</v>
      </c>
      <c r="AG47" s="1837" t="str">
        <v>Yes</v>
      </c>
      <c r="AH47" s="1837" t="str">
        <v/>
      </c>
      <c r="AI47" s="1837" t="str">
        <v/>
      </c>
      <c r="AJ47" s="1110" t="str">
        <v>Millie &amp; Chuck\nSteve &amp; Josh\nAmanda &amp; Chris</v>
      </c>
      <c r="AP47">
        <v>27</v>
      </c>
      <c r="AS47" t="s">
        <v>267</v>
      </c>
    </row>
    <row r="48" spans="1:46">
      <c r="A48">
        <v>4</v>
      </c>
      <c r="B48">
        <v>8</v>
      </c>
      <c r="C48" s="3" t="s">
        <v>12</v>
      </c>
      <c r="D48" s="19" t="s">
        <v>71</v>
      </c>
      <c r="E48" s="3" t="s">
        <v>12</v>
      </c>
      <c r="F48" s="4" t="s">
        <v>13</v>
      </c>
      <c r="G48" s="3" t="s">
        <v>12</v>
      </c>
      <c r="H48" s="5" t="s">
        <v>14</v>
      </c>
      <c r="P48" s="1329">
        <v>4</v>
      </c>
      <c r="Q48" s="1837">
        <v>2</v>
      </c>
      <c r="R48" s="1837" t="str">
        <v>Route Info</v>
      </c>
      <c r="S48" s="1837" t="str">
        <v>Fast Forward</v>
      </c>
      <c r="T48" s="1837" t="str">
        <v>Route Info</v>
      </c>
      <c r="U48" s="1837" t="str">
        <v>Detour</v>
      </c>
      <c r="V48" s="1837" t="str">
        <v>Route Info</v>
      </c>
      <c r="W48" s="1837" t="str">
        <v>Road Block</v>
      </c>
      <c r="X48" s="1837" t="str">
        <v>Route Info</v>
      </c>
      <c r="Y48" s="1837" t="str">
        <v/>
      </c>
      <c r="Z48" s="1837" t="str">
        <v/>
      </c>
      <c r="AA48" s="1837" t="str">
        <v/>
      </c>
      <c r="AB48" s="1837" t="str">
        <v/>
      </c>
      <c r="AC48" s="1837" t="str">
        <v/>
      </c>
      <c r="AD48" s="1837" t="str">
        <v/>
      </c>
      <c r="AE48" s="1837" t="str">
        <v>Italy</v>
      </c>
      <c r="AF48" s="1837" t="str">
        <v>Southern Europe</v>
      </c>
      <c r="AG48" s="1837" t="str">
        <v>Yes</v>
      </c>
      <c r="AH48" s="1837" t="str">
        <v/>
      </c>
      <c r="AI48" s="1837" t="str">
        <v/>
      </c>
      <c r="AJ48" s="1110" t="str">
        <v>Steve &amp; Dave</v>
      </c>
      <c r="AP48">
        <v>28</v>
      </c>
      <c r="AS48" t="s">
        <v>343</v>
      </c>
    </row>
    <row r="49" spans="1:45">
      <c r="A49">
        <v>4</v>
      </c>
      <c r="B49">
        <v>9</v>
      </c>
      <c r="C49" s="3" t="s">
        <v>12</v>
      </c>
      <c r="D49" s="19" t="s">
        <v>71</v>
      </c>
      <c r="E49" s="3" t="s">
        <v>12</v>
      </c>
      <c r="F49" s="4" t="s">
        <v>13</v>
      </c>
      <c r="G49" s="3" t="s">
        <v>12</v>
      </c>
      <c r="H49" s="5" t="s">
        <v>14</v>
      </c>
      <c r="I49" s="3" t="s">
        <v>12</v>
      </c>
      <c r="P49" s="1329">
        <v>4</v>
      </c>
      <c r="Q49" s="1837">
        <v>3</v>
      </c>
      <c r="R49" s="1837" t="str">
        <v>Route Info</v>
      </c>
      <c r="S49" s="1837" t="str">
        <v>Fast Forward</v>
      </c>
      <c r="T49" s="1837" t="str">
        <v>Route Info</v>
      </c>
      <c r="U49" s="1837" t="str">
        <v>Detour</v>
      </c>
      <c r="V49" s="1837" t="str">
        <v>Route Info</v>
      </c>
      <c r="W49" s="1837" t="str">
        <v>Road Block</v>
      </c>
      <c r="X49" s="1837" t="str">
        <v>Route Info</v>
      </c>
      <c r="Y49" s="1837" t="str">
        <v/>
      </c>
      <c r="Z49" s="1837" t="str">
        <v/>
      </c>
      <c r="AA49" s="1837" t="str">
        <v/>
      </c>
      <c r="AB49" s="1837" t="str">
        <v/>
      </c>
      <c r="AC49" s="1837" t="str">
        <v/>
      </c>
      <c r="AD49" s="1837" t="str">
        <v/>
      </c>
      <c r="AE49" s="1837" t="str">
        <v>Austria</v>
      </c>
      <c r="AF49" s="1837" t="str">
        <v xml:space="preserve">Central Europe </v>
      </c>
      <c r="AG49" s="1837" t="str">
        <v>Yes</v>
      </c>
      <c r="AH49" s="1837" t="str">
        <v/>
      </c>
      <c r="AI49" s="1837" t="str">
        <v/>
      </c>
      <c r="AJ49" s="1110" t="str">
        <v>Steve &amp; Josh</v>
      </c>
      <c r="AP49">
        <v>29</v>
      </c>
      <c r="AS49" t="s">
        <v>1207</v>
      </c>
    </row>
    <row r="50" spans="1:45">
      <c r="A50">
        <v>4</v>
      </c>
      <c r="B50">
        <v>10</v>
      </c>
      <c r="C50" s="3" t="s">
        <v>12</v>
      </c>
      <c r="D50" s="3" t="s">
        <v>12</v>
      </c>
      <c r="E50" s="19" t="s">
        <v>71</v>
      </c>
      <c r="F50" s="3" t="s">
        <v>12</v>
      </c>
      <c r="G50" s="5" t="s">
        <v>14</v>
      </c>
      <c r="H50" s="3" t="s">
        <v>12</v>
      </c>
      <c r="I50" s="4" t="s">
        <v>13</v>
      </c>
      <c r="J50" s="3" t="s">
        <v>12</v>
      </c>
      <c r="P50" s="1329">
        <v>4</v>
      </c>
      <c r="Q50" s="1837">
        <v>4</v>
      </c>
      <c r="R50" s="1837" t="str">
        <v>Route Info</v>
      </c>
      <c r="S50" s="1837" t="str">
        <v>Road Block</v>
      </c>
      <c r="T50" s="1837" t="str">
        <v>Route Info</v>
      </c>
      <c r="U50" s="1837" t="str">
        <v>Fast Forward</v>
      </c>
      <c r="V50" s="1837" t="str">
        <v>Route Info</v>
      </c>
      <c r="W50" s="1837" t="str">
        <v>Detour</v>
      </c>
      <c r="X50" s="1837" t="str">
        <v>Route Info</v>
      </c>
      <c r="Y50" s="1837" t="str">
        <v/>
      </c>
      <c r="Z50" s="1837" t="str">
        <v/>
      </c>
      <c r="AA50" s="1837" t="str">
        <v/>
      </c>
      <c r="AB50" s="1837" t="str">
        <v/>
      </c>
      <c r="AC50" s="1837" t="str">
        <v/>
      </c>
      <c r="AD50" s="1837" t="str">
        <v/>
      </c>
      <c r="AE50" s="1837" t="str">
        <v>France</v>
      </c>
      <c r="AF50" s="1837" t="str">
        <v>Western Europe</v>
      </c>
      <c r="AG50" s="1837" t="str">
        <v>Yes</v>
      </c>
      <c r="AH50" s="1837" t="str">
        <v/>
      </c>
      <c r="AI50" s="1837" t="str">
        <v/>
      </c>
      <c r="AJ50" s="1110" t="str">
        <v>Tian &amp; Jaree</v>
      </c>
      <c r="AP50">
        <v>30</v>
      </c>
      <c r="AS50" t="s">
        <v>1203</v>
      </c>
    </row>
    <row r="51" spans="1:45">
      <c r="A51">
        <v>4</v>
      </c>
      <c r="B51">
        <v>11</v>
      </c>
      <c r="C51" s="3" t="s">
        <v>12</v>
      </c>
      <c r="D51" s="19" t="s">
        <v>71</v>
      </c>
      <c r="E51" s="3" t="s">
        <v>12</v>
      </c>
      <c r="F51" s="4" t="s">
        <v>13</v>
      </c>
      <c r="G51" s="3" t="s">
        <v>12</v>
      </c>
      <c r="H51" s="5" t="s">
        <v>14</v>
      </c>
      <c r="I51" s="3" t="s">
        <v>12</v>
      </c>
      <c r="P51" s="1329">
        <v>4</v>
      </c>
      <c r="Q51" s="1837">
        <v>5</v>
      </c>
      <c r="R51" s="1837" t="str">
        <v>Route Info</v>
      </c>
      <c r="S51" s="1837" t="str">
        <v>Fast Forward</v>
      </c>
      <c r="T51" s="1837" t="str">
        <v>Route Info</v>
      </c>
      <c r="U51" s="1837" t="str">
        <v>Detour</v>
      </c>
      <c r="V51" s="1837" t="str">
        <v>Route Info</v>
      </c>
      <c r="W51" s="1837" t="str">
        <v>Road Block</v>
      </c>
      <c r="X51" s="1837" t="str">
        <v>Route Info</v>
      </c>
      <c r="Y51" s="1837" t="str">
        <v/>
      </c>
      <c r="Z51" s="1837" t="str">
        <v/>
      </c>
      <c r="AA51" s="1837" t="str">
        <v/>
      </c>
      <c r="AB51" s="1837" t="str">
        <v/>
      </c>
      <c r="AC51" s="1837" t="str">
        <v/>
      </c>
      <c r="AD51" s="1837" t="str">
        <v/>
      </c>
      <c r="AE51" s="1837" t="str">
        <v>Netherlands</v>
      </c>
      <c r="AF51" s="1837" t="str">
        <v>Central Europe</v>
      </c>
      <c r="AG51" s="1837" t="str">
        <v>Yes</v>
      </c>
      <c r="AH51" s="1837" t="str">
        <v/>
      </c>
      <c r="AI51" s="1837" t="str">
        <v/>
      </c>
      <c r="AJ51" s="1110" t="str">
        <v>Millie &amp; Chuck</v>
      </c>
      <c r="AP51">
        <v>31</v>
      </c>
      <c r="AS51" t="s">
        <v>270</v>
      </c>
    </row>
    <row r="52" spans="1:45">
      <c r="A52">
        <v>4</v>
      </c>
      <c r="B52">
        <v>12</v>
      </c>
      <c r="C52" s="3" t="s">
        <v>12</v>
      </c>
      <c r="D52" s="3" t="s">
        <v>12</v>
      </c>
      <c r="E52" s="3" t="s">
        <v>12</v>
      </c>
      <c r="F52" s="3" t="s">
        <v>12</v>
      </c>
      <c r="G52" s="4" t="s">
        <v>13</v>
      </c>
      <c r="H52" s="3" t="s">
        <v>12</v>
      </c>
      <c r="I52" s="5" t="s">
        <v>14</v>
      </c>
      <c r="J52" s="3" t="s">
        <v>12</v>
      </c>
      <c r="P52" s="1329">
        <v>4</v>
      </c>
      <c r="Q52" s="1837">
        <v>6</v>
      </c>
      <c r="R52" s="1837" t="str">
        <v>Route Info</v>
      </c>
      <c r="S52" s="1837" t="str">
        <v>Fast Forward</v>
      </c>
      <c r="T52" s="1837" t="str">
        <v>Route Info</v>
      </c>
      <c r="U52" s="1837" t="str">
        <v>Detour</v>
      </c>
      <c r="V52" s="1837" t="str">
        <v>Route Info</v>
      </c>
      <c r="W52" s="1837" t="str">
        <v>Road Block</v>
      </c>
      <c r="X52" s="1837" t="str">
        <v>Route Info</v>
      </c>
      <c r="Y52" s="1837" t="str">
        <v/>
      </c>
      <c r="Z52" s="1837" t="str">
        <v/>
      </c>
      <c r="AA52" s="1837" t="str">
        <v/>
      </c>
      <c r="AB52" s="1837" t="str">
        <v/>
      </c>
      <c r="AC52" s="1837" t="str">
        <v/>
      </c>
      <c r="AD52" s="1837" t="str">
        <v/>
      </c>
      <c r="AE52" s="1837" t="str">
        <v>India</v>
      </c>
      <c r="AF52" s="1837" t="str">
        <v>South Asia</v>
      </c>
      <c r="AG52" s="1837" t="str">
        <v>Yes</v>
      </c>
      <c r="AH52" s="1837" t="str">
        <v/>
      </c>
      <c r="AI52" s="1837" t="str">
        <v/>
      </c>
      <c r="AJ52" s="1110" t="str">
        <v>David &amp; Jeff</v>
      </c>
      <c r="AP52">
        <v>32</v>
      </c>
      <c r="AS52" s="52" t="s">
        <v>1164</v>
      </c>
    </row>
    <row r="53" spans="1:45" ht="16.5" thickBot="1">
      <c r="A53">
        <v>4</v>
      </c>
      <c r="B53" t="s">
        <v>2810</v>
      </c>
      <c r="C53" s="3" t="s">
        <v>12</v>
      </c>
      <c r="D53" s="3" t="s">
        <v>12</v>
      </c>
      <c r="E53" s="4" t="s">
        <v>13</v>
      </c>
      <c r="F53" s="3" t="s">
        <v>12</v>
      </c>
      <c r="G53" s="5" t="s">
        <v>14</v>
      </c>
      <c r="H53" s="3" t="s">
        <v>12</v>
      </c>
      <c r="I53" s="3" t="s">
        <v>12</v>
      </c>
      <c r="J53" s="3" t="s">
        <v>12</v>
      </c>
      <c r="K53" s="3" t="s">
        <v>12</v>
      </c>
      <c r="L53" s="3" t="s">
        <v>12</v>
      </c>
      <c r="P53" s="1329">
        <v>4</v>
      </c>
      <c r="Q53" s="1837">
        <v>7</v>
      </c>
      <c r="R53" s="1837" t="str">
        <v>Route Info</v>
      </c>
      <c r="S53" s="1837" t="str">
        <v>Fast Forward</v>
      </c>
      <c r="T53" s="1837" t="str">
        <v>Route Info</v>
      </c>
      <c r="U53" s="1837" t="str">
        <v>Road Block</v>
      </c>
      <c r="V53" s="1837" t="str">
        <v>Route Info</v>
      </c>
      <c r="W53" s="1837" t="str">
        <v>Detour</v>
      </c>
      <c r="X53" s="1837" t="str">
        <v>Route Info</v>
      </c>
      <c r="Y53" s="1837" t="str">
        <v/>
      </c>
      <c r="Z53" s="1837" t="str">
        <v/>
      </c>
      <c r="AA53" s="1837" t="str">
        <v/>
      </c>
      <c r="AB53" s="1837" t="str">
        <v/>
      </c>
      <c r="AC53" s="1837" t="str">
        <v/>
      </c>
      <c r="AD53" s="1837" t="str">
        <v/>
      </c>
      <c r="AE53" s="1837" t="str">
        <v>India</v>
      </c>
      <c r="AF53" s="1837" t="str">
        <v>South Asia</v>
      </c>
      <c r="AG53" s="1837" t="str">
        <v>Yes</v>
      </c>
      <c r="AH53" s="1837" t="str">
        <v/>
      </c>
      <c r="AI53" s="1837" t="str">
        <v/>
      </c>
      <c r="AJ53" s="1110" t="str">
        <v>David &amp; Jeff</v>
      </c>
      <c r="AP53">
        <v>33</v>
      </c>
      <c r="AS53" t="s">
        <v>293</v>
      </c>
    </row>
    <row r="54" spans="1:45" ht="16.5" thickBot="1">
      <c r="A54">
        <v>5</v>
      </c>
      <c r="B54">
        <v>1</v>
      </c>
      <c r="C54" s="3" t="s">
        <v>12</v>
      </c>
      <c r="D54" s="3" t="s">
        <v>12</v>
      </c>
      <c r="E54" s="3" t="s">
        <v>12</v>
      </c>
      <c r="F54" s="3" t="s">
        <v>12</v>
      </c>
      <c r="G54" s="3" t="s">
        <v>12</v>
      </c>
      <c r="H54" s="782" t="s">
        <v>12</v>
      </c>
      <c r="I54" s="4" t="s">
        <v>13</v>
      </c>
      <c r="J54" s="3" t="s">
        <v>12</v>
      </c>
      <c r="P54" s="1329">
        <v>4</v>
      </c>
      <c r="Q54" s="1837">
        <v>8</v>
      </c>
      <c r="R54" s="1837" t="str">
        <v>Route Info</v>
      </c>
      <c r="S54" s="1837" t="str">
        <v>Fast Forward</v>
      </c>
      <c r="T54" s="1837" t="str">
        <v>Route Info</v>
      </c>
      <c r="U54" s="1837" t="str">
        <v>Detour</v>
      </c>
      <c r="V54" s="1837" t="str">
        <v>Route Info</v>
      </c>
      <c r="W54" s="1837" t="str">
        <v>Road Block</v>
      </c>
      <c r="X54" s="1837" t="str">
        <v/>
      </c>
      <c r="Y54" s="1837" t="str">
        <v/>
      </c>
      <c r="Z54" s="1837" t="str">
        <v/>
      </c>
      <c r="AA54" s="1837" t="str">
        <v/>
      </c>
      <c r="AB54" s="1837" t="str">
        <v/>
      </c>
      <c r="AC54" s="1837" t="str">
        <v/>
      </c>
      <c r="AD54" s="1837" t="str">
        <v/>
      </c>
      <c r="AE54" s="1837" t="str">
        <v>Malaysia</v>
      </c>
      <c r="AF54" s="1837" t="str">
        <v>South East Asia</v>
      </c>
      <c r="AG54" s="1837" t="str">
        <v>No</v>
      </c>
      <c r="AH54" s="1837" t="str">
        <v/>
      </c>
      <c r="AI54" s="1837" t="str">
        <v/>
      </c>
      <c r="AJ54" s="1110" t="str">
        <v>Jon &amp; Al</v>
      </c>
      <c r="AP54">
        <v>34</v>
      </c>
      <c r="AS54" t="s">
        <v>277</v>
      </c>
    </row>
    <row r="55" spans="1:45" ht="16.5" thickBot="1">
      <c r="A55">
        <v>5</v>
      </c>
      <c r="B55">
        <v>2</v>
      </c>
      <c r="C55" s="3" t="s">
        <v>12</v>
      </c>
      <c r="D55" s="3" t="s">
        <v>12</v>
      </c>
      <c r="E55" s="834" t="s">
        <v>13</v>
      </c>
      <c r="F55" s="3" t="s">
        <v>12</v>
      </c>
      <c r="G55" s="5" t="s">
        <v>14</v>
      </c>
      <c r="H55" s="3" t="s">
        <v>12</v>
      </c>
      <c r="P55" s="1329">
        <v>4</v>
      </c>
      <c r="Q55" s="1837">
        <v>9</v>
      </c>
      <c r="R55" s="1837" t="str">
        <v>Route Info</v>
      </c>
      <c r="S55" s="1837" t="str">
        <v>Fast Forward</v>
      </c>
      <c r="T55" s="1837" t="str">
        <v>Route Info</v>
      </c>
      <c r="U55" s="1837" t="str">
        <v>Detour</v>
      </c>
      <c r="V55" s="1837" t="str">
        <v>Route Info</v>
      </c>
      <c r="W55" s="1837" t="str">
        <v>Road Block</v>
      </c>
      <c r="X55" s="1837" t="str">
        <v>Route Info</v>
      </c>
      <c r="Y55" s="1837" t="str">
        <v/>
      </c>
      <c r="Z55" s="1837" t="str">
        <v/>
      </c>
      <c r="AA55" s="1837" t="str">
        <v/>
      </c>
      <c r="AB55" s="1837" t="str">
        <v/>
      </c>
      <c r="AC55" s="1837" t="str">
        <v/>
      </c>
      <c r="AD55" s="1837" t="str">
        <v/>
      </c>
      <c r="AE55" s="1837" t="str">
        <v>Malaysia</v>
      </c>
      <c r="AF55" s="1837" t="str">
        <v>South East Asia</v>
      </c>
      <c r="AG55" s="1837" t="str">
        <v>Yes</v>
      </c>
      <c r="AH55" s="1837" t="str">
        <v/>
      </c>
      <c r="AI55" s="1837" t="str">
        <v/>
      </c>
      <c r="AJ55" s="1110" t="str">
        <v>Reichen &amp; Chip</v>
      </c>
      <c r="AP55">
        <v>35</v>
      </c>
      <c r="AS55" s="52" t="s">
        <v>318</v>
      </c>
    </row>
    <row r="56" spans="1:45" ht="16.5" thickBot="1">
      <c r="A56">
        <v>5</v>
      </c>
      <c r="B56">
        <v>3</v>
      </c>
      <c r="C56" s="3" t="s">
        <v>12</v>
      </c>
      <c r="D56" s="3" t="s">
        <v>12</v>
      </c>
      <c r="E56" s="783" t="s">
        <v>14</v>
      </c>
      <c r="F56" s="3" t="s">
        <v>12</v>
      </c>
      <c r="G56" s="4" t="s">
        <v>13</v>
      </c>
      <c r="H56" s="3" t="s">
        <v>12</v>
      </c>
      <c r="P56" s="1329">
        <v>4</v>
      </c>
      <c r="Q56" s="1837">
        <v>10</v>
      </c>
      <c r="R56" s="1837" t="str">
        <v>Route Info</v>
      </c>
      <c r="S56" s="1837" t="str">
        <v>Route Info</v>
      </c>
      <c r="T56" s="1837" t="str">
        <v>Fast Forward</v>
      </c>
      <c r="U56" s="1837" t="str">
        <v>Route Info</v>
      </c>
      <c r="V56" s="1837" t="str">
        <v>Road Block</v>
      </c>
      <c r="W56" s="1837" t="str">
        <v>Route Info</v>
      </c>
      <c r="X56" s="1837" t="str">
        <v>Detour</v>
      </c>
      <c r="Y56" s="1837" t="str">
        <v>Route Info</v>
      </c>
      <c r="Z56" s="1837" t="str">
        <v/>
      </c>
      <c r="AA56" s="1837" t="str">
        <v/>
      </c>
      <c r="AB56" s="1837" t="str">
        <v/>
      </c>
      <c r="AC56" s="1837" t="str">
        <v/>
      </c>
      <c r="AD56" s="1837" t="str">
        <v/>
      </c>
      <c r="AE56" s="1837" t="str">
        <v>South Korea</v>
      </c>
      <c r="AF56" s="1837" t="str">
        <v>East Asia</v>
      </c>
      <c r="AG56" s="1837" t="str">
        <v>No</v>
      </c>
      <c r="AH56" s="1837" t="str">
        <v/>
      </c>
      <c r="AI56" s="1837" t="str">
        <v/>
      </c>
      <c r="AJ56" s="1110" t="str">
        <v>Kelly &amp; Jon</v>
      </c>
      <c r="AP56">
        <v>36</v>
      </c>
      <c r="AS56" t="s">
        <v>271</v>
      </c>
    </row>
    <row r="57" spans="1:45" ht="16.5" thickBot="1">
      <c r="A57">
        <v>5</v>
      </c>
      <c r="B57">
        <v>4</v>
      </c>
      <c r="C57" s="3" t="s">
        <v>12</v>
      </c>
      <c r="D57" s="834" t="s">
        <v>13</v>
      </c>
      <c r="E57" s="3" t="s">
        <v>12</v>
      </c>
      <c r="F57" s="3" t="s">
        <v>12</v>
      </c>
      <c r="G57" s="5" t="s">
        <v>14</v>
      </c>
      <c r="H57" s="3" t="s">
        <v>12</v>
      </c>
      <c r="P57" s="1329">
        <v>4</v>
      </c>
      <c r="Q57" s="1837">
        <v>11</v>
      </c>
      <c r="R57" s="1837" t="str">
        <v>Route Info</v>
      </c>
      <c r="S57" s="1837" t="str">
        <v>Fast Forward</v>
      </c>
      <c r="T57" s="1837" t="str">
        <v>Route Info</v>
      </c>
      <c r="U57" s="1837" t="str">
        <v>Detour</v>
      </c>
      <c r="V57" s="1837" t="str">
        <v>Route Info</v>
      </c>
      <c r="W57" s="1837" t="str">
        <v>Road Block</v>
      </c>
      <c r="X57" s="1837" t="str">
        <v>Route Info</v>
      </c>
      <c r="Y57" s="1837" t="str">
        <v/>
      </c>
      <c r="Z57" s="1837" t="str">
        <v/>
      </c>
      <c r="AA57" s="1837" t="str">
        <v/>
      </c>
      <c r="AB57" s="1837" t="str">
        <v/>
      </c>
      <c r="AC57" s="1837" t="str">
        <v/>
      </c>
      <c r="AD57" s="1837" t="str">
        <v/>
      </c>
      <c r="AE57" s="1837" t="str">
        <v>Australia</v>
      </c>
      <c r="AF57" s="1837" t="str">
        <v>Oceania</v>
      </c>
      <c r="AG57" s="1837" t="str">
        <v>Yes</v>
      </c>
      <c r="AH57" s="1837" t="str">
        <v/>
      </c>
      <c r="AI57" s="1837" t="str">
        <v/>
      </c>
      <c r="AJ57" s="1110" t="str">
        <v>David &amp; Jeff</v>
      </c>
      <c r="AP57">
        <v>37</v>
      </c>
      <c r="AS57" s="52" t="s">
        <v>1150</v>
      </c>
    </row>
    <row r="58" spans="1:45" ht="16.5" thickBot="1">
      <c r="A58">
        <v>5</v>
      </c>
      <c r="B58">
        <v>5</v>
      </c>
      <c r="C58" s="3" t="s">
        <v>12</v>
      </c>
      <c r="D58" s="3" t="s">
        <v>12</v>
      </c>
      <c r="E58" s="19" t="s">
        <v>71</v>
      </c>
      <c r="F58" s="3" t="s">
        <v>12</v>
      </c>
      <c r="G58" s="783" t="s">
        <v>14</v>
      </c>
      <c r="H58" s="3" t="s">
        <v>12</v>
      </c>
      <c r="I58" s="4" t="s">
        <v>13</v>
      </c>
      <c r="J58" s="3" t="s">
        <v>12</v>
      </c>
      <c r="P58" s="1329">
        <v>4</v>
      </c>
      <c r="Q58" s="1837">
        <v>12</v>
      </c>
      <c r="R58" s="1837" t="str">
        <v>Route Info</v>
      </c>
      <c r="S58" s="1837" t="str">
        <v>Route Info</v>
      </c>
      <c r="T58" s="1837" t="str">
        <v>Route Info</v>
      </c>
      <c r="U58" s="1837" t="str">
        <v>Route Info</v>
      </c>
      <c r="V58" s="1837" t="str">
        <v>Detour</v>
      </c>
      <c r="W58" s="1837" t="str">
        <v>Route Info</v>
      </c>
      <c r="X58" s="1837" t="str">
        <v>Road Block</v>
      </c>
      <c r="Y58" s="1837" t="str">
        <v>Route Info</v>
      </c>
      <c r="Z58" s="1837" t="str">
        <v/>
      </c>
      <c r="AA58" s="1837" t="str">
        <v/>
      </c>
      <c r="AB58" s="1837" t="str">
        <v/>
      </c>
      <c r="AC58" s="1837" t="str">
        <v/>
      </c>
      <c r="AD58" s="1837" t="str">
        <v/>
      </c>
      <c r="AE58" s="1837" t="str">
        <v>Australia</v>
      </c>
      <c r="AF58" s="1837" t="str">
        <v>Oceania</v>
      </c>
      <c r="AG58" s="1837" t="str">
        <v>No</v>
      </c>
      <c r="AH58" s="1837" t="str">
        <v/>
      </c>
      <c r="AI58" s="1837" t="str">
        <v/>
      </c>
      <c r="AJ58" s="1110" t="str">
        <v>David &amp; Jeff</v>
      </c>
      <c r="AP58">
        <v>38</v>
      </c>
      <c r="AS58" t="s">
        <v>1137</v>
      </c>
    </row>
    <row r="59" spans="1:45" ht="16.5" thickBot="1">
      <c r="A59">
        <v>5</v>
      </c>
      <c r="B59">
        <v>6</v>
      </c>
      <c r="C59" s="3" t="s">
        <v>12</v>
      </c>
      <c r="D59" s="3" t="s">
        <v>12</v>
      </c>
      <c r="E59" s="834" t="s">
        <v>13</v>
      </c>
      <c r="F59" s="3" t="s">
        <v>12</v>
      </c>
      <c r="G59" s="5" t="s">
        <v>14</v>
      </c>
      <c r="H59" s="3" t="s">
        <v>12</v>
      </c>
      <c r="P59" s="1329">
        <v>4</v>
      </c>
      <c r="Q59" s="1837" t="str">
        <v>Final</v>
      </c>
      <c r="R59" s="1837" t="str">
        <v>Route Info</v>
      </c>
      <c r="S59" s="1837" t="str">
        <v>Route Info</v>
      </c>
      <c r="T59" s="1837" t="str">
        <v>Detour</v>
      </c>
      <c r="U59" s="1837" t="str">
        <v>Route Info</v>
      </c>
      <c r="V59" s="1837" t="str">
        <v>Road Block</v>
      </c>
      <c r="W59" s="1837" t="str">
        <v>Route Info</v>
      </c>
      <c r="X59" s="1837" t="str">
        <v>Route Info</v>
      </c>
      <c r="Y59" s="1837" t="str">
        <v>Route Info</v>
      </c>
      <c r="Z59" s="1837" t="str">
        <v>Route Info</v>
      </c>
      <c r="AA59" s="1837" t="str">
        <v>Route Info</v>
      </c>
      <c r="AB59" s="1837" t="str">
        <v/>
      </c>
      <c r="AC59" s="1837" t="str">
        <v/>
      </c>
      <c r="AD59" s="1837" t="str">
        <v/>
      </c>
      <c r="AE59" s="1837" t="str">
        <v>USA</v>
      </c>
      <c r="AF59" s="1837" t="str">
        <v>North America</v>
      </c>
      <c r="AG59" s="1837" t="str">
        <v>Final Leg</v>
      </c>
      <c r="AH59" s="1837" t="str">
        <v/>
      </c>
      <c r="AI59" s="1837" t="str">
        <v/>
      </c>
      <c r="AJ59" s="1110" t="str">
        <v>Reichen &amp; Chip</v>
      </c>
      <c r="AS59" t="s">
        <v>162</v>
      </c>
    </row>
    <row r="60" spans="1:45" ht="16.5" thickBot="1">
      <c r="A60">
        <v>5</v>
      </c>
      <c r="B60">
        <v>7</v>
      </c>
      <c r="C60" s="3" t="s">
        <v>12</v>
      </c>
      <c r="D60" s="3" t="s">
        <v>12</v>
      </c>
      <c r="E60" s="834" t="s">
        <v>13</v>
      </c>
      <c r="F60" s="3" t="s">
        <v>12</v>
      </c>
      <c r="G60" s="5" t="s">
        <v>14</v>
      </c>
      <c r="H60" s="3" t="s">
        <v>12</v>
      </c>
      <c r="P60" s="1329">
        <v>5</v>
      </c>
      <c r="Q60" s="1837">
        <v>1</v>
      </c>
      <c r="R60" s="1837" t="str">
        <v>Route Info</v>
      </c>
      <c r="S60" s="1837" t="str">
        <v>Route Info</v>
      </c>
      <c r="T60" s="1837" t="str">
        <v>Route Info</v>
      </c>
      <c r="U60" s="1837" t="str">
        <v>Route Info</v>
      </c>
      <c r="V60" s="1837" t="str">
        <v>Route Info</v>
      </c>
      <c r="W60" s="1837" t="str">
        <v>Route Info</v>
      </c>
      <c r="X60" s="1837" t="str">
        <v>Detour</v>
      </c>
      <c r="Y60" s="1837" t="str">
        <v>Route Info</v>
      </c>
      <c r="Z60" s="1837" t="str">
        <v/>
      </c>
      <c r="AA60" s="1837" t="str">
        <v/>
      </c>
      <c r="AB60" s="1837" t="str">
        <v/>
      </c>
      <c r="AC60" s="1837" t="str">
        <v/>
      </c>
      <c r="AD60" s="1837" t="str">
        <v/>
      </c>
      <c r="AE60" s="1837" t="str">
        <v>Uruguay</v>
      </c>
      <c r="AF60" s="1837" t="str">
        <v>South America</v>
      </c>
      <c r="AG60" s="1837" t="str">
        <v>Yes</v>
      </c>
      <c r="AH60" s="1837" t="str">
        <v>Yield</v>
      </c>
      <c r="AI60" s="1837">
        <v>6</v>
      </c>
      <c r="AJ60" s="1110" t="str">
        <v>Alison &amp; Donny</v>
      </c>
      <c r="AS60" t="s">
        <v>278</v>
      </c>
    </row>
    <row r="61" spans="1:45" ht="16.5" thickBot="1">
      <c r="A61">
        <v>5</v>
      </c>
      <c r="B61">
        <v>8</v>
      </c>
      <c r="C61" s="3" t="s">
        <v>12</v>
      </c>
      <c r="D61" s="3" t="s">
        <v>12</v>
      </c>
      <c r="E61" s="783" t="s">
        <v>14</v>
      </c>
      <c r="F61" s="3" t="s">
        <v>12</v>
      </c>
      <c r="G61" s="4" t="s">
        <v>13</v>
      </c>
      <c r="H61" s="3" t="s">
        <v>12</v>
      </c>
      <c r="P61" s="1329">
        <v>5</v>
      </c>
      <c r="Q61" s="1837">
        <v>2</v>
      </c>
      <c r="R61" s="1837" t="str">
        <v>Route Info</v>
      </c>
      <c r="S61" s="1837" t="str">
        <v>Route Info</v>
      </c>
      <c r="T61" s="1837" t="str">
        <v>Detour</v>
      </c>
      <c r="U61" s="1837" t="str">
        <v>Route Info</v>
      </c>
      <c r="V61" s="1837" t="str">
        <v>Road Block</v>
      </c>
      <c r="W61" s="1837" t="str">
        <v>Route Info</v>
      </c>
      <c r="X61" s="1837" t="str">
        <v/>
      </c>
      <c r="Y61" s="1837" t="str">
        <v/>
      </c>
      <c r="Z61" s="1837" t="str">
        <v/>
      </c>
      <c r="AA61" s="1837" t="str">
        <v/>
      </c>
      <c r="AB61" s="1837" t="str">
        <v/>
      </c>
      <c r="AC61" s="1837" t="str">
        <v/>
      </c>
      <c r="AD61" s="1837" t="str">
        <v/>
      </c>
      <c r="AE61" s="1837" t="str">
        <v>Argentina</v>
      </c>
      <c r="AF61" s="1837" t="str">
        <v>South America</v>
      </c>
      <c r="AG61" s="1837" t="str">
        <v>Yes</v>
      </c>
      <c r="AH61" s="1837" t="str">
        <v>Yield</v>
      </c>
      <c r="AI61" s="1837">
        <v>3</v>
      </c>
      <c r="AJ61" s="1110" t="str">
        <v>Brandon &amp; Nicole</v>
      </c>
      <c r="AS61" t="s">
        <v>294</v>
      </c>
    </row>
    <row r="62" spans="1:45" ht="16.5" thickBot="1">
      <c r="A62">
        <v>5</v>
      </c>
      <c r="B62">
        <v>9</v>
      </c>
      <c r="C62" s="3" t="s">
        <v>12</v>
      </c>
      <c r="D62" s="3" t="s">
        <v>12</v>
      </c>
      <c r="E62" s="3" t="s">
        <v>12</v>
      </c>
      <c r="F62" s="839" t="s">
        <v>71</v>
      </c>
      <c r="G62" s="3" t="s">
        <v>12</v>
      </c>
      <c r="H62" s="5" t="s">
        <v>14</v>
      </c>
      <c r="I62" s="3" t="s">
        <v>12</v>
      </c>
      <c r="J62" s="4" t="s">
        <v>13</v>
      </c>
      <c r="K62" s="3" t="s">
        <v>12</v>
      </c>
      <c r="P62" s="1329">
        <v>5</v>
      </c>
      <c r="Q62" s="1837">
        <v>3</v>
      </c>
      <c r="R62" s="1837" t="str">
        <v>Route Info</v>
      </c>
      <c r="S62" s="1837" t="str">
        <v>Route Info</v>
      </c>
      <c r="T62" s="1837" t="str">
        <v>Road Block</v>
      </c>
      <c r="U62" s="1837" t="str">
        <v>Route Info</v>
      </c>
      <c r="V62" s="1837" t="str">
        <v>Detour</v>
      </c>
      <c r="W62" s="1837" t="str">
        <v>Route Info</v>
      </c>
      <c r="X62" s="1837" t="str">
        <v/>
      </c>
      <c r="Y62" s="1837" t="str">
        <v/>
      </c>
      <c r="Z62" s="1837" t="str">
        <v/>
      </c>
      <c r="AA62" s="1837" t="str">
        <v/>
      </c>
      <c r="AB62" s="1837" t="str">
        <v/>
      </c>
      <c r="AC62" s="1837" t="str">
        <v/>
      </c>
      <c r="AD62" s="1837" t="str">
        <v/>
      </c>
      <c r="AE62" s="1837" t="str">
        <v>Argentina</v>
      </c>
      <c r="AF62" s="1837" t="str">
        <v>South America</v>
      </c>
      <c r="AG62" s="1837" t="str">
        <v>Yes</v>
      </c>
      <c r="AH62" s="1837" t="str">
        <v>Yield</v>
      </c>
      <c r="AI62" s="1837">
        <v>3</v>
      </c>
      <c r="AJ62" s="1110" t="str">
        <v>Colin &amp; Christie</v>
      </c>
      <c r="AS62" t="s">
        <v>1151</v>
      </c>
    </row>
    <row r="63" spans="1:45" ht="16.5" thickBot="1">
      <c r="A63">
        <v>5</v>
      </c>
      <c r="B63">
        <v>10</v>
      </c>
      <c r="C63" s="3" t="s">
        <v>12</v>
      </c>
      <c r="D63" s="834" t="s">
        <v>13</v>
      </c>
      <c r="E63" s="3" t="s">
        <v>12</v>
      </c>
      <c r="F63" s="5" t="s">
        <v>14</v>
      </c>
      <c r="P63" s="1329">
        <v>5</v>
      </c>
      <c r="Q63" s="1837">
        <v>4</v>
      </c>
      <c r="R63" s="1837" t="str">
        <v>Route Info</v>
      </c>
      <c r="S63" s="1837" t="str">
        <v>Detour</v>
      </c>
      <c r="T63" s="1837" t="str">
        <v>Route Info</v>
      </c>
      <c r="U63" s="1837" t="str">
        <v>Route Info</v>
      </c>
      <c r="V63" s="1837" t="str">
        <v>Road Block</v>
      </c>
      <c r="W63" s="1837" t="str">
        <v>Route Info</v>
      </c>
      <c r="X63" s="1837" t="str">
        <v/>
      </c>
      <c r="Y63" s="1837" t="str">
        <v/>
      </c>
      <c r="Z63" s="1837" t="str">
        <v/>
      </c>
      <c r="AA63" s="1837" t="str">
        <v/>
      </c>
      <c r="AB63" s="1837" t="str">
        <v/>
      </c>
      <c r="AC63" s="1837" t="str">
        <v/>
      </c>
      <c r="AD63" s="1837" t="str">
        <v/>
      </c>
      <c r="AE63" s="1837" t="str">
        <v>Russia</v>
      </c>
      <c r="AF63" s="1837" t="str">
        <v>Eastern Europe</v>
      </c>
      <c r="AG63" s="1837" t="str">
        <v>Yes</v>
      </c>
      <c r="AH63" s="1837" t="str">
        <v>Yield</v>
      </c>
      <c r="AI63" s="1837">
        <v>2</v>
      </c>
      <c r="AJ63" s="1110" t="str">
        <v>Chip &amp; Kim</v>
      </c>
      <c r="AS63" t="s">
        <v>304</v>
      </c>
    </row>
    <row r="64" spans="1:45" ht="16.5" thickBot="1">
      <c r="A64">
        <v>5</v>
      </c>
      <c r="B64">
        <v>11</v>
      </c>
      <c r="C64" s="3" t="s">
        <v>12</v>
      </c>
      <c r="D64" s="5" t="s">
        <v>14</v>
      </c>
      <c r="E64" s="3" t="s">
        <v>12</v>
      </c>
      <c r="F64" s="3" t="s">
        <v>12</v>
      </c>
      <c r="G64" s="3" t="s">
        <v>12</v>
      </c>
      <c r="H64" s="4" t="s">
        <v>13</v>
      </c>
      <c r="I64" s="3" t="s">
        <v>12</v>
      </c>
      <c r="P64" s="1329">
        <v>5</v>
      </c>
      <c r="Q64" s="1837">
        <v>5</v>
      </c>
      <c r="R64" s="1837" t="str">
        <v>Route Info</v>
      </c>
      <c r="S64" s="1837" t="str">
        <v>Route Info</v>
      </c>
      <c r="T64" s="1837" t="str">
        <v>Fast Forward</v>
      </c>
      <c r="U64" s="1837" t="str">
        <v>Route Info</v>
      </c>
      <c r="V64" s="1837" t="str">
        <v>Road Block</v>
      </c>
      <c r="W64" s="1837" t="str">
        <v>Route Info</v>
      </c>
      <c r="X64" s="1837" t="str">
        <v>Detour</v>
      </c>
      <c r="Y64" s="1837" t="str">
        <v>Route Info</v>
      </c>
      <c r="Z64" s="1837" t="str">
        <v/>
      </c>
      <c r="AA64" s="1837" t="str">
        <v/>
      </c>
      <c r="AB64" s="1837" t="str">
        <v/>
      </c>
      <c r="AC64" s="1837" t="str">
        <v/>
      </c>
      <c r="AD64" s="1837" t="str">
        <v/>
      </c>
      <c r="AE64" s="1837" t="str">
        <v>Egypt</v>
      </c>
      <c r="AF64" s="1837" t="str">
        <v>Northern Africa</v>
      </c>
      <c r="AG64" s="1837" t="str">
        <v>No</v>
      </c>
      <c r="AH64" s="1837" t="str">
        <v>Yield</v>
      </c>
      <c r="AI64" s="1837">
        <v>5</v>
      </c>
      <c r="AJ64" s="1110" t="str">
        <v>Colin &amp; Christie</v>
      </c>
      <c r="AS64" s="37" t="s">
        <v>1139</v>
      </c>
    </row>
    <row r="65" spans="1:45" ht="16.5" thickBot="1">
      <c r="A65">
        <v>5</v>
      </c>
      <c r="B65">
        <v>12</v>
      </c>
      <c r="C65" s="3" t="s">
        <v>12</v>
      </c>
      <c r="D65" s="3" t="s">
        <v>12</v>
      </c>
      <c r="E65" s="3" t="s">
        <v>12</v>
      </c>
      <c r="F65" s="782" t="s">
        <v>12</v>
      </c>
      <c r="G65" s="3" t="s">
        <v>12</v>
      </c>
      <c r="H65" s="5" t="s">
        <v>14</v>
      </c>
      <c r="I65" s="3" t="s">
        <v>12</v>
      </c>
      <c r="P65" s="1329">
        <v>5</v>
      </c>
      <c r="Q65" s="1837">
        <v>6</v>
      </c>
      <c r="R65" s="1837" t="str">
        <v>Route Info</v>
      </c>
      <c r="S65" s="1837" t="str">
        <v>Route Info</v>
      </c>
      <c r="T65" s="1837" t="str">
        <v>Detour</v>
      </c>
      <c r="U65" s="1837" t="str">
        <v>Route Info</v>
      </c>
      <c r="V65" s="1837" t="str">
        <v>Road Block</v>
      </c>
      <c r="W65" s="1837" t="str">
        <v>Route Info</v>
      </c>
      <c r="X65" s="1837" t="str">
        <v/>
      </c>
      <c r="Y65" s="1837" t="str">
        <v/>
      </c>
      <c r="Z65" s="1837" t="str">
        <v/>
      </c>
      <c r="AA65" s="1837" t="str">
        <v/>
      </c>
      <c r="AB65" s="1837" t="str">
        <v/>
      </c>
      <c r="AC65" s="1837" t="str">
        <v/>
      </c>
      <c r="AD65" s="1837" t="str">
        <v/>
      </c>
      <c r="AE65" s="1837" t="str">
        <v>Egypt</v>
      </c>
      <c r="AF65" s="1837" t="str">
        <v>Northern Africa</v>
      </c>
      <c r="AG65" s="1837" t="str">
        <v>Yes</v>
      </c>
      <c r="AH65" s="1837" t="str">
        <v>Yield</v>
      </c>
      <c r="AI65" s="1837">
        <v>3</v>
      </c>
      <c r="AJ65" s="1110" t="str">
        <v>Colin &amp; Christie</v>
      </c>
      <c r="AS65" t="s">
        <v>279</v>
      </c>
    </row>
    <row r="66" spans="1:45">
      <c r="A66">
        <v>5</v>
      </c>
      <c r="B66" t="s">
        <v>2810</v>
      </c>
      <c r="C66" s="3" t="s">
        <v>12</v>
      </c>
      <c r="D66" s="3" t="s">
        <v>12</v>
      </c>
      <c r="E66" s="5" t="s">
        <v>14</v>
      </c>
      <c r="F66" s="3" t="s">
        <v>12</v>
      </c>
      <c r="G66" s="3" t="s">
        <v>12</v>
      </c>
      <c r="H66" s="4" t="s">
        <v>13</v>
      </c>
      <c r="I66" s="3" t="s">
        <v>12</v>
      </c>
      <c r="J66" s="3" t="s">
        <v>12</v>
      </c>
      <c r="K66" s="3" t="s">
        <v>12</v>
      </c>
      <c r="P66" s="1329">
        <v>5</v>
      </c>
      <c r="Q66" s="1837">
        <v>7</v>
      </c>
      <c r="R66" s="1837" t="str">
        <v>Route Info</v>
      </c>
      <c r="S66" s="1837" t="str">
        <v>Route Info</v>
      </c>
      <c r="T66" s="1837" t="str">
        <v>Detour</v>
      </c>
      <c r="U66" s="1837" t="str">
        <v>Route Info</v>
      </c>
      <c r="V66" s="1837" t="str">
        <v>Road Block</v>
      </c>
      <c r="W66" s="1837" t="str">
        <v>Route Info</v>
      </c>
      <c r="X66" s="1837" t="str">
        <v/>
      </c>
      <c r="Y66" s="1837" t="str">
        <v/>
      </c>
      <c r="Z66" s="1837" t="str">
        <v/>
      </c>
      <c r="AA66" s="1837" t="str">
        <v/>
      </c>
      <c r="AB66" s="1837" t="str">
        <v/>
      </c>
      <c r="AC66" s="1837" t="str">
        <v/>
      </c>
      <c r="AD66" s="1837" t="str">
        <v/>
      </c>
      <c r="AE66" s="1837" t="str">
        <v>Tanzania</v>
      </c>
      <c r="AF66" s="1837" t="str">
        <v>East Africa</v>
      </c>
      <c r="AG66" s="1837" t="str">
        <v>Yes</v>
      </c>
      <c r="AH66" s="1837" t="str">
        <v>Yield</v>
      </c>
      <c r="AI66" s="1837">
        <v>3</v>
      </c>
      <c r="AJ66" s="1110" t="str">
        <v>Chip &amp; Kim</v>
      </c>
      <c r="AS66" s="37" t="s">
        <v>321</v>
      </c>
    </row>
    <row r="67" spans="1:45">
      <c r="A67">
        <v>6</v>
      </c>
      <c r="B67">
        <v>1</v>
      </c>
      <c r="C67" s="3" t="s">
        <v>12</v>
      </c>
      <c r="D67" s="3" t="s">
        <v>12</v>
      </c>
      <c r="E67" s="3" t="s">
        <v>12</v>
      </c>
      <c r="F67" s="3" t="s">
        <v>12</v>
      </c>
      <c r="G67" s="3" t="s">
        <v>12</v>
      </c>
      <c r="H67" s="3" t="s">
        <v>12</v>
      </c>
      <c r="I67" s="4" t="s">
        <v>13</v>
      </c>
      <c r="J67" s="3" t="s">
        <v>12</v>
      </c>
      <c r="P67" s="1329">
        <v>5</v>
      </c>
      <c r="Q67" s="1837">
        <v>8</v>
      </c>
      <c r="R67" s="1837" t="str">
        <v>Route Info</v>
      </c>
      <c r="S67" s="1837" t="str">
        <v>Route Info</v>
      </c>
      <c r="T67" s="1837" t="str">
        <v>Road Block</v>
      </c>
      <c r="U67" s="1837" t="str">
        <v>Route Info</v>
      </c>
      <c r="V67" s="1837" t="str">
        <v>Detour</v>
      </c>
      <c r="W67" s="1837" t="str">
        <v>Route Info</v>
      </c>
      <c r="X67" s="1837" t="str">
        <v/>
      </c>
      <c r="Y67" s="1837" t="str">
        <v/>
      </c>
      <c r="Z67" s="1837" t="str">
        <v/>
      </c>
      <c r="AA67" s="1837" t="str">
        <v/>
      </c>
      <c r="AB67" s="1837" t="str">
        <v/>
      </c>
      <c r="AC67" s="1837" t="str">
        <v/>
      </c>
      <c r="AD67" s="1837" t="str">
        <v/>
      </c>
      <c r="AE67" s="1837" t="str">
        <v>UAE</v>
      </c>
      <c r="AF67" s="1837" t="str">
        <v>Middle East</v>
      </c>
      <c r="AG67" s="1837" t="str">
        <v>No</v>
      </c>
      <c r="AH67" s="1837" t="str">
        <v>Yield</v>
      </c>
      <c r="AI67" s="1837">
        <v>3</v>
      </c>
      <c r="AJ67" s="1110" t="str">
        <v>Colin &amp; Christie</v>
      </c>
      <c r="AS67" t="s">
        <v>1157</v>
      </c>
    </row>
    <row r="68" spans="1:45" ht="16.5" thickBot="1">
      <c r="A68">
        <v>6</v>
      </c>
      <c r="B68">
        <v>2</v>
      </c>
      <c r="C68" s="3" t="s">
        <v>12</v>
      </c>
      <c r="D68" s="5" t="s">
        <v>14</v>
      </c>
      <c r="E68" s="3" t="s">
        <v>12</v>
      </c>
      <c r="F68" s="3" t="s">
        <v>12</v>
      </c>
      <c r="G68" s="3" t="s">
        <v>12</v>
      </c>
      <c r="H68" s="3" t="s">
        <v>12</v>
      </c>
      <c r="I68" s="4" t="s">
        <v>13</v>
      </c>
      <c r="J68" s="3" t="s">
        <v>12</v>
      </c>
      <c r="P68" s="1329">
        <v>5</v>
      </c>
      <c r="Q68" s="1837">
        <v>9</v>
      </c>
      <c r="R68" s="1837" t="str">
        <v>Route Info</v>
      </c>
      <c r="S68" s="1837" t="str">
        <v>Route Info</v>
      </c>
      <c r="T68" s="1837" t="str">
        <v>Route Info</v>
      </c>
      <c r="U68" s="1837" t="str">
        <v>Fast Forward</v>
      </c>
      <c r="V68" s="1837" t="str">
        <v>Route Info</v>
      </c>
      <c r="W68" s="1837" t="str">
        <v>Road Block</v>
      </c>
      <c r="X68" s="1837" t="str">
        <v>Route Info</v>
      </c>
      <c r="Y68" s="1837" t="str">
        <v>Detour</v>
      </c>
      <c r="Z68" s="1837" t="str">
        <v>Route Info</v>
      </c>
      <c r="AA68" s="1837" t="str">
        <v/>
      </c>
      <c r="AB68" s="1837" t="str">
        <v/>
      </c>
      <c r="AC68" s="1837" t="str">
        <v/>
      </c>
      <c r="AD68" s="1837" t="str">
        <v/>
      </c>
      <c r="AE68" s="1837" t="str">
        <v>India</v>
      </c>
      <c r="AF68" s="1837" t="str">
        <v>South Asia</v>
      </c>
      <c r="AG68" s="1837" t="str">
        <v>No</v>
      </c>
      <c r="AH68" s="1837" t="str">
        <v>Yield</v>
      </c>
      <c r="AI68" s="1837">
        <v>4</v>
      </c>
      <c r="AJ68" s="1110" t="str">
        <v>Colin &amp; Christie</v>
      </c>
      <c r="AS68" s="37" t="s">
        <v>1145</v>
      </c>
    </row>
    <row r="69" spans="1:45" ht="16.5" thickBot="1">
      <c r="A69">
        <v>6</v>
      </c>
      <c r="B69">
        <v>3</v>
      </c>
      <c r="C69" s="3" t="s">
        <v>12</v>
      </c>
      <c r="D69" s="3" t="s">
        <v>12</v>
      </c>
      <c r="E69" s="3" t="s">
        <v>12</v>
      </c>
      <c r="F69" s="4" t="s">
        <v>13</v>
      </c>
      <c r="G69" s="3" t="s">
        <v>12</v>
      </c>
      <c r="H69" s="783" t="s">
        <v>14</v>
      </c>
      <c r="I69" s="3" t="s">
        <v>12</v>
      </c>
      <c r="P69" s="1329">
        <v>5</v>
      </c>
      <c r="Q69" s="1837">
        <v>10</v>
      </c>
      <c r="R69" s="1837" t="str">
        <v>Route Info</v>
      </c>
      <c r="S69" s="1837" t="str">
        <v>Detour</v>
      </c>
      <c r="T69" s="1837" t="str">
        <v>Route Info</v>
      </c>
      <c r="U69" s="1837" t="str">
        <v>Road Block</v>
      </c>
      <c r="V69" s="1837" t="str">
        <v/>
      </c>
      <c r="W69" s="1837" t="str">
        <v/>
      </c>
      <c r="X69" s="1837" t="str">
        <v/>
      </c>
      <c r="Y69" s="1837" t="str">
        <v/>
      </c>
      <c r="Z69" s="1837" t="str">
        <v/>
      </c>
      <c r="AA69" s="1837" t="str">
        <v/>
      </c>
      <c r="AB69" s="1837" t="str">
        <v/>
      </c>
      <c r="AC69" s="1837" t="str">
        <v/>
      </c>
      <c r="AD69" s="1837" t="str">
        <v/>
      </c>
      <c r="AE69" s="1837" t="str">
        <v>New Zealand</v>
      </c>
      <c r="AF69" s="1837" t="str">
        <v>Oceania</v>
      </c>
      <c r="AG69" s="1837" t="str">
        <v>Yes</v>
      </c>
      <c r="AH69" s="1837" t="str">
        <v>Yield</v>
      </c>
      <c r="AI69" s="1837">
        <v>2</v>
      </c>
      <c r="AJ69" s="1110" t="str">
        <v>Colin &amp; Christie</v>
      </c>
      <c r="AS69" t="s">
        <v>282</v>
      </c>
    </row>
    <row r="70" spans="1:45">
      <c r="A70">
        <v>6</v>
      </c>
      <c r="B70">
        <v>4</v>
      </c>
      <c r="C70" s="3" t="s">
        <v>12</v>
      </c>
      <c r="D70" s="3" t="s">
        <v>12</v>
      </c>
      <c r="E70" s="3" t="s">
        <v>12</v>
      </c>
      <c r="F70" s="3" t="s">
        <v>12</v>
      </c>
      <c r="G70" s="4" t="s">
        <v>13</v>
      </c>
      <c r="H70" s="3" t="s">
        <v>12</v>
      </c>
      <c r="I70" s="5" t="s">
        <v>14</v>
      </c>
      <c r="J70" s="3" t="s">
        <v>12</v>
      </c>
      <c r="P70" s="1329">
        <v>5</v>
      </c>
      <c r="Q70" s="1837">
        <v>11</v>
      </c>
      <c r="R70" s="1837" t="str">
        <v>Route Info</v>
      </c>
      <c r="S70" s="1837" t="str">
        <v>Road Block</v>
      </c>
      <c r="T70" s="1837" t="str">
        <v>Route Info</v>
      </c>
      <c r="U70" s="1837" t="str">
        <v>Route Info</v>
      </c>
      <c r="V70" s="1837" t="str">
        <v>Route Info</v>
      </c>
      <c r="W70" s="1837" t="str">
        <v>Detour</v>
      </c>
      <c r="X70" s="1837" t="str">
        <v>Route Info</v>
      </c>
      <c r="Y70" s="1837" t="str">
        <v/>
      </c>
      <c r="Z70" s="1837" t="str">
        <v/>
      </c>
      <c r="AA70" s="1837" t="str">
        <v/>
      </c>
      <c r="AB70" s="1837" t="str">
        <v/>
      </c>
      <c r="AC70" s="1837" t="str">
        <v/>
      </c>
      <c r="AD70" s="1837" t="str">
        <v/>
      </c>
      <c r="AE70" s="1837" t="str">
        <v>Philippines</v>
      </c>
      <c r="AF70" s="1837" t="str">
        <v>South East Asia</v>
      </c>
      <c r="AG70" s="1837" t="str">
        <v>No</v>
      </c>
      <c r="AH70" s="1837" t="str">
        <v>Yield</v>
      </c>
      <c r="AI70" s="1837">
        <v>4</v>
      </c>
      <c r="AJ70" s="1110" t="str">
        <v>Chip &amp; Kim</v>
      </c>
      <c r="AS70" t="s">
        <v>317</v>
      </c>
    </row>
    <row r="71" spans="1:45">
      <c r="A71">
        <v>6</v>
      </c>
      <c r="B71">
        <v>5</v>
      </c>
      <c r="C71" s="3" t="s">
        <v>12</v>
      </c>
      <c r="D71" s="3" t="s">
        <v>12</v>
      </c>
      <c r="E71" s="3" t="s">
        <v>12</v>
      </c>
      <c r="F71" s="4" t="s">
        <v>13</v>
      </c>
      <c r="G71" s="3" t="s">
        <v>12</v>
      </c>
      <c r="H71" s="5" t="s">
        <v>14</v>
      </c>
      <c r="I71" s="3" t="s">
        <v>12</v>
      </c>
      <c r="P71" s="1329">
        <v>5</v>
      </c>
      <c r="Q71" s="1837">
        <v>12</v>
      </c>
      <c r="R71" s="1837" t="str">
        <v>Route Info</v>
      </c>
      <c r="S71" s="1837" t="str">
        <v>Route Info</v>
      </c>
      <c r="T71" s="1837" t="str">
        <v>Route Info</v>
      </c>
      <c r="U71" s="1837" t="str">
        <v>Route Info</v>
      </c>
      <c r="V71" s="1837" t="str">
        <v>Route Info</v>
      </c>
      <c r="W71" s="1837" t="str">
        <v>Road Block</v>
      </c>
      <c r="X71" s="1837" t="str">
        <v>Route Info</v>
      </c>
      <c r="Y71" s="1837" t="str">
        <v/>
      </c>
      <c r="Z71" s="1837" t="str">
        <v/>
      </c>
      <c r="AA71" s="1837" t="str">
        <v/>
      </c>
      <c r="AB71" s="1837" t="str">
        <v/>
      </c>
      <c r="AC71" s="1837" t="str">
        <v/>
      </c>
      <c r="AD71" s="1837" t="str">
        <v/>
      </c>
      <c r="AE71" s="1837" t="str">
        <v>Philippines</v>
      </c>
      <c r="AF71" s="1837" t="str">
        <v>South East Asia</v>
      </c>
      <c r="AG71" s="1837" t="str">
        <v>Yes</v>
      </c>
      <c r="AH71" s="1837" t="str">
        <v>Yield</v>
      </c>
      <c r="AI71" s="1837">
        <v>4</v>
      </c>
      <c r="AJ71" s="1110" t="str">
        <v>Brandon &amp; Nicole</v>
      </c>
      <c r="AS71" s="52" t="s">
        <v>1154</v>
      </c>
    </row>
    <row r="72" spans="1:45">
      <c r="A72">
        <v>6</v>
      </c>
      <c r="B72" s="35">
        <v>6</v>
      </c>
      <c r="C72" s="3" t="s">
        <v>12</v>
      </c>
      <c r="D72" s="3" t="s">
        <v>12</v>
      </c>
      <c r="E72" s="5" t="s">
        <v>14</v>
      </c>
      <c r="F72" s="3" t="s">
        <v>12</v>
      </c>
      <c r="G72" s="4" t="s">
        <v>13</v>
      </c>
      <c r="H72" s="3" t="s">
        <v>12</v>
      </c>
      <c r="I72" s="3" t="s">
        <v>12</v>
      </c>
      <c r="J72" s="19" t="s">
        <v>71</v>
      </c>
      <c r="K72" s="3" t="s">
        <v>12</v>
      </c>
      <c r="L72" s="4" t="s">
        <v>13</v>
      </c>
      <c r="M72" s="3" t="s">
        <v>12</v>
      </c>
      <c r="N72" s="5" t="s">
        <v>14</v>
      </c>
      <c r="O72" s="3" t="s">
        <v>12</v>
      </c>
      <c r="P72" s="1329">
        <v>5</v>
      </c>
      <c r="Q72" s="1837" t="str">
        <v>Final</v>
      </c>
      <c r="R72" s="1837" t="str">
        <v>Route Info</v>
      </c>
      <c r="S72" s="1837" t="str">
        <v>Route Info</v>
      </c>
      <c r="T72" s="1837" t="str">
        <v>Road Block</v>
      </c>
      <c r="U72" s="1837" t="str">
        <v>Route Info</v>
      </c>
      <c r="V72" s="1837" t="str">
        <v>Route Info</v>
      </c>
      <c r="W72" s="1837" t="str">
        <v>Detour</v>
      </c>
      <c r="X72" s="1837" t="str">
        <v>Route Info</v>
      </c>
      <c r="Y72" s="1837" t="str">
        <v>Route Info</v>
      </c>
      <c r="Z72" s="1837" t="str">
        <v>Route Info</v>
      </c>
      <c r="AA72" s="1837" t="str">
        <v/>
      </c>
      <c r="AB72" s="1837" t="str">
        <v/>
      </c>
      <c r="AC72" s="1837" t="str">
        <v/>
      </c>
      <c r="AD72" s="1837" t="str">
        <v/>
      </c>
      <c r="AE72" s="1837" t="str">
        <v>Canada\nUSA</v>
      </c>
      <c r="AF72" s="1837" t="str">
        <v>North America</v>
      </c>
      <c r="AG72" s="1837" t="str">
        <v>Final Leg</v>
      </c>
      <c r="AH72" s="1837" t="str">
        <v/>
      </c>
      <c r="AI72" s="1837" t="str">
        <v/>
      </c>
      <c r="AJ72" s="1110" t="str">
        <v>Chip &amp; Kim</v>
      </c>
      <c r="AS72" t="s">
        <v>1147</v>
      </c>
    </row>
    <row r="73" spans="1:45" ht="16.5" thickBot="1">
      <c r="A73">
        <v>6</v>
      </c>
      <c r="B73">
        <v>7</v>
      </c>
      <c r="C73" s="3" t="s">
        <v>12</v>
      </c>
      <c r="D73" s="3" t="s">
        <v>12</v>
      </c>
      <c r="E73" s="19" t="s">
        <v>71</v>
      </c>
      <c r="F73" s="3" t="s">
        <v>12</v>
      </c>
      <c r="G73" s="4" t="s">
        <v>13</v>
      </c>
      <c r="H73" s="3" t="s">
        <v>12</v>
      </c>
      <c r="I73" s="5" t="s">
        <v>14</v>
      </c>
      <c r="J73" s="3" t="s">
        <v>12</v>
      </c>
      <c r="P73" s="1329">
        <v>6</v>
      </c>
      <c r="Q73" s="1837">
        <v>1</v>
      </c>
      <c r="R73" s="1837" t="str">
        <v>Route Info</v>
      </c>
      <c r="S73" s="1837" t="str">
        <v>Route Info</v>
      </c>
      <c r="T73" s="1837" t="str">
        <v>Route Info</v>
      </c>
      <c r="U73" s="1837" t="str">
        <v>Route Info</v>
      </c>
      <c r="V73" s="1837" t="str">
        <v>Route Info</v>
      </c>
      <c r="W73" s="1837" t="str">
        <v>Route Info</v>
      </c>
      <c r="X73" s="1837" t="str">
        <v>Detour</v>
      </c>
      <c r="Y73" s="1837" t="str">
        <v>Route Info</v>
      </c>
      <c r="Z73" s="1837" t="str">
        <v/>
      </c>
      <c r="AA73" s="1837" t="str">
        <v/>
      </c>
      <c r="AB73" s="1837" t="str">
        <v/>
      </c>
      <c r="AC73" s="1837" t="str">
        <v/>
      </c>
      <c r="AD73" s="1837" t="str">
        <v/>
      </c>
      <c r="AE73" s="1837" t="str">
        <v>Iceland</v>
      </c>
      <c r="AF73" s="1837" t="str">
        <v>Northern Europe</v>
      </c>
      <c r="AG73" s="1837" t="str">
        <v>Yes</v>
      </c>
      <c r="AH73" s="1837" t="str">
        <v/>
      </c>
      <c r="AI73" s="1837" t="str">
        <v/>
      </c>
      <c r="AJ73" s="1110" t="str">
        <v>Hayden &amp; Aaron</v>
      </c>
      <c r="AS73" s="52" t="s">
        <v>1162</v>
      </c>
    </row>
    <row r="74" spans="1:45" ht="16.5" thickBot="1">
      <c r="A74">
        <v>6</v>
      </c>
      <c r="B74">
        <v>8</v>
      </c>
      <c r="C74" s="3" t="s">
        <v>12</v>
      </c>
      <c r="D74" s="3" t="s">
        <v>12</v>
      </c>
      <c r="E74" s="3" t="s">
        <v>12</v>
      </c>
      <c r="F74" s="4" t="s">
        <v>13</v>
      </c>
      <c r="G74" s="3" t="s">
        <v>12</v>
      </c>
      <c r="H74" s="783" t="s">
        <v>14</v>
      </c>
      <c r="I74" s="3" t="s">
        <v>12</v>
      </c>
      <c r="P74" s="1329">
        <v>6</v>
      </c>
      <c r="Q74" s="1837">
        <v>2</v>
      </c>
      <c r="R74" s="1837" t="str">
        <v>Route Info</v>
      </c>
      <c r="S74" s="1837" t="str">
        <v>Road Block</v>
      </c>
      <c r="T74" s="1837" t="str">
        <v>Route Info</v>
      </c>
      <c r="U74" s="1837" t="str">
        <v>Route Info</v>
      </c>
      <c r="V74" s="1837" t="str">
        <v>Route Info</v>
      </c>
      <c r="W74" s="1837" t="str">
        <v>Route Info</v>
      </c>
      <c r="X74" s="1837" t="str">
        <v>Detour</v>
      </c>
      <c r="Y74" s="1837" t="str">
        <v>Route Info</v>
      </c>
      <c r="Z74" s="1837" t="str">
        <v/>
      </c>
      <c r="AA74" s="1837" t="str">
        <v/>
      </c>
      <c r="AB74" s="1837" t="str">
        <v/>
      </c>
      <c r="AC74" s="1837" t="str">
        <v/>
      </c>
      <c r="AD74" s="1837" t="str">
        <v/>
      </c>
      <c r="AE74" s="1837" t="str">
        <v>Norway</v>
      </c>
      <c r="AF74" s="1837" t="str">
        <v>Northern Europe</v>
      </c>
      <c r="AG74" s="1837" t="str">
        <v>Yes</v>
      </c>
      <c r="AH74" s="1837" t="str">
        <v/>
      </c>
      <c r="AI74" s="1837" t="str">
        <v/>
      </c>
      <c r="AJ74" s="1110" t="str">
        <v>Kris &amp; Jon</v>
      </c>
      <c r="AS74" t="s">
        <v>1128</v>
      </c>
    </row>
    <row r="75" spans="1:45" ht="16.5" thickBot="1">
      <c r="A75">
        <v>6</v>
      </c>
      <c r="B75">
        <v>9</v>
      </c>
      <c r="C75" s="3" t="s">
        <v>12</v>
      </c>
      <c r="D75" s="3" t="s">
        <v>12</v>
      </c>
      <c r="E75" s="3" t="s">
        <v>12</v>
      </c>
      <c r="F75" s="4" t="s">
        <v>13</v>
      </c>
      <c r="G75" s="3" t="s">
        <v>12</v>
      </c>
      <c r="H75" s="3" t="s">
        <v>12</v>
      </c>
      <c r="I75" s="5" t="s">
        <v>14</v>
      </c>
      <c r="P75" s="1329">
        <v>6</v>
      </c>
      <c r="Q75" s="1837">
        <v>3</v>
      </c>
      <c r="R75" s="1837" t="str">
        <v>Route Info</v>
      </c>
      <c r="S75" s="1837" t="str">
        <v>Route Info</v>
      </c>
      <c r="T75" s="1837" t="str">
        <v>Route Info</v>
      </c>
      <c r="U75" s="1837" t="str">
        <v>Detour</v>
      </c>
      <c r="V75" s="1837" t="str">
        <v>Route Info</v>
      </c>
      <c r="W75" s="1837" t="str">
        <v>Road Block</v>
      </c>
      <c r="X75" s="1837" t="str">
        <v>Route Info</v>
      </c>
      <c r="Y75" s="1837" t="str">
        <v/>
      </c>
      <c r="Z75" s="1837" t="str">
        <v/>
      </c>
      <c r="AA75" s="1837" t="str">
        <v/>
      </c>
      <c r="AB75" s="1837" t="str">
        <v/>
      </c>
      <c r="AC75" s="1837" t="str">
        <v/>
      </c>
      <c r="AD75" s="1837" t="str">
        <v/>
      </c>
      <c r="AE75" s="1837" t="str">
        <v>Sweden</v>
      </c>
      <c r="AF75" s="1837" t="str">
        <v>Northern Europe</v>
      </c>
      <c r="AG75" s="1837" t="str">
        <v>Yes</v>
      </c>
      <c r="AH75" s="1837" t="str">
        <v>Yield</v>
      </c>
      <c r="AI75" s="1837">
        <v>6</v>
      </c>
      <c r="AJ75" s="1110" t="str">
        <v>Hayden &amp; Aaron</v>
      </c>
      <c r="AS75" t="s">
        <v>122</v>
      </c>
    </row>
    <row r="76" spans="1:45" ht="16.5" thickBot="1">
      <c r="A76">
        <v>6</v>
      </c>
      <c r="B76">
        <v>10</v>
      </c>
      <c r="C76" s="3" t="s">
        <v>12</v>
      </c>
      <c r="D76" s="3" t="s">
        <v>12</v>
      </c>
      <c r="E76" s="783" t="s">
        <v>14</v>
      </c>
      <c r="F76" s="3" t="s">
        <v>12</v>
      </c>
      <c r="G76" s="3" t="s">
        <v>12</v>
      </c>
      <c r="H76" s="4" t="s">
        <v>13</v>
      </c>
      <c r="I76" s="3" t="s">
        <v>12</v>
      </c>
      <c r="P76" s="1329">
        <v>6</v>
      </c>
      <c r="Q76" s="1837">
        <v>4</v>
      </c>
      <c r="R76" s="1837" t="str">
        <v>Route Info</v>
      </c>
      <c r="S76" s="1837" t="str">
        <v>Route Info</v>
      </c>
      <c r="T76" s="1837" t="str">
        <v>Route Info</v>
      </c>
      <c r="U76" s="1837" t="str">
        <v>Route Info</v>
      </c>
      <c r="V76" s="1837" t="str">
        <v>Detour</v>
      </c>
      <c r="W76" s="1837" t="str">
        <v>Route Info</v>
      </c>
      <c r="X76" s="1837" t="str">
        <v>Road Block</v>
      </c>
      <c r="Y76" s="1837" t="str">
        <v>Route Info</v>
      </c>
      <c r="Z76" s="1837" t="str">
        <v/>
      </c>
      <c r="AA76" s="1837" t="str">
        <v/>
      </c>
      <c r="AB76" s="1837" t="str">
        <v/>
      </c>
      <c r="AC76" s="1837" t="str">
        <v/>
      </c>
      <c r="AD76" s="1837" t="str">
        <v/>
      </c>
      <c r="AE76" s="1837" t="str">
        <v>Senegal</v>
      </c>
      <c r="AF76" s="1837" t="str">
        <v>West Africa</v>
      </c>
      <c r="AG76" s="1837" t="str">
        <v>No</v>
      </c>
      <c r="AH76" s="1837" t="str">
        <v/>
      </c>
      <c r="AI76" s="1837" t="str">
        <v/>
      </c>
      <c r="AJ76" s="1110" t="str">
        <v>Kris &amp; Jon</v>
      </c>
      <c r="AS76" s="52" t="s">
        <v>1146</v>
      </c>
    </row>
    <row r="77" spans="1:45">
      <c r="A77">
        <v>6</v>
      </c>
      <c r="B77">
        <v>11</v>
      </c>
      <c r="C77" s="3" t="s">
        <v>12</v>
      </c>
      <c r="D77" s="4" t="s">
        <v>13</v>
      </c>
      <c r="E77" s="3" t="s">
        <v>12</v>
      </c>
      <c r="F77" s="3" t="s">
        <v>12</v>
      </c>
      <c r="G77" s="5" t="s">
        <v>14</v>
      </c>
      <c r="H77" s="3" t="s">
        <v>12</v>
      </c>
      <c r="P77" s="1329">
        <v>6</v>
      </c>
      <c r="Q77" s="1837">
        <v>5</v>
      </c>
      <c r="R77" s="1837" t="str">
        <v>Route Info</v>
      </c>
      <c r="S77" s="1837" t="str">
        <v>Route Info</v>
      </c>
      <c r="T77" s="1837" t="str">
        <v>Route Info</v>
      </c>
      <c r="U77" s="1837" t="str">
        <v>Detour</v>
      </c>
      <c r="V77" s="1837" t="str">
        <v>Route Info</v>
      </c>
      <c r="W77" s="1837" t="str">
        <v>Road Block</v>
      </c>
      <c r="X77" s="1837" t="str">
        <v>Route Info</v>
      </c>
      <c r="Y77" s="1837" t="str">
        <v/>
      </c>
      <c r="Z77" s="1837" t="str">
        <v/>
      </c>
      <c r="AA77" s="1837" t="str">
        <v/>
      </c>
      <c r="AB77" s="1837" t="str">
        <v/>
      </c>
      <c r="AC77" s="1837" t="str">
        <v/>
      </c>
      <c r="AD77" s="1837" t="str">
        <v/>
      </c>
      <c r="AE77" s="1837" t="str">
        <v>Germany</v>
      </c>
      <c r="AF77" s="1837" t="str">
        <v>Central Europe</v>
      </c>
      <c r="AG77" s="1837" t="str">
        <v>Yes</v>
      </c>
      <c r="AH77" s="1837" t="str">
        <v/>
      </c>
      <c r="AI77" s="1837" t="str">
        <v/>
      </c>
      <c r="AJ77" s="1110" t="str">
        <v>Freddy &amp; Kendra</v>
      </c>
      <c r="AS77" s="37" t="s">
        <v>291</v>
      </c>
    </row>
    <row r="78" spans="1:45">
      <c r="A78">
        <v>6</v>
      </c>
      <c r="B78" t="s">
        <v>2810</v>
      </c>
      <c r="C78" s="3" t="s">
        <v>12</v>
      </c>
      <c r="D78" s="4" t="s">
        <v>13</v>
      </c>
      <c r="E78" s="3" t="s">
        <v>12</v>
      </c>
      <c r="F78" s="5" t="s">
        <v>14</v>
      </c>
      <c r="G78" s="3" t="s">
        <v>12</v>
      </c>
      <c r="H78" s="3" t="s">
        <v>12</v>
      </c>
      <c r="I78" s="3" t="s">
        <v>12</v>
      </c>
      <c r="P78" s="1329">
        <v>6</v>
      </c>
      <c r="Q78" s="1837">
        <v>6</v>
      </c>
      <c r="R78" s="1837" t="str">
        <v>Route Info</v>
      </c>
      <c r="S78" s="1837" t="str">
        <v>Route Info</v>
      </c>
      <c r="T78" s="1837" t="str">
        <v>Road Block</v>
      </c>
      <c r="U78" s="1837" t="str">
        <v>Route Info</v>
      </c>
      <c r="V78" s="1837" t="str">
        <v>Detour</v>
      </c>
      <c r="W78" s="1837" t="str">
        <v>Route Info</v>
      </c>
      <c r="X78" s="1837" t="str">
        <v>Route Info</v>
      </c>
      <c r="Y78" s="1837" t="str">
        <v>Fast Forward</v>
      </c>
      <c r="Z78" s="1837" t="str">
        <v>Route Info</v>
      </c>
      <c r="AA78" s="1837" t="str">
        <v>Detour</v>
      </c>
      <c r="AB78" s="1837" t="str">
        <v>Route Info</v>
      </c>
      <c r="AC78" s="1837" t="str">
        <v>Road Block</v>
      </c>
      <c r="AD78" s="1837" t="str">
        <v>Route Info</v>
      </c>
      <c r="AE78" s="1837" t="str">
        <v>Hungary</v>
      </c>
      <c r="AF78" s="1837" t="str">
        <v>Central Europe</v>
      </c>
      <c r="AG78" s="1837" t="str">
        <v>Yes</v>
      </c>
      <c r="AH78" s="1837" t="str">
        <v/>
      </c>
      <c r="AI78" s="1837" t="str">
        <v/>
      </c>
      <c r="AJ78" s="1110" t="str">
        <v>Lori &amp; Bolo</v>
      </c>
      <c r="AS78" t="s">
        <v>298</v>
      </c>
    </row>
    <row r="79" spans="1:45">
      <c r="A79">
        <v>7</v>
      </c>
      <c r="B79">
        <v>1</v>
      </c>
      <c r="C79" s="3" t="s">
        <v>12</v>
      </c>
      <c r="D79" s="3" t="s">
        <v>12</v>
      </c>
      <c r="E79" s="3" t="s">
        <v>12</v>
      </c>
      <c r="F79" s="3" t="s">
        <v>12</v>
      </c>
      <c r="G79" s="3" t="s">
        <v>12</v>
      </c>
      <c r="H79" s="4" t="s">
        <v>13</v>
      </c>
      <c r="I79" s="3" t="s">
        <v>12</v>
      </c>
      <c r="J79" s="3" t="s">
        <v>12</v>
      </c>
      <c r="P79" s="1329">
        <v>6</v>
      </c>
      <c r="Q79" s="1837">
        <v>7</v>
      </c>
      <c r="R79" s="1837" t="str">
        <v>Route Info</v>
      </c>
      <c r="S79" s="1837" t="str">
        <v>Route Info</v>
      </c>
      <c r="T79" s="1837" t="str">
        <v>Fast Forward</v>
      </c>
      <c r="U79" s="1837" t="str">
        <v>Route Info</v>
      </c>
      <c r="V79" s="1837" t="str">
        <v>Detour</v>
      </c>
      <c r="W79" s="1837" t="str">
        <v>Route Info</v>
      </c>
      <c r="X79" s="1837" t="str">
        <v>Road Block</v>
      </c>
      <c r="Y79" s="1837" t="str">
        <v>Route Info</v>
      </c>
      <c r="Z79" s="1837" t="str">
        <v/>
      </c>
      <c r="AA79" s="1837" t="str">
        <v/>
      </c>
      <c r="AB79" s="1837" t="str">
        <v/>
      </c>
      <c r="AC79" s="1837" t="str">
        <v/>
      </c>
      <c r="AD79" s="1837" t="str">
        <v/>
      </c>
      <c r="AE79" s="1837" t="str">
        <v>France</v>
      </c>
      <c r="AF79" s="1837" t="str">
        <v>Western Europe</v>
      </c>
      <c r="AG79" s="1837" t="str">
        <v>No</v>
      </c>
      <c r="AH79" s="1837" t="str">
        <v/>
      </c>
      <c r="AI79" s="1837" t="str">
        <v/>
      </c>
      <c r="AJ79" s="1110" t="str">
        <v>Adam &amp; Rebecca</v>
      </c>
      <c r="AS79" t="s">
        <v>1124</v>
      </c>
    </row>
    <row r="80" spans="1:45" ht="16.5" thickBot="1">
      <c r="A80">
        <v>7</v>
      </c>
      <c r="B80">
        <v>2</v>
      </c>
      <c r="C80" s="3" t="s">
        <v>12</v>
      </c>
      <c r="D80" s="5" t="s">
        <v>14</v>
      </c>
      <c r="E80" s="3" t="s">
        <v>12</v>
      </c>
      <c r="F80" s="4" t="s">
        <v>13</v>
      </c>
      <c r="G80" s="3" t="s">
        <v>12</v>
      </c>
      <c r="P80" s="1329">
        <v>6</v>
      </c>
      <c r="Q80" s="1837">
        <v>8</v>
      </c>
      <c r="R80" s="1837" t="str">
        <v>Route Info</v>
      </c>
      <c r="S80" s="1837" t="str">
        <v>Route Info</v>
      </c>
      <c r="T80" s="1837" t="str">
        <v>Route Info</v>
      </c>
      <c r="U80" s="1837" t="str">
        <v>Detour</v>
      </c>
      <c r="V80" s="1837" t="str">
        <v>Route Info</v>
      </c>
      <c r="W80" s="1837" t="str">
        <v>Road Block</v>
      </c>
      <c r="X80" s="1837" t="str">
        <v>Route Info</v>
      </c>
      <c r="Y80" s="1837" t="str">
        <v/>
      </c>
      <c r="Z80" s="1837" t="str">
        <v/>
      </c>
      <c r="AA80" s="1837" t="str">
        <v/>
      </c>
      <c r="AB80" s="1837" t="str">
        <v/>
      </c>
      <c r="AC80" s="1837" t="str">
        <v/>
      </c>
      <c r="AD80" s="1837" t="str">
        <v/>
      </c>
      <c r="AE80" s="1837" t="str">
        <v>France\nEthiopia</v>
      </c>
      <c r="AF80" s="1837" t="str">
        <v>Western Europe\nEast Africa</v>
      </c>
      <c r="AG80" s="1837" t="str">
        <v>Yes</v>
      </c>
      <c r="AH80" s="1837" t="str">
        <v>Yield</v>
      </c>
      <c r="AI80" s="1837">
        <v>6</v>
      </c>
      <c r="AJ80" s="1110" t="str">
        <v>Hayden &amp; Aaron</v>
      </c>
      <c r="AS80" s="52" t="s">
        <v>302</v>
      </c>
    </row>
    <row r="81" spans="1:45" ht="16.5" thickBot="1">
      <c r="A81">
        <v>7</v>
      </c>
      <c r="B81">
        <v>3</v>
      </c>
      <c r="C81" s="3" t="s">
        <v>12</v>
      </c>
      <c r="D81" s="834" t="s">
        <v>13</v>
      </c>
      <c r="E81" s="3" t="s">
        <v>12</v>
      </c>
      <c r="F81" s="5" t="s">
        <v>14</v>
      </c>
      <c r="G81" s="3" t="s">
        <v>12</v>
      </c>
      <c r="H81" s="12"/>
      <c r="P81" s="1329">
        <v>6</v>
      </c>
      <c r="Q81" s="1837">
        <v>9</v>
      </c>
      <c r="R81" s="1837" t="str">
        <v>Route Info</v>
      </c>
      <c r="S81" s="1837" t="str">
        <v>Route Info</v>
      </c>
      <c r="T81" s="1837" t="str">
        <v>Route Info</v>
      </c>
      <c r="U81" s="1837" t="str">
        <v>Detour</v>
      </c>
      <c r="V81" s="1837" t="str">
        <v>Route Info</v>
      </c>
      <c r="W81" s="1837" t="str">
        <v>Route Info</v>
      </c>
      <c r="X81" s="1837" t="str">
        <v>Road Block</v>
      </c>
      <c r="Y81" s="1837" t="str">
        <v/>
      </c>
      <c r="Z81" s="1837" t="str">
        <v/>
      </c>
      <c r="AA81" s="1837" t="str">
        <v/>
      </c>
      <c r="AB81" s="1837" t="str">
        <v/>
      </c>
      <c r="AC81" s="1837" t="str">
        <v/>
      </c>
      <c r="AD81" s="1837" t="str">
        <v/>
      </c>
      <c r="AE81" s="1837" t="str">
        <v>Sri Lanka</v>
      </c>
      <c r="AF81" s="1837" t="str">
        <v>South Asia</v>
      </c>
      <c r="AG81" s="1837" t="str">
        <v>Yes</v>
      </c>
      <c r="AH81" s="1837" t="str">
        <v/>
      </c>
      <c r="AI81" s="1837" t="str">
        <v/>
      </c>
      <c r="AJ81" s="1110" t="str">
        <v>Kris &amp; Jon</v>
      </c>
      <c r="AS81" t="s">
        <v>299</v>
      </c>
    </row>
    <row r="82" spans="1:45">
      <c r="A82">
        <v>7</v>
      </c>
      <c r="B82">
        <v>4</v>
      </c>
      <c r="C82" s="3" t="s">
        <v>12</v>
      </c>
      <c r="D82" s="5" t="s">
        <v>14</v>
      </c>
      <c r="E82" s="3" t="s">
        <v>12</v>
      </c>
      <c r="F82" s="3" t="s">
        <v>12</v>
      </c>
      <c r="G82" s="4" t="s">
        <v>13</v>
      </c>
      <c r="H82" s="3" t="s">
        <v>12</v>
      </c>
      <c r="P82" s="1329">
        <v>6</v>
      </c>
      <c r="Q82" s="1837">
        <v>10</v>
      </c>
      <c r="R82" s="1837" t="str">
        <v>Route Info</v>
      </c>
      <c r="S82" s="1837" t="str">
        <v>Route Info</v>
      </c>
      <c r="T82" s="1837" t="str">
        <v>Road Block</v>
      </c>
      <c r="U82" s="1837" t="str">
        <v>Route Info</v>
      </c>
      <c r="V82" s="1837" t="str">
        <v>Route Info</v>
      </c>
      <c r="W82" s="1837" t="str">
        <v>Detour</v>
      </c>
      <c r="X82" s="1837" t="str">
        <v>Route Info</v>
      </c>
      <c r="Y82" s="1837" t="str">
        <v/>
      </c>
      <c r="Z82" s="1837" t="str">
        <v/>
      </c>
      <c r="AA82" s="1837" t="str">
        <v/>
      </c>
      <c r="AB82" s="1837" t="str">
        <v/>
      </c>
      <c r="AC82" s="1837" t="str">
        <v/>
      </c>
      <c r="AD82" s="1837" t="str">
        <v/>
      </c>
      <c r="AE82" s="1837" t="str">
        <v>China</v>
      </c>
      <c r="AF82" s="1837" t="str">
        <v>East Asia</v>
      </c>
      <c r="AG82" s="1837" t="str">
        <v>No</v>
      </c>
      <c r="AH82" s="1837" t="str">
        <v xml:space="preserve">Yield </v>
      </c>
      <c r="AI82" s="1837">
        <v>3</v>
      </c>
      <c r="AJ82" s="1110" t="str">
        <v>Hayden &amp; Aaron</v>
      </c>
      <c r="AS82" t="s">
        <v>286</v>
      </c>
    </row>
    <row r="83" spans="1:45">
      <c r="A83">
        <v>7</v>
      </c>
      <c r="B83">
        <v>5</v>
      </c>
      <c r="C83" s="3" t="s">
        <v>12</v>
      </c>
      <c r="D83" s="19" t="s">
        <v>71</v>
      </c>
      <c r="E83" s="4" t="s">
        <v>13</v>
      </c>
      <c r="F83" s="3" t="s">
        <v>12</v>
      </c>
      <c r="G83" s="5" t="s">
        <v>14</v>
      </c>
      <c r="H83" s="3" t="s">
        <v>12</v>
      </c>
      <c r="I83" s="3" t="s">
        <v>12</v>
      </c>
      <c r="P83" s="1329">
        <v>6</v>
      </c>
      <c r="Q83" s="1837">
        <v>11</v>
      </c>
      <c r="R83" s="1837" t="str">
        <v>Route Info</v>
      </c>
      <c r="S83" s="1837" t="str">
        <v>Detour</v>
      </c>
      <c r="T83" s="1837" t="str">
        <v>Route Info</v>
      </c>
      <c r="U83" s="1837" t="str">
        <v>Route Info</v>
      </c>
      <c r="V83" s="1837" t="str">
        <v>Road Block</v>
      </c>
      <c r="W83" s="1837" t="str">
        <v>Route Info</v>
      </c>
      <c r="X83" s="1837" t="str">
        <v/>
      </c>
      <c r="Y83" s="1837" t="str">
        <v/>
      </c>
      <c r="Z83" s="1837" t="str">
        <v/>
      </c>
      <c r="AA83" s="1837" t="str">
        <v/>
      </c>
      <c r="AB83" s="1837" t="str">
        <v/>
      </c>
      <c r="AC83" s="1837" t="str">
        <v/>
      </c>
      <c r="AD83" s="1837" t="str">
        <v/>
      </c>
      <c r="AE83" s="1837" t="str">
        <v>China</v>
      </c>
      <c r="AF83" s="1837" t="str">
        <v>East Asia</v>
      </c>
      <c r="AG83" s="1837" t="str">
        <v>Yes</v>
      </c>
      <c r="AH83" s="1837" t="str">
        <v/>
      </c>
      <c r="AI83" s="1837" t="str">
        <v/>
      </c>
      <c r="AJ83" s="1110" t="str">
        <v>Kris &amp; Jon</v>
      </c>
      <c r="AS83" s="52" t="s">
        <v>309</v>
      </c>
    </row>
    <row r="84" spans="1:45">
      <c r="A84">
        <v>7</v>
      </c>
      <c r="B84">
        <v>6</v>
      </c>
      <c r="C84" s="3" t="s">
        <v>12</v>
      </c>
      <c r="D84" s="3" t="s">
        <v>12</v>
      </c>
      <c r="E84" s="5" t="s">
        <v>14</v>
      </c>
      <c r="F84" s="3" t="s">
        <v>12</v>
      </c>
      <c r="G84" s="4" t="s">
        <v>13</v>
      </c>
      <c r="H84" s="3" t="s">
        <v>12</v>
      </c>
      <c r="P84" s="1329">
        <v>6</v>
      </c>
      <c r="Q84" s="1837" t="str">
        <v>Final</v>
      </c>
      <c r="R84" s="1837" t="str">
        <v>Route Info</v>
      </c>
      <c r="S84" s="1837" t="str">
        <v>Detour</v>
      </c>
      <c r="T84" s="1837" t="str">
        <v>Route Info</v>
      </c>
      <c r="U84" s="1837" t="str">
        <v>Road Block</v>
      </c>
      <c r="V84" s="1837" t="str">
        <v>Route Info</v>
      </c>
      <c r="W84" s="1837" t="str">
        <v>Route Info</v>
      </c>
      <c r="X84" s="1837" t="str">
        <v>Route Info</v>
      </c>
      <c r="Y84" s="1837" t="str">
        <v/>
      </c>
      <c r="Z84" s="1837" t="str">
        <v/>
      </c>
      <c r="AA84" s="1837" t="str">
        <v/>
      </c>
      <c r="AB84" s="1837" t="str">
        <v/>
      </c>
      <c r="AC84" s="1837" t="str">
        <v/>
      </c>
      <c r="AD84" s="1837" t="str">
        <v/>
      </c>
      <c r="AE84" s="1837" t="str">
        <v>USA</v>
      </c>
      <c r="AF84" s="1837" t="str">
        <v>North America</v>
      </c>
      <c r="AG84" s="1837" t="str">
        <v>Final Leg</v>
      </c>
      <c r="AH84" s="1837" t="str">
        <v/>
      </c>
      <c r="AI84" s="1837" t="str">
        <v/>
      </c>
      <c r="AJ84" s="1110" t="str">
        <v>Freddy &amp; Kendra</v>
      </c>
      <c r="AS84" t="s">
        <v>1165</v>
      </c>
    </row>
    <row r="85" spans="1:45">
      <c r="A85">
        <v>7</v>
      </c>
      <c r="B85">
        <v>7</v>
      </c>
      <c r="C85" s="3" t="s">
        <v>12</v>
      </c>
      <c r="D85" s="4" t="s">
        <v>13</v>
      </c>
      <c r="E85" s="3" t="s">
        <v>12</v>
      </c>
      <c r="F85" s="5" t="s">
        <v>14</v>
      </c>
      <c r="G85" s="3" t="s">
        <v>12</v>
      </c>
      <c r="P85" s="1329">
        <v>7</v>
      </c>
      <c r="Q85" s="1837">
        <v>1</v>
      </c>
      <c r="R85" s="1837" t="str">
        <v>Route Info</v>
      </c>
      <c r="S85" s="1837" t="str">
        <v>Route Info</v>
      </c>
      <c r="T85" s="1837" t="str">
        <v>Route Info</v>
      </c>
      <c r="U85" s="1837" t="str">
        <v>Route Info</v>
      </c>
      <c r="V85" s="1837" t="str">
        <v>Route Info</v>
      </c>
      <c r="W85" s="1837" t="str">
        <v>Detour</v>
      </c>
      <c r="X85" s="1837" t="str">
        <v>Route Info</v>
      </c>
      <c r="Y85" s="1837" t="str">
        <v>Route Info</v>
      </c>
      <c r="Z85" s="1837" t="str">
        <v/>
      </c>
      <c r="AA85" s="1837" t="str">
        <v/>
      </c>
      <c r="AB85" s="1837" t="str">
        <v/>
      </c>
      <c r="AC85" s="1837" t="str">
        <v/>
      </c>
      <c r="AD85" s="1837" t="str">
        <v/>
      </c>
      <c r="AE85" s="1837" t="str">
        <v>Peru</v>
      </c>
      <c r="AF85" s="1837" t="str">
        <v>South America</v>
      </c>
      <c r="AG85" s="1837" t="str">
        <v>Yes</v>
      </c>
      <c r="AH85" s="1837" t="str">
        <v/>
      </c>
      <c r="AI85" s="1837" t="str">
        <v/>
      </c>
      <c r="AJ85" s="1110" t="str">
        <v>Debbie &amp; Bianca</v>
      </c>
      <c r="AS85" t="s">
        <v>306</v>
      </c>
    </row>
    <row r="86" spans="1:45">
      <c r="A86">
        <v>7</v>
      </c>
      <c r="B86">
        <v>8</v>
      </c>
      <c r="C86" s="3" t="s">
        <v>12</v>
      </c>
      <c r="D86" s="3" t="s">
        <v>12</v>
      </c>
      <c r="E86" s="5" t="s">
        <v>14</v>
      </c>
      <c r="F86" s="3" t="s">
        <v>12</v>
      </c>
      <c r="G86" s="4" t="s">
        <v>13</v>
      </c>
      <c r="H86" s="3" t="s">
        <v>12</v>
      </c>
      <c r="P86" s="1329">
        <v>7</v>
      </c>
      <c r="Q86" s="1837">
        <v>2</v>
      </c>
      <c r="R86" s="1837" t="str">
        <v>Route Info</v>
      </c>
      <c r="S86" s="1837" t="str">
        <v>Road Block</v>
      </c>
      <c r="T86" s="1837" t="str">
        <v>Route Info</v>
      </c>
      <c r="U86" s="1837" t="str">
        <v>Detour</v>
      </c>
      <c r="V86" s="1837" t="str">
        <v>Route Info</v>
      </c>
      <c r="W86" s="1837" t="str">
        <v/>
      </c>
      <c r="X86" s="1837" t="str">
        <v/>
      </c>
      <c r="Y86" s="1837" t="str">
        <v/>
      </c>
      <c r="Z86" s="1837" t="str">
        <v/>
      </c>
      <c r="AA86" s="1837" t="str">
        <v/>
      </c>
      <c r="AB86" s="1837" t="str">
        <v/>
      </c>
      <c r="AC86" s="1837" t="str">
        <v/>
      </c>
      <c r="AD86" s="1837" t="str">
        <v/>
      </c>
      <c r="AE86" s="1837" t="str">
        <v>Chile</v>
      </c>
      <c r="AF86" s="1837" t="str">
        <v>South America</v>
      </c>
      <c r="AG86" s="1837" t="str">
        <v>Yes</v>
      </c>
      <c r="AH86" s="1837" t="str">
        <v/>
      </c>
      <c r="AI86" s="1837" t="str">
        <v/>
      </c>
      <c r="AJ86" s="1110" t="str">
        <v>Rob &amp; Amber</v>
      </c>
      <c r="AS86" s="37" t="s">
        <v>319</v>
      </c>
    </row>
    <row r="87" spans="1:45">
      <c r="A87">
        <v>7</v>
      </c>
      <c r="B87">
        <v>9</v>
      </c>
      <c r="C87" s="3" t="s">
        <v>12</v>
      </c>
      <c r="D87" s="3" t="s">
        <v>12</v>
      </c>
      <c r="E87" s="3" t="s">
        <v>12</v>
      </c>
      <c r="F87" s="19" t="s">
        <v>71</v>
      </c>
      <c r="G87" s="4" t="s">
        <v>13</v>
      </c>
      <c r="H87" s="3" t="s">
        <v>12</v>
      </c>
      <c r="I87" s="5" t="s">
        <v>14</v>
      </c>
      <c r="J87" s="3" t="s">
        <v>12</v>
      </c>
      <c r="P87" s="1329">
        <v>7</v>
      </c>
      <c r="Q87" s="1837">
        <v>3</v>
      </c>
      <c r="R87" s="1837" t="str">
        <v>Route Info</v>
      </c>
      <c r="S87" s="1837" t="str">
        <v>Detour</v>
      </c>
      <c r="T87" s="1837" t="str">
        <v>Route Info</v>
      </c>
      <c r="U87" s="1837" t="str">
        <v>Road Block</v>
      </c>
      <c r="V87" s="1837" t="str">
        <v>Route Info</v>
      </c>
      <c r="W87" s="1837" t="str">
        <v/>
      </c>
      <c r="X87" s="1837" t="str">
        <v/>
      </c>
      <c r="Y87" s="1837" t="str">
        <v/>
      </c>
      <c r="Z87" s="1837" t="str">
        <v/>
      </c>
      <c r="AA87" s="1837" t="str">
        <v/>
      </c>
      <c r="AB87" s="1837" t="str">
        <v/>
      </c>
      <c r="AC87" s="1837" t="str">
        <v/>
      </c>
      <c r="AD87" s="1837" t="str">
        <v/>
      </c>
      <c r="AE87" s="1837" t="str">
        <v>Argentina</v>
      </c>
      <c r="AF87" s="1837" t="str">
        <v>South America</v>
      </c>
      <c r="AG87" s="1837" t="str">
        <v>Yes</v>
      </c>
      <c r="AH87" s="1837" t="str">
        <v>Yield</v>
      </c>
      <c r="AI87" s="1837">
        <v>2</v>
      </c>
      <c r="AJ87" s="1110" t="str">
        <v>Lynn &amp; Alex</v>
      </c>
      <c r="AS87" s="37" t="s">
        <v>1140</v>
      </c>
    </row>
    <row r="88" spans="1:45">
      <c r="A88">
        <v>7</v>
      </c>
      <c r="B88">
        <v>10</v>
      </c>
      <c r="C88" s="3" t="s">
        <v>12</v>
      </c>
      <c r="D88" s="3" t="s">
        <v>12</v>
      </c>
      <c r="E88" s="4" t="s">
        <v>13</v>
      </c>
      <c r="F88" s="3" t="s">
        <v>12</v>
      </c>
      <c r="G88" s="5" t="s">
        <v>14</v>
      </c>
      <c r="H88" s="3" t="s">
        <v>12</v>
      </c>
      <c r="P88" s="1329">
        <v>7</v>
      </c>
      <c r="Q88" s="1837">
        <v>4</v>
      </c>
      <c r="R88" s="1837" t="str">
        <v>Route Info</v>
      </c>
      <c r="S88" s="1837" t="str">
        <v>Road Block</v>
      </c>
      <c r="T88" s="1837" t="str">
        <v>Route Info</v>
      </c>
      <c r="U88" s="1837" t="str">
        <v>Route Info</v>
      </c>
      <c r="V88" s="1837" t="str">
        <v>Detour</v>
      </c>
      <c r="W88" s="1837" t="str">
        <v>Route Info</v>
      </c>
      <c r="X88" s="1837" t="str">
        <v/>
      </c>
      <c r="Y88" s="1837" t="str">
        <v/>
      </c>
      <c r="Z88" s="1837" t="str">
        <v/>
      </c>
      <c r="AA88" s="1837" t="str">
        <v/>
      </c>
      <c r="AB88" s="1837" t="str">
        <v/>
      </c>
      <c r="AC88" s="1837" t="str">
        <v/>
      </c>
      <c r="AD88" s="1837" t="str">
        <v/>
      </c>
      <c r="AE88" s="1837" t="str">
        <v>Argentina</v>
      </c>
      <c r="AF88" s="1837" t="str">
        <v>South America</v>
      </c>
      <c r="AG88" s="1837" t="str">
        <v>Yes</v>
      </c>
      <c r="AH88" s="1837" t="str">
        <v/>
      </c>
      <c r="AI88" s="1837" t="str">
        <v/>
      </c>
      <c r="AJ88" s="1110" t="str">
        <v>Rob &amp; Amber</v>
      </c>
      <c r="AS88" s="37" t="s">
        <v>276</v>
      </c>
    </row>
    <row r="89" spans="1:45">
      <c r="A89">
        <v>7</v>
      </c>
      <c r="B89">
        <v>11</v>
      </c>
      <c r="C89" s="3" t="s">
        <v>12</v>
      </c>
      <c r="D89" s="3" t="s">
        <v>12</v>
      </c>
      <c r="E89" s="3" t="s">
        <v>12</v>
      </c>
      <c r="F89" s="4" t="s">
        <v>13</v>
      </c>
      <c r="G89" s="3" t="s">
        <v>12</v>
      </c>
      <c r="H89" s="5" t="s">
        <v>14</v>
      </c>
      <c r="I89" s="3" t="s">
        <v>12</v>
      </c>
      <c r="P89" s="1329">
        <v>7</v>
      </c>
      <c r="Q89" s="1837">
        <v>5</v>
      </c>
      <c r="R89" s="1837" t="str">
        <v>Route Info</v>
      </c>
      <c r="S89" s="1837" t="str">
        <v>Fast Forward</v>
      </c>
      <c r="T89" s="1837" t="str">
        <v>Detour</v>
      </c>
      <c r="U89" s="1837" t="str">
        <v>Route Info</v>
      </c>
      <c r="V89" s="1837" t="str">
        <v>Road Block</v>
      </c>
      <c r="W89" s="1837" t="str">
        <v>Route Info</v>
      </c>
      <c r="X89" s="1837" t="str">
        <v>Route Info</v>
      </c>
      <c r="Y89" s="1837" t="str">
        <v/>
      </c>
      <c r="Z89" s="1837" t="str">
        <v/>
      </c>
      <c r="AA89" s="1837" t="str">
        <v/>
      </c>
      <c r="AB89" s="1837" t="str">
        <v/>
      </c>
      <c r="AC89" s="1837" t="str">
        <v/>
      </c>
      <c r="AD89" s="1837" t="str">
        <v/>
      </c>
      <c r="AE89" s="1837" t="str">
        <v>South Africa</v>
      </c>
      <c r="AF89" s="1837" t="str">
        <v>Southern Africa</v>
      </c>
      <c r="AG89" s="1837" t="str">
        <v>No</v>
      </c>
      <c r="AH89" s="1837" t="str">
        <v/>
      </c>
      <c r="AI89" s="1837" t="str">
        <v/>
      </c>
      <c r="AJ89" s="1110" t="str">
        <v>Ray &amp; Deana</v>
      </c>
      <c r="AS89" s="37" t="s">
        <v>300</v>
      </c>
    </row>
    <row r="90" spans="1:45">
      <c r="A90">
        <v>7</v>
      </c>
      <c r="B90">
        <v>12</v>
      </c>
      <c r="C90" s="3" t="s">
        <v>12</v>
      </c>
      <c r="D90" s="5" t="s">
        <v>14</v>
      </c>
      <c r="E90" s="3" t="s">
        <v>12</v>
      </c>
      <c r="F90" s="4" t="s">
        <v>13</v>
      </c>
      <c r="G90" s="3" t="s">
        <v>12</v>
      </c>
      <c r="P90" s="1329">
        <v>7</v>
      </c>
      <c r="Q90" s="1837">
        <v>6</v>
      </c>
      <c r="R90" s="1837" t="str">
        <v>Route Info</v>
      </c>
      <c r="S90" s="1837" t="str">
        <v>Route Info</v>
      </c>
      <c r="T90" s="1837" t="str">
        <v>Road Block</v>
      </c>
      <c r="U90" s="1837" t="str">
        <v>Route Info</v>
      </c>
      <c r="V90" s="1837" t="str">
        <v>Detour</v>
      </c>
      <c r="W90" s="1837" t="str">
        <v>Route Info</v>
      </c>
      <c r="X90" s="1837" t="str">
        <v/>
      </c>
      <c r="Y90" s="1837" t="str">
        <v/>
      </c>
      <c r="Z90" s="1837" t="str">
        <v/>
      </c>
      <c r="AA90" s="1837" t="str">
        <v/>
      </c>
      <c r="AB90" s="1837" t="str">
        <v/>
      </c>
      <c r="AC90" s="1837" t="str">
        <v/>
      </c>
      <c r="AD90" s="1837" t="str">
        <v/>
      </c>
      <c r="AE90" s="1837" t="str">
        <v>Botswana</v>
      </c>
      <c r="AF90" s="1837" t="str">
        <v>Southern Africa</v>
      </c>
      <c r="AG90" s="1837" t="str">
        <v>Yes</v>
      </c>
      <c r="AH90" s="1837" t="str">
        <v/>
      </c>
      <c r="AI90" s="1837" t="str">
        <v/>
      </c>
      <c r="AJ90" s="1110" t="str">
        <v>Ron &amp; Kelly</v>
      </c>
      <c r="AS90" t="s">
        <v>1133</v>
      </c>
    </row>
    <row r="91" spans="1:45">
      <c r="A91">
        <v>7</v>
      </c>
      <c r="B91" t="s">
        <v>2810</v>
      </c>
      <c r="C91" s="3" t="s">
        <v>12</v>
      </c>
      <c r="D91" s="3" t="s">
        <v>12</v>
      </c>
      <c r="E91" s="4" t="s">
        <v>13</v>
      </c>
      <c r="F91" s="3" t="s">
        <v>12</v>
      </c>
      <c r="G91" s="3" t="s">
        <v>12</v>
      </c>
      <c r="H91" s="5" t="s">
        <v>14</v>
      </c>
      <c r="I91" s="3" t="s">
        <v>12</v>
      </c>
      <c r="J91" s="3" t="s">
        <v>12</v>
      </c>
      <c r="K91" s="3" t="s">
        <v>12</v>
      </c>
      <c r="P91" s="1329">
        <v>7</v>
      </c>
      <c r="Q91" s="1837">
        <v>7</v>
      </c>
      <c r="R91" s="1837" t="str">
        <v>Route Info</v>
      </c>
      <c r="S91" s="1837" t="str">
        <v>Detour</v>
      </c>
      <c r="T91" s="1837" t="str">
        <v>Route Info</v>
      </c>
      <c r="U91" s="1837" t="str">
        <v>Road Block</v>
      </c>
      <c r="V91" s="1837" t="str">
        <v>Route Info</v>
      </c>
      <c r="W91" s="1837" t="str">
        <v/>
      </c>
      <c r="X91" s="1837" t="str">
        <v/>
      </c>
      <c r="Y91" s="1837" t="str">
        <v/>
      </c>
      <c r="Z91" s="1837" t="str">
        <v/>
      </c>
      <c r="AA91" s="1837" t="str">
        <v/>
      </c>
      <c r="AB91" s="1837" t="str">
        <v/>
      </c>
      <c r="AC91" s="1837" t="str">
        <v/>
      </c>
      <c r="AD91" s="1837" t="str">
        <v/>
      </c>
      <c r="AE91" s="1837" t="str">
        <v>Botswana</v>
      </c>
      <c r="AF91" s="1837" t="str">
        <v>Southern Africa</v>
      </c>
      <c r="AG91" s="1837" t="str">
        <v>Yes</v>
      </c>
      <c r="AH91" s="1837" t="str">
        <v/>
      </c>
      <c r="AI91" s="1837" t="str">
        <v/>
      </c>
      <c r="AJ91" s="1110" t="str">
        <v>Rob &amp; Amber</v>
      </c>
      <c r="AS91" t="s">
        <v>297</v>
      </c>
    </row>
    <row r="92" spans="1:45">
      <c r="A92">
        <v>8</v>
      </c>
      <c r="B92">
        <v>1</v>
      </c>
      <c r="C92" s="3" t="s">
        <v>12</v>
      </c>
      <c r="D92" s="3" t="s">
        <v>12</v>
      </c>
      <c r="E92" s="3" t="s">
        <v>12</v>
      </c>
      <c r="F92" s="3" t="s">
        <v>12</v>
      </c>
      <c r="G92" s="3" t="s">
        <v>12</v>
      </c>
      <c r="H92" s="3" t="s">
        <v>12</v>
      </c>
      <c r="I92" s="4" t="s">
        <v>13</v>
      </c>
      <c r="J92" s="3" t="s">
        <v>12</v>
      </c>
      <c r="P92" s="1329">
        <v>7</v>
      </c>
      <c r="Q92" s="1837">
        <v>8</v>
      </c>
      <c r="R92" s="1837" t="str">
        <v>Route Info</v>
      </c>
      <c r="S92" s="1837" t="str">
        <v>Route Info</v>
      </c>
      <c r="T92" s="1837" t="str">
        <v>Road Block</v>
      </c>
      <c r="U92" s="1837" t="str">
        <v>Route Info</v>
      </c>
      <c r="V92" s="1837" t="str">
        <v>Detour</v>
      </c>
      <c r="W92" s="1837" t="str">
        <v>Route Info</v>
      </c>
      <c r="X92" s="1837" t="str">
        <v/>
      </c>
      <c r="Y92" s="1837" t="str">
        <v/>
      </c>
      <c r="Z92" s="1837" t="str">
        <v/>
      </c>
      <c r="AA92" s="1837" t="str">
        <v/>
      </c>
      <c r="AB92" s="1837" t="str">
        <v/>
      </c>
      <c r="AC92" s="1837" t="str">
        <v/>
      </c>
      <c r="AD92" s="1837" t="str">
        <v/>
      </c>
      <c r="AE92" s="1837" t="str">
        <v>India</v>
      </c>
      <c r="AF92" s="1837" t="str">
        <v>South Asia</v>
      </c>
      <c r="AG92" s="1837" t="str">
        <v>No</v>
      </c>
      <c r="AH92" s="1837" t="str">
        <v/>
      </c>
      <c r="AI92" s="1837" t="str">
        <v/>
      </c>
      <c r="AJ92" s="1110" t="str">
        <v>Rob &amp; Amber</v>
      </c>
      <c r="AS92" t="s">
        <v>272</v>
      </c>
    </row>
    <row r="93" spans="1:45">
      <c r="A93">
        <v>8</v>
      </c>
      <c r="B93">
        <v>2</v>
      </c>
      <c r="C93" s="3" t="s">
        <v>12</v>
      </c>
      <c r="D93" s="3" t="s">
        <v>12</v>
      </c>
      <c r="E93" s="3" t="s">
        <v>12</v>
      </c>
      <c r="F93" s="5" t="s">
        <v>14</v>
      </c>
      <c r="G93" s="3" t="s">
        <v>12</v>
      </c>
      <c r="H93" s="4" t="s">
        <v>13</v>
      </c>
      <c r="P93" s="1329">
        <v>7</v>
      </c>
      <c r="Q93" s="1837">
        <v>9</v>
      </c>
      <c r="R93" s="1837" t="str">
        <v>Route Info</v>
      </c>
      <c r="S93" s="1837" t="str">
        <v>Route Info</v>
      </c>
      <c r="T93" s="1837" t="str">
        <v>Route Info</v>
      </c>
      <c r="U93" s="1837" t="str">
        <v>Fast Forward</v>
      </c>
      <c r="V93" s="1837" t="str">
        <v>Detour</v>
      </c>
      <c r="W93" s="1837" t="str">
        <v>Route Info</v>
      </c>
      <c r="X93" s="1837" t="str">
        <v>Road Block</v>
      </c>
      <c r="Y93" s="1837" t="str">
        <v>Route Info</v>
      </c>
      <c r="Z93" s="1837" t="str">
        <v/>
      </c>
      <c r="AA93" s="1837" t="str">
        <v/>
      </c>
      <c r="AB93" s="1837" t="str">
        <v/>
      </c>
      <c r="AC93" s="1837" t="str">
        <v/>
      </c>
      <c r="AD93" s="1837" t="str">
        <v/>
      </c>
      <c r="AE93" s="1837" t="str">
        <v>India</v>
      </c>
      <c r="AF93" s="1837" t="str">
        <v>South Asia</v>
      </c>
      <c r="AG93" s="1837" t="str">
        <v>Yes</v>
      </c>
      <c r="AH93" s="1837" t="str">
        <v/>
      </c>
      <c r="AI93" s="1837" t="str">
        <v/>
      </c>
      <c r="AJ93" s="1110" t="str">
        <v>Uchenna &amp; Joyce</v>
      </c>
      <c r="AS93" s="37" t="s">
        <v>1200</v>
      </c>
    </row>
    <row r="94" spans="1:45">
      <c r="A94">
        <v>8</v>
      </c>
      <c r="B94">
        <v>3</v>
      </c>
      <c r="C94" s="3" t="s">
        <v>12</v>
      </c>
      <c r="D94" s="4" t="s">
        <v>13</v>
      </c>
      <c r="E94" s="3" t="s">
        <v>12</v>
      </c>
      <c r="F94" s="3" t="s">
        <v>12</v>
      </c>
      <c r="G94" s="5" t="s">
        <v>14</v>
      </c>
      <c r="H94" s="3" t="s">
        <v>12</v>
      </c>
      <c r="I94" s="3" t="s">
        <v>12</v>
      </c>
      <c r="P94" s="1329">
        <v>7</v>
      </c>
      <c r="Q94" s="1837">
        <v>10</v>
      </c>
      <c r="R94" s="1837" t="str">
        <v>Route Info</v>
      </c>
      <c r="S94" s="1837" t="str">
        <v>Route Info</v>
      </c>
      <c r="T94" s="1837" t="str">
        <v>Detour</v>
      </c>
      <c r="U94" s="1837" t="str">
        <v>Route Info</v>
      </c>
      <c r="V94" s="1837" t="str">
        <v>Road Block</v>
      </c>
      <c r="W94" s="1837" t="str">
        <v>Route Info</v>
      </c>
      <c r="X94" s="1837" t="str">
        <v/>
      </c>
      <c r="Y94" s="1837" t="str">
        <v/>
      </c>
      <c r="Z94" s="1837" t="str">
        <v/>
      </c>
      <c r="AA94" s="1837" t="str">
        <v/>
      </c>
      <c r="AB94" s="1837" t="str">
        <v/>
      </c>
      <c r="AC94" s="1837" t="str">
        <v/>
      </c>
      <c r="AD94" s="1837" t="str">
        <v/>
      </c>
      <c r="AE94" s="1837" t="str">
        <v>Turkey</v>
      </c>
      <c r="AF94" s="1837" t="str">
        <v>Middle East</v>
      </c>
      <c r="AG94" s="1837" t="str">
        <v>No</v>
      </c>
      <c r="AH94" s="1837" t="str">
        <v/>
      </c>
      <c r="AI94" s="1837" t="str">
        <v/>
      </c>
      <c r="AJ94" s="1110" t="str">
        <v>Uchenna &amp; Joyce</v>
      </c>
      <c r="AS94" t="s">
        <v>1216</v>
      </c>
    </row>
    <row r="95" spans="1:45">
      <c r="A95">
        <v>8</v>
      </c>
      <c r="B95">
        <v>4</v>
      </c>
      <c r="C95" s="3" t="s">
        <v>12</v>
      </c>
      <c r="D95" s="3" t="s">
        <v>12</v>
      </c>
      <c r="E95" s="3" t="s">
        <v>12</v>
      </c>
      <c r="F95" s="3" t="s">
        <v>12</v>
      </c>
      <c r="G95" s="5" t="s">
        <v>14</v>
      </c>
      <c r="H95" s="3" t="s">
        <v>12</v>
      </c>
      <c r="I95" s="3" t="s">
        <v>12</v>
      </c>
      <c r="J95" s="3" t="s">
        <v>12</v>
      </c>
      <c r="K95" s="4" t="s">
        <v>13</v>
      </c>
      <c r="L95" s="3" t="s">
        <v>12</v>
      </c>
      <c r="P95" s="1329">
        <v>7</v>
      </c>
      <c r="Q95" s="1837">
        <v>11</v>
      </c>
      <c r="R95" s="1837" t="str">
        <v>Route Info</v>
      </c>
      <c r="S95" s="1837" t="str">
        <v>Route Info</v>
      </c>
      <c r="T95" s="1837" t="str">
        <v>Route Info</v>
      </c>
      <c r="U95" s="1837" t="str">
        <v>Detour</v>
      </c>
      <c r="V95" s="1837" t="str">
        <v>Route Info</v>
      </c>
      <c r="W95" s="1837" t="str">
        <v>Road Block</v>
      </c>
      <c r="X95" s="1837" t="str">
        <v>Route Info</v>
      </c>
      <c r="Y95" s="1837" t="str">
        <v/>
      </c>
      <c r="Z95" s="1837" t="str">
        <v/>
      </c>
      <c r="AA95" s="1837" t="str">
        <v/>
      </c>
      <c r="AB95" s="1837" t="str">
        <v/>
      </c>
      <c r="AC95" s="1837" t="str">
        <v/>
      </c>
      <c r="AD95" s="1837" t="str">
        <v/>
      </c>
      <c r="AE95" s="1837" t="str">
        <v>England</v>
      </c>
      <c r="AF95" s="1837" t="str">
        <v>Western Europe</v>
      </c>
      <c r="AG95" s="1837" t="str">
        <v>Yes</v>
      </c>
      <c r="AH95" s="1837" t="str">
        <v/>
      </c>
      <c r="AI95" s="1837" t="str">
        <v/>
      </c>
      <c r="AJ95" s="1110" t="str">
        <v>Rob &amp; Amber</v>
      </c>
      <c r="AS95" t="s">
        <v>265</v>
      </c>
    </row>
    <row r="96" spans="1:45" ht="16.5" thickBot="1">
      <c r="A96">
        <v>8</v>
      </c>
      <c r="B96">
        <v>5</v>
      </c>
      <c r="C96" s="3" t="s">
        <v>12</v>
      </c>
      <c r="D96" s="19" t="s">
        <v>71</v>
      </c>
      <c r="E96" s="4" t="s">
        <v>13</v>
      </c>
      <c r="F96" s="3" t="s">
        <v>12</v>
      </c>
      <c r="G96" s="5" t="s">
        <v>14</v>
      </c>
      <c r="H96" s="3" t="s">
        <v>12</v>
      </c>
      <c r="P96" s="1329">
        <v>7</v>
      </c>
      <c r="Q96" s="1837">
        <v>12</v>
      </c>
      <c r="R96" s="1837" t="str">
        <v>Route Info</v>
      </c>
      <c r="S96" s="1837" t="str">
        <v>Road Block</v>
      </c>
      <c r="T96" s="1837" t="str">
        <v>Route Info</v>
      </c>
      <c r="U96" s="1837" t="str">
        <v>Detour</v>
      </c>
      <c r="V96" s="1837" t="str">
        <v>Route Info</v>
      </c>
      <c r="W96" s="1837" t="str">
        <v/>
      </c>
      <c r="X96" s="1837" t="str">
        <v/>
      </c>
      <c r="Y96" s="1837" t="str">
        <v/>
      </c>
      <c r="Z96" s="1837" t="str">
        <v/>
      </c>
      <c r="AA96" s="1837" t="str">
        <v/>
      </c>
      <c r="AB96" s="1837" t="str">
        <v/>
      </c>
      <c r="AC96" s="1837" t="str">
        <v/>
      </c>
      <c r="AD96" s="1837" t="str">
        <v/>
      </c>
      <c r="AE96" s="1837" t="str">
        <v>Jamaica</v>
      </c>
      <c r="AF96" s="1837" t="str">
        <v>Caribbean</v>
      </c>
      <c r="AG96" s="1837" t="str">
        <v>No</v>
      </c>
      <c r="AH96" s="1837" t="str">
        <v/>
      </c>
      <c r="AI96" s="1837" t="str">
        <v/>
      </c>
      <c r="AJ96" s="1110" t="str">
        <v>Ron &amp; Kelly</v>
      </c>
      <c r="AS96" t="s">
        <v>268</v>
      </c>
    </row>
    <row r="97" spans="1:45" ht="16.5" thickBot="1">
      <c r="A97">
        <v>8</v>
      </c>
      <c r="B97">
        <v>6</v>
      </c>
      <c r="C97" s="3" t="s">
        <v>12</v>
      </c>
      <c r="D97" s="3" t="s">
        <v>12</v>
      </c>
      <c r="E97" s="783" t="s">
        <v>14</v>
      </c>
      <c r="F97" s="3" t="s">
        <v>12</v>
      </c>
      <c r="G97" s="4" t="s">
        <v>13</v>
      </c>
      <c r="H97" s="3" t="s">
        <v>12</v>
      </c>
      <c r="P97" s="1329">
        <v>7</v>
      </c>
      <c r="Q97" s="1837" t="str">
        <v>Final</v>
      </c>
      <c r="R97" s="1837" t="str">
        <v>Route Info</v>
      </c>
      <c r="S97" s="1837" t="str">
        <v>Route Info</v>
      </c>
      <c r="T97" s="1837" t="str">
        <v>Detour</v>
      </c>
      <c r="U97" s="1837" t="str">
        <v>Route Info</v>
      </c>
      <c r="V97" s="1837" t="str">
        <v>Route Info</v>
      </c>
      <c r="W97" s="1837" t="str">
        <v>Road Block</v>
      </c>
      <c r="X97" s="1837" t="str">
        <v>Route Info</v>
      </c>
      <c r="Y97" s="1837" t="str">
        <v>Route Info</v>
      </c>
      <c r="Z97" s="1837" t="str">
        <v>Route Info</v>
      </c>
      <c r="AA97" s="1837" t="str">
        <v/>
      </c>
      <c r="AB97" s="1837" t="str">
        <v/>
      </c>
      <c r="AC97" s="1837" t="str">
        <v/>
      </c>
      <c r="AD97" s="1837" t="str">
        <v/>
      </c>
      <c r="AE97" s="1837" t="str">
        <v>Puerto Rico\nUSA</v>
      </c>
      <c r="AF97" s="1837" t="str">
        <v>Caribbean\nNorth America</v>
      </c>
      <c r="AG97" s="1837" t="str">
        <v>Final Leg</v>
      </c>
      <c r="AH97" s="1837" t="str">
        <v/>
      </c>
      <c r="AI97" s="1837" t="str">
        <v/>
      </c>
      <c r="AJ97" s="1110" t="str">
        <v>Uchenna &amp; Joyce</v>
      </c>
      <c r="AS97" t="s">
        <v>1136</v>
      </c>
    </row>
    <row r="98" spans="1:45">
      <c r="A98">
        <v>8</v>
      </c>
      <c r="B98">
        <v>7</v>
      </c>
      <c r="C98" s="3" t="s">
        <v>12</v>
      </c>
      <c r="D98" s="3" t="s">
        <v>12</v>
      </c>
      <c r="E98" s="4" t="s">
        <v>13</v>
      </c>
      <c r="F98" s="3" t="s">
        <v>12</v>
      </c>
      <c r="G98" s="5" t="s">
        <v>14</v>
      </c>
      <c r="H98" s="3" t="s">
        <v>12</v>
      </c>
      <c r="P98" s="1329">
        <v>8</v>
      </c>
      <c r="Q98" s="1837">
        <v>1</v>
      </c>
      <c r="R98" s="1837" t="str">
        <v>Route Info</v>
      </c>
      <c r="S98" s="1837" t="str">
        <v>Route Info</v>
      </c>
      <c r="T98" s="1837" t="str">
        <v>Route Info</v>
      </c>
      <c r="U98" s="1837" t="str">
        <v>Route Info</v>
      </c>
      <c r="V98" s="1837" t="str">
        <v>Route Info</v>
      </c>
      <c r="W98" s="1837" t="str">
        <v>Route Info</v>
      </c>
      <c r="X98" s="1837" t="str">
        <v>Detour</v>
      </c>
      <c r="Y98" s="1837" t="str">
        <v>Route Info</v>
      </c>
      <c r="Z98" s="1837" t="str">
        <v/>
      </c>
      <c r="AA98" s="1837" t="str">
        <v/>
      </c>
      <c r="AB98" s="1837" t="str">
        <v/>
      </c>
      <c r="AC98" s="1837" t="str">
        <v/>
      </c>
      <c r="AD98" s="1837" t="str">
        <v/>
      </c>
      <c r="AE98" s="1837" t="str">
        <v>USA</v>
      </c>
      <c r="AF98" s="1837" t="str">
        <v>North America</v>
      </c>
      <c r="AG98" s="1837" t="str">
        <v>Yes</v>
      </c>
      <c r="AH98" s="1837" t="str">
        <v/>
      </c>
      <c r="AI98" s="1837" t="str">
        <v/>
      </c>
      <c r="AJ98" s="1110" t="str">
        <v>Godlewski Family</v>
      </c>
      <c r="AS98" s="52" t="s">
        <v>1159</v>
      </c>
    </row>
    <row r="99" spans="1:45" ht="16.5" thickBot="1">
      <c r="A99">
        <v>8</v>
      </c>
      <c r="B99">
        <v>8</v>
      </c>
      <c r="C99" s="3" t="s">
        <v>12</v>
      </c>
      <c r="D99" s="5" t="s">
        <v>14</v>
      </c>
      <c r="E99" s="3" t="s">
        <v>12</v>
      </c>
      <c r="F99" s="3" t="s">
        <v>12</v>
      </c>
      <c r="G99" s="4" t="s">
        <v>13</v>
      </c>
      <c r="H99" s="3" t="s">
        <v>12</v>
      </c>
      <c r="P99" s="1329">
        <v>8</v>
      </c>
      <c r="Q99" s="1837">
        <v>2</v>
      </c>
      <c r="R99" s="1837" t="str">
        <v>Route Info</v>
      </c>
      <c r="S99" s="1837" t="str">
        <v>Route Info</v>
      </c>
      <c r="T99" s="1837" t="str">
        <v>Route Info</v>
      </c>
      <c r="U99" s="1837" t="str">
        <v>Road Block</v>
      </c>
      <c r="V99" s="1837" t="str">
        <v>Route Info</v>
      </c>
      <c r="W99" s="1837" t="str">
        <v>Detour</v>
      </c>
      <c r="X99" s="1837" t="str">
        <v/>
      </c>
      <c r="Y99" s="1837" t="str">
        <v/>
      </c>
      <c r="Z99" s="1837" t="str">
        <v/>
      </c>
      <c r="AA99" s="1837" t="str">
        <v/>
      </c>
      <c r="AB99" s="1837" t="str">
        <v/>
      </c>
      <c r="AC99" s="1837" t="str">
        <v/>
      </c>
      <c r="AD99" s="1837" t="str">
        <v/>
      </c>
      <c r="AE99" s="1837" t="str">
        <v>USA</v>
      </c>
      <c r="AF99" s="1837" t="str">
        <v>North America</v>
      </c>
      <c r="AG99" s="1837" t="str">
        <v>Yes</v>
      </c>
      <c r="AH99" s="1837" t="str">
        <v/>
      </c>
      <c r="AI99" s="1837" t="str">
        <v/>
      </c>
      <c r="AJ99" s="1110" t="str">
        <v>Weaver Family</v>
      </c>
      <c r="AS99" t="s">
        <v>123</v>
      </c>
    </row>
    <row r="100" spans="1:45" ht="16.5" thickBot="1">
      <c r="A100">
        <v>8</v>
      </c>
      <c r="B100">
        <v>9</v>
      </c>
      <c r="C100" s="3" t="s">
        <v>12</v>
      </c>
      <c r="D100" s="3" t="s">
        <v>12</v>
      </c>
      <c r="E100" s="3" t="s">
        <v>12</v>
      </c>
      <c r="F100" s="4" t="s">
        <v>13</v>
      </c>
      <c r="G100" s="3" t="s">
        <v>12</v>
      </c>
      <c r="H100" s="3" t="s">
        <v>12</v>
      </c>
      <c r="I100" s="3" t="s">
        <v>12</v>
      </c>
      <c r="J100" s="783" t="s">
        <v>14</v>
      </c>
      <c r="K100" s="3" t="s">
        <v>12</v>
      </c>
      <c r="P100" s="1329">
        <v>8</v>
      </c>
      <c r="Q100" s="1837">
        <v>3</v>
      </c>
      <c r="R100" s="1837" t="str">
        <v>Route Info</v>
      </c>
      <c r="S100" s="1837" t="str">
        <v>Detour</v>
      </c>
      <c r="T100" s="1837" t="str">
        <v>Route Info</v>
      </c>
      <c r="U100" s="1837" t="str">
        <v>Route Info</v>
      </c>
      <c r="V100" s="1837" t="str">
        <v>Road Block</v>
      </c>
      <c r="W100" s="1837" t="str">
        <v>Route Info</v>
      </c>
      <c r="X100" s="1837" t="str">
        <v>Route Info</v>
      </c>
      <c r="Y100" s="1837" t="str">
        <v/>
      </c>
      <c r="Z100" s="1837" t="str">
        <v/>
      </c>
      <c r="AA100" s="1837" t="str">
        <v/>
      </c>
      <c r="AB100" s="1837" t="str">
        <v/>
      </c>
      <c r="AC100" s="1837" t="str">
        <v/>
      </c>
      <c r="AD100" s="1837" t="str">
        <v/>
      </c>
      <c r="AE100" s="1837" t="str">
        <v>USA</v>
      </c>
      <c r="AF100" s="1837" t="str">
        <v>North America</v>
      </c>
      <c r="AG100" s="1837" t="str">
        <v>Yes</v>
      </c>
      <c r="AH100" s="1837" t="str">
        <v/>
      </c>
      <c r="AI100" s="1837" t="str">
        <v/>
      </c>
      <c r="AJ100" s="1110" t="str">
        <v>Bransen Family</v>
      </c>
      <c r="AS100" t="s">
        <v>1293</v>
      </c>
    </row>
    <row r="101" spans="1:45">
      <c r="A101">
        <v>8</v>
      </c>
      <c r="B101">
        <v>10</v>
      </c>
      <c r="C101" s="3" t="s">
        <v>12</v>
      </c>
      <c r="D101" s="3" t="s">
        <v>12</v>
      </c>
      <c r="E101" s="3" t="s">
        <v>12</v>
      </c>
      <c r="F101" s="4" t="s">
        <v>13</v>
      </c>
      <c r="G101" s="3" t="s">
        <v>12</v>
      </c>
      <c r="H101" s="3" t="s">
        <v>12</v>
      </c>
      <c r="I101" s="3" t="s">
        <v>12</v>
      </c>
      <c r="J101" s="5" t="s">
        <v>14</v>
      </c>
      <c r="K101" s="3" t="s">
        <v>12</v>
      </c>
      <c r="L101" s="3" t="s">
        <v>12</v>
      </c>
      <c r="M101" s="12"/>
      <c r="N101" s="12"/>
      <c r="P101" s="1329">
        <v>8</v>
      </c>
      <c r="Q101" s="1837">
        <v>4</v>
      </c>
      <c r="R101" s="1837" t="str">
        <v>Route Info</v>
      </c>
      <c r="S101" s="1837" t="str">
        <v>Route Info</v>
      </c>
      <c r="T101" s="1837" t="str">
        <v>Route Info</v>
      </c>
      <c r="U101" s="1837" t="str">
        <v>Route Info</v>
      </c>
      <c r="V101" s="1837" t="str">
        <v>Road Block</v>
      </c>
      <c r="W101" s="1837" t="str">
        <v>Route Info</v>
      </c>
      <c r="X101" s="1837" t="str">
        <v>Route Info</v>
      </c>
      <c r="Y101" s="1837" t="str">
        <v>Route Info</v>
      </c>
      <c r="Z101" s="1837" t="str">
        <v>Detour</v>
      </c>
      <c r="AA101" s="1837" t="str">
        <v>Route Info</v>
      </c>
      <c r="AB101" s="1837" t="str">
        <v/>
      </c>
      <c r="AC101" s="1837" t="str">
        <v/>
      </c>
      <c r="AD101" s="1837" t="str">
        <v/>
      </c>
      <c r="AE101" s="1837" t="str">
        <v>USA</v>
      </c>
      <c r="AF101" s="1837" t="str">
        <v>North America</v>
      </c>
      <c r="AG101" s="1837" t="str">
        <v>Yes</v>
      </c>
      <c r="AH101" s="1837" t="str">
        <v/>
      </c>
      <c r="AI101" s="1837" t="str">
        <v/>
      </c>
      <c r="AJ101" s="1110" t="str">
        <v>Bransen Family</v>
      </c>
      <c r="AS101" t="s">
        <v>1122</v>
      </c>
    </row>
    <row r="102" spans="1:45">
      <c r="A102">
        <v>8</v>
      </c>
      <c r="B102">
        <v>11</v>
      </c>
      <c r="C102" s="3" t="s">
        <v>12</v>
      </c>
      <c r="D102" s="4" t="s">
        <v>13</v>
      </c>
      <c r="E102" s="3" t="s">
        <v>12</v>
      </c>
      <c r="F102" s="3" t="s">
        <v>12</v>
      </c>
      <c r="G102" s="5" t="s">
        <v>14</v>
      </c>
      <c r="H102" s="3" t="s">
        <v>12</v>
      </c>
      <c r="P102" s="1329">
        <v>8</v>
      </c>
      <c r="Q102" s="1837">
        <v>5</v>
      </c>
      <c r="R102" s="1837" t="str">
        <v>Route Info</v>
      </c>
      <c r="S102" s="1837" t="str">
        <v>Fast Forward</v>
      </c>
      <c r="T102" s="1837" t="str">
        <v>Detour</v>
      </c>
      <c r="U102" s="1837" t="str">
        <v>Route Info</v>
      </c>
      <c r="V102" s="1837" t="str">
        <v>Road Block</v>
      </c>
      <c r="W102" s="1837" t="str">
        <v>Route Info</v>
      </c>
      <c r="X102" s="1837" t="str">
        <v/>
      </c>
      <c r="Y102" s="1837" t="str">
        <v/>
      </c>
      <c r="Z102" s="1837" t="str">
        <v/>
      </c>
      <c r="AA102" s="1837" t="str">
        <v/>
      </c>
      <c r="AB102" s="1837" t="str">
        <v/>
      </c>
      <c r="AC102" s="1837" t="str">
        <v/>
      </c>
      <c r="AD102" s="1837" t="str">
        <v/>
      </c>
      <c r="AE102" s="1837" t="str">
        <v>Panama</v>
      </c>
      <c r="AF102" s="1837" t="str">
        <v>Central America</v>
      </c>
      <c r="AG102" s="1837" t="str">
        <v>No</v>
      </c>
      <c r="AH102" s="1837" t="str">
        <v/>
      </c>
      <c r="AI102" s="1837" t="str">
        <v/>
      </c>
      <c r="AJ102" s="1110" t="str">
        <v>Paolo Family</v>
      </c>
      <c r="AS102" t="s">
        <v>320</v>
      </c>
    </row>
    <row r="103" spans="1:45">
      <c r="A103">
        <v>8</v>
      </c>
      <c r="B103" t="s">
        <v>2810</v>
      </c>
      <c r="C103" s="3" t="s">
        <v>12</v>
      </c>
      <c r="D103" s="4" t="s">
        <v>13</v>
      </c>
      <c r="E103" s="3" t="s">
        <v>12</v>
      </c>
      <c r="F103" s="3" t="s">
        <v>12</v>
      </c>
      <c r="G103" s="5" t="s">
        <v>14</v>
      </c>
      <c r="H103" s="3" t="s">
        <v>12</v>
      </c>
      <c r="I103" s="3" t="s">
        <v>12</v>
      </c>
      <c r="J103" s="3" t="s">
        <v>12</v>
      </c>
      <c r="K103" s="4" t="s">
        <v>13</v>
      </c>
      <c r="L103" s="3" t="s">
        <v>12</v>
      </c>
      <c r="M103" s="3" t="s">
        <v>12</v>
      </c>
      <c r="N103" s="5" t="s">
        <v>14</v>
      </c>
      <c r="P103" s="1329">
        <v>8</v>
      </c>
      <c r="Q103" s="1837">
        <v>6</v>
      </c>
      <c r="R103" s="1837" t="str">
        <v>Route Info</v>
      </c>
      <c r="S103" s="1837" t="str">
        <v>Route Info</v>
      </c>
      <c r="T103" s="1837" t="str">
        <v>Road Block</v>
      </c>
      <c r="U103" s="1837" t="str">
        <v>Route Info</v>
      </c>
      <c r="V103" s="1837" t="str">
        <v>Detour</v>
      </c>
      <c r="W103" s="1837" t="str">
        <v>Route Info</v>
      </c>
      <c r="X103" s="1837" t="str">
        <v/>
      </c>
      <c r="Y103" s="1837" t="str">
        <v/>
      </c>
      <c r="Z103" s="1837" t="str">
        <v/>
      </c>
      <c r="AA103" s="1837" t="str">
        <v/>
      </c>
      <c r="AB103" s="1837" t="str">
        <v/>
      </c>
      <c r="AC103" s="1837" t="str">
        <v/>
      </c>
      <c r="AD103" s="1837" t="str">
        <v/>
      </c>
      <c r="AE103" s="1837" t="str">
        <v>Costa Rica</v>
      </c>
      <c r="AF103" s="1837" t="str">
        <v>Central America</v>
      </c>
      <c r="AG103" s="1837" t="str">
        <v>Yes</v>
      </c>
      <c r="AH103" s="1837" t="str">
        <v xml:space="preserve">Yield </v>
      </c>
      <c r="AI103" s="1837">
        <v>3</v>
      </c>
      <c r="AJ103" s="1110" t="str">
        <v>Paolo Family</v>
      </c>
      <c r="AS103" t="s">
        <v>1148</v>
      </c>
    </row>
    <row r="104" spans="1:45">
      <c r="A104">
        <v>9</v>
      </c>
      <c r="B104">
        <v>1</v>
      </c>
      <c r="C104" s="3" t="s">
        <v>12</v>
      </c>
      <c r="D104" s="3" t="s">
        <v>12</v>
      </c>
      <c r="E104" s="4" t="s">
        <v>13</v>
      </c>
      <c r="F104" s="3" t="s">
        <v>12</v>
      </c>
      <c r="G104" s="3" t="s">
        <v>12</v>
      </c>
      <c r="P104" s="1329">
        <v>8</v>
      </c>
      <c r="Q104" s="1837">
        <v>7</v>
      </c>
      <c r="R104" s="1837" t="str">
        <v>Route Info</v>
      </c>
      <c r="S104" s="1837" t="str">
        <v>Route Info</v>
      </c>
      <c r="T104" s="1837" t="str">
        <v>Detour</v>
      </c>
      <c r="U104" s="1837" t="str">
        <v>Route Info</v>
      </c>
      <c r="V104" s="1837" t="str">
        <v>Road Block</v>
      </c>
      <c r="W104" s="1837" t="str">
        <v>Route Info</v>
      </c>
      <c r="X104" s="1837" t="str">
        <v/>
      </c>
      <c r="Y104" s="1837" t="str">
        <v/>
      </c>
      <c r="Z104" s="1837" t="str">
        <v/>
      </c>
      <c r="AA104" s="1837" t="str">
        <v/>
      </c>
      <c r="AB104" s="1837" t="str">
        <v/>
      </c>
      <c r="AC104" s="1837" t="str">
        <v/>
      </c>
      <c r="AD104" s="1837" t="str">
        <v/>
      </c>
      <c r="AE104" s="1837" t="str">
        <v>USA</v>
      </c>
      <c r="AF104" s="1837" t="str">
        <v>North America</v>
      </c>
      <c r="AG104" s="1837" t="str">
        <v>No</v>
      </c>
      <c r="AH104" s="1837" t="str">
        <v/>
      </c>
      <c r="AI104" s="1837" t="str">
        <v/>
      </c>
      <c r="AJ104" s="1110" t="str">
        <v>Godlewski Family</v>
      </c>
      <c r="AS104" t="s">
        <v>303</v>
      </c>
    </row>
    <row r="105" spans="1:45">
      <c r="A105">
        <v>9</v>
      </c>
      <c r="B105">
        <v>2</v>
      </c>
      <c r="C105" s="3" t="s">
        <v>12</v>
      </c>
      <c r="D105" s="5" t="s">
        <v>14</v>
      </c>
      <c r="E105" s="3" t="s">
        <v>12</v>
      </c>
      <c r="F105" s="4" t="s">
        <v>13</v>
      </c>
      <c r="G105" s="3" t="s">
        <v>12</v>
      </c>
      <c r="P105" s="1329">
        <v>8</v>
      </c>
      <c r="Q105" s="1837">
        <v>8</v>
      </c>
      <c r="R105" s="1837" t="str">
        <v>Route Info</v>
      </c>
      <c r="S105" s="1837" t="str">
        <v>Road Block</v>
      </c>
      <c r="T105" s="1837" t="str">
        <v>Route Info</v>
      </c>
      <c r="U105" s="1837" t="str">
        <v>Route Info</v>
      </c>
      <c r="V105" s="1837" t="str">
        <v>Detour</v>
      </c>
      <c r="W105" s="1837" t="str">
        <v>Route Info</v>
      </c>
      <c r="X105" s="1837" t="str">
        <v/>
      </c>
      <c r="Y105" s="1837" t="str">
        <v/>
      </c>
      <c r="Z105" s="1837" t="str">
        <v/>
      </c>
      <c r="AA105" s="1837" t="str">
        <v/>
      </c>
      <c r="AB105" s="1837" t="str">
        <v/>
      </c>
      <c r="AC105" s="1837" t="str">
        <v/>
      </c>
      <c r="AD105" s="1837" t="str">
        <v/>
      </c>
      <c r="AE105" s="1837" t="str">
        <v>USA</v>
      </c>
      <c r="AF105" s="1837" t="str">
        <v>North America</v>
      </c>
      <c r="AG105" s="1837" t="str">
        <v>Yes</v>
      </c>
      <c r="AH105" s="1837" t="str">
        <v/>
      </c>
      <c r="AI105" s="1837" t="str">
        <v/>
      </c>
      <c r="AJ105" s="1110" t="str">
        <v>Godlewski Family</v>
      </c>
      <c r="AS105" t="s">
        <v>1135</v>
      </c>
    </row>
    <row r="106" spans="1:45">
      <c r="A106">
        <v>9</v>
      </c>
      <c r="B106">
        <v>3</v>
      </c>
      <c r="C106" s="3" t="s">
        <v>12</v>
      </c>
      <c r="D106" s="3" t="s">
        <v>12</v>
      </c>
      <c r="E106" s="5" t="s">
        <v>14</v>
      </c>
      <c r="F106" s="3" t="s">
        <v>12</v>
      </c>
      <c r="G106" s="4" t="s">
        <v>13</v>
      </c>
      <c r="H106" s="3" t="s">
        <v>12</v>
      </c>
      <c r="P106" s="1329">
        <v>8</v>
      </c>
      <c r="Q106" s="1837">
        <v>9</v>
      </c>
      <c r="R106" s="1837" t="str">
        <v>Route Info</v>
      </c>
      <c r="S106" s="1837" t="str">
        <v>Route Info</v>
      </c>
      <c r="T106" s="1837" t="str">
        <v>Route Info</v>
      </c>
      <c r="U106" s="1837" t="str">
        <v>Detour</v>
      </c>
      <c r="V106" s="1837" t="str">
        <v>Route Info</v>
      </c>
      <c r="W106" s="1837" t="str">
        <v>Route Info</v>
      </c>
      <c r="X106" s="1837" t="str">
        <v>Route Info</v>
      </c>
      <c r="Y106" s="1837" t="str">
        <v>Road Block</v>
      </c>
      <c r="Z106" s="1837" t="str">
        <v>Route Info</v>
      </c>
      <c r="AA106" s="1837" t="str">
        <v/>
      </c>
      <c r="AB106" s="1837" t="str">
        <v/>
      </c>
      <c r="AC106" s="1837" t="str">
        <v/>
      </c>
      <c r="AD106" s="1837" t="str">
        <v/>
      </c>
      <c r="AE106" s="1837" t="str">
        <v>USA</v>
      </c>
      <c r="AF106" s="1837" t="str">
        <v>North America</v>
      </c>
      <c r="AG106" s="1837" t="str">
        <v>No</v>
      </c>
      <c r="AH106" s="1837" t="str">
        <v>Yield</v>
      </c>
      <c r="AI106" s="1837">
        <v>8</v>
      </c>
      <c r="AJ106" s="1110" t="str">
        <v>Linz Family</v>
      </c>
      <c r="AS106" t="s">
        <v>269</v>
      </c>
    </row>
    <row r="107" spans="1:45" ht="16.5" thickBot="1">
      <c r="A107">
        <v>9</v>
      </c>
      <c r="B107">
        <v>4</v>
      </c>
      <c r="C107" s="3" t="s">
        <v>12</v>
      </c>
      <c r="D107" s="3" t="s">
        <v>12</v>
      </c>
      <c r="E107" s="3" t="s">
        <v>12</v>
      </c>
      <c r="F107" s="5" t="s">
        <v>14</v>
      </c>
      <c r="G107" s="838" t="s">
        <v>12</v>
      </c>
      <c r="H107" s="4" t="s">
        <v>13</v>
      </c>
      <c r="I107" s="3" t="s">
        <v>12</v>
      </c>
      <c r="P107" s="1329">
        <v>8</v>
      </c>
      <c r="Q107" s="1837">
        <v>10</v>
      </c>
      <c r="R107" s="1837" t="str">
        <v>Route Info</v>
      </c>
      <c r="S107" s="1837" t="str">
        <v>Route Info</v>
      </c>
      <c r="T107" s="1837" t="str">
        <v>Route Info</v>
      </c>
      <c r="U107" s="1837" t="str">
        <v>Detour</v>
      </c>
      <c r="V107" s="1837" t="str">
        <v>Route Info</v>
      </c>
      <c r="W107" s="1837" t="str">
        <v>Route Info</v>
      </c>
      <c r="X107" s="1837" t="str">
        <v>Route Info</v>
      </c>
      <c r="Y107" s="1837" t="str">
        <v>Road Block</v>
      </c>
      <c r="Z107" s="1837" t="str">
        <v>Route Info</v>
      </c>
      <c r="AA107" s="1837" t="str">
        <v>Route Info</v>
      </c>
      <c r="AB107" s="1837" t="str">
        <v/>
      </c>
      <c r="AC107" s="1837" t="str">
        <v/>
      </c>
      <c r="AD107" s="1837" t="str">
        <v/>
      </c>
      <c r="AE107" s="1837" t="str">
        <v>USA</v>
      </c>
      <c r="AF107" s="1837" t="str">
        <v>North America</v>
      </c>
      <c r="AG107" s="1837" t="str">
        <v>Yes</v>
      </c>
      <c r="AH107" s="1837" t="str">
        <v/>
      </c>
      <c r="AI107" s="1837" t="str">
        <v/>
      </c>
      <c r="AJ107" s="1110" t="str">
        <v>Bransen Family</v>
      </c>
      <c r="AS107" t="s">
        <v>314</v>
      </c>
    </row>
    <row r="108" spans="1:45">
      <c r="A108">
        <v>9</v>
      </c>
      <c r="B108">
        <v>5</v>
      </c>
      <c r="C108" s="3" t="s">
        <v>12</v>
      </c>
      <c r="D108" s="3" t="s">
        <v>12</v>
      </c>
      <c r="E108" s="4" t="s">
        <v>13</v>
      </c>
      <c r="F108" s="3" t="s">
        <v>12</v>
      </c>
      <c r="G108" s="837" t="s">
        <v>14</v>
      </c>
      <c r="H108" s="3" t="s">
        <v>12</v>
      </c>
      <c r="P108" s="1329">
        <v>8</v>
      </c>
      <c r="Q108" s="1837">
        <v>11</v>
      </c>
      <c r="R108" s="1837" t="str">
        <v>Route Info</v>
      </c>
      <c r="S108" s="1837" t="str">
        <v>Detour</v>
      </c>
      <c r="T108" s="1837" t="str">
        <v>Route Info</v>
      </c>
      <c r="U108" s="1837" t="str">
        <v>Route Info</v>
      </c>
      <c r="V108" s="1837" t="str">
        <v>Road Block</v>
      </c>
      <c r="W108" s="1837" t="str">
        <v>Route Info</v>
      </c>
      <c r="X108" s="1837" t="str">
        <v/>
      </c>
      <c r="Y108" s="1837" t="str">
        <v/>
      </c>
      <c r="Z108" s="1837" t="str">
        <v/>
      </c>
      <c r="AA108" s="1837" t="str">
        <v/>
      </c>
      <c r="AB108" s="1837" t="str">
        <v/>
      </c>
      <c r="AC108" s="1837" t="str">
        <v/>
      </c>
      <c r="AD108" s="1837" t="str">
        <v/>
      </c>
      <c r="AE108" s="1837" t="str">
        <v>USA</v>
      </c>
      <c r="AF108" s="1837" t="str">
        <v>North America</v>
      </c>
      <c r="AG108" s="1837" t="str">
        <v>Yes</v>
      </c>
      <c r="AH108" s="1837" t="str">
        <v/>
      </c>
      <c r="AI108" s="1837" t="str">
        <v/>
      </c>
      <c r="AJ108" s="1110" t="str">
        <v>Bransen Family</v>
      </c>
      <c r="AS108" t="s">
        <v>290</v>
      </c>
    </row>
    <row r="109" spans="1:45">
      <c r="A109">
        <v>9</v>
      </c>
      <c r="B109">
        <v>6</v>
      </c>
      <c r="C109" s="3" t="s">
        <v>12</v>
      </c>
      <c r="D109" s="3" t="s">
        <v>12</v>
      </c>
      <c r="E109" s="4" t="s">
        <v>13</v>
      </c>
      <c r="F109" s="3" t="s">
        <v>12</v>
      </c>
      <c r="G109" s="836" t="s">
        <v>14</v>
      </c>
      <c r="H109" s="3" t="s">
        <v>12</v>
      </c>
      <c r="P109" s="1329">
        <v>8</v>
      </c>
      <c r="Q109" s="1837" t="str">
        <v>Final</v>
      </c>
      <c r="R109" s="1837" t="str">
        <v>Route Info</v>
      </c>
      <c r="S109" s="1837" t="str">
        <v>Detour</v>
      </c>
      <c r="T109" s="1837" t="str">
        <v>Route Info</v>
      </c>
      <c r="U109" s="1837" t="str">
        <v>Route Info</v>
      </c>
      <c r="V109" s="1837" t="str">
        <v>Road Block</v>
      </c>
      <c r="W109" s="1837" t="str">
        <v>Route Info</v>
      </c>
      <c r="X109" s="1837" t="str">
        <v>Route Info</v>
      </c>
      <c r="Y109" s="1837" t="str">
        <v>Route Info</v>
      </c>
      <c r="Z109" s="1837" t="str">
        <v>Detour</v>
      </c>
      <c r="AA109" s="1837" t="str">
        <v>Route Info</v>
      </c>
      <c r="AB109" s="1837" t="str">
        <v>Route Info</v>
      </c>
      <c r="AC109" s="1837" t="str">
        <v>Road Block</v>
      </c>
      <c r="AD109" s="1837" t="str">
        <v/>
      </c>
      <c r="AE109" s="1837" t="str">
        <v>Canada\nUSA</v>
      </c>
      <c r="AF109" s="1837" t="str">
        <v>North America</v>
      </c>
      <c r="AG109" s="1837" t="str">
        <v>Final Leg</v>
      </c>
      <c r="AH109" s="1837" t="str">
        <v/>
      </c>
      <c r="AI109" s="1837" t="str">
        <v/>
      </c>
      <c r="AJ109" s="1110" t="str">
        <v>Linz Family</v>
      </c>
      <c r="AS109" s="37" t="s">
        <v>1172</v>
      </c>
    </row>
    <row r="110" spans="1:45">
      <c r="A110">
        <v>9</v>
      </c>
      <c r="B110">
        <v>7</v>
      </c>
      <c r="C110" s="3" t="s">
        <v>12</v>
      </c>
      <c r="D110" s="3" t="s">
        <v>12</v>
      </c>
      <c r="E110" s="3" t="s">
        <v>12</v>
      </c>
      <c r="F110" s="19" t="s">
        <v>71</v>
      </c>
      <c r="G110" s="3" t="s">
        <v>12</v>
      </c>
      <c r="H110" s="5" t="s">
        <v>14</v>
      </c>
      <c r="I110" s="4" t="s">
        <v>13</v>
      </c>
      <c r="J110" s="3" t="s">
        <v>12</v>
      </c>
      <c r="P110" s="1329">
        <v>9</v>
      </c>
      <c r="Q110" s="1837">
        <v>1</v>
      </c>
      <c r="R110" s="1837" t="str">
        <v>Route Info</v>
      </c>
      <c r="S110" s="1837" t="str">
        <v>Route Info</v>
      </c>
      <c r="T110" s="1837" t="str">
        <v>Detour</v>
      </c>
      <c r="U110" s="1837" t="str">
        <v>Route Info</v>
      </c>
      <c r="V110" s="1837" t="str">
        <v>Route Info</v>
      </c>
      <c r="W110" s="1837" t="str">
        <v/>
      </c>
      <c r="X110" s="1837" t="str">
        <v/>
      </c>
      <c r="Y110" s="1837" t="str">
        <v/>
      </c>
      <c r="Z110" s="1837" t="str">
        <v/>
      </c>
      <c r="AA110" s="1837" t="str">
        <v/>
      </c>
      <c r="AB110" s="1837" t="str">
        <v/>
      </c>
      <c r="AC110" s="1837" t="str">
        <v/>
      </c>
      <c r="AD110" s="1837" t="str">
        <v/>
      </c>
      <c r="AE110" s="1837" t="str">
        <v>Brazil</v>
      </c>
      <c r="AF110" s="1837" t="str">
        <v>South America</v>
      </c>
      <c r="AG110" s="1837" t="str">
        <v>Yes</v>
      </c>
      <c r="AH110" s="1837" t="str">
        <v/>
      </c>
      <c r="AI110" s="1837" t="str">
        <v/>
      </c>
      <c r="AJ110" s="1110" t="str">
        <v>Eric &amp; Jeremy</v>
      </c>
      <c r="AS110" t="s">
        <v>1116</v>
      </c>
    </row>
    <row r="111" spans="1:45">
      <c r="A111">
        <v>9</v>
      </c>
      <c r="B111">
        <v>8</v>
      </c>
      <c r="C111" s="3" t="s">
        <v>12</v>
      </c>
      <c r="D111" s="3" t="s">
        <v>12</v>
      </c>
      <c r="E111" s="4" t="s">
        <v>13</v>
      </c>
      <c r="F111" s="3" t="s">
        <v>12</v>
      </c>
      <c r="G111" s="5" t="s">
        <v>14</v>
      </c>
      <c r="H111" s="3" t="s">
        <v>12</v>
      </c>
      <c r="P111" s="1329">
        <v>9</v>
      </c>
      <c r="Q111" s="1837">
        <v>2</v>
      </c>
      <c r="R111" s="1837" t="str">
        <v>Route Info</v>
      </c>
      <c r="S111" s="1837" t="str">
        <v>Road Block</v>
      </c>
      <c r="T111" s="1837" t="str">
        <v>Route Info</v>
      </c>
      <c r="U111" s="1837" t="str">
        <v>Detour</v>
      </c>
      <c r="V111" s="1837" t="str">
        <v>Route Info</v>
      </c>
      <c r="W111" s="1837" t="str">
        <v/>
      </c>
      <c r="X111" s="1837" t="str">
        <v/>
      </c>
      <c r="Y111" s="1837" t="str">
        <v/>
      </c>
      <c r="Z111" s="1837" t="str">
        <v/>
      </c>
      <c r="AA111" s="1837" t="str">
        <v/>
      </c>
      <c r="AB111" s="1837" t="str">
        <v/>
      </c>
      <c r="AC111" s="1837" t="str">
        <v/>
      </c>
      <c r="AD111" s="1837" t="str">
        <v/>
      </c>
      <c r="AE111" s="1837" t="str">
        <v>Brazil</v>
      </c>
      <c r="AF111" s="1837" t="str">
        <v>South America</v>
      </c>
      <c r="AG111" s="1837" t="str">
        <v>Yes</v>
      </c>
      <c r="AH111" s="1837" t="str">
        <v/>
      </c>
      <c r="AI111" s="1837" t="str">
        <v/>
      </c>
      <c r="AJ111" s="1110" t="str">
        <v>BJ &amp; Tyler</v>
      </c>
      <c r="AS111" s="37" t="s">
        <v>1138</v>
      </c>
    </row>
    <row r="112" spans="1:45" ht="16.5" thickBot="1">
      <c r="A112">
        <v>9</v>
      </c>
      <c r="B112">
        <v>9</v>
      </c>
      <c r="C112" s="3" t="s">
        <v>12</v>
      </c>
      <c r="D112" s="3" t="s">
        <v>12</v>
      </c>
      <c r="E112" s="4" t="s">
        <v>13</v>
      </c>
      <c r="F112" s="3" t="s">
        <v>12</v>
      </c>
      <c r="G112" s="5" t="s">
        <v>14</v>
      </c>
      <c r="H112" s="3" t="s">
        <v>12</v>
      </c>
      <c r="P112" s="1329">
        <v>9</v>
      </c>
      <c r="Q112" s="1837">
        <v>3</v>
      </c>
      <c r="R112" s="1837" t="str">
        <v>Route Info</v>
      </c>
      <c r="S112" s="1837" t="str">
        <v>Route Info</v>
      </c>
      <c r="T112" s="1837" t="str">
        <v>Road Block</v>
      </c>
      <c r="U112" s="1837" t="str">
        <v>Route Info</v>
      </c>
      <c r="V112" s="1837" t="str">
        <v>Detour</v>
      </c>
      <c r="W112" s="1837" t="str">
        <v>Route Info</v>
      </c>
      <c r="X112" s="1837" t="str">
        <v/>
      </c>
      <c r="Y112" s="1837" t="str">
        <v/>
      </c>
      <c r="Z112" s="1837" t="str">
        <v/>
      </c>
      <c r="AA112" s="1837" t="str">
        <v/>
      </c>
      <c r="AB112" s="1837" t="str">
        <v/>
      </c>
      <c r="AC112" s="1837" t="str">
        <v/>
      </c>
      <c r="AD112" s="1837" t="str">
        <v/>
      </c>
      <c r="AE112" s="1837" t="str">
        <v>Russia</v>
      </c>
      <c r="AF112" s="1837" t="str">
        <v>Eastern Europe</v>
      </c>
      <c r="AG112" s="1837" t="str">
        <v>No</v>
      </c>
      <c r="AH112" s="1837" t="str">
        <v/>
      </c>
      <c r="AI112" s="1837" t="str">
        <v/>
      </c>
      <c r="AJ112" s="1110" t="str">
        <v>Eric &amp; Jeremy</v>
      </c>
      <c r="AS112" s="37" t="s">
        <v>283</v>
      </c>
    </row>
    <row r="113" spans="1:45" ht="16.5" thickBot="1">
      <c r="A113">
        <v>9</v>
      </c>
      <c r="B113">
        <v>10</v>
      </c>
      <c r="C113" s="3" t="s">
        <v>12</v>
      </c>
      <c r="D113" s="3" t="s">
        <v>12</v>
      </c>
      <c r="E113" s="3" t="s">
        <v>12</v>
      </c>
      <c r="F113" s="783" t="s">
        <v>14</v>
      </c>
      <c r="G113" s="3" t="s">
        <v>12</v>
      </c>
      <c r="H113" s="4" t="s">
        <v>13</v>
      </c>
      <c r="I113" s="3" t="s">
        <v>12</v>
      </c>
      <c r="P113" s="1329">
        <v>9</v>
      </c>
      <c r="Q113" s="1837">
        <v>4</v>
      </c>
      <c r="R113" s="1837" t="str">
        <v>Route Info</v>
      </c>
      <c r="S113" s="1837" t="str">
        <v>Route Info</v>
      </c>
      <c r="T113" s="1837" t="str">
        <v>Route Info</v>
      </c>
      <c r="U113" s="1837" t="str">
        <v>Road Block</v>
      </c>
      <c r="V113" s="1837" t="str">
        <v>Route Info</v>
      </c>
      <c r="W113" s="1837" t="str">
        <v>Detour</v>
      </c>
      <c r="X113" s="1837" t="str">
        <v>Route Info</v>
      </c>
      <c r="Y113" s="1837" t="str">
        <v/>
      </c>
      <c r="Z113" s="1837" t="str">
        <v/>
      </c>
      <c r="AA113" s="1837" t="str">
        <v/>
      </c>
      <c r="AB113" s="1837" t="str">
        <v/>
      </c>
      <c r="AC113" s="1837" t="str">
        <v/>
      </c>
      <c r="AD113" s="1837" t="str">
        <v/>
      </c>
      <c r="AE113" s="1837" t="str">
        <v>Germany</v>
      </c>
      <c r="AF113" s="1837" t="str">
        <v>Central Europe</v>
      </c>
      <c r="AG113" s="1837" t="str">
        <v>Yes</v>
      </c>
      <c r="AH113" s="1837" t="str">
        <v/>
      </c>
      <c r="AI113" s="1837" t="str">
        <v/>
      </c>
      <c r="AJ113" s="1110" t="str">
        <v>Eric &amp; Jeremy</v>
      </c>
      <c r="AS113" s="52" t="s">
        <v>284</v>
      </c>
    </row>
    <row r="114" spans="1:45">
      <c r="A114">
        <v>9</v>
      </c>
      <c r="B114">
        <v>11</v>
      </c>
      <c r="C114" s="3" t="s">
        <v>12</v>
      </c>
      <c r="D114" s="19" t="s">
        <v>71</v>
      </c>
      <c r="E114" s="5" t="s">
        <v>14</v>
      </c>
      <c r="F114" s="3" t="s">
        <v>12</v>
      </c>
      <c r="G114" s="4" t="s">
        <v>13</v>
      </c>
      <c r="H114" s="3" t="s">
        <v>12</v>
      </c>
      <c r="P114" s="1329">
        <v>9</v>
      </c>
      <c r="Q114" s="1837">
        <v>5</v>
      </c>
      <c r="R114" s="1837" t="str">
        <v>Route Info</v>
      </c>
      <c r="S114" s="1837" t="str">
        <v>Route Info</v>
      </c>
      <c r="T114" s="1837" t="str">
        <v>Detour</v>
      </c>
      <c r="U114" s="1837" t="str">
        <v>Route Info</v>
      </c>
      <c r="V114" s="1837" t="str">
        <v>Road Block</v>
      </c>
      <c r="W114" s="1837" t="str">
        <v>Route Info</v>
      </c>
      <c r="X114" s="1837" t="str">
        <v/>
      </c>
      <c r="Y114" s="1837" t="str">
        <v/>
      </c>
      <c r="Z114" s="1837" t="str">
        <v/>
      </c>
      <c r="AA114" s="1837" t="str">
        <v/>
      </c>
      <c r="AB114" s="1837" t="str">
        <v/>
      </c>
      <c r="AC114" s="1837" t="str">
        <v/>
      </c>
      <c r="AD114" s="1837" t="str">
        <v/>
      </c>
      <c r="AE114" s="1837" t="str">
        <v>Italy</v>
      </c>
      <c r="AF114" s="1837" t="str">
        <v>Southern Europe</v>
      </c>
      <c r="AG114" s="1837" t="str">
        <v>Yes</v>
      </c>
      <c r="AH114" s="1837" t="str">
        <v>Yield</v>
      </c>
      <c r="AI114" s="1837">
        <v>5</v>
      </c>
      <c r="AJ114" s="1110" t="str">
        <v>BJ &amp; Tyler</v>
      </c>
      <c r="AS114" t="s">
        <v>1204</v>
      </c>
    </row>
    <row r="115" spans="1:45">
      <c r="A115">
        <v>9</v>
      </c>
      <c r="B115">
        <v>12</v>
      </c>
      <c r="C115" s="3" t="s">
        <v>12</v>
      </c>
      <c r="D115" s="3" t="s">
        <v>12</v>
      </c>
      <c r="E115" s="3" t="s">
        <v>12</v>
      </c>
      <c r="F115" s="4" t="s">
        <v>13</v>
      </c>
      <c r="G115" s="3" t="s">
        <v>12</v>
      </c>
      <c r="H115" s="3" t="s">
        <v>12</v>
      </c>
      <c r="I115" s="5" t="s">
        <v>14</v>
      </c>
      <c r="J115" s="3" t="s">
        <v>12</v>
      </c>
      <c r="P115" s="1329">
        <v>9</v>
      </c>
      <c r="Q115" s="1837">
        <v>6</v>
      </c>
      <c r="R115" s="1837" t="str">
        <v>Route Info</v>
      </c>
      <c r="S115" s="1837" t="str">
        <v>Route Info</v>
      </c>
      <c r="T115" s="1837" t="str">
        <v>Detour</v>
      </c>
      <c r="U115" s="1837" t="str">
        <v>Route Info</v>
      </c>
      <c r="V115" s="1837" t="str">
        <v>Road Block</v>
      </c>
      <c r="W115" s="1837" t="str">
        <v>Route Info</v>
      </c>
      <c r="X115" s="1837" t="str">
        <v/>
      </c>
      <c r="Y115" s="1837" t="str">
        <v/>
      </c>
      <c r="Z115" s="1837" t="str">
        <v/>
      </c>
      <c r="AA115" s="1837" t="str">
        <v/>
      </c>
      <c r="AB115" s="1837" t="str">
        <v/>
      </c>
      <c r="AC115" s="1837" t="str">
        <v/>
      </c>
      <c r="AD115" s="1837" t="str">
        <v/>
      </c>
      <c r="AE115" s="1837" t="str">
        <v>Italy</v>
      </c>
      <c r="AF115" s="1837" t="str">
        <v>Southern Europe</v>
      </c>
      <c r="AG115" s="1837" t="str">
        <v>Yes</v>
      </c>
      <c r="AH115" s="1837" t="str">
        <v/>
      </c>
      <c r="AI115" s="1837" t="str">
        <v/>
      </c>
      <c r="AJ115" s="1110" t="str">
        <v>Eric &amp; Jeremy</v>
      </c>
      <c r="AS115" s="37" t="s">
        <v>1129</v>
      </c>
    </row>
    <row r="116" spans="1:45">
      <c r="A116">
        <v>9</v>
      </c>
      <c r="B116" t="s">
        <v>2810</v>
      </c>
      <c r="C116" s="3" t="s">
        <v>12</v>
      </c>
      <c r="D116" s="3" t="s">
        <v>12</v>
      </c>
      <c r="E116" s="4" t="s">
        <v>13</v>
      </c>
      <c r="F116" s="3" t="s">
        <v>12</v>
      </c>
      <c r="G116" s="3" t="s">
        <v>12</v>
      </c>
      <c r="H116" s="3" t="s">
        <v>12</v>
      </c>
      <c r="I116" s="5" t="s">
        <v>14</v>
      </c>
      <c r="P116" s="1329">
        <v>9</v>
      </c>
      <c r="Q116" s="1837">
        <v>7</v>
      </c>
      <c r="R116" s="1837" t="str">
        <v>Route Info</v>
      </c>
      <c r="S116" s="1837" t="str">
        <v>Route Info</v>
      </c>
      <c r="T116" s="1837" t="str">
        <v>Route Info</v>
      </c>
      <c r="U116" s="1837" t="str">
        <v>Fast Forward</v>
      </c>
      <c r="V116" s="1837" t="str">
        <v>Route Info</v>
      </c>
      <c r="W116" s="1837" t="str">
        <v>Road Block</v>
      </c>
      <c r="X116" s="1837" t="str">
        <v>Detour</v>
      </c>
      <c r="Y116" s="1837" t="str">
        <v>Route Info</v>
      </c>
      <c r="Z116" s="1837" t="str">
        <v/>
      </c>
      <c r="AA116" s="1837" t="str">
        <v/>
      </c>
      <c r="AB116" s="1837" t="str">
        <v/>
      </c>
      <c r="AC116" s="1837" t="str">
        <v/>
      </c>
      <c r="AD116" s="1837" t="str">
        <v/>
      </c>
      <c r="AE116" s="1837" t="str">
        <v>Greece</v>
      </c>
      <c r="AF116" s="1837" t="str">
        <v>Southern Europe</v>
      </c>
      <c r="AG116" s="1837" t="str">
        <v>Yes</v>
      </c>
      <c r="AH116" s="1837" t="str">
        <v/>
      </c>
      <c r="AI116" s="1837" t="str">
        <v/>
      </c>
      <c r="AJ116" s="1110" t="str">
        <v>Eric &amp; Jeremy</v>
      </c>
      <c r="AS116" s="37" t="s">
        <v>266</v>
      </c>
    </row>
    <row r="117" spans="1:45">
      <c r="A117">
        <v>10</v>
      </c>
      <c r="B117">
        <v>1</v>
      </c>
      <c r="C117" s="3" t="s">
        <v>12</v>
      </c>
      <c r="D117" s="5" t="s">
        <v>14</v>
      </c>
      <c r="E117" s="3" t="s">
        <v>12</v>
      </c>
      <c r="F117" s="3" t="s">
        <v>12</v>
      </c>
      <c r="G117" s="4" t="s">
        <v>13</v>
      </c>
      <c r="H117" s="3" t="s">
        <v>12</v>
      </c>
      <c r="P117" s="1329">
        <v>9</v>
      </c>
      <c r="Q117" s="1837">
        <v>8</v>
      </c>
      <c r="R117" s="1837" t="str">
        <v>Route Info</v>
      </c>
      <c r="S117" s="1837" t="str">
        <v>Route Info</v>
      </c>
      <c r="T117" s="1837" t="str">
        <v>Detour</v>
      </c>
      <c r="U117" s="1837" t="str">
        <v>Route Info</v>
      </c>
      <c r="V117" s="1837" t="str">
        <v>Road Block</v>
      </c>
      <c r="W117" s="1837" t="str">
        <v>Route Info</v>
      </c>
      <c r="X117" s="1837" t="str">
        <v/>
      </c>
      <c r="Y117" s="1837" t="str">
        <v/>
      </c>
      <c r="Z117" s="1837" t="str">
        <v/>
      </c>
      <c r="AA117" s="1837" t="str">
        <v/>
      </c>
      <c r="AB117" s="1837" t="str">
        <v/>
      </c>
      <c r="AC117" s="1837" t="str">
        <v/>
      </c>
      <c r="AD117" s="1837" t="str">
        <v/>
      </c>
      <c r="AE117" s="1837" t="str">
        <v>Oman</v>
      </c>
      <c r="AF117" s="1837" t="str">
        <v>Middle East</v>
      </c>
      <c r="AG117" s="1837" t="str">
        <v>No</v>
      </c>
      <c r="AH117" s="1837" t="str">
        <v/>
      </c>
      <c r="AI117" s="1837" t="str">
        <v/>
      </c>
      <c r="AJ117" s="1110" t="str">
        <v>Fran &amp; Barry</v>
      </c>
      <c r="AS117" t="s">
        <v>281</v>
      </c>
    </row>
    <row r="118" spans="1:45">
      <c r="A118">
        <v>10</v>
      </c>
      <c r="B118">
        <v>2</v>
      </c>
      <c r="C118" s="3" t="s">
        <v>12</v>
      </c>
      <c r="D118" s="3" t="s">
        <v>12</v>
      </c>
      <c r="E118" s="4" t="s">
        <v>13</v>
      </c>
      <c r="F118" s="3" t="s">
        <v>12</v>
      </c>
      <c r="G118" s="5" t="s">
        <v>14</v>
      </c>
      <c r="P118" s="1329">
        <v>9</v>
      </c>
      <c r="Q118" s="1837">
        <v>9</v>
      </c>
      <c r="R118" s="1837" t="str">
        <v>Route Info</v>
      </c>
      <c r="S118" s="1837" t="str">
        <v>Route Info</v>
      </c>
      <c r="T118" s="1837" t="str">
        <v>Detour</v>
      </c>
      <c r="U118" s="1837" t="str">
        <v>Route Info</v>
      </c>
      <c r="V118" s="1837" t="str">
        <v>Road Block</v>
      </c>
      <c r="W118" s="1837" t="str">
        <v>Route Info</v>
      </c>
      <c r="X118" s="1837" t="str">
        <v/>
      </c>
      <c r="Y118" s="1837" t="str">
        <v/>
      </c>
      <c r="Z118" s="1837" t="str">
        <v/>
      </c>
      <c r="AA118" s="1837" t="str">
        <v/>
      </c>
      <c r="AB118" s="1837" t="str">
        <v/>
      </c>
      <c r="AC118" s="1837" t="str">
        <v/>
      </c>
      <c r="AD118" s="1837" t="str">
        <v/>
      </c>
      <c r="AE118" s="1837" t="str">
        <v>Australia</v>
      </c>
      <c r="AF118" s="1837" t="str">
        <v>Oceania</v>
      </c>
      <c r="AG118" s="1837" t="str">
        <v>Yes</v>
      </c>
      <c r="AH118" s="1837" t="str">
        <v/>
      </c>
      <c r="AI118" s="1837" t="str">
        <v/>
      </c>
      <c r="AJ118" s="1110" t="str">
        <v>Eric &amp; Jeremy</v>
      </c>
      <c r="AS118" s="37" t="s">
        <v>301</v>
      </c>
    </row>
    <row r="119" spans="1:45">
      <c r="A119">
        <v>10</v>
      </c>
      <c r="B119">
        <v>3</v>
      </c>
      <c r="C119" s="3" t="s">
        <v>12</v>
      </c>
      <c r="D119" s="3" t="s">
        <v>12</v>
      </c>
      <c r="E119" s="3" t="s">
        <v>12</v>
      </c>
      <c r="F119" s="5" t="s">
        <v>14</v>
      </c>
      <c r="G119" s="3" t="s">
        <v>12</v>
      </c>
      <c r="H119" s="4" t="s">
        <v>13</v>
      </c>
      <c r="I119" s="3" t="s">
        <v>12</v>
      </c>
      <c r="P119" s="1329">
        <v>9</v>
      </c>
      <c r="Q119" s="1837">
        <v>10</v>
      </c>
      <c r="R119" s="1837" t="str">
        <v>Route Info</v>
      </c>
      <c r="S119" s="1837" t="str">
        <v>Route Info</v>
      </c>
      <c r="T119" s="1837" t="str">
        <v>Route Info</v>
      </c>
      <c r="U119" s="1837" t="str">
        <v>Road Block</v>
      </c>
      <c r="V119" s="1837" t="str">
        <v>Route Info</v>
      </c>
      <c r="W119" s="1837" t="str">
        <v>Detour</v>
      </c>
      <c r="X119" s="1837" t="str">
        <v>Route Info</v>
      </c>
      <c r="Y119" s="1837" t="str">
        <v/>
      </c>
      <c r="Z119" s="1837" t="str">
        <v/>
      </c>
      <c r="AA119" s="1837" t="str">
        <v/>
      </c>
      <c r="AB119" s="1837" t="str">
        <v/>
      </c>
      <c r="AC119" s="1837" t="str">
        <v/>
      </c>
      <c r="AD119" s="1837" t="str">
        <v/>
      </c>
      <c r="AE119" s="1837" t="str">
        <v>Australia</v>
      </c>
      <c r="AF119" s="1837" t="str">
        <v>Oceania</v>
      </c>
      <c r="AG119" s="1837" t="str">
        <v>No</v>
      </c>
      <c r="AH119" s="1837" t="str">
        <v>Yield</v>
      </c>
      <c r="AI119" s="1837">
        <v>4</v>
      </c>
      <c r="AJ119" s="1110" t="str">
        <v>Ray &amp; Yolanda</v>
      </c>
      <c r="AS119" t="s">
        <v>1205</v>
      </c>
    </row>
    <row r="120" spans="1:45">
      <c r="A120">
        <v>10</v>
      </c>
      <c r="B120">
        <v>4</v>
      </c>
      <c r="C120" s="3" t="s">
        <v>12</v>
      </c>
      <c r="D120" s="3" t="s">
        <v>12</v>
      </c>
      <c r="E120" s="5" t="s">
        <v>14</v>
      </c>
      <c r="F120" s="3" t="s">
        <v>12</v>
      </c>
      <c r="G120" s="4" t="s">
        <v>13</v>
      </c>
      <c r="H120" s="3" t="s">
        <v>12</v>
      </c>
      <c r="P120" s="1329">
        <v>9</v>
      </c>
      <c r="Q120" s="1837">
        <v>11</v>
      </c>
      <c r="R120" s="1837" t="str">
        <v>Route Info</v>
      </c>
      <c r="S120" s="1837" t="str">
        <v>Fast Forward</v>
      </c>
      <c r="T120" s="1837" t="str">
        <v>Road Block</v>
      </c>
      <c r="U120" s="1837" t="str">
        <v>Route Info</v>
      </c>
      <c r="V120" s="1837" t="str">
        <v>Detour</v>
      </c>
      <c r="W120" s="1837" t="str">
        <v>Route Info</v>
      </c>
      <c r="X120" s="1837" t="str">
        <v/>
      </c>
      <c r="Y120" s="1837" t="str">
        <v/>
      </c>
      <c r="Z120" s="1837" t="str">
        <v/>
      </c>
      <c r="AA120" s="1837" t="str">
        <v/>
      </c>
      <c r="AB120" s="1837" t="str">
        <v/>
      </c>
      <c r="AC120" s="1837" t="str">
        <v/>
      </c>
      <c r="AD120" s="1837" t="str">
        <v/>
      </c>
      <c r="AE120" s="1837" t="str">
        <v>Thailand</v>
      </c>
      <c r="AF120" s="1837" t="str">
        <v>South East Asia</v>
      </c>
      <c r="AG120" s="1837" t="str">
        <v>Yes</v>
      </c>
      <c r="AH120" s="1837" t="str">
        <v/>
      </c>
      <c r="AI120" s="1837" t="str">
        <v/>
      </c>
      <c r="AJ120" s="1110" t="str">
        <v>BJ &amp; Tyler</v>
      </c>
      <c r="AS120" t="s">
        <v>296</v>
      </c>
    </row>
    <row r="121" spans="1:45">
      <c r="A121">
        <v>10</v>
      </c>
      <c r="B121">
        <v>5</v>
      </c>
      <c r="C121" s="3" t="s">
        <v>12</v>
      </c>
      <c r="D121" s="3" t="s">
        <v>12</v>
      </c>
      <c r="E121" s="4" t="s">
        <v>13</v>
      </c>
      <c r="F121" s="3" t="s">
        <v>12</v>
      </c>
      <c r="G121" s="5" t="s">
        <v>14</v>
      </c>
      <c r="H121" s="3" t="s">
        <v>12</v>
      </c>
      <c r="P121" s="1329">
        <v>9</v>
      </c>
      <c r="Q121" s="1837">
        <v>12</v>
      </c>
      <c r="R121" s="1837" t="str">
        <v>Route Info</v>
      </c>
      <c r="S121" s="1837" t="str">
        <v>Route Info</v>
      </c>
      <c r="T121" s="1837" t="str">
        <v>Route Info</v>
      </c>
      <c r="U121" s="1837" t="str">
        <v>Detour</v>
      </c>
      <c r="V121" s="1837" t="str">
        <v>Route Info</v>
      </c>
      <c r="W121" s="1837" t="str">
        <v>Route Info</v>
      </c>
      <c r="X121" s="1837" t="str">
        <v>Road Block</v>
      </c>
      <c r="Y121" s="1837" t="str">
        <v>Route Info</v>
      </c>
      <c r="Z121" s="1837" t="str">
        <v/>
      </c>
      <c r="AA121" s="1837" t="str">
        <v/>
      </c>
      <c r="AB121" s="1837" t="str">
        <v/>
      </c>
      <c r="AC121" s="1837" t="str">
        <v/>
      </c>
      <c r="AD121" s="1837" t="str">
        <v/>
      </c>
      <c r="AE121" s="1837" t="str">
        <v>Japan</v>
      </c>
      <c r="AF121" s="1837" t="str">
        <v>East Asia</v>
      </c>
      <c r="AG121" s="1837" t="str">
        <v>No</v>
      </c>
      <c r="AH121" s="1837" t="str">
        <v/>
      </c>
      <c r="AI121" s="1837" t="str">
        <v/>
      </c>
      <c r="AJ121" s="1110" t="str">
        <v>BJ &amp; Tyler</v>
      </c>
      <c r="AS121" s="52" t="s">
        <v>1171</v>
      </c>
    </row>
    <row r="122" spans="1:45">
      <c r="A122">
        <v>10</v>
      </c>
      <c r="B122">
        <v>6</v>
      </c>
      <c r="C122" s="3" t="s">
        <v>12</v>
      </c>
      <c r="D122" s="19" t="s">
        <v>71</v>
      </c>
      <c r="E122" s="5" t="s">
        <v>14</v>
      </c>
      <c r="F122" s="3" t="s">
        <v>12</v>
      </c>
      <c r="G122" s="4" t="s">
        <v>13</v>
      </c>
      <c r="H122" s="3" t="s">
        <v>12</v>
      </c>
      <c r="P122" s="1329">
        <v>9</v>
      </c>
      <c r="Q122" s="1837" t="str">
        <v>Final</v>
      </c>
      <c r="R122" s="1837" t="str">
        <v>Route Info</v>
      </c>
      <c r="S122" s="1837" t="str">
        <v>Route Info</v>
      </c>
      <c r="T122" s="1837" t="str">
        <v>Detour</v>
      </c>
      <c r="U122" s="1837" t="str">
        <v>Route Info</v>
      </c>
      <c r="V122" s="1837" t="str">
        <v>Route Info</v>
      </c>
      <c r="W122" s="1837" t="str">
        <v>Route Info</v>
      </c>
      <c r="X122" s="1837" t="str">
        <v>Road Block</v>
      </c>
      <c r="Y122" s="1837" t="str">
        <v/>
      </c>
      <c r="Z122" s="1837" t="str">
        <v/>
      </c>
      <c r="AA122" s="1837" t="str">
        <v/>
      </c>
      <c r="AB122" s="1837" t="str">
        <v/>
      </c>
      <c r="AC122" s="1837" t="str">
        <v/>
      </c>
      <c r="AD122" s="1837" t="str">
        <v/>
      </c>
      <c r="AE122" s="1837" t="str">
        <v>USA</v>
      </c>
      <c r="AF122" s="1837" t="str">
        <v>North America</v>
      </c>
      <c r="AG122" s="1837" t="str">
        <v>Final Leg</v>
      </c>
      <c r="AH122" s="1837" t="str">
        <v/>
      </c>
      <c r="AI122" s="1837" t="str">
        <v/>
      </c>
      <c r="AJ122" s="1110" t="str">
        <v>BJ &amp; Tyler</v>
      </c>
    </row>
    <row r="123" spans="1:45" ht="16.5" thickBot="1">
      <c r="A123">
        <v>10</v>
      </c>
      <c r="B123">
        <v>7</v>
      </c>
      <c r="C123" s="3" t="s">
        <v>12</v>
      </c>
      <c r="D123" s="3" t="s">
        <v>12</v>
      </c>
      <c r="E123" s="5" t="s">
        <v>14</v>
      </c>
      <c r="F123" s="3" t="s">
        <v>12</v>
      </c>
      <c r="G123" s="4" t="s">
        <v>13</v>
      </c>
      <c r="H123" s="3" t="s">
        <v>12</v>
      </c>
      <c r="P123" s="1329">
        <v>10</v>
      </c>
      <c r="Q123" s="1837">
        <v>1</v>
      </c>
      <c r="R123" s="1837" t="str">
        <v>Route Info</v>
      </c>
      <c r="S123" s="1837" t="str">
        <v>Road Block</v>
      </c>
      <c r="T123" s="1837" t="str">
        <v>Route Info</v>
      </c>
      <c r="U123" s="1837" t="str">
        <v>Route Info</v>
      </c>
      <c r="V123" s="1837" t="str">
        <v>Detour</v>
      </c>
      <c r="W123" s="1837" t="str">
        <v>Route Info</v>
      </c>
      <c r="X123" s="1837" t="str">
        <v/>
      </c>
      <c r="Y123" s="1837" t="str">
        <v/>
      </c>
      <c r="Z123" s="1837" t="str">
        <v/>
      </c>
      <c r="AA123" s="1837" t="str">
        <v/>
      </c>
      <c r="AB123" s="1837" t="str">
        <v/>
      </c>
      <c r="AC123" s="1837" t="str">
        <v/>
      </c>
      <c r="AD123" s="1837" t="str">
        <v/>
      </c>
      <c r="AE123" s="1837" t="str">
        <v>China</v>
      </c>
      <c r="AF123" s="1837" t="str">
        <v>East Asia</v>
      </c>
      <c r="AG123" s="1837" t="str">
        <v>Yes</v>
      </c>
      <c r="AH123" s="1837" t="str">
        <v/>
      </c>
      <c r="AI123" s="1837" t="str">
        <v/>
      </c>
      <c r="AJ123" s="1110" t="str">
        <v>Tyler &amp; James</v>
      </c>
    </row>
    <row r="124" spans="1:45" ht="16.5" thickBot="1">
      <c r="A124">
        <v>10</v>
      </c>
      <c r="B124">
        <v>8</v>
      </c>
      <c r="C124" s="3" t="s">
        <v>12</v>
      </c>
      <c r="D124" s="830" t="s">
        <v>71</v>
      </c>
      <c r="E124" s="831" t="s">
        <v>13</v>
      </c>
      <c r="F124" s="835" t="s">
        <v>12</v>
      </c>
      <c r="G124" s="5" t="s">
        <v>14</v>
      </c>
      <c r="P124" s="1329">
        <v>10</v>
      </c>
      <c r="Q124" s="1837">
        <v>2</v>
      </c>
      <c r="R124" s="1837" t="str">
        <v>Route Info</v>
      </c>
      <c r="S124" s="1837" t="str">
        <v>Route Info</v>
      </c>
      <c r="T124" s="1837" t="str">
        <v>Detour</v>
      </c>
      <c r="U124" s="1837" t="str">
        <v>Route Info</v>
      </c>
      <c r="V124" s="1837" t="str">
        <v>Road Block</v>
      </c>
      <c r="W124" s="1837" t="str">
        <v/>
      </c>
      <c r="X124" s="1837" t="str">
        <v/>
      </c>
      <c r="Y124" s="1837" t="str">
        <v/>
      </c>
      <c r="Z124" s="1837" t="str">
        <v/>
      </c>
      <c r="AA124" s="1837" t="str">
        <v/>
      </c>
      <c r="AB124" s="1837" t="str">
        <v/>
      </c>
      <c r="AC124" s="1837" t="str">
        <v/>
      </c>
      <c r="AD124" s="1837" t="str">
        <v/>
      </c>
      <c r="AE124" s="1837" t="str">
        <v>Mongolia</v>
      </c>
      <c r="AF124" s="1837" t="str">
        <v>East Asia</v>
      </c>
      <c r="AG124" s="1837" t="str">
        <v>Yes</v>
      </c>
      <c r="AH124" s="1837" t="str">
        <v/>
      </c>
      <c r="AI124" s="1837" t="str">
        <v/>
      </c>
      <c r="AJ124" s="1110" t="str">
        <v>Peter &amp; Sarah</v>
      </c>
    </row>
    <row r="125" spans="1:45">
      <c r="A125">
        <v>10</v>
      </c>
      <c r="B125" s="35">
        <v>9</v>
      </c>
      <c r="C125" s="3" t="s">
        <v>12</v>
      </c>
      <c r="D125" s="3" t="s">
        <v>12</v>
      </c>
      <c r="E125" s="4" t="s">
        <v>13</v>
      </c>
      <c r="F125" s="3" t="s">
        <v>12</v>
      </c>
      <c r="G125" s="5" t="s">
        <v>14</v>
      </c>
      <c r="H125" s="3" t="s">
        <v>12</v>
      </c>
      <c r="I125" s="3" t="s">
        <v>12</v>
      </c>
      <c r="J125" s="3" t="s">
        <v>12</v>
      </c>
      <c r="K125" s="3" t="s">
        <v>12</v>
      </c>
      <c r="L125" s="5" t="s">
        <v>14</v>
      </c>
      <c r="M125" s="3" t="s">
        <v>12</v>
      </c>
      <c r="N125" s="4" t="s">
        <v>13</v>
      </c>
      <c r="O125" s="3" t="s">
        <v>12</v>
      </c>
      <c r="P125" s="1329">
        <v>10</v>
      </c>
      <c r="Q125" s="1837">
        <v>3</v>
      </c>
      <c r="R125" s="1837" t="str">
        <v>Route Info</v>
      </c>
      <c r="S125" s="1837" t="str">
        <v>Route Info</v>
      </c>
      <c r="T125" s="1837" t="str">
        <v>Route Info</v>
      </c>
      <c r="U125" s="1837" t="str">
        <v>Road Block</v>
      </c>
      <c r="V125" s="1837" t="str">
        <v>Route Info</v>
      </c>
      <c r="W125" s="1837" t="str">
        <v>Detour</v>
      </c>
      <c r="X125" s="1837" t="str">
        <v>Route Info</v>
      </c>
      <c r="Y125" s="1837" t="str">
        <v/>
      </c>
      <c r="Z125" s="1837" t="str">
        <v/>
      </c>
      <c r="AA125" s="1837" t="str">
        <v/>
      </c>
      <c r="AB125" s="1837" t="str">
        <v/>
      </c>
      <c r="AC125" s="1837" t="str">
        <v/>
      </c>
      <c r="AD125" s="1837" t="str">
        <v/>
      </c>
      <c r="AE125" s="1837" t="str">
        <v>Vietnam</v>
      </c>
      <c r="AF125" s="1837" t="str">
        <v>South East Asia</v>
      </c>
      <c r="AG125" s="1837" t="str">
        <v>Yes</v>
      </c>
      <c r="AH125" s="1837" t="str">
        <v/>
      </c>
      <c r="AI125" s="1837" t="str">
        <v/>
      </c>
      <c r="AJ125" s="1110" t="str">
        <v>Erwin &amp; Godwin</v>
      </c>
    </row>
    <row r="126" spans="1:45">
      <c r="A126">
        <v>10</v>
      </c>
      <c r="B126">
        <v>10</v>
      </c>
      <c r="C126" s="3" t="s">
        <v>12</v>
      </c>
      <c r="D126" s="3" t="s">
        <v>12</v>
      </c>
      <c r="E126" s="5" t="s">
        <v>14</v>
      </c>
      <c r="F126" s="3" t="s">
        <v>12</v>
      </c>
      <c r="G126" s="4" t="s">
        <v>13</v>
      </c>
      <c r="H126" s="3" t="s">
        <v>12</v>
      </c>
      <c r="P126" s="1329">
        <v>10</v>
      </c>
      <c r="Q126" s="1837">
        <v>4</v>
      </c>
      <c r="R126" s="1837" t="str">
        <v>Route Info</v>
      </c>
      <c r="S126" s="1837" t="str">
        <v>Route Info</v>
      </c>
      <c r="T126" s="1837" t="str">
        <v>Road Block</v>
      </c>
      <c r="U126" s="1837" t="str">
        <v>Route Info</v>
      </c>
      <c r="V126" s="1837" t="str">
        <v>Detour</v>
      </c>
      <c r="W126" s="1837" t="str">
        <v>Route Info</v>
      </c>
      <c r="X126" s="1837" t="str">
        <v/>
      </c>
      <c r="Y126" s="1837" t="str">
        <v/>
      </c>
      <c r="Z126" s="1837" t="str">
        <v/>
      </c>
      <c r="AA126" s="1837" t="str">
        <v/>
      </c>
      <c r="AB126" s="1837" t="str">
        <v/>
      </c>
      <c r="AC126" s="1837" t="str">
        <v/>
      </c>
      <c r="AD126" s="1837" t="str">
        <v/>
      </c>
      <c r="AE126" s="1837" t="str">
        <v>Vietnam</v>
      </c>
      <c r="AF126" s="1837" t="str">
        <v>South East Asia</v>
      </c>
      <c r="AG126" s="1837" t="str">
        <v>Yes</v>
      </c>
      <c r="AH126" s="1837" t="str">
        <v/>
      </c>
      <c r="AI126" s="1837" t="str">
        <v/>
      </c>
      <c r="AJ126" s="1110" t="str">
        <v>Rob &amp; Kimberly</v>
      </c>
    </row>
    <row r="127" spans="1:45">
      <c r="A127">
        <v>10</v>
      </c>
      <c r="B127">
        <v>11</v>
      </c>
      <c r="C127" s="3" t="s">
        <v>12</v>
      </c>
      <c r="D127" s="5" t="s">
        <v>14</v>
      </c>
      <c r="E127" s="3" t="s">
        <v>12</v>
      </c>
      <c r="F127" s="4" t="s">
        <v>13</v>
      </c>
      <c r="G127" s="3" t="s">
        <v>12</v>
      </c>
      <c r="P127" s="1329">
        <v>10</v>
      </c>
      <c r="Q127" s="1837">
        <v>5</v>
      </c>
      <c r="R127" s="1837" t="str">
        <v>Route Info</v>
      </c>
      <c r="S127" s="1837" t="str">
        <v>Route Info</v>
      </c>
      <c r="T127" s="1837" t="str">
        <v>Detour</v>
      </c>
      <c r="U127" s="1837" t="str">
        <v>Route Info</v>
      </c>
      <c r="V127" s="1837" t="str">
        <v>Road Block</v>
      </c>
      <c r="W127" s="1837" t="str">
        <v>Route Info</v>
      </c>
      <c r="X127" s="1837" t="str">
        <v/>
      </c>
      <c r="Y127" s="1837" t="str">
        <v/>
      </c>
      <c r="Z127" s="1837" t="str">
        <v/>
      </c>
      <c r="AA127" s="1837" t="str">
        <v/>
      </c>
      <c r="AB127" s="1837" t="str">
        <v/>
      </c>
      <c r="AC127" s="1837" t="str">
        <v/>
      </c>
      <c r="AD127" s="1837" t="str">
        <v/>
      </c>
      <c r="AE127" s="1837" t="str">
        <v>India</v>
      </c>
      <c r="AF127" s="1837" t="str">
        <v>South Asia</v>
      </c>
      <c r="AG127" s="1837" t="str">
        <v>No</v>
      </c>
      <c r="AH127" s="1837" t="str">
        <v/>
      </c>
      <c r="AI127" s="1837" t="str">
        <v/>
      </c>
      <c r="AJ127" s="1110" t="str">
        <v>Peter &amp; Sarah</v>
      </c>
    </row>
    <row r="128" spans="1:45">
      <c r="A128">
        <v>10</v>
      </c>
      <c r="B128" t="s">
        <v>2810</v>
      </c>
      <c r="C128" s="3" t="s">
        <v>12</v>
      </c>
      <c r="D128" s="3" t="s">
        <v>12</v>
      </c>
      <c r="E128" s="3" t="s">
        <v>12</v>
      </c>
      <c r="F128" s="5" t="s">
        <v>14</v>
      </c>
      <c r="G128" s="3" t="s">
        <v>12</v>
      </c>
      <c r="H128" s="4" t="s">
        <v>13</v>
      </c>
      <c r="I128" s="3" t="s">
        <v>12</v>
      </c>
      <c r="J128" s="3" t="s">
        <v>12</v>
      </c>
      <c r="K128" s="3" t="s">
        <v>12</v>
      </c>
      <c r="P128" s="1329">
        <v>10</v>
      </c>
      <c r="Q128" s="1837">
        <v>6</v>
      </c>
      <c r="R128" s="1837" t="str">
        <v>Route Info</v>
      </c>
      <c r="S128" s="1837" t="str">
        <v>Fast Forward</v>
      </c>
      <c r="T128" s="1837" t="str">
        <v>Road Block</v>
      </c>
      <c r="U128" s="1837" t="str">
        <v>Route Info</v>
      </c>
      <c r="V128" s="1837" t="str">
        <v>Detour</v>
      </c>
      <c r="W128" s="1837" t="str">
        <v>Route Info</v>
      </c>
      <c r="X128" s="1837" t="str">
        <v/>
      </c>
      <c r="Y128" s="1837" t="str">
        <v/>
      </c>
      <c r="Z128" s="1837" t="str">
        <v/>
      </c>
      <c r="AA128" s="1837" t="str">
        <v/>
      </c>
      <c r="AB128" s="1837" t="str">
        <v/>
      </c>
      <c r="AC128" s="1837" t="str">
        <v/>
      </c>
      <c r="AD128" s="1837" t="str">
        <v/>
      </c>
      <c r="AE128" s="1837" t="str">
        <v>Kuwait</v>
      </c>
      <c r="AF128" s="1837" t="str">
        <v>Middle East</v>
      </c>
      <c r="AG128" s="1837" t="str">
        <v>Yes</v>
      </c>
      <c r="AH128" s="1837" t="str">
        <v/>
      </c>
      <c r="AI128" s="1837" t="str">
        <v/>
      </c>
      <c r="AJ128" s="1110" t="str">
        <v>David &amp; Mary</v>
      </c>
    </row>
    <row r="129" spans="1:36">
      <c r="A129">
        <v>11</v>
      </c>
      <c r="B129">
        <v>1</v>
      </c>
      <c r="C129" s="3" t="s">
        <v>12</v>
      </c>
      <c r="D129" s="3" t="s">
        <v>12</v>
      </c>
      <c r="E129" s="3" t="s">
        <v>12</v>
      </c>
      <c r="F129" s="4" t="s">
        <v>13</v>
      </c>
      <c r="G129" s="3" t="s">
        <v>12</v>
      </c>
      <c r="P129" s="1329">
        <v>10</v>
      </c>
      <c r="Q129" s="1837">
        <v>7</v>
      </c>
      <c r="R129" s="1837" t="str">
        <v>Route Info</v>
      </c>
      <c r="S129" s="1837" t="str">
        <v>Route Info</v>
      </c>
      <c r="T129" s="1837" t="str">
        <v>Road Block</v>
      </c>
      <c r="U129" s="1837" t="str">
        <v>Route Info</v>
      </c>
      <c r="V129" s="1837" t="str">
        <v>Detour</v>
      </c>
      <c r="W129" s="1837" t="str">
        <v>Route Info</v>
      </c>
      <c r="X129" s="1837" t="str">
        <v/>
      </c>
      <c r="Y129" s="1837" t="str">
        <v/>
      </c>
      <c r="Z129" s="1837" t="str">
        <v/>
      </c>
      <c r="AA129" s="1837" t="str">
        <v/>
      </c>
      <c r="AB129" s="1837" t="str">
        <v/>
      </c>
      <c r="AC129" s="1837" t="str">
        <v/>
      </c>
      <c r="AD129" s="1837" t="str">
        <v/>
      </c>
      <c r="AE129" s="1837" t="str">
        <v>Mauritius</v>
      </c>
      <c r="AF129" s="1837" t="str">
        <v>Southern Africa</v>
      </c>
      <c r="AG129" s="1837" t="str">
        <v>No</v>
      </c>
      <c r="AH129" s="1837" t="str">
        <v/>
      </c>
      <c r="AI129" s="1837" t="str">
        <v/>
      </c>
      <c r="AJ129" s="1110" t="str">
        <v>Dustin &amp; Kandice</v>
      </c>
    </row>
    <row r="130" spans="1:36">
      <c r="A130">
        <v>11</v>
      </c>
      <c r="B130">
        <v>2</v>
      </c>
      <c r="C130" s="3" t="s">
        <v>12</v>
      </c>
      <c r="D130" s="5" t="s">
        <v>14</v>
      </c>
      <c r="E130" s="3" t="s">
        <v>12</v>
      </c>
      <c r="F130" s="4" t="s">
        <v>13</v>
      </c>
      <c r="G130" s="3" t="s">
        <v>12</v>
      </c>
      <c r="P130" s="1329">
        <v>10</v>
      </c>
      <c r="Q130" s="1837">
        <v>8</v>
      </c>
      <c r="R130" s="1837" t="str">
        <v>Route Info</v>
      </c>
      <c r="S130" s="1837" t="str">
        <v>Fast Forward</v>
      </c>
      <c r="T130" s="1837" t="str">
        <v>Detour</v>
      </c>
      <c r="U130" s="1837" t="str">
        <v>Route Info</v>
      </c>
      <c r="V130" s="1837" t="str">
        <v>Road Block</v>
      </c>
      <c r="W130" s="1837" t="str">
        <v/>
      </c>
      <c r="X130" s="1837" t="str">
        <v/>
      </c>
      <c r="Y130" s="1837" t="str">
        <v/>
      </c>
      <c r="Z130" s="1837" t="str">
        <v/>
      </c>
      <c r="AA130" s="1837" t="str">
        <v/>
      </c>
      <c r="AB130" s="1837" t="str">
        <v/>
      </c>
      <c r="AC130" s="1837" t="str">
        <v/>
      </c>
      <c r="AD130" s="1837" t="str">
        <v/>
      </c>
      <c r="AE130" s="1837" t="str">
        <v>Madagascar</v>
      </c>
      <c r="AF130" s="1837" t="str">
        <v>Southern Africa</v>
      </c>
      <c r="AG130" s="1837" t="str">
        <v>Yes</v>
      </c>
      <c r="AH130" s="1837" t="str">
        <v>Intersection</v>
      </c>
      <c r="AI130" s="1837" t="str">
        <v>2 thru 3</v>
      </c>
      <c r="AJ130" s="1110" t="str">
        <v>Dustin &amp; Kandice</v>
      </c>
    </row>
    <row r="131" spans="1:36">
      <c r="A131">
        <v>11</v>
      </c>
      <c r="B131">
        <v>3</v>
      </c>
      <c r="C131" s="3" t="s">
        <v>12</v>
      </c>
      <c r="D131" s="3" t="s">
        <v>12</v>
      </c>
      <c r="E131" s="5" t="s">
        <v>14</v>
      </c>
      <c r="F131" s="3" t="s">
        <v>12</v>
      </c>
      <c r="G131" s="4" t="s">
        <v>13</v>
      </c>
      <c r="H131" s="3" t="s">
        <v>12</v>
      </c>
      <c r="P131" s="1329">
        <v>10</v>
      </c>
      <c r="Q131" s="1837">
        <v>9</v>
      </c>
      <c r="R131" s="1837" t="str">
        <v>Route Info</v>
      </c>
      <c r="S131" s="1837" t="str">
        <v>Route Info</v>
      </c>
      <c r="T131" s="1837" t="str">
        <v>Detour</v>
      </c>
      <c r="U131" s="1837" t="str">
        <v>Route Info</v>
      </c>
      <c r="V131" s="1837" t="str">
        <v>Road Block</v>
      </c>
      <c r="W131" s="1837" t="str">
        <v>Route Info</v>
      </c>
      <c r="X131" s="1837" t="str">
        <v>Route Info</v>
      </c>
      <c r="Y131" s="1837" t="str">
        <v>Route Info</v>
      </c>
      <c r="Z131" s="1837" t="str">
        <v>Route Info</v>
      </c>
      <c r="AA131" s="1837" t="str">
        <v>Road Block</v>
      </c>
      <c r="AB131" s="1837" t="str">
        <v>Route Info</v>
      </c>
      <c r="AC131" s="1837" t="str">
        <v>Detour</v>
      </c>
      <c r="AD131" s="1837" t="str">
        <v>Route Info</v>
      </c>
      <c r="AE131" s="1837" t="str">
        <v>Finland\nUkraine</v>
      </c>
      <c r="AF131" s="1837" t="str">
        <v>Northern Europe\nEastern Europe</v>
      </c>
      <c r="AG131" s="1837" t="str">
        <v>Yes</v>
      </c>
      <c r="AH131" s="1837" t="str">
        <v/>
      </c>
      <c r="AI131" s="1837" t="str">
        <v/>
      </c>
      <c r="AJ131" s="1110" t="str">
        <v>Tyler &amp; James</v>
      </c>
    </row>
    <row r="132" spans="1:36">
      <c r="A132">
        <v>11</v>
      </c>
      <c r="B132">
        <v>4</v>
      </c>
      <c r="C132" s="3" t="s">
        <v>12</v>
      </c>
      <c r="D132" s="4" t="s">
        <v>13</v>
      </c>
      <c r="E132" s="3" t="s">
        <v>12</v>
      </c>
      <c r="F132" s="3" t="s">
        <v>12</v>
      </c>
      <c r="G132" s="5" t="s">
        <v>14</v>
      </c>
      <c r="H132" s="3" t="s">
        <v>12</v>
      </c>
      <c r="P132" s="1329">
        <v>10</v>
      </c>
      <c r="Q132" s="1837">
        <v>10</v>
      </c>
      <c r="R132" s="1837" t="str">
        <v>Route Info</v>
      </c>
      <c r="S132" s="1837" t="str">
        <v>Route Info</v>
      </c>
      <c r="T132" s="1837" t="str">
        <v>Road Block</v>
      </c>
      <c r="U132" s="1837" t="str">
        <v>Route Info</v>
      </c>
      <c r="V132" s="1837" t="str">
        <v>Detour</v>
      </c>
      <c r="W132" s="1837" t="str">
        <v>Route Info</v>
      </c>
      <c r="X132" s="1837" t="str">
        <v/>
      </c>
      <c r="Y132" s="1837" t="str">
        <v/>
      </c>
      <c r="Z132" s="1837" t="str">
        <v/>
      </c>
      <c r="AA132" s="1837" t="str">
        <v/>
      </c>
      <c r="AB132" s="1837" t="str">
        <v/>
      </c>
      <c r="AC132" s="1837" t="str">
        <v/>
      </c>
      <c r="AD132" s="1837" t="str">
        <v/>
      </c>
      <c r="AE132" s="1837" t="str">
        <v>Morocco</v>
      </c>
      <c r="AF132" s="1837" t="str">
        <v>Northern Africa</v>
      </c>
      <c r="AG132" s="1837" t="str">
        <v>No</v>
      </c>
      <c r="AH132" s="1837" t="str">
        <v/>
      </c>
      <c r="AI132" s="1837" t="str">
        <v/>
      </c>
      <c r="AJ132" s="1110" t="str">
        <v>Tyler &amp; James</v>
      </c>
    </row>
    <row r="133" spans="1:36">
      <c r="A133">
        <v>11</v>
      </c>
      <c r="B133">
        <v>5</v>
      </c>
      <c r="C133" s="3" t="s">
        <v>12</v>
      </c>
      <c r="D133" s="3" t="s">
        <v>12</v>
      </c>
      <c r="E133" s="5" t="s">
        <v>14</v>
      </c>
      <c r="F133" s="3" t="s">
        <v>12</v>
      </c>
      <c r="G133" s="4" t="s">
        <v>13</v>
      </c>
      <c r="H133" s="3" t="s">
        <v>12</v>
      </c>
      <c r="P133" s="1329">
        <v>10</v>
      </c>
      <c r="Q133" s="1837">
        <v>11</v>
      </c>
      <c r="R133" s="1837" t="str">
        <v>Route Info</v>
      </c>
      <c r="S133" s="1837" t="str">
        <v>Road Block</v>
      </c>
      <c r="T133" s="1837" t="str">
        <v>Route Info</v>
      </c>
      <c r="U133" s="1837" t="str">
        <v>Detour</v>
      </c>
      <c r="V133" s="1837" t="str">
        <v>Route Info</v>
      </c>
      <c r="W133" s="1837" t="str">
        <v/>
      </c>
      <c r="X133" s="1837" t="str">
        <v/>
      </c>
      <c r="Y133" s="1837" t="str">
        <v/>
      </c>
      <c r="Z133" s="1837" t="str">
        <v/>
      </c>
      <c r="AA133" s="1837" t="str">
        <v/>
      </c>
      <c r="AB133" s="1837" t="str">
        <v/>
      </c>
      <c r="AC133" s="1837" t="str">
        <v/>
      </c>
      <c r="AD133" s="1837" t="str">
        <v/>
      </c>
      <c r="AE133" s="1837" t="str">
        <v>Spain</v>
      </c>
      <c r="AF133" s="1837" t="str">
        <v>Western Europe</v>
      </c>
      <c r="AG133" s="1837" t="str">
        <v>Yes</v>
      </c>
      <c r="AH133" s="1837" t="str">
        <v/>
      </c>
      <c r="AI133" s="1837" t="str">
        <v/>
      </c>
      <c r="AJ133" s="1110" t="str">
        <v>Rob &amp; Kimberly</v>
      </c>
    </row>
    <row r="134" spans="1:36">
      <c r="A134">
        <v>11</v>
      </c>
      <c r="B134">
        <v>6</v>
      </c>
      <c r="C134" s="3" t="s">
        <v>12</v>
      </c>
      <c r="D134" s="4" t="s">
        <v>13</v>
      </c>
      <c r="E134" s="3" t="s">
        <v>12</v>
      </c>
      <c r="F134" s="5" t="s">
        <v>14</v>
      </c>
      <c r="G134" s="3" t="s">
        <v>12</v>
      </c>
      <c r="P134" s="1329">
        <v>10</v>
      </c>
      <c r="Q134" s="1837" t="str">
        <v>Final</v>
      </c>
      <c r="R134" s="1837" t="str">
        <v>Route Info</v>
      </c>
      <c r="S134" s="1837" t="str">
        <v>Route Info</v>
      </c>
      <c r="T134" s="1837" t="str">
        <v>Route Info</v>
      </c>
      <c r="U134" s="1837" t="str">
        <v>Road Block</v>
      </c>
      <c r="V134" s="1837" t="str">
        <v>Route Info</v>
      </c>
      <c r="W134" s="1837" t="str">
        <v>Detour</v>
      </c>
      <c r="X134" s="1837" t="str">
        <v>Route Info</v>
      </c>
      <c r="Y134" s="1837" t="str">
        <v>Route Info</v>
      </c>
      <c r="Z134" s="1837" t="str">
        <v>Route Info</v>
      </c>
      <c r="AA134" s="1837" t="str">
        <v/>
      </c>
      <c r="AB134" s="1837" t="str">
        <v/>
      </c>
      <c r="AC134" s="1837" t="str">
        <v/>
      </c>
      <c r="AD134" s="1837" t="str">
        <v/>
      </c>
      <c r="AE134" s="1837" t="str">
        <v>France\nUSA</v>
      </c>
      <c r="AF134" s="1837" t="str">
        <v>Western Europe\nNorth America</v>
      </c>
      <c r="AG134" s="1837" t="str">
        <v>Final Leg</v>
      </c>
      <c r="AH134" s="1837" t="str">
        <v/>
      </c>
      <c r="AI134" s="1837" t="str">
        <v/>
      </c>
      <c r="AJ134" s="1110" t="str">
        <v>Tyler &amp; James</v>
      </c>
    </row>
    <row r="135" spans="1:36" ht="16.5" thickBot="1">
      <c r="A135">
        <v>11</v>
      </c>
      <c r="B135">
        <v>7</v>
      </c>
      <c r="C135" s="3" t="s">
        <v>12</v>
      </c>
      <c r="D135" s="4" t="s">
        <v>13</v>
      </c>
      <c r="E135" s="3" t="s">
        <v>12</v>
      </c>
      <c r="F135" s="5" t="s">
        <v>14</v>
      </c>
      <c r="G135" s="3" t="s">
        <v>12</v>
      </c>
      <c r="P135" s="1329">
        <v>11</v>
      </c>
      <c r="Q135" s="1837">
        <v>1</v>
      </c>
      <c r="R135" s="1837" t="str">
        <v>Route Info</v>
      </c>
      <c r="S135" s="1837" t="str">
        <v>Route Info</v>
      </c>
      <c r="T135" s="1837" t="str">
        <v>Route Info</v>
      </c>
      <c r="U135" s="1837" t="str">
        <v>Detour</v>
      </c>
      <c r="V135" s="1837" t="str">
        <v>Route Info</v>
      </c>
      <c r="W135" s="1837" t="str">
        <v/>
      </c>
      <c r="X135" s="1837" t="str">
        <v/>
      </c>
      <c r="Y135" s="1837" t="str">
        <v/>
      </c>
      <c r="Z135" s="1837" t="str">
        <v/>
      </c>
      <c r="AA135" s="1837" t="str">
        <v/>
      </c>
      <c r="AB135" s="1837" t="str">
        <v/>
      </c>
      <c r="AC135" s="1837" t="str">
        <v/>
      </c>
      <c r="AD135" s="1837" t="str">
        <v/>
      </c>
      <c r="AE135" s="1837" t="str">
        <v>Ecuador</v>
      </c>
      <c r="AF135" s="1837" t="str">
        <v>South America</v>
      </c>
      <c r="AG135" s="1837" t="str">
        <v>Yes</v>
      </c>
      <c r="AH135" s="1837" t="str">
        <v/>
      </c>
      <c r="AI135" s="1837" t="str">
        <v/>
      </c>
      <c r="AJ135" s="1110" t="str">
        <v>Rob &amp; Amber</v>
      </c>
    </row>
    <row r="136" spans="1:36" ht="16.5" thickBot="1">
      <c r="A136">
        <v>11</v>
      </c>
      <c r="B136">
        <v>8</v>
      </c>
      <c r="C136" s="3" t="s">
        <v>12</v>
      </c>
      <c r="D136" s="3" t="s">
        <v>12</v>
      </c>
      <c r="E136" s="833" t="s">
        <v>71</v>
      </c>
      <c r="F136" s="831" t="s">
        <v>13</v>
      </c>
      <c r="G136" s="3" t="s">
        <v>12</v>
      </c>
      <c r="H136" s="5" t="s">
        <v>14</v>
      </c>
      <c r="P136" s="1329">
        <v>11</v>
      </c>
      <c r="Q136" s="1837">
        <v>2</v>
      </c>
      <c r="R136" s="1837" t="str">
        <v>Route Info</v>
      </c>
      <c r="S136" s="1837" t="str">
        <v>Road Block</v>
      </c>
      <c r="T136" s="1837" t="str">
        <v>Route Info</v>
      </c>
      <c r="U136" s="1837" t="str">
        <v>Detour</v>
      </c>
      <c r="V136" s="1837" t="str">
        <v>Route Info</v>
      </c>
      <c r="W136" s="1837" t="str">
        <v/>
      </c>
      <c r="X136" s="1837" t="str">
        <v/>
      </c>
      <c r="Y136" s="1837" t="str">
        <v/>
      </c>
      <c r="Z136" s="1837" t="str">
        <v/>
      </c>
      <c r="AA136" s="1837" t="str">
        <v/>
      </c>
      <c r="AB136" s="1837" t="str">
        <v/>
      </c>
      <c r="AC136" s="1837" t="str">
        <v/>
      </c>
      <c r="AD136" s="1837" t="str">
        <v/>
      </c>
      <c r="AE136" s="1837" t="str">
        <v>Chile</v>
      </c>
      <c r="AF136" s="1837" t="str">
        <v>South America</v>
      </c>
      <c r="AG136" s="1837" t="str">
        <v>Yes</v>
      </c>
      <c r="AH136" s="1837" t="str">
        <v/>
      </c>
      <c r="AI136" s="1837" t="str">
        <v/>
      </c>
      <c r="AJ136" s="1110" t="str">
        <v>Rob &amp; Amber</v>
      </c>
    </row>
    <row r="137" spans="1:36" ht="16.5" thickBot="1">
      <c r="A137">
        <v>11</v>
      </c>
      <c r="B137">
        <v>9</v>
      </c>
      <c r="C137" s="3" t="s">
        <v>12</v>
      </c>
      <c r="D137" s="3" t="s">
        <v>12</v>
      </c>
      <c r="E137" s="834" t="s">
        <v>13</v>
      </c>
      <c r="F137" s="3" t="s">
        <v>12</v>
      </c>
      <c r="G137" s="5" t="s">
        <v>14</v>
      </c>
      <c r="H137" s="3" t="s">
        <v>12</v>
      </c>
      <c r="P137" s="1329">
        <v>11</v>
      </c>
      <c r="Q137" s="1837">
        <v>3</v>
      </c>
      <c r="R137" s="1837" t="str">
        <v>Route Info</v>
      </c>
      <c r="S137" s="1837" t="str">
        <v>Route Info</v>
      </c>
      <c r="T137" s="1837" t="str">
        <v>Road Block</v>
      </c>
      <c r="U137" s="1837" t="str">
        <v>Route Info</v>
      </c>
      <c r="V137" s="1837" t="str">
        <v>Detour</v>
      </c>
      <c r="W137" s="1837" t="str">
        <v>Route Info</v>
      </c>
      <c r="X137" s="1837" t="str">
        <v/>
      </c>
      <c r="Y137" s="1837" t="str">
        <v/>
      </c>
      <c r="Z137" s="1837" t="str">
        <v/>
      </c>
      <c r="AA137" s="1837" t="str">
        <v/>
      </c>
      <c r="AB137" s="1837" t="str">
        <v/>
      </c>
      <c r="AC137" s="1837" t="str">
        <v/>
      </c>
      <c r="AD137" s="1837" t="str">
        <v/>
      </c>
      <c r="AE137" s="1837" t="str">
        <v>Chile</v>
      </c>
      <c r="AF137" s="1837" t="str">
        <v>South America</v>
      </c>
      <c r="AG137" s="1837" t="str">
        <v>Yes</v>
      </c>
      <c r="AH137" s="1837" t="str">
        <v/>
      </c>
      <c r="AI137" s="1837" t="str">
        <v/>
      </c>
      <c r="AJ137" s="1110" t="str">
        <v>Rob &amp; Amber</v>
      </c>
    </row>
    <row r="138" spans="1:36" ht="16.5" thickBot="1">
      <c r="A138">
        <v>11</v>
      </c>
      <c r="B138">
        <v>10</v>
      </c>
      <c r="C138" s="3" t="s">
        <v>12</v>
      </c>
      <c r="D138" s="19" t="s">
        <v>71</v>
      </c>
      <c r="E138" s="832" t="s">
        <v>13</v>
      </c>
      <c r="F138" s="3" t="s">
        <v>12</v>
      </c>
      <c r="G138" s="5" t="s">
        <v>14</v>
      </c>
      <c r="H138" s="3" t="s">
        <v>12</v>
      </c>
      <c r="I138" s="3" t="s">
        <v>12</v>
      </c>
      <c r="P138" s="1329">
        <v>11</v>
      </c>
      <c r="Q138" s="1837">
        <v>4</v>
      </c>
      <c r="R138" s="1837" t="str">
        <v>Route Info</v>
      </c>
      <c r="S138" s="1837" t="str">
        <v>Detour</v>
      </c>
      <c r="T138" s="1837" t="str">
        <v>Route Info</v>
      </c>
      <c r="U138" s="1837" t="str">
        <v>Route Info</v>
      </c>
      <c r="V138" s="1837" t="str">
        <v>Road Block</v>
      </c>
      <c r="W138" s="1837" t="str">
        <v>Route Info</v>
      </c>
      <c r="X138" s="1837" t="str">
        <v/>
      </c>
      <c r="Y138" s="1837" t="str">
        <v/>
      </c>
      <c r="Z138" s="1837" t="str">
        <v/>
      </c>
      <c r="AA138" s="1837" t="str">
        <v/>
      </c>
      <c r="AB138" s="1837" t="str">
        <v/>
      </c>
      <c r="AC138" s="1837" t="str">
        <v/>
      </c>
      <c r="AD138" s="1837" t="str">
        <v/>
      </c>
      <c r="AE138" s="1837" t="str">
        <v>Argentina</v>
      </c>
      <c r="AF138" s="1837" t="str">
        <v>South America</v>
      </c>
      <c r="AG138" s="1837" t="str">
        <v>Yes</v>
      </c>
      <c r="AH138" s="1837" t="str">
        <v/>
      </c>
      <c r="AI138" s="1837" t="str">
        <v/>
      </c>
      <c r="AJ138" s="1110" t="str">
        <v>Oswald &amp; Danny</v>
      </c>
    </row>
    <row r="139" spans="1:36" ht="16.5" thickBot="1">
      <c r="A139">
        <v>11</v>
      </c>
      <c r="B139">
        <v>11</v>
      </c>
      <c r="C139" s="3" t="s">
        <v>12</v>
      </c>
      <c r="D139" s="3" t="s">
        <v>12</v>
      </c>
      <c r="E139" s="783" t="s">
        <v>14</v>
      </c>
      <c r="F139" s="3" t="s">
        <v>12</v>
      </c>
      <c r="G139" s="4" t="s">
        <v>13</v>
      </c>
      <c r="H139" s="3" t="s">
        <v>12</v>
      </c>
      <c r="I139" s="3" t="s">
        <v>12</v>
      </c>
      <c r="P139" s="1329">
        <v>11</v>
      </c>
      <c r="Q139" s="1837">
        <v>5</v>
      </c>
      <c r="R139" s="1837" t="str">
        <v>Route Info</v>
      </c>
      <c r="S139" s="1837" t="str">
        <v>Route Info</v>
      </c>
      <c r="T139" s="1837" t="str">
        <v>Road Block</v>
      </c>
      <c r="U139" s="1837" t="str">
        <v>Route Info</v>
      </c>
      <c r="V139" s="1837" t="str">
        <v>Detour</v>
      </c>
      <c r="W139" s="1837" t="str">
        <v>Route Info</v>
      </c>
      <c r="X139" s="1837" t="str">
        <v/>
      </c>
      <c r="Y139" s="1837" t="str">
        <v/>
      </c>
      <c r="Z139" s="1837" t="str">
        <v/>
      </c>
      <c r="AA139" s="1837" t="str">
        <v/>
      </c>
      <c r="AB139" s="1837" t="str">
        <v/>
      </c>
      <c r="AC139" s="1837" t="str">
        <v/>
      </c>
      <c r="AD139" s="1837" t="str">
        <v/>
      </c>
      <c r="AE139" s="1837" t="str">
        <v>Mozambique</v>
      </c>
      <c r="AF139" s="1837" t="str">
        <v>East Africa</v>
      </c>
      <c r="AG139" s="1837" t="str">
        <v>No</v>
      </c>
      <c r="AH139" s="1837" t="str">
        <v/>
      </c>
      <c r="AI139" s="1837" t="str">
        <v/>
      </c>
      <c r="AJ139" s="1110" t="str">
        <v>Charla &amp; Mirna</v>
      </c>
    </row>
    <row r="140" spans="1:36">
      <c r="A140">
        <v>11</v>
      </c>
      <c r="B140">
        <v>12</v>
      </c>
      <c r="C140" s="3" t="s">
        <v>12</v>
      </c>
      <c r="D140" s="4" t="s">
        <v>13</v>
      </c>
      <c r="E140" s="3" t="s">
        <v>12</v>
      </c>
      <c r="F140" s="5" t="s">
        <v>14</v>
      </c>
      <c r="G140" s="3" t="s">
        <v>12</v>
      </c>
      <c r="P140" s="1329">
        <v>11</v>
      </c>
      <c r="Q140" s="1837">
        <v>6</v>
      </c>
      <c r="R140" s="1837" t="str">
        <v>Route Info</v>
      </c>
      <c r="S140" s="1837" t="str">
        <v>Detour</v>
      </c>
      <c r="T140" s="1837" t="str">
        <v>Route Info</v>
      </c>
      <c r="U140" s="1837" t="str">
        <v>Road Block</v>
      </c>
      <c r="V140" s="1837" t="str">
        <v>Route Info</v>
      </c>
      <c r="W140" s="1837" t="str">
        <v/>
      </c>
      <c r="X140" s="1837" t="str">
        <v/>
      </c>
      <c r="Y140" s="1837" t="str">
        <v/>
      </c>
      <c r="Z140" s="1837" t="str">
        <v/>
      </c>
      <c r="AA140" s="1837" t="str">
        <v/>
      </c>
      <c r="AB140" s="1837" t="str">
        <v/>
      </c>
      <c r="AC140" s="1837" t="str">
        <v/>
      </c>
      <c r="AD140" s="1837" t="str">
        <v/>
      </c>
      <c r="AE140" s="1837" t="str">
        <v>Tanzania</v>
      </c>
      <c r="AF140" s="1837" t="str">
        <v>East Africa</v>
      </c>
      <c r="AG140" s="1837" t="str">
        <v>Yes</v>
      </c>
      <c r="AH140" s="1837" t="str">
        <v/>
      </c>
      <c r="AI140" s="1837" t="str">
        <v/>
      </c>
      <c r="AJ140" s="1110" t="str">
        <v>Charla &amp; Mirna</v>
      </c>
    </row>
    <row r="141" spans="1:36">
      <c r="A141">
        <v>11</v>
      </c>
      <c r="B141" t="s">
        <v>2810</v>
      </c>
      <c r="C141" s="3" t="s">
        <v>12</v>
      </c>
      <c r="D141" s="4" t="s">
        <v>13</v>
      </c>
      <c r="E141" s="3" t="s">
        <v>12</v>
      </c>
      <c r="F141" s="3" t="s">
        <v>12</v>
      </c>
      <c r="G141" s="5" t="s">
        <v>14</v>
      </c>
      <c r="H141" s="3" t="s">
        <v>12</v>
      </c>
      <c r="I141" s="3" t="s">
        <v>12</v>
      </c>
      <c r="J141" s="3" t="s">
        <v>12</v>
      </c>
      <c r="P141" s="1329">
        <v>11</v>
      </c>
      <c r="Q141" s="1837">
        <v>7</v>
      </c>
      <c r="R141" s="1837" t="str">
        <v>Route Info</v>
      </c>
      <c r="S141" s="1837" t="str">
        <v>Detour</v>
      </c>
      <c r="T141" s="1837" t="str">
        <v>Route Info</v>
      </c>
      <c r="U141" s="1837" t="str">
        <v>Road Block</v>
      </c>
      <c r="V141" s="1837" t="str">
        <v>Route Info</v>
      </c>
      <c r="W141" s="1837" t="str">
        <v/>
      </c>
      <c r="X141" s="1837" t="str">
        <v/>
      </c>
      <c r="Y141" s="1837" t="str">
        <v/>
      </c>
      <c r="Z141" s="1837" t="str">
        <v/>
      </c>
      <c r="AA141" s="1837" t="str">
        <v/>
      </c>
      <c r="AB141" s="1837" t="str">
        <v/>
      </c>
      <c r="AC141" s="1837" t="str">
        <v/>
      </c>
      <c r="AD141" s="1837" t="str">
        <v/>
      </c>
      <c r="AE141" s="1837" t="str">
        <v>Poland</v>
      </c>
      <c r="AF141" s="1837" t="str">
        <v>Eastern Europe</v>
      </c>
      <c r="AG141" s="1837" t="str">
        <v>No</v>
      </c>
      <c r="AH141" s="1837" t="str">
        <v/>
      </c>
      <c r="AI141" s="1837" t="str">
        <v/>
      </c>
      <c r="AJ141" s="1110" t="str">
        <v>Dustin &amp; Kandice</v>
      </c>
    </row>
    <row r="142" spans="1:36">
      <c r="A142">
        <v>12</v>
      </c>
      <c r="B142">
        <v>1</v>
      </c>
      <c r="C142" s="3" t="s">
        <v>12</v>
      </c>
      <c r="D142" s="3" t="s">
        <v>12</v>
      </c>
      <c r="E142" s="5" t="s">
        <v>14</v>
      </c>
      <c r="F142" s="3" t="s">
        <v>12</v>
      </c>
      <c r="G142" s="3" t="s">
        <v>12</v>
      </c>
      <c r="P142" s="1329">
        <v>11</v>
      </c>
      <c r="Q142" s="1837">
        <v>8</v>
      </c>
      <c r="R142" s="1837" t="str">
        <v>Route Info</v>
      </c>
      <c r="S142" s="1837" t="str">
        <v>Route Info</v>
      </c>
      <c r="T142" s="1837" t="str">
        <v>Fast Forward</v>
      </c>
      <c r="U142" s="1837" t="str">
        <v>Detour</v>
      </c>
      <c r="V142" s="1837" t="str">
        <v>Route Info</v>
      </c>
      <c r="W142" s="1837" t="str">
        <v>Road Block</v>
      </c>
      <c r="X142" s="1837" t="str">
        <v/>
      </c>
      <c r="Y142" s="1837" t="str">
        <v/>
      </c>
      <c r="Z142" s="1837" t="str">
        <v/>
      </c>
      <c r="AA142" s="1837" t="str">
        <v/>
      </c>
      <c r="AB142" s="1837" t="str">
        <v/>
      </c>
      <c r="AC142" s="1837" t="str">
        <v/>
      </c>
      <c r="AD142" s="1837" t="str">
        <v/>
      </c>
      <c r="AE142" s="1837" t="str">
        <v>Poland</v>
      </c>
      <c r="AF142" s="1837" t="str">
        <v>Eastern Europe</v>
      </c>
      <c r="AG142" s="1837" t="str">
        <v>Yes</v>
      </c>
      <c r="AH142" s="1837" t="str">
        <v>Intersection</v>
      </c>
      <c r="AI142" s="1837" t="str">
        <v>3 thru 4</v>
      </c>
      <c r="AJ142" s="1110" t="str">
        <v>Oswald &amp; Danny\nUchenna &amp; Joyce</v>
      </c>
    </row>
    <row r="143" spans="1:36">
      <c r="A143">
        <v>12</v>
      </c>
      <c r="B143">
        <v>2</v>
      </c>
      <c r="C143" s="3" t="s">
        <v>12</v>
      </c>
      <c r="D143" s="4" t="s">
        <v>13</v>
      </c>
      <c r="E143" s="3" t="s">
        <v>12</v>
      </c>
      <c r="F143" s="5" t="s">
        <v>14</v>
      </c>
      <c r="G143" s="3" t="s">
        <v>12</v>
      </c>
      <c r="P143" s="1329">
        <v>11</v>
      </c>
      <c r="Q143" s="1837">
        <v>9</v>
      </c>
      <c r="R143" s="1837" t="str">
        <v>Route Info</v>
      </c>
      <c r="S143" s="1837" t="str">
        <v>Route Info</v>
      </c>
      <c r="T143" s="1837" t="str">
        <v>Detour</v>
      </c>
      <c r="U143" s="1837" t="str">
        <v>Route Info</v>
      </c>
      <c r="V143" s="1837" t="str">
        <v>Road Block</v>
      </c>
      <c r="W143" s="1837" t="str">
        <v>Route Info</v>
      </c>
      <c r="X143" s="1837" t="str">
        <v/>
      </c>
      <c r="Y143" s="1837" t="str">
        <v/>
      </c>
      <c r="Z143" s="1837" t="str">
        <v/>
      </c>
      <c r="AA143" s="1837" t="str">
        <v/>
      </c>
      <c r="AB143" s="1837" t="str">
        <v/>
      </c>
      <c r="AC143" s="1837" t="str">
        <v/>
      </c>
      <c r="AD143" s="1837" t="str">
        <v/>
      </c>
      <c r="AE143" s="1837" t="str">
        <v>Malaysia</v>
      </c>
      <c r="AF143" s="1837" t="str">
        <v>South East Asia</v>
      </c>
      <c r="AG143" s="1837" t="str">
        <v>Yes</v>
      </c>
      <c r="AH143" s="1837" t="str">
        <v>Yield</v>
      </c>
      <c r="AI143" s="1837">
        <v>3</v>
      </c>
      <c r="AJ143" s="1110" t="str">
        <v>Dustin &amp; Kandice</v>
      </c>
    </row>
    <row r="144" spans="1:36" ht="16.5" thickBot="1">
      <c r="A144">
        <v>12</v>
      </c>
      <c r="B144">
        <v>3</v>
      </c>
      <c r="C144" s="3" t="s">
        <v>12</v>
      </c>
      <c r="D144" s="3" t="s">
        <v>12</v>
      </c>
      <c r="E144" s="5" t="s">
        <v>14</v>
      </c>
      <c r="F144" s="3" t="s">
        <v>12</v>
      </c>
      <c r="G144" s="4" t="s">
        <v>13</v>
      </c>
      <c r="H144" s="3" t="s">
        <v>12</v>
      </c>
      <c r="P144" s="1329">
        <v>11</v>
      </c>
      <c r="Q144" s="1837">
        <v>10</v>
      </c>
      <c r="R144" s="1837" t="str">
        <v>Route Info</v>
      </c>
      <c r="S144" s="1837" t="str">
        <v>Fast Forward</v>
      </c>
      <c r="T144" s="1837" t="str">
        <v>Detour</v>
      </c>
      <c r="U144" s="1837" t="str">
        <v>Route Info</v>
      </c>
      <c r="V144" s="1837" t="str">
        <v>Road Block</v>
      </c>
      <c r="W144" s="1837" t="str">
        <v>Route Info</v>
      </c>
      <c r="X144" s="1837" t="str">
        <v>Route Info</v>
      </c>
      <c r="Y144" s="1837" t="str">
        <v/>
      </c>
      <c r="Z144" s="1837" t="str">
        <v/>
      </c>
      <c r="AA144" s="1837" t="str">
        <v/>
      </c>
      <c r="AB144" s="1837" t="str">
        <v/>
      </c>
      <c r="AC144" s="1837" t="str">
        <v/>
      </c>
      <c r="AD144" s="1837" t="str">
        <v/>
      </c>
      <c r="AE144" s="1837" t="str">
        <v>China</v>
      </c>
      <c r="AF144" s="1837" t="str">
        <v>East Asia</v>
      </c>
      <c r="AG144" s="1837" t="str">
        <v>No</v>
      </c>
      <c r="AH144" s="1837" t="str">
        <v/>
      </c>
      <c r="AI144" s="1837" t="str">
        <v/>
      </c>
      <c r="AJ144" s="1110" t="str">
        <v>Oswald &amp; Danny</v>
      </c>
    </row>
    <row r="145" spans="1:36" ht="16.5" thickBot="1">
      <c r="A145">
        <v>12</v>
      </c>
      <c r="B145">
        <v>4</v>
      </c>
      <c r="C145" s="3" t="s">
        <v>12</v>
      </c>
      <c r="D145" s="3" t="s">
        <v>12</v>
      </c>
      <c r="E145" s="4" t="s">
        <v>13</v>
      </c>
      <c r="F145" s="3" t="s">
        <v>12</v>
      </c>
      <c r="G145" s="614" t="s">
        <v>12</v>
      </c>
      <c r="H145" s="5" t="s">
        <v>14</v>
      </c>
      <c r="I145" s="3" t="s">
        <v>12</v>
      </c>
      <c r="P145" s="1329">
        <v>11</v>
      </c>
      <c r="Q145" s="1837">
        <v>11</v>
      </c>
      <c r="R145" s="1837" t="str">
        <v>Route Info</v>
      </c>
      <c r="S145" s="1837" t="str">
        <v>Route Info</v>
      </c>
      <c r="T145" s="1837" t="str">
        <v>Road Block</v>
      </c>
      <c r="U145" s="1837" t="str">
        <v>Route Info</v>
      </c>
      <c r="V145" s="1837" t="str">
        <v>Detour</v>
      </c>
      <c r="W145" s="1837" t="str">
        <v>Route Info</v>
      </c>
      <c r="X145" s="1837" t="str">
        <v>Route Info</v>
      </c>
      <c r="Y145" s="1837" t="str">
        <v/>
      </c>
      <c r="Z145" s="1837" t="str">
        <v/>
      </c>
      <c r="AA145" s="1837" t="str">
        <v/>
      </c>
      <c r="AB145" s="1837" t="str">
        <v/>
      </c>
      <c r="AC145" s="1837" t="str">
        <v/>
      </c>
      <c r="AD145" s="1837" t="str">
        <v/>
      </c>
      <c r="AE145" s="1837" t="str">
        <v>China</v>
      </c>
      <c r="AF145" s="1837" t="str">
        <v>East Asia</v>
      </c>
      <c r="AG145" s="1837" t="str">
        <v>No</v>
      </c>
      <c r="AH145" s="1837" t="str">
        <v>Yield</v>
      </c>
      <c r="AI145" s="1837">
        <v>3</v>
      </c>
      <c r="AJ145" s="1110" t="str">
        <v>Dustin &amp; Kandice</v>
      </c>
    </row>
    <row r="146" spans="1:36">
      <c r="A146">
        <v>12</v>
      </c>
      <c r="B146">
        <v>5</v>
      </c>
      <c r="C146" s="3" t="s">
        <v>12</v>
      </c>
      <c r="D146" s="5" t="s">
        <v>14</v>
      </c>
      <c r="E146" s="3" t="s">
        <v>12</v>
      </c>
      <c r="F146" s="3" t="s">
        <v>12</v>
      </c>
      <c r="G146" s="4" t="s">
        <v>13</v>
      </c>
      <c r="H146" s="3" t="s">
        <v>12</v>
      </c>
      <c r="P146" s="1329">
        <v>11</v>
      </c>
      <c r="Q146" s="1837">
        <v>12</v>
      </c>
      <c r="R146" s="1837" t="str">
        <v>Route Info</v>
      </c>
      <c r="S146" s="1837" t="str">
        <v>Detour</v>
      </c>
      <c r="T146" s="1837" t="str">
        <v>Route Info</v>
      </c>
      <c r="U146" s="1837" t="str">
        <v>Road Block</v>
      </c>
      <c r="V146" s="1837" t="str">
        <v>Route Info</v>
      </c>
      <c r="W146" s="1837" t="str">
        <v/>
      </c>
      <c r="X146" s="1837" t="str">
        <v/>
      </c>
      <c r="Y146" s="1837" t="str">
        <v/>
      </c>
      <c r="Z146" s="1837" t="str">
        <v/>
      </c>
      <c r="AA146" s="1837" t="str">
        <v/>
      </c>
      <c r="AB146" s="1837" t="str">
        <v/>
      </c>
      <c r="AC146" s="1837" t="str">
        <v/>
      </c>
      <c r="AD146" s="1837" t="str">
        <v/>
      </c>
      <c r="AE146" s="1837" t="str">
        <v>Guam</v>
      </c>
      <c r="AF146" s="1837" t="str">
        <v>Oceania</v>
      </c>
      <c r="AG146" s="1837" t="str">
        <v>Yes</v>
      </c>
      <c r="AH146" s="1837" t="str">
        <v/>
      </c>
      <c r="AI146" s="1837" t="str">
        <v/>
      </c>
      <c r="AJ146" s="1110" t="str">
        <v>Dustin &amp; Kandice</v>
      </c>
    </row>
    <row r="147" spans="1:36">
      <c r="A147">
        <v>12</v>
      </c>
      <c r="B147">
        <v>6</v>
      </c>
      <c r="C147" s="3" t="s">
        <v>12</v>
      </c>
      <c r="D147" s="5" t="s">
        <v>14</v>
      </c>
      <c r="E147" s="3" t="s">
        <v>12</v>
      </c>
      <c r="F147" s="4" t="s">
        <v>13</v>
      </c>
      <c r="G147" s="3" t="s">
        <v>12</v>
      </c>
      <c r="P147" s="1329">
        <v>11</v>
      </c>
      <c r="Q147" s="1837" t="str">
        <v>Final</v>
      </c>
      <c r="R147" s="1837" t="str">
        <v>Route Info</v>
      </c>
      <c r="S147" s="1837" t="str">
        <v>Detour</v>
      </c>
      <c r="T147" s="1837" t="str">
        <v>Route Info</v>
      </c>
      <c r="U147" s="1837" t="str">
        <v>Route Info</v>
      </c>
      <c r="V147" s="1837" t="str">
        <v>Road Block</v>
      </c>
      <c r="W147" s="1837" t="str">
        <v>Route Info</v>
      </c>
      <c r="X147" s="1837" t="str">
        <v>Route Info</v>
      </c>
      <c r="Y147" s="1837" t="str">
        <v>Route Info</v>
      </c>
      <c r="Z147" s="1837" t="str">
        <v/>
      </c>
      <c r="AA147" s="1837" t="str">
        <v/>
      </c>
      <c r="AB147" s="1837" t="str">
        <v/>
      </c>
      <c r="AC147" s="1837" t="str">
        <v/>
      </c>
      <c r="AD147" s="1837" t="str">
        <v/>
      </c>
      <c r="AE147" s="1837" t="str">
        <v>USA</v>
      </c>
      <c r="AF147" s="1837" t="str">
        <v>North America</v>
      </c>
      <c r="AG147" s="1837" t="str">
        <v>Final Leg</v>
      </c>
      <c r="AH147" s="1837" t="str">
        <v/>
      </c>
      <c r="AI147" s="1837" t="str">
        <v/>
      </c>
      <c r="AJ147" s="1110" t="str">
        <v>Eric &amp; Danielle</v>
      </c>
    </row>
    <row r="148" spans="1:36" ht="16.5" thickBot="1">
      <c r="A148">
        <v>12</v>
      </c>
      <c r="B148">
        <v>7</v>
      </c>
      <c r="C148" s="3" t="s">
        <v>12</v>
      </c>
      <c r="D148" s="3" t="s">
        <v>12</v>
      </c>
      <c r="E148" s="19" t="s">
        <v>71</v>
      </c>
      <c r="F148" s="5" t="s">
        <v>14</v>
      </c>
      <c r="G148" s="3" t="s">
        <v>12</v>
      </c>
      <c r="H148" s="4" t="s">
        <v>13</v>
      </c>
      <c r="I148" s="3" t="s">
        <v>12</v>
      </c>
      <c r="P148" s="1329">
        <v>12</v>
      </c>
      <c r="Q148" s="1837">
        <v>1</v>
      </c>
      <c r="R148" s="1837" t="str">
        <v>Route Info</v>
      </c>
      <c r="S148" s="1837" t="str">
        <v>Route Info</v>
      </c>
      <c r="T148" s="1837" t="str">
        <v>Road Block</v>
      </c>
      <c r="U148" s="1837" t="str">
        <v>Route Info</v>
      </c>
      <c r="V148" s="1837" t="str">
        <v>Route Info</v>
      </c>
      <c r="W148" s="1837" t="str">
        <v/>
      </c>
      <c r="X148" s="1837" t="str">
        <v/>
      </c>
      <c r="Y148" s="1837" t="str">
        <v/>
      </c>
      <c r="Z148" s="1837" t="str">
        <v/>
      </c>
      <c r="AA148" s="1837" t="str">
        <v/>
      </c>
      <c r="AB148" s="1837" t="str">
        <v/>
      </c>
      <c r="AC148" s="1837" t="str">
        <v/>
      </c>
      <c r="AD148" s="1837" t="str">
        <v/>
      </c>
      <c r="AE148" s="1837" t="str">
        <v>Ireland</v>
      </c>
      <c r="AF148" s="1837" t="str">
        <v>Western Europe</v>
      </c>
      <c r="AG148" s="1837" t="str">
        <v>Yes</v>
      </c>
      <c r="AH148" s="1837" t="str">
        <v/>
      </c>
      <c r="AI148" s="1837" t="str">
        <v/>
      </c>
      <c r="AJ148" s="1110" t="str">
        <v>Azaria &amp; Hendekea</v>
      </c>
    </row>
    <row r="149" spans="1:36" ht="16.5" thickBot="1">
      <c r="A149">
        <v>12</v>
      </c>
      <c r="B149">
        <v>8</v>
      </c>
      <c r="C149" s="3" t="s">
        <v>12</v>
      </c>
      <c r="D149" s="3" t="s">
        <v>12</v>
      </c>
      <c r="E149" s="29" t="s">
        <v>49</v>
      </c>
      <c r="F149" s="4" t="s">
        <v>13</v>
      </c>
      <c r="G149" s="3" t="s">
        <v>12</v>
      </c>
      <c r="H149" s="614" t="s">
        <v>12</v>
      </c>
      <c r="I149" s="5" t="s">
        <v>14</v>
      </c>
      <c r="J149" s="3" t="s">
        <v>12</v>
      </c>
      <c r="P149" s="1329">
        <v>12</v>
      </c>
      <c r="Q149" s="1837">
        <v>2</v>
      </c>
      <c r="R149" s="1837" t="str">
        <v>Route Info</v>
      </c>
      <c r="S149" s="1837" t="str">
        <v>Detour</v>
      </c>
      <c r="T149" s="1837" t="str">
        <v>Route Info</v>
      </c>
      <c r="U149" s="1837" t="str">
        <v>Road Block</v>
      </c>
      <c r="V149" s="1837" t="str">
        <v>Route Info</v>
      </c>
      <c r="W149" s="1837" t="str">
        <v/>
      </c>
      <c r="X149" s="1837" t="str">
        <v/>
      </c>
      <c r="Y149" s="1837" t="str">
        <v/>
      </c>
      <c r="Z149" s="1837" t="str">
        <v/>
      </c>
      <c r="AA149" s="1837" t="str">
        <v/>
      </c>
      <c r="AB149" s="1837" t="str">
        <v/>
      </c>
      <c r="AC149" s="1837" t="str">
        <v/>
      </c>
      <c r="AD149" s="1837" t="str">
        <v/>
      </c>
      <c r="AE149" s="1837" t="str">
        <v>Netherlands</v>
      </c>
      <c r="AF149" s="1837" t="str">
        <v>Central Europe</v>
      </c>
      <c r="AG149" s="1837" t="str">
        <v>Yes</v>
      </c>
      <c r="AH149" s="1837" t="str">
        <v/>
      </c>
      <c r="AI149" s="1837" t="str">
        <v/>
      </c>
      <c r="AJ149" s="1110" t="str">
        <v>Lorena &amp; Jason</v>
      </c>
    </row>
    <row r="150" spans="1:36">
      <c r="A150">
        <v>12</v>
      </c>
      <c r="B150">
        <v>9</v>
      </c>
      <c r="C150" s="3" t="s">
        <v>12</v>
      </c>
      <c r="D150" s="3" t="s">
        <v>12</v>
      </c>
      <c r="E150" s="5" t="s">
        <v>14</v>
      </c>
      <c r="F150" s="3" t="s">
        <v>12</v>
      </c>
      <c r="G150" s="4" t="s">
        <v>13</v>
      </c>
      <c r="H150" s="3" t="s">
        <v>12</v>
      </c>
      <c r="P150" s="1329">
        <v>12</v>
      </c>
      <c r="Q150" s="1837">
        <v>3</v>
      </c>
      <c r="R150" s="1837" t="str">
        <v>Route Info</v>
      </c>
      <c r="S150" s="1837" t="str">
        <v>Route Info</v>
      </c>
      <c r="T150" s="1837" t="str">
        <v>Road Block</v>
      </c>
      <c r="U150" s="1837" t="str">
        <v>Route Info</v>
      </c>
      <c r="V150" s="1837" t="str">
        <v>Detour</v>
      </c>
      <c r="W150" s="1837" t="str">
        <v>Route Info</v>
      </c>
      <c r="X150" s="1837" t="str">
        <v/>
      </c>
      <c r="Y150" s="1837" t="str">
        <v/>
      </c>
      <c r="Z150" s="1837" t="str">
        <v/>
      </c>
      <c r="AA150" s="1837" t="str">
        <v/>
      </c>
      <c r="AB150" s="1837" t="str">
        <v/>
      </c>
      <c r="AC150" s="1837" t="str">
        <v/>
      </c>
      <c r="AD150" s="1837" t="str">
        <v/>
      </c>
      <c r="AE150" s="1837" t="str">
        <v>Burkina Faso</v>
      </c>
      <c r="AF150" s="1837" t="str">
        <v>West Africa</v>
      </c>
      <c r="AG150" s="1837" t="str">
        <v>Yes</v>
      </c>
      <c r="AH150" s="1837" t="str">
        <v/>
      </c>
      <c r="AI150" s="1837" t="str">
        <v/>
      </c>
      <c r="AJ150" s="1110" t="str">
        <v>Azaria &amp; Hendekea</v>
      </c>
    </row>
    <row r="151" spans="1:36">
      <c r="A151">
        <v>12</v>
      </c>
      <c r="B151">
        <v>10</v>
      </c>
      <c r="C151" s="3" t="s">
        <v>12</v>
      </c>
      <c r="D151" s="3" t="s">
        <v>12</v>
      </c>
      <c r="E151" s="3" t="s">
        <v>12</v>
      </c>
      <c r="F151" s="5" t="s">
        <v>14</v>
      </c>
      <c r="G151" s="29" t="s">
        <v>49</v>
      </c>
      <c r="H151" s="3" t="s">
        <v>12</v>
      </c>
      <c r="I151" s="3" t="s">
        <v>12</v>
      </c>
      <c r="J151" s="4" t="s">
        <v>13</v>
      </c>
      <c r="K151" s="3" t="s">
        <v>12</v>
      </c>
      <c r="P151" s="1329">
        <v>12</v>
      </c>
      <c r="Q151" s="1837">
        <v>4</v>
      </c>
      <c r="R151" s="1837" t="str">
        <v>Route Info</v>
      </c>
      <c r="S151" s="1837" t="str">
        <v>Route Info</v>
      </c>
      <c r="T151" s="1837" t="str">
        <v>Detour</v>
      </c>
      <c r="U151" s="1837" t="str">
        <v>Route Info</v>
      </c>
      <c r="V151" s="1837" t="str">
        <v>Route Info</v>
      </c>
      <c r="W151" s="1837" t="str">
        <v>Road Block</v>
      </c>
      <c r="X151" s="1837" t="str">
        <v>Route Info</v>
      </c>
      <c r="Y151" s="1837" t="str">
        <v/>
      </c>
      <c r="Z151" s="1837" t="str">
        <v/>
      </c>
      <c r="AA151" s="1837" t="str">
        <v/>
      </c>
      <c r="AB151" s="1837" t="str">
        <v/>
      </c>
      <c r="AC151" s="1837" t="str">
        <v/>
      </c>
      <c r="AD151" s="1837" t="str">
        <v/>
      </c>
      <c r="AE151" s="1837" t="str">
        <v>Burkina Faso</v>
      </c>
      <c r="AF151" s="1837" t="str">
        <v>West Africa</v>
      </c>
      <c r="AG151" s="1837" t="str">
        <v>Yes</v>
      </c>
      <c r="AH151" s="1837" t="str">
        <v>U-Turn</v>
      </c>
      <c r="AI151" s="1837">
        <v>5</v>
      </c>
      <c r="AJ151" s="1110" t="str">
        <v>Azaria &amp; Hendekea</v>
      </c>
    </row>
    <row r="152" spans="1:36">
      <c r="A152">
        <v>12</v>
      </c>
      <c r="B152" t="s">
        <v>2810</v>
      </c>
      <c r="C152" s="3" t="s">
        <v>12</v>
      </c>
      <c r="D152" s="3" t="s">
        <v>12</v>
      </c>
      <c r="E152" s="4" t="s">
        <v>13</v>
      </c>
      <c r="F152" s="3" t="s">
        <v>12</v>
      </c>
      <c r="G152" s="3" t="s">
        <v>12</v>
      </c>
      <c r="H152" s="5" t="s">
        <v>14</v>
      </c>
      <c r="I152" s="3" t="s">
        <v>12</v>
      </c>
      <c r="J152" s="3" t="s">
        <v>12</v>
      </c>
      <c r="K152" s="3" t="s">
        <v>12</v>
      </c>
      <c r="P152" s="1329">
        <v>12</v>
      </c>
      <c r="Q152" s="1837">
        <v>5</v>
      </c>
      <c r="R152" s="1837" t="str">
        <v>Route Info</v>
      </c>
      <c r="S152" s="1837" t="str">
        <v>Road Block</v>
      </c>
      <c r="T152" s="1837" t="str">
        <v>Route Info</v>
      </c>
      <c r="U152" s="1837" t="str">
        <v>Route Info</v>
      </c>
      <c r="V152" s="1837" t="str">
        <v>Detour</v>
      </c>
      <c r="W152" s="1837" t="str">
        <v>Route Info</v>
      </c>
      <c r="X152" s="1837" t="str">
        <v/>
      </c>
      <c r="Y152" s="1837" t="str">
        <v/>
      </c>
      <c r="Z152" s="1837" t="str">
        <v/>
      </c>
      <c r="AA152" s="1837" t="str">
        <v/>
      </c>
      <c r="AB152" s="1837" t="str">
        <v/>
      </c>
      <c r="AC152" s="1837" t="str">
        <v/>
      </c>
      <c r="AD152" s="1837" t="str">
        <v/>
      </c>
      <c r="AE152" s="1837" t="str">
        <v>Lithuania</v>
      </c>
      <c r="AF152" s="1837" t="str">
        <v>Eastern Europe</v>
      </c>
      <c r="AG152" s="1837" t="str">
        <v>Yes</v>
      </c>
      <c r="AH152" s="1837" t="str">
        <v/>
      </c>
      <c r="AI152" s="1837" t="str">
        <v/>
      </c>
      <c r="AJ152" s="1110" t="str">
        <v>TK &amp; Rachel</v>
      </c>
    </row>
    <row r="153" spans="1:36">
      <c r="A153">
        <v>13</v>
      </c>
      <c r="B153">
        <v>1</v>
      </c>
      <c r="C153" s="3" t="s">
        <v>12</v>
      </c>
      <c r="D153" s="3" t="s">
        <v>12</v>
      </c>
      <c r="E153" s="3" t="s">
        <v>12</v>
      </c>
      <c r="F153" s="3" t="s">
        <v>12</v>
      </c>
      <c r="G153" s="4" t="s">
        <v>13</v>
      </c>
      <c r="H153" s="3" t="s">
        <v>12</v>
      </c>
      <c r="P153" s="1329">
        <v>12</v>
      </c>
      <c r="Q153" s="1837">
        <v>6</v>
      </c>
      <c r="R153" s="1837" t="str">
        <v>Route Info</v>
      </c>
      <c r="S153" s="1837" t="str">
        <v>Road Block</v>
      </c>
      <c r="T153" s="1837" t="str">
        <v>Route Info</v>
      </c>
      <c r="U153" s="1837" t="str">
        <v>Detour</v>
      </c>
      <c r="V153" s="1837" t="str">
        <v>Route Info</v>
      </c>
      <c r="W153" s="1837" t="str">
        <v/>
      </c>
      <c r="X153" s="1837" t="str">
        <v/>
      </c>
      <c r="Y153" s="1837" t="str">
        <v/>
      </c>
      <c r="Z153" s="1837" t="str">
        <v/>
      </c>
      <c r="AA153" s="1837" t="str">
        <v/>
      </c>
      <c r="AB153" s="1837" t="str">
        <v/>
      </c>
      <c r="AC153" s="1837" t="str">
        <v/>
      </c>
      <c r="AD153" s="1837" t="str">
        <v/>
      </c>
      <c r="AE153" s="1837" t="str">
        <v>Croatia</v>
      </c>
      <c r="AF153" s="1837" t="str">
        <v>Southern Europe</v>
      </c>
      <c r="AG153" s="1837" t="str">
        <v>Yes</v>
      </c>
      <c r="AH153" s="1837" t="str">
        <v/>
      </c>
      <c r="AI153" s="1837" t="str">
        <v/>
      </c>
      <c r="AJ153" s="1110" t="str">
        <v>Ron &amp; Christina</v>
      </c>
    </row>
    <row r="154" spans="1:36" ht="16.5" thickBot="1">
      <c r="A154">
        <v>13</v>
      </c>
      <c r="B154">
        <v>2</v>
      </c>
      <c r="C154" s="3" t="s">
        <v>12</v>
      </c>
      <c r="D154" s="3" t="s">
        <v>12</v>
      </c>
      <c r="E154" s="4" t="s">
        <v>13</v>
      </c>
      <c r="F154" s="3" t="s">
        <v>12</v>
      </c>
      <c r="G154" s="5" t="s">
        <v>14</v>
      </c>
      <c r="H154" s="3" t="s">
        <v>12</v>
      </c>
      <c r="P154" s="1329">
        <v>12</v>
      </c>
      <c r="Q154" s="1837">
        <v>7</v>
      </c>
      <c r="R154" s="1837" t="str">
        <v>Route Info</v>
      </c>
      <c r="S154" s="1837" t="str">
        <v>Route Info</v>
      </c>
      <c r="T154" s="1837" t="str">
        <v>Fast Forward</v>
      </c>
      <c r="U154" s="1837" t="str">
        <v>Road Block</v>
      </c>
      <c r="V154" s="1837" t="str">
        <v>Route Info</v>
      </c>
      <c r="W154" s="1837" t="str">
        <v>Detour</v>
      </c>
      <c r="X154" s="1837" t="str">
        <v>Route Info</v>
      </c>
      <c r="Y154" s="1837" t="str">
        <v/>
      </c>
      <c r="Z154" s="1837" t="str">
        <v/>
      </c>
      <c r="AA154" s="1837" t="str">
        <v/>
      </c>
      <c r="AB154" s="1837" t="str">
        <v/>
      </c>
      <c r="AC154" s="1837" t="str">
        <v/>
      </c>
      <c r="AD154" s="1837" t="str">
        <v/>
      </c>
      <c r="AE154" s="1837" t="str">
        <v>Italy</v>
      </c>
      <c r="AF154" s="1837" t="str">
        <v>Southern Europe</v>
      </c>
      <c r="AG154" s="1837" t="str">
        <v>No</v>
      </c>
      <c r="AH154" s="1837" t="str">
        <v/>
      </c>
      <c r="AI154" s="1837" t="str">
        <v/>
      </c>
      <c r="AJ154" s="1110" t="str">
        <v>Nicolas &amp; Donald</v>
      </c>
    </row>
    <row r="155" spans="1:36" ht="16.5" thickBot="1">
      <c r="A155">
        <v>13</v>
      </c>
      <c r="B155">
        <v>3</v>
      </c>
      <c r="C155" s="3" t="s">
        <v>12</v>
      </c>
      <c r="D155" s="3" t="s">
        <v>12</v>
      </c>
      <c r="E155" s="4" t="s">
        <v>13</v>
      </c>
      <c r="F155" s="614" t="s">
        <v>12</v>
      </c>
      <c r="G155" s="5" t="s">
        <v>14</v>
      </c>
      <c r="H155" s="3" t="s">
        <v>12</v>
      </c>
      <c r="P155" s="1329">
        <v>12</v>
      </c>
      <c r="Q155" s="1837">
        <v>8</v>
      </c>
      <c r="R155" s="1837" t="str">
        <v>Route Info</v>
      </c>
      <c r="S155" s="1837" t="str">
        <v>Route Info</v>
      </c>
      <c r="T155" s="1837" t="str">
        <v>Speed Bump</v>
      </c>
      <c r="U155" s="1837" t="str">
        <v>Detour</v>
      </c>
      <c r="V155" s="1837" t="str">
        <v>Route Info</v>
      </c>
      <c r="W155" s="1837" t="str">
        <v>Route Info</v>
      </c>
      <c r="X155" s="1837" t="str">
        <v>Road Block</v>
      </c>
      <c r="Y155" s="1837" t="str">
        <v>Route Info</v>
      </c>
      <c r="Z155" s="1837" t="str">
        <v/>
      </c>
      <c r="AA155" s="1837" t="str">
        <v/>
      </c>
      <c r="AB155" s="1837" t="str">
        <v/>
      </c>
      <c r="AC155" s="1837" t="str">
        <v/>
      </c>
      <c r="AD155" s="1837" t="str">
        <v/>
      </c>
      <c r="AE155" s="1837" t="str">
        <v>India</v>
      </c>
      <c r="AF155" s="1837" t="str">
        <v>South Asia</v>
      </c>
      <c r="AG155" s="1837" t="str">
        <v>Yes</v>
      </c>
      <c r="AH155" s="1837" t="str">
        <v>U-Turn</v>
      </c>
      <c r="AI155" s="1837">
        <v>6</v>
      </c>
      <c r="AJ155" s="1110" t="str">
        <v>TK &amp; Rachel</v>
      </c>
    </row>
    <row r="156" spans="1:36">
      <c r="A156">
        <v>13</v>
      </c>
      <c r="B156">
        <v>4</v>
      </c>
      <c r="C156" s="3" t="s">
        <v>12</v>
      </c>
      <c r="D156" s="19" t="s">
        <v>71</v>
      </c>
      <c r="E156" s="3" t="s">
        <v>12</v>
      </c>
      <c r="F156" s="5" t="s">
        <v>14</v>
      </c>
      <c r="G156" s="3" t="s">
        <v>12</v>
      </c>
      <c r="H156" s="3" t="s">
        <v>12</v>
      </c>
      <c r="I156" s="3" t="s">
        <v>12</v>
      </c>
      <c r="J156" s="4" t="s">
        <v>13</v>
      </c>
      <c r="K156" s="3" t="s">
        <v>12</v>
      </c>
      <c r="P156" s="1329">
        <v>12</v>
      </c>
      <c r="Q156" s="1837">
        <v>9</v>
      </c>
      <c r="R156" s="1837" t="str">
        <v>Route Info</v>
      </c>
      <c r="S156" s="1837" t="str">
        <v>Route Info</v>
      </c>
      <c r="T156" s="1837" t="str">
        <v>Road Block</v>
      </c>
      <c r="U156" s="1837" t="str">
        <v>Route Info</v>
      </c>
      <c r="V156" s="1837" t="str">
        <v>Detour</v>
      </c>
      <c r="W156" s="1837" t="str">
        <v>Route Info</v>
      </c>
      <c r="X156" s="1837" t="str">
        <v/>
      </c>
      <c r="Y156" s="1837" t="str">
        <v/>
      </c>
      <c r="Z156" s="1837" t="str">
        <v/>
      </c>
      <c r="AA156" s="1837" t="str">
        <v/>
      </c>
      <c r="AB156" s="1837" t="str">
        <v/>
      </c>
      <c r="AC156" s="1837" t="str">
        <v/>
      </c>
      <c r="AD156" s="1837" t="str">
        <v/>
      </c>
      <c r="AE156" s="1837" t="str">
        <v>Japan</v>
      </c>
      <c r="AF156" s="1837" t="str">
        <v>East Asia</v>
      </c>
      <c r="AG156" s="1837" t="str">
        <v>No</v>
      </c>
      <c r="AH156" s="1837" t="str">
        <v/>
      </c>
      <c r="AI156" s="1837" t="str">
        <v/>
      </c>
      <c r="AJ156" s="1110" t="str">
        <v>Ron &amp; Christina</v>
      </c>
    </row>
    <row r="157" spans="1:36">
      <c r="A157">
        <v>13</v>
      </c>
      <c r="B157">
        <v>5</v>
      </c>
      <c r="C157" s="3" t="s">
        <v>12</v>
      </c>
      <c r="D157" s="3" t="s">
        <v>12</v>
      </c>
      <c r="E157" s="3" t="s">
        <v>12</v>
      </c>
      <c r="F157" s="4" t="s">
        <v>13</v>
      </c>
      <c r="G157" s="3" t="s">
        <v>12</v>
      </c>
      <c r="H157" s="5" t="s">
        <v>14</v>
      </c>
      <c r="I157" s="3" t="s">
        <v>12</v>
      </c>
      <c r="P157" s="1329">
        <v>12</v>
      </c>
      <c r="Q157" s="1837">
        <v>10</v>
      </c>
      <c r="R157" s="1837" t="str">
        <v>Route Info</v>
      </c>
      <c r="S157" s="1837" t="str">
        <v>Route Info</v>
      </c>
      <c r="T157" s="1837" t="str">
        <v>Route Info</v>
      </c>
      <c r="U157" s="1837" t="str">
        <v>Road Block</v>
      </c>
      <c r="V157" s="1837" t="str">
        <v>Speed Bump</v>
      </c>
      <c r="W157" s="1837" t="str">
        <v>Route Info</v>
      </c>
      <c r="X157" s="1837" t="str">
        <v>Route Info</v>
      </c>
      <c r="Y157" s="1837" t="str">
        <v>Detour</v>
      </c>
      <c r="Z157" s="1837" t="str">
        <v>Route Info</v>
      </c>
      <c r="AA157" s="1837" t="str">
        <v/>
      </c>
      <c r="AB157" s="1837" t="str">
        <v/>
      </c>
      <c r="AC157" s="1837" t="str">
        <v/>
      </c>
      <c r="AD157" s="1837" t="str">
        <v/>
      </c>
      <c r="AE157" s="1837" t="str">
        <v>Taiwan</v>
      </c>
      <c r="AF157" s="1837" t="str">
        <v>East Asia</v>
      </c>
      <c r="AG157" s="1837" t="str">
        <v>Yes</v>
      </c>
      <c r="AH157" s="1837" t="str">
        <v/>
      </c>
      <c r="AI157" s="1837" t="str">
        <v/>
      </c>
      <c r="AJ157" s="1110" t="str">
        <v>Ron &amp; Christina</v>
      </c>
    </row>
    <row r="158" spans="1:36">
      <c r="A158">
        <v>13</v>
      </c>
      <c r="B158">
        <v>6</v>
      </c>
      <c r="C158" s="3" t="s">
        <v>12</v>
      </c>
      <c r="D158" s="5" t="s">
        <v>14</v>
      </c>
      <c r="E158" s="3" t="s">
        <v>12</v>
      </c>
      <c r="F158" s="4" t="s">
        <v>13</v>
      </c>
      <c r="G158" s="3" t="s">
        <v>12</v>
      </c>
      <c r="P158" s="1329">
        <v>12</v>
      </c>
      <c r="Q158" s="1837" t="str">
        <v>Final</v>
      </c>
      <c r="R158" s="1837" t="str">
        <v>Route Info</v>
      </c>
      <c r="S158" s="1837" t="str">
        <v>Route Info</v>
      </c>
      <c r="T158" s="1837" t="str">
        <v>Detour</v>
      </c>
      <c r="U158" s="1837" t="str">
        <v>Route Info</v>
      </c>
      <c r="V158" s="1837" t="str">
        <v>Route Info</v>
      </c>
      <c r="W158" s="1837" t="str">
        <v>Road Block</v>
      </c>
      <c r="X158" s="1837" t="str">
        <v>Route Info</v>
      </c>
      <c r="Y158" s="1837" t="str">
        <v>Route Info</v>
      </c>
      <c r="Z158" s="1837" t="str">
        <v>Route Info</v>
      </c>
      <c r="AA158" s="1837" t="str">
        <v/>
      </c>
      <c r="AB158" s="1837" t="str">
        <v/>
      </c>
      <c r="AC158" s="1837" t="str">
        <v/>
      </c>
      <c r="AD158" s="1837" t="str">
        <v/>
      </c>
      <c r="AE158" s="1837" t="str">
        <v>USA</v>
      </c>
      <c r="AF158" s="1837" t="str">
        <v/>
      </c>
      <c r="AG158" s="1837" t="str">
        <v>Final Leg</v>
      </c>
      <c r="AH158" s="1837" t="str">
        <v/>
      </c>
      <c r="AI158" s="1837" t="str">
        <v/>
      </c>
      <c r="AJ158" s="1110" t="str">
        <v>TK &amp; Rachel</v>
      </c>
    </row>
    <row r="159" spans="1:36">
      <c r="A159">
        <v>13</v>
      </c>
      <c r="B159">
        <v>7</v>
      </c>
      <c r="C159" s="3" t="s">
        <v>12</v>
      </c>
      <c r="D159" s="5" t="s">
        <v>14</v>
      </c>
      <c r="E159" s="3" t="s">
        <v>12</v>
      </c>
      <c r="F159" s="29" t="s">
        <v>49</v>
      </c>
      <c r="G159" s="4" t="s">
        <v>13</v>
      </c>
      <c r="H159" s="3" t="s">
        <v>12</v>
      </c>
      <c r="P159" s="1329">
        <v>13</v>
      </c>
      <c r="Q159" s="1837">
        <v>1</v>
      </c>
      <c r="R159" s="1837" t="str">
        <v>Route Info</v>
      </c>
      <c r="S159" s="1837" t="str">
        <v>Route Info</v>
      </c>
      <c r="T159" s="1837" t="str">
        <v>Route Info</v>
      </c>
      <c r="U159" s="1837" t="str">
        <v>Route Info</v>
      </c>
      <c r="V159" s="1837" t="str">
        <v>Detour</v>
      </c>
      <c r="W159" s="1837" t="str">
        <v>Route Info</v>
      </c>
      <c r="X159" s="1837" t="str">
        <v/>
      </c>
      <c r="Y159" s="1837" t="str">
        <v/>
      </c>
      <c r="Z159" s="1837" t="str">
        <v/>
      </c>
      <c r="AA159" s="1837" t="str">
        <v/>
      </c>
      <c r="AB159" s="1837" t="str">
        <v/>
      </c>
      <c r="AC159" s="1837" t="str">
        <v/>
      </c>
      <c r="AD159" s="1837" t="str">
        <v/>
      </c>
      <c r="AE159" s="1837" t="str">
        <v>Brazil</v>
      </c>
      <c r="AF159" s="1837" t="str">
        <v>South America</v>
      </c>
      <c r="AG159" s="1837" t="str">
        <v>Yes</v>
      </c>
      <c r="AH159" s="1837" t="str">
        <v/>
      </c>
      <c r="AI159" s="1837" t="str">
        <v/>
      </c>
      <c r="AJ159" s="1110" t="str">
        <v>Nick &amp; Starr</v>
      </c>
    </row>
    <row r="160" spans="1:36">
      <c r="A160">
        <v>13</v>
      </c>
      <c r="B160">
        <v>8</v>
      </c>
      <c r="C160" s="3" t="s">
        <v>12</v>
      </c>
      <c r="D160" s="5" t="s">
        <v>14</v>
      </c>
      <c r="E160" s="19" t="s">
        <v>71</v>
      </c>
      <c r="F160" s="3" t="s">
        <v>12</v>
      </c>
      <c r="G160" s="4" t="s">
        <v>13</v>
      </c>
      <c r="H160" s="3" t="s">
        <v>12</v>
      </c>
      <c r="P160" s="1329">
        <v>13</v>
      </c>
      <c r="Q160" s="1837">
        <v>2</v>
      </c>
      <c r="R160" s="1837" t="str">
        <v>Route Info</v>
      </c>
      <c r="S160" s="1837" t="str">
        <v>Route Info</v>
      </c>
      <c r="T160" s="1837" t="str">
        <v>Detour</v>
      </c>
      <c r="U160" s="1837" t="str">
        <v>Route Info</v>
      </c>
      <c r="V160" s="1837" t="str">
        <v>Road Block</v>
      </c>
      <c r="W160" s="1837" t="str">
        <v>Route Info</v>
      </c>
      <c r="X160" s="1837" t="str">
        <v/>
      </c>
      <c r="Y160" s="1837" t="str">
        <v/>
      </c>
      <c r="Z160" s="1837" t="str">
        <v/>
      </c>
      <c r="AA160" s="1837" t="str">
        <v/>
      </c>
      <c r="AB160" s="1837" t="str">
        <v/>
      </c>
      <c r="AC160" s="1837" t="str">
        <v/>
      </c>
      <c r="AD160" s="1837" t="str">
        <v/>
      </c>
      <c r="AE160" s="1837" t="str">
        <v>Brazil</v>
      </c>
      <c r="AF160" s="1837" t="str">
        <v>South America</v>
      </c>
      <c r="AG160" s="1837" t="str">
        <v>Yes</v>
      </c>
      <c r="AH160" s="1837" t="str">
        <v/>
      </c>
      <c r="AI160" s="1837" t="str">
        <v/>
      </c>
      <c r="AJ160" s="1110" t="str">
        <v>Ken &amp; Tina</v>
      </c>
    </row>
    <row r="161" spans="1:36">
      <c r="A161">
        <v>13</v>
      </c>
      <c r="B161">
        <v>9</v>
      </c>
      <c r="C161" s="3" t="s">
        <v>12</v>
      </c>
      <c r="D161" s="3" t="s">
        <v>12</v>
      </c>
      <c r="E161" s="4" t="s">
        <v>13</v>
      </c>
      <c r="F161" s="3" t="s">
        <v>12</v>
      </c>
      <c r="G161" s="5" t="s">
        <v>14</v>
      </c>
      <c r="H161" s="3" t="s">
        <v>12</v>
      </c>
      <c r="P161" s="1329">
        <v>13</v>
      </c>
      <c r="Q161" s="1837">
        <v>3</v>
      </c>
      <c r="R161" s="1837" t="str">
        <v>Route Info</v>
      </c>
      <c r="S161" s="1837" t="str">
        <v>Route Info</v>
      </c>
      <c r="T161" s="1837" t="str">
        <v>Detour</v>
      </c>
      <c r="U161" s="1837" t="str">
        <v>Route Info</v>
      </c>
      <c r="V161" s="1837" t="str">
        <v>Road Block</v>
      </c>
      <c r="W161" s="1837" t="str">
        <v>Route Info</v>
      </c>
      <c r="X161" s="1837" t="str">
        <v/>
      </c>
      <c r="Y161" s="1837" t="str">
        <v/>
      </c>
      <c r="Z161" s="1837" t="str">
        <v/>
      </c>
      <c r="AA161" s="1837" t="str">
        <v/>
      </c>
      <c r="AB161" s="1837" t="str">
        <v/>
      </c>
      <c r="AC161" s="1837" t="str">
        <v/>
      </c>
      <c r="AD161" s="1837" t="str">
        <v/>
      </c>
      <c r="AE161" s="1837" t="str">
        <v>Bolivia</v>
      </c>
      <c r="AF161" s="1837" t="str">
        <v>South America</v>
      </c>
      <c r="AG161" s="1837" t="str">
        <v>Yes</v>
      </c>
      <c r="AH161" s="1837" t="str">
        <v>U-Turn</v>
      </c>
      <c r="AI161" s="1837">
        <v>4</v>
      </c>
      <c r="AJ161" s="1110" t="str">
        <v>Ken &amp; Tina</v>
      </c>
    </row>
    <row r="162" spans="1:36">
      <c r="A162">
        <v>13</v>
      </c>
      <c r="B162">
        <v>10</v>
      </c>
      <c r="C162" s="3" t="s">
        <v>12</v>
      </c>
      <c r="D162" s="3" t="s">
        <v>12</v>
      </c>
      <c r="E162" s="5" t="s">
        <v>14</v>
      </c>
      <c r="F162" s="3" t="s">
        <v>12</v>
      </c>
      <c r="G162" s="29" t="s">
        <v>49</v>
      </c>
      <c r="H162" s="4" t="s">
        <v>13</v>
      </c>
      <c r="I162" s="3" t="s">
        <v>12</v>
      </c>
      <c r="P162" s="1329">
        <v>13</v>
      </c>
      <c r="Q162" s="1837">
        <v>4</v>
      </c>
      <c r="R162" s="1837" t="str">
        <v>Route Info</v>
      </c>
      <c r="S162" s="1837" t="str">
        <v>Fast Forward</v>
      </c>
      <c r="T162" s="1837" t="str">
        <v>Route Info</v>
      </c>
      <c r="U162" s="1837" t="str">
        <v>Road Block</v>
      </c>
      <c r="V162" s="1837" t="str">
        <v>Route Info</v>
      </c>
      <c r="W162" s="1837" t="str">
        <v>Route Info</v>
      </c>
      <c r="X162" s="1837" t="str">
        <v>Route Info</v>
      </c>
      <c r="Y162" s="1837" t="str">
        <v>Detour</v>
      </c>
      <c r="Z162" s="1837" t="str">
        <v>Route Info</v>
      </c>
      <c r="AA162" s="1837" t="str">
        <v/>
      </c>
      <c r="AB162" s="1837" t="str">
        <v/>
      </c>
      <c r="AC162" s="1837" t="str">
        <v/>
      </c>
      <c r="AD162" s="1837" t="str">
        <v/>
      </c>
      <c r="AE162" s="1837" t="str">
        <v>New Zealand</v>
      </c>
      <c r="AF162" s="1837" t="str">
        <v>Oceania</v>
      </c>
      <c r="AG162" s="1837" t="str">
        <v>Yes</v>
      </c>
      <c r="AH162" s="1837" t="str">
        <v/>
      </c>
      <c r="AI162" s="1837" t="str">
        <v/>
      </c>
      <c r="AJ162" s="1110" t="str">
        <v>Ken &amp; Tina</v>
      </c>
    </row>
    <row r="163" spans="1:36">
      <c r="A163">
        <v>13</v>
      </c>
      <c r="B163" t="s">
        <v>2810</v>
      </c>
      <c r="C163" s="3" t="s">
        <v>12</v>
      </c>
      <c r="D163" s="4" t="s">
        <v>13</v>
      </c>
      <c r="E163" s="3" t="s">
        <v>12</v>
      </c>
      <c r="F163" s="3" t="s">
        <v>12</v>
      </c>
      <c r="G163" s="3" t="s">
        <v>12</v>
      </c>
      <c r="H163" s="3" t="s">
        <v>12</v>
      </c>
      <c r="I163" s="3" t="s">
        <v>12</v>
      </c>
      <c r="J163" s="3" t="s">
        <v>12</v>
      </c>
      <c r="P163" s="1329">
        <v>13</v>
      </c>
      <c r="Q163" s="1837">
        <v>5</v>
      </c>
      <c r="R163" s="1837" t="str">
        <v>Route Info</v>
      </c>
      <c r="S163" s="1837" t="str">
        <v>Route Info</v>
      </c>
      <c r="T163" s="1837" t="str">
        <v>Route Info</v>
      </c>
      <c r="U163" s="1837" t="str">
        <v>Detour</v>
      </c>
      <c r="V163" s="1837" t="str">
        <v>Route Info</v>
      </c>
      <c r="W163" s="1837" t="str">
        <v>Road Block</v>
      </c>
      <c r="X163" s="1837" t="str">
        <v>Route Info</v>
      </c>
      <c r="Y163" s="1837" t="str">
        <v/>
      </c>
      <c r="Z163" s="1837" t="str">
        <v/>
      </c>
      <c r="AA163" s="1837" t="str">
        <v/>
      </c>
      <c r="AB163" s="1837" t="str">
        <v/>
      </c>
      <c r="AC163" s="1837" t="str">
        <v/>
      </c>
      <c r="AD163" s="1837" t="str">
        <v/>
      </c>
      <c r="AE163" s="1837" t="str">
        <v>Cambodia</v>
      </c>
      <c r="AF163" s="1837" t="str">
        <v>South East Asia</v>
      </c>
      <c r="AG163" s="1837" t="str">
        <v>Yes</v>
      </c>
      <c r="AH163" s="1837" t="str">
        <v/>
      </c>
      <c r="AI163" s="1837" t="str">
        <v/>
      </c>
      <c r="AJ163" s="1110" t="str">
        <v>Nick &amp; Starr</v>
      </c>
    </row>
    <row r="164" spans="1:36">
      <c r="A164">
        <v>14</v>
      </c>
      <c r="B164">
        <v>1</v>
      </c>
      <c r="C164" s="3" t="s">
        <v>12</v>
      </c>
      <c r="D164" s="3" t="s">
        <v>12</v>
      </c>
      <c r="E164" s="5" t="s">
        <v>14</v>
      </c>
      <c r="F164" s="3" t="s">
        <v>12</v>
      </c>
      <c r="G164" s="3" t="s">
        <v>12</v>
      </c>
      <c r="H164" s="3" t="s">
        <v>12</v>
      </c>
      <c r="P164" s="1329">
        <v>13</v>
      </c>
      <c r="Q164" s="1837">
        <v>6</v>
      </c>
      <c r="R164" s="1837" t="str">
        <v>Route Info</v>
      </c>
      <c r="S164" s="1837" t="str">
        <v>Road Block</v>
      </c>
      <c r="T164" s="1837" t="str">
        <v>Route Info</v>
      </c>
      <c r="U164" s="1837" t="str">
        <v>Detour</v>
      </c>
      <c r="V164" s="1837" t="str">
        <v>Route Info</v>
      </c>
      <c r="W164" s="1837" t="str">
        <v/>
      </c>
      <c r="X164" s="1837" t="str">
        <v/>
      </c>
      <c r="Y164" s="1837" t="str">
        <v/>
      </c>
      <c r="Z164" s="1837" t="str">
        <v/>
      </c>
      <c r="AA164" s="1837" t="str">
        <v/>
      </c>
      <c r="AB164" s="1837" t="str">
        <v/>
      </c>
      <c r="AC164" s="1837" t="str">
        <v/>
      </c>
      <c r="AD164" s="1837" t="str">
        <v/>
      </c>
      <c r="AE164" s="1837" t="str">
        <v>India</v>
      </c>
      <c r="AF164" s="1837" t="str">
        <v>South Asia</v>
      </c>
      <c r="AG164" s="1837" t="str">
        <v>No</v>
      </c>
      <c r="AH164" s="1837" t="str">
        <v/>
      </c>
      <c r="AI164" s="1837" t="str">
        <v/>
      </c>
      <c r="AJ164" s="1110" t="str">
        <v>Nick &amp; Starr</v>
      </c>
    </row>
    <row r="165" spans="1:36">
      <c r="A165">
        <v>14</v>
      </c>
      <c r="B165">
        <v>2</v>
      </c>
      <c r="C165" s="3" t="s">
        <v>12</v>
      </c>
      <c r="D165" s="5" t="s">
        <v>14</v>
      </c>
      <c r="E165" s="3" t="s">
        <v>12</v>
      </c>
      <c r="F165" s="4" t="s">
        <v>13</v>
      </c>
      <c r="G165" s="3" t="s">
        <v>12</v>
      </c>
      <c r="H165" s="3" t="s">
        <v>12</v>
      </c>
      <c r="P165" s="1329">
        <v>13</v>
      </c>
      <c r="Q165" s="1837">
        <v>7</v>
      </c>
      <c r="R165" s="1837" t="str">
        <v>Route Info</v>
      </c>
      <c r="S165" s="1837" t="str">
        <v>Road Block</v>
      </c>
      <c r="T165" s="1837" t="str">
        <v>Route Info</v>
      </c>
      <c r="U165" s="1837" t="str">
        <v>Speed Bump</v>
      </c>
      <c r="V165" s="1837" t="str">
        <v>Detour</v>
      </c>
      <c r="W165" s="1837" t="str">
        <v>Route Info</v>
      </c>
      <c r="X165" s="1837" t="str">
        <v/>
      </c>
      <c r="Y165" s="1837" t="str">
        <v/>
      </c>
      <c r="Z165" s="1837" t="str">
        <v/>
      </c>
      <c r="AA165" s="1837" t="str">
        <v/>
      </c>
      <c r="AB165" s="1837" t="str">
        <v/>
      </c>
      <c r="AC165" s="1837" t="str">
        <v/>
      </c>
      <c r="AD165" s="1837" t="str">
        <v/>
      </c>
      <c r="AE165" s="1837" t="str">
        <v>India</v>
      </c>
      <c r="AF165" s="1837" t="str">
        <v>South Asia</v>
      </c>
      <c r="AG165" s="1837" t="str">
        <v>Yes</v>
      </c>
      <c r="AH165" s="1837" t="str">
        <v/>
      </c>
      <c r="AI165" s="1837" t="str">
        <v/>
      </c>
      <c r="AJ165" s="1110" t="str">
        <v>Nick &amp; Starr</v>
      </c>
    </row>
    <row r="166" spans="1:36" ht="16.5" thickBot="1">
      <c r="A166">
        <v>14</v>
      </c>
      <c r="B166">
        <v>3</v>
      </c>
      <c r="C166" s="3" t="s">
        <v>12</v>
      </c>
      <c r="D166" s="5" t="s">
        <v>14</v>
      </c>
      <c r="E166" s="3" t="s">
        <v>12</v>
      </c>
      <c r="F166" s="4" t="s">
        <v>13</v>
      </c>
      <c r="G166" s="3" t="s">
        <v>12</v>
      </c>
      <c r="H166" s="12"/>
      <c r="P166" s="1329">
        <v>13</v>
      </c>
      <c r="Q166" s="1837">
        <v>8</v>
      </c>
      <c r="R166" s="1837" t="str">
        <v>Route Info</v>
      </c>
      <c r="S166" s="1837" t="str">
        <v>Road Block</v>
      </c>
      <c r="T166" s="1837" t="str">
        <v>Fast Forward</v>
      </c>
      <c r="U166" s="1837" t="str">
        <v>Route Info</v>
      </c>
      <c r="V166" s="1837" t="str">
        <v>Detour</v>
      </c>
      <c r="W166" s="1837" t="str">
        <v>Route Info</v>
      </c>
      <c r="X166" s="1837" t="str">
        <v/>
      </c>
      <c r="Y166" s="1837" t="str">
        <v/>
      </c>
      <c r="Z166" s="1837" t="str">
        <v/>
      </c>
      <c r="AA166" s="1837" t="str">
        <v/>
      </c>
      <c r="AB166" s="1837" t="str">
        <v/>
      </c>
      <c r="AC166" s="1837" t="str">
        <v/>
      </c>
      <c r="AD166" s="1837" t="str">
        <v/>
      </c>
      <c r="AE166" s="1837" t="str">
        <v>Kazakhstan</v>
      </c>
      <c r="AF166" s="1837" t="str">
        <v>Central Asia</v>
      </c>
      <c r="AG166" s="1837" t="str">
        <v>Yes</v>
      </c>
      <c r="AH166" s="1837" t="str">
        <v/>
      </c>
      <c r="AI166" s="1837" t="str">
        <v/>
      </c>
      <c r="AJ166" s="1110" t="str">
        <v>Nick &amp; Starr</v>
      </c>
    </row>
    <row r="167" spans="1:36" ht="16.5" thickBot="1">
      <c r="A167">
        <v>14</v>
      </c>
      <c r="B167">
        <v>4</v>
      </c>
      <c r="C167" s="3" t="s">
        <v>12</v>
      </c>
      <c r="D167" s="3" t="s">
        <v>12</v>
      </c>
      <c r="E167" s="4" t="s">
        <v>13</v>
      </c>
      <c r="F167" s="3" t="s">
        <v>12</v>
      </c>
      <c r="G167" s="614" t="s">
        <v>12</v>
      </c>
      <c r="H167" s="5" t="s">
        <v>14</v>
      </c>
      <c r="I167" s="3" t="s">
        <v>12</v>
      </c>
      <c r="P167" s="1329">
        <v>13</v>
      </c>
      <c r="Q167" s="1837">
        <v>9</v>
      </c>
      <c r="R167" s="1837" t="str">
        <v>Route Info</v>
      </c>
      <c r="S167" s="1837" t="str">
        <v>Route Info</v>
      </c>
      <c r="T167" s="1837" t="str">
        <v>Detour</v>
      </c>
      <c r="U167" s="1837" t="str">
        <v>Route Info</v>
      </c>
      <c r="V167" s="1837" t="str">
        <v>Road Block</v>
      </c>
      <c r="W167" s="1837" t="str">
        <v>Route Info</v>
      </c>
      <c r="X167" s="1837" t="str">
        <v/>
      </c>
      <c r="Y167" s="1837" t="str">
        <v/>
      </c>
      <c r="Z167" s="1837" t="str">
        <v/>
      </c>
      <c r="AA167" s="1837" t="str">
        <v/>
      </c>
      <c r="AB167" s="1837" t="str">
        <v/>
      </c>
      <c r="AC167" s="1837" t="str">
        <v/>
      </c>
      <c r="AD167" s="1837" t="str">
        <v/>
      </c>
      <c r="AE167" s="1837" t="str">
        <v>Russia</v>
      </c>
      <c r="AF167" s="1837" t="str">
        <v>Eastern Europe</v>
      </c>
      <c r="AG167" s="1837" t="str">
        <v>No</v>
      </c>
      <c r="AH167" s="1837" t="str">
        <v/>
      </c>
      <c r="AI167" s="1837" t="str">
        <v/>
      </c>
      <c r="AJ167" s="1110" t="str">
        <v>Toni &amp; Dallas</v>
      </c>
    </row>
    <row r="168" spans="1:36">
      <c r="A168">
        <v>14</v>
      </c>
      <c r="B168">
        <v>5</v>
      </c>
      <c r="C168" s="3" t="s">
        <v>12</v>
      </c>
      <c r="D168" s="4" t="s">
        <v>13</v>
      </c>
      <c r="E168" s="3" t="s">
        <v>12</v>
      </c>
      <c r="F168" s="5" t="s">
        <v>14</v>
      </c>
      <c r="P168" s="1329">
        <v>13</v>
      </c>
      <c r="Q168" s="1837">
        <v>10</v>
      </c>
      <c r="R168" s="1837" t="str">
        <v>Route Info</v>
      </c>
      <c r="S168" s="1837" t="str">
        <v>Route Info</v>
      </c>
      <c r="T168" s="1837" t="str">
        <v>Road Block</v>
      </c>
      <c r="U168" s="1837" t="str">
        <v>Route Info</v>
      </c>
      <c r="V168" s="1837" t="str">
        <v>Speed Bump</v>
      </c>
      <c r="W168" s="1837" t="str">
        <v>Detour</v>
      </c>
      <c r="X168" s="1837" t="str">
        <v>Route Info</v>
      </c>
      <c r="Y168" s="1837" t="str">
        <v/>
      </c>
      <c r="Z168" s="1837" t="str">
        <v/>
      </c>
      <c r="AA168" s="1837" t="str">
        <v/>
      </c>
      <c r="AB168" s="1837" t="str">
        <v/>
      </c>
      <c r="AC168" s="1837" t="str">
        <v/>
      </c>
      <c r="AD168" s="1837" t="str">
        <v/>
      </c>
      <c r="AE168" s="1837" t="str">
        <v>Russia</v>
      </c>
      <c r="AF168" s="1837" t="str">
        <v>Eastern Europe</v>
      </c>
      <c r="AG168" s="1837" t="str">
        <v>Yes</v>
      </c>
      <c r="AH168" s="1837" t="str">
        <v/>
      </c>
      <c r="AI168" s="1837" t="str">
        <v/>
      </c>
      <c r="AJ168" s="1110" t="str">
        <v>Nick &amp; Starr</v>
      </c>
    </row>
    <row r="169" spans="1:36">
      <c r="A169">
        <v>14</v>
      </c>
      <c r="B169">
        <v>6</v>
      </c>
      <c r="C169" s="3" t="s">
        <v>12</v>
      </c>
      <c r="D169" s="3" t="s">
        <v>12</v>
      </c>
      <c r="E169" s="5" t="s">
        <v>14</v>
      </c>
      <c r="F169" s="3" t="s">
        <v>12</v>
      </c>
      <c r="G169" s="29" t="s">
        <v>49</v>
      </c>
      <c r="H169" s="4" t="s">
        <v>13</v>
      </c>
      <c r="I169" s="3" t="s">
        <v>12</v>
      </c>
      <c r="P169" s="1329">
        <v>13</v>
      </c>
      <c r="Q169" s="1837" t="str">
        <v>Final</v>
      </c>
      <c r="R169" s="1837" t="str">
        <v>Route Info</v>
      </c>
      <c r="S169" s="1837" t="str">
        <v>Detour</v>
      </c>
      <c r="T169" s="1837" t="str">
        <v>Route Info</v>
      </c>
      <c r="U169" s="1837" t="str">
        <v>Route Info</v>
      </c>
      <c r="V169" s="1837" t="str">
        <v>Route Info</v>
      </c>
      <c r="W169" s="1837" t="str">
        <v>Route Info</v>
      </c>
      <c r="X169" s="1837" t="str">
        <v>Route Info</v>
      </c>
      <c r="Y169" s="1837" t="str">
        <v>Route Info</v>
      </c>
      <c r="Z169" s="1837" t="str">
        <v/>
      </c>
      <c r="AA169" s="1837" t="str">
        <v/>
      </c>
      <c r="AB169" s="1837" t="str">
        <v/>
      </c>
      <c r="AC169" s="1837" t="str">
        <v/>
      </c>
      <c r="AD169" s="1837" t="str">
        <v/>
      </c>
      <c r="AE169" s="1837" t="str">
        <v>USA</v>
      </c>
      <c r="AF169" s="1837" t="str">
        <v>North America</v>
      </c>
      <c r="AG169" s="1837" t="str">
        <v>Final Leg</v>
      </c>
      <c r="AH169" s="1837" t="str">
        <v/>
      </c>
      <c r="AI169" s="1837" t="str">
        <v/>
      </c>
      <c r="AJ169" s="1110" t="str">
        <v>Nick &amp; Starr</v>
      </c>
    </row>
    <row r="170" spans="1:36">
      <c r="A170">
        <v>14</v>
      </c>
      <c r="B170">
        <v>7</v>
      </c>
      <c r="C170" s="3" t="s">
        <v>12</v>
      </c>
      <c r="D170" s="19" t="s">
        <v>71</v>
      </c>
      <c r="E170" s="3" t="s">
        <v>12</v>
      </c>
      <c r="F170" s="3" t="s">
        <v>12</v>
      </c>
      <c r="G170" s="4" t="s">
        <v>13</v>
      </c>
      <c r="H170" s="3" t="s">
        <v>12</v>
      </c>
      <c r="P170" s="1329">
        <v>14</v>
      </c>
      <c r="Q170" s="1837">
        <v>1</v>
      </c>
      <c r="R170" s="1837" t="str">
        <v>Route Info</v>
      </c>
      <c r="S170" s="1837" t="str">
        <v>Route Info</v>
      </c>
      <c r="T170" s="1837" t="str">
        <v>Road Block</v>
      </c>
      <c r="U170" s="1837" t="str">
        <v>Route Info</v>
      </c>
      <c r="V170" s="1837" t="str">
        <v>Route Info</v>
      </c>
      <c r="W170" s="1837" t="str">
        <v>Route Info</v>
      </c>
      <c r="X170" s="1837" t="str">
        <v/>
      </c>
      <c r="Y170" s="1837" t="str">
        <v/>
      </c>
      <c r="Z170" s="1837" t="str">
        <v/>
      </c>
      <c r="AA170" s="1837" t="str">
        <v/>
      </c>
      <c r="AB170" s="1837" t="str">
        <v/>
      </c>
      <c r="AC170" s="1837" t="str">
        <v/>
      </c>
      <c r="AD170" s="1837" t="str">
        <v/>
      </c>
      <c r="AE170" s="1837" t="str">
        <v>Switzerland</v>
      </c>
      <c r="AF170" s="1837" t="str">
        <v>Central Europe</v>
      </c>
      <c r="AG170" s="1837" t="str">
        <v>Yes</v>
      </c>
      <c r="AH170" s="1837" t="str">
        <v/>
      </c>
      <c r="AI170" s="1837" t="str">
        <v/>
      </c>
      <c r="AJ170" s="1110" t="str">
        <v>Margie &amp; Luke</v>
      </c>
    </row>
    <row r="171" spans="1:36">
      <c r="A171">
        <v>14</v>
      </c>
      <c r="B171">
        <v>8</v>
      </c>
      <c r="C171" s="3" t="s">
        <v>12</v>
      </c>
      <c r="D171" s="5" t="s">
        <v>14</v>
      </c>
      <c r="E171" s="3" t="s">
        <v>12</v>
      </c>
      <c r="F171" s="4" t="s">
        <v>13</v>
      </c>
      <c r="G171" s="3" t="s">
        <v>12</v>
      </c>
      <c r="H171" s="12"/>
      <c r="P171" s="1329">
        <v>14</v>
      </c>
      <c r="Q171" s="1837">
        <v>2</v>
      </c>
      <c r="R171" s="1837" t="str">
        <v>Route Info</v>
      </c>
      <c r="S171" s="1837" t="str">
        <v>Road Block</v>
      </c>
      <c r="T171" s="1837" t="str">
        <v>Route Info</v>
      </c>
      <c r="U171" s="1837" t="str">
        <v>Detour</v>
      </c>
      <c r="V171" s="1837" t="str">
        <v>Route Info</v>
      </c>
      <c r="W171" s="1837" t="str">
        <v>Route Info</v>
      </c>
      <c r="X171" s="1837" t="str">
        <v/>
      </c>
      <c r="Y171" s="1837" t="str">
        <v/>
      </c>
      <c r="Z171" s="1837" t="str">
        <v/>
      </c>
      <c r="AA171" s="1837" t="str">
        <v/>
      </c>
      <c r="AB171" s="1837" t="str">
        <v/>
      </c>
      <c r="AC171" s="1837" t="str">
        <v/>
      </c>
      <c r="AD171" s="1837" t="str">
        <v/>
      </c>
      <c r="AE171" s="1837" t="str">
        <v>Germany\nAustria</v>
      </c>
      <c r="AF171" s="1837" t="str">
        <v>Central Europe\nCentral Europe</v>
      </c>
      <c r="AG171" s="1837" t="str">
        <v>Yes</v>
      </c>
      <c r="AH171" s="1837" t="str">
        <v/>
      </c>
      <c r="AI171" s="1837" t="str">
        <v/>
      </c>
      <c r="AJ171" s="1110" t="str">
        <v>Tammy &amp; Victor</v>
      </c>
    </row>
    <row r="172" spans="1:36">
      <c r="A172">
        <v>14</v>
      </c>
      <c r="B172">
        <v>9</v>
      </c>
      <c r="C172" s="3" t="s">
        <v>12</v>
      </c>
      <c r="D172" s="29" t="s">
        <v>49</v>
      </c>
      <c r="E172" s="3" t="s">
        <v>12</v>
      </c>
      <c r="F172" s="5" t="s">
        <v>14</v>
      </c>
      <c r="G172" s="4" t="s">
        <v>13</v>
      </c>
      <c r="H172" s="3" t="s">
        <v>12</v>
      </c>
      <c r="P172" s="1329">
        <v>14</v>
      </c>
      <c r="Q172" s="1837">
        <v>3</v>
      </c>
      <c r="R172" s="1837" t="str">
        <v>Route Info</v>
      </c>
      <c r="S172" s="1837" t="str">
        <v>Road Block</v>
      </c>
      <c r="T172" s="1837" t="str">
        <v>Route Info</v>
      </c>
      <c r="U172" s="1837" t="str">
        <v>Detour</v>
      </c>
      <c r="V172" s="1837" t="str">
        <v>Route Info</v>
      </c>
      <c r="W172" s="1837" t="str">
        <v/>
      </c>
      <c r="X172" s="1837" t="str">
        <v/>
      </c>
      <c r="Y172" s="1837" t="str">
        <v/>
      </c>
      <c r="Z172" s="1837" t="str">
        <v/>
      </c>
      <c r="AA172" s="1837" t="str">
        <v/>
      </c>
      <c r="AB172" s="1837" t="str">
        <v/>
      </c>
      <c r="AC172" s="1837" t="str">
        <v/>
      </c>
      <c r="AD172" s="1837" t="str">
        <v/>
      </c>
      <c r="AE172" s="1837" t="str">
        <v>Germany\nRomania</v>
      </c>
      <c r="AF172" s="1837" t="str">
        <v>Central Europe\nEastern Europe</v>
      </c>
      <c r="AG172" s="1837" t="str">
        <v>Yes</v>
      </c>
      <c r="AH172" s="1837" t="str">
        <v>U-Turn</v>
      </c>
      <c r="AI172" s="1837">
        <v>4</v>
      </c>
      <c r="AJ172" s="1110" t="str">
        <v>Mel &amp; Mike</v>
      </c>
    </row>
    <row r="173" spans="1:36" ht="16.5" thickBot="1">
      <c r="A173">
        <v>14</v>
      </c>
      <c r="B173">
        <v>10</v>
      </c>
      <c r="C173" s="3" t="s">
        <v>12</v>
      </c>
      <c r="D173" s="5" t="s">
        <v>14</v>
      </c>
      <c r="E173" s="3" t="s">
        <v>12</v>
      </c>
      <c r="F173" s="4" t="s">
        <v>13</v>
      </c>
      <c r="G173" s="3" t="s">
        <v>12</v>
      </c>
      <c r="P173" s="1329">
        <v>14</v>
      </c>
      <c r="Q173" s="1837">
        <v>4</v>
      </c>
      <c r="R173" s="1837" t="str">
        <v>Route Info</v>
      </c>
      <c r="S173" s="1837" t="str">
        <v>Route Info</v>
      </c>
      <c r="T173" s="1837" t="str">
        <v>Detour</v>
      </c>
      <c r="U173" s="1837" t="str">
        <v>Route Info</v>
      </c>
      <c r="V173" s="1837" t="str">
        <v>Route Info</v>
      </c>
      <c r="W173" s="1837" t="str">
        <v>Road Block</v>
      </c>
      <c r="X173" s="1837" t="str">
        <v>Route Info</v>
      </c>
      <c r="Y173" s="1837" t="str">
        <v/>
      </c>
      <c r="Z173" s="1837" t="str">
        <v/>
      </c>
      <c r="AA173" s="1837" t="str">
        <v/>
      </c>
      <c r="AB173" s="1837" t="str">
        <v/>
      </c>
      <c r="AC173" s="1837" t="str">
        <v/>
      </c>
      <c r="AD173" s="1837" t="str">
        <v/>
      </c>
      <c r="AE173" s="1837" t="str">
        <v>Russia</v>
      </c>
      <c r="AF173" s="1837" t="str">
        <v>Eastern Europe</v>
      </c>
      <c r="AG173" s="1837" t="str">
        <v>Yes</v>
      </c>
      <c r="AH173" s="1837" t="str">
        <v/>
      </c>
      <c r="AI173" s="1837" t="str">
        <v/>
      </c>
      <c r="AJ173" s="1110" t="str">
        <v>Christie &amp; Jodi</v>
      </c>
    </row>
    <row r="174" spans="1:36" ht="16.5" thickBot="1">
      <c r="A174">
        <v>14</v>
      </c>
      <c r="B174">
        <v>11</v>
      </c>
      <c r="C174" s="3" t="s">
        <v>12</v>
      </c>
      <c r="D174" s="3" t="s">
        <v>12</v>
      </c>
      <c r="E174" s="3" t="s">
        <v>12</v>
      </c>
      <c r="F174" s="4" t="s">
        <v>13</v>
      </c>
      <c r="G174" s="3" t="s">
        <v>12</v>
      </c>
      <c r="H174" s="614" t="s">
        <v>12</v>
      </c>
      <c r="I174" s="5" t="s">
        <v>14</v>
      </c>
      <c r="J174" s="3" t="s">
        <v>12</v>
      </c>
      <c r="P174" s="1329">
        <v>14</v>
      </c>
      <c r="Q174" s="1837">
        <v>5</v>
      </c>
      <c r="R174" s="1837" t="str">
        <v>Route Info</v>
      </c>
      <c r="S174" s="1837" t="str">
        <v>Detour</v>
      </c>
      <c r="T174" s="1837" t="str">
        <v>Route Info</v>
      </c>
      <c r="U174" s="1837" t="str">
        <v>Road Block</v>
      </c>
      <c r="V174" s="1837" t="str">
        <v/>
      </c>
      <c r="W174" s="1837" t="str">
        <v/>
      </c>
      <c r="X174" s="1837" t="str">
        <v/>
      </c>
      <c r="Y174" s="1837" t="str">
        <v/>
      </c>
      <c r="Z174" s="1837" t="str">
        <v/>
      </c>
      <c r="AA174" s="1837" t="str">
        <v/>
      </c>
      <c r="AB174" s="1837" t="str">
        <v/>
      </c>
      <c r="AC174" s="1837" t="str">
        <v/>
      </c>
      <c r="AD174" s="1837" t="str">
        <v/>
      </c>
      <c r="AE174" s="1837" t="str">
        <v>Russia</v>
      </c>
      <c r="AF174" s="1837" t="str">
        <v>Eastern Europe</v>
      </c>
      <c r="AG174" s="1837" t="str">
        <v>No</v>
      </c>
      <c r="AH174" s="1837" t="str">
        <v/>
      </c>
      <c r="AI174" s="1837" t="str">
        <v/>
      </c>
      <c r="AJ174" s="1110" t="str">
        <v>Margie &amp; Luke</v>
      </c>
    </row>
    <row r="175" spans="1:36">
      <c r="A175">
        <v>14</v>
      </c>
      <c r="B175" t="s">
        <v>2810</v>
      </c>
      <c r="C175" s="3" t="s">
        <v>12</v>
      </c>
      <c r="D175" s="3" t="s">
        <v>12</v>
      </c>
      <c r="E175" s="3" t="s">
        <v>12</v>
      </c>
      <c r="F175" s="5" t="s">
        <v>14</v>
      </c>
      <c r="G175" s="3" t="s">
        <v>12</v>
      </c>
      <c r="P175" s="1329">
        <v>14</v>
      </c>
      <c r="Q175" s="1837">
        <v>6</v>
      </c>
      <c r="R175" s="1837" t="str">
        <v>Route Info</v>
      </c>
      <c r="S175" s="1837" t="str">
        <v>Route Info</v>
      </c>
      <c r="T175" s="1837" t="str">
        <v>Road Block</v>
      </c>
      <c r="U175" s="1837" t="str">
        <v>Route Info</v>
      </c>
      <c r="V175" s="1837" t="str">
        <v>Speed Bump</v>
      </c>
      <c r="W175" s="1837" t="str">
        <v>Detour</v>
      </c>
      <c r="X175" s="1837" t="str">
        <v>Route Info</v>
      </c>
      <c r="Y175" s="1837" t="str">
        <v/>
      </c>
      <c r="Z175" s="1837" t="str">
        <v/>
      </c>
      <c r="AA175" s="1837" t="str">
        <v/>
      </c>
      <c r="AB175" s="1837" t="str">
        <v/>
      </c>
      <c r="AC175" s="1837" t="str">
        <v/>
      </c>
      <c r="AD175" s="1837" t="str">
        <v/>
      </c>
      <c r="AE175" s="1837" t="str">
        <v>India</v>
      </c>
      <c r="AF175" s="1837" t="str">
        <v>South Asia</v>
      </c>
      <c r="AG175" s="1837" t="str">
        <v>Yes</v>
      </c>
      <c r="AH175" s="1837" t="str">
        <v/>
      </c>
      <c r="AI175" s="1837" t="str">
        <v/>
      </c>
      <c r="AJ175" s="1110" t="str">
        <v>Tammy &amp; Victor</v>
      </c>
    </row>
    <row r="176" spans="1:36">
      <c r="A176">
        <v>15</v>
      </c>
      <c r="B176">
        <v>1</v>
      </c>
      <c r="C176" s="3" t="s">
        <v>12</v>
      </c>
      <c r="D176" s="5" t="s">
        <v>14</v>
      </c>
      <c r="E176" s="3" t="s">
        <v>12</v>
      </c>
      <c r="F176" s="12"/>
      <c r="G176" s="12"/>
      <c r="P176" s="1329">
        <v>14</v>
      </c>
      <c r="Q176" s="1837">
        <v>7</v>
      </c>
      <c r="R176" s="1837" t="str">
        <v>Route Info</v>
      </c>
      <c r="S176" s="1837" t="str">
        <v>Fast Forward</v>
      </c>
      <c r="T176" s="1837" t="str">
        <v>Route Info</v>
      </c>
      <c r="U176" s="1837" t="str">
        <v>Route Info</v>
      </c>
      <c r="V176" s="1837" t="str">
        <v>Detour</v>
      </c>
      <c r="W176" s="1837" t="str">
        <v>Route Info</v>
      </c>
      <c r="X176" s="1837" t="str">
        <v/>
      </c>
      <c r="Y176" s="1837" t="str">
        <v/>
      </c>
      <c r="Z176" s="1837" t="str">
        <v/>
      </c>
      <c r="AA176" s="1837" t="str">
        <v/>
      </c>
      <c r="AB176" s="1837" t="str">
        <v/>
      </c>
      <c r="AC176" s="1837" t="str">
        <v/>
      </c>
      <c r="AD176" s="1837" t="str">
        <v/>
      </c>
      <c r="AE176" s="1837" t="str">
        <v>Thailand</v>
      </c>
      <c r="AF176" s="1837" t="str">
        <v>South East Asia</v>
      </c>
      <c r="AG176" s="1837" t="str">
        <v>Yes</v>
      </c>
      <c r="AH176" s="1837" t="str">
        <v/>
      </c>
      <c r="AI176" s="1837" t="str">
        <v/>
      </c>
      <c r="AJ176" s="1110" t="str">
        <v>Tammy &amp; Victor</v>
      </c>
    </row>
    <row r="177" spans="1:36" ht="16.5" thickBot="1">
      <c r="A177">
        <v>15</v>
      </c>
      <c r="B177">
        <v>2</v>
      </c>
      <c r="C177" s="3" t="s">
        <v>12</v>
      </c>
      <c r="D177" s="29" t="s">
        <v>49</v>
      </c>
      <c r="E177" s="3" t="s">
        <v>12</v>
      </c>
      <c r="F177" s="3" t="s">
        <v>12</v>
      </c>
      <c r="G177" s="5" t="s">
        <v>14</v>
      </c>
      <c r="H177" s="3" t="s">
        <v>12</v>
      </c>
      <c r="P177" s="1329">
        <v>14</v>
      </c>
      <c r="Q177" s="1837">
        <v>8</v>
      </c>
      <c r="R177" s="1837" t="str">
        <v>Route Info</v>
      </c>
      <c r="S177" s="1837" t="str">
        <v>Road Block</v>
      </c>
      <c r="T177" s="1837" t="str">
        <v>Route Info</v>
      </c>
      <c r="U177" s="1837" t="str">
        <v>Detour</v>
      </c>
      <c r="V177" s="1837" t="str">
        <v>Route Info</v>
      </c>
      <c r="W177" s="1837" t="str">
        <v/>
      </c>
      <c r="X177" s="1837" t="str">
        <v/>
      </c>
      <c r="Y177" s="1837" t="str">
        <v/>
      </c>
      <c r="Z177" s="1837" t="str">
        <v/>
      </c>
      <c r="AA177" s="1837" t="str">
        <v/>
      </c>
      <c r="AB177" s="1837" t="str">
        <v/>
      </c>
      <c r="AC177" s="1837" t="str">
        <v/>
      </c>
      <c r="AD177" s="1837" t="str">
        <v/>
      </c>
      <c r="AE177" s="1837" t="str">
        <v>Thailand</v>
      </c>
      <c r="AF177" s="1837" t="str">
        <v>South East Asia</v>
      </c>
      <c r="AG177" s="1837" t="str">
        <v>No</v>
      </c>
      <c r="AH177" s="1837" t="str">
        <v/>
      </c>
      <c r="AI177" s="1837" t="str">
        <v/>
      </c>
      <c r="AJ177" s="1110" t="str">
        <v>Margie &amp; Luke</v>
      </c>
    </row>
    <row r="178" spans="1:36" ht="16.5" thickBot="1">
      <c r="A178">
        <v>15</v>
      </c>
      <c r="B178">
        <v>3</v>
      </c>
      <c r="C178" s="3" t="s">
        <v>12</v>
      </c>
      <c r="D178" s="3" t="s">
        <v>12</v>
      </c>
      <c r="E178" s="4" t="s">
        <v>13</v>
      </c>
      <c r="F178" s="614" t="s">
        <v>12</v>
      </c>
      <c r="G178" s="5" t="s">
        <v>14</v>
      </c>
      <c r="H178" s="3" t="s">
        <v>12</v>
      </c>
      <c r="P178" s="1329">
        <v>14</v>
      </c>
      <c r="Q178" s="1837">
        <v>9</v>
      </c>
      <c r="R178" s="1837" t="str">
        <v>Route Info</v>
      </c>
      <c r="S178" s="1837" t="str">
        <v>Speed Bump</v>
      </c>
      <c r="T178" s="1837" t="str">
        <v>Route Info</v>
      </c>
      <c r="U178" s="1837" t="str">
        <v>Road Block</v>
      </c>
      <c r="V178" s="1837" t="str">
        <v>Detour</v>
      </c>
      <c r="W178" s="1837" t="str">
        <v>Route Info</v>
      </c>
      <c r="X178" s="1837" t="str">
        <v/>
      </c>
      <c r="Y178" s="1837" t="str">
        <v/>
      </c>
      <c r="Z178" s="1837" t="str">
        <v/>
      </c>
      <c r="AA178" s="1837" t="str">
        <v/>
      </c>
      <c r="AB178" s="1837" t="str">
        <v/>
      </c>
      <c r="AC178" s="1837" t="str">
        <v/>
      </c>
      <c r="AD178" s="1837" t="str">
        <v/>
      </c>
      <c r="AE178" s="1837" t="str">
        <v>China</v>
      </c>
      <c r="AF178" s="1837" t="str">
        <v>East Asia</v>
      </c>
      <c r="AG178" s="1837" t="str">
        <v>Yes</v>
      </c>
      <c r="AH178" s="1837" t="str">
        <v/>
      </c>
      <c r="AI178" s="1837" t="str">
        <v/>
      </c>
      <c r="AJ178" s="1110" t="str">
        <v>Kisha &amp; Jen</v>
      </c>
    </row>
    <row r="179" spans="1:36">
      <c r="A179">
        <v>15</v>
      </c>
      <c r="B179">
        <v>4</v>
      </c>
      <c r="C179" s="3" t="s">
        <v>12</v>
      </c>
      <c r="D179" s="3" t="s">
        <v>12</v>
      </c>
      <c r="E179" s="4" t="s">
        <v>13</v>
      </c>
      <c r="F179" s="3" t="s">
        <v>12</v>
      </c>
      <c r="G179" s="5" t="s">
        <v>14</v>
      </c>
      <c r="H179" s="3" t="s">
        <v>12</v>
      </c>
      <c r="P179" s="1329">
        <v>14</v>
      </c>
      <c r="Q179" s="1837">
        <v>10</v>
      </c>
      <c r="R179" s="1837" t="str">
        <v>Route Info</v>
      </c>
      <c r="S179" s="1837" t="str">
        <v>Road Block</v>
      </c>
      <c r="T179" s="1837" t="str">
        <v>Route Info</v>
      </c>
      <c r="U179" s="1837" t="str">
        <v>Detour</v>
      </c>
      <c r="V179" s="1837" t="str">
        <v>Route Info</v>
      </c>
      <c r="W179" s="1837" t="str">
        <v/>
      </c>
      <c r="X179" s="1837" t="str">
        <v/>
      </c>
      <c r="Y179" s="1837" t="str">
        <v/>
      </c>
      <c r="Z179" s="1837" t="str">
        <v/>
      </c>
      <c r="AA179" s="1837" t="str">
        <v/>
      </c>
      <c r="AB179" s="1837" t="str">
        <v/>
      </c>
      <c r="AC179" s="1837" t="str">
        <v/>
      </c>
      <c r="AD179" s="1837" t="str">
        <v/>
      </c>
      <c r="AE179" s="1837" t="str">
        <v>China</v>
      </c>
      <c r="AF179" s="1837" t="str">
        <v>East Asia</v>
      </c>
      <c r="AG179" s="1837" t="str">
        <v>No</v>
      </c>
      <c r="AH179" s="1837" t="str">
        <v/>
      </c>
      <c r="AI179" s="1837" t="str">
        <v/>
      </c>
      <c r="AJ179" s="1110" t="str">
        <v>Jaime &amp; Cara</v>
      </c>
    </row>
    <row r="180" spans="1:36">
      <c r="A180">
        <v>15</v>
      </c>
      <c r="B180">
        <v>5</v>
      </c>
      <c r="C180" s="3" t="s">
        <v>12</v>
      </c>
      <c r="D180" s="19" t="s">
        <v>71</v>
      </c>
      <c r="E180" s="3" t="s">
        <v>12</v>
      </c>
      <c r="F180" s="5" t="s">
        <v>14</v>
      </c>
      <c r="G180" s="3" t="s">
        <v>12</v>
      </c>
      <c r="H180" s="4" t="s">
        <v>13</v>
      </c>
      <c r="I180" s="3" t="s">
        <v>12</v>
      </c>
      <c r="P180" s="1329">
        <v>14</v>
      </c>
      <c r="Q180" s="1837">
        <v>11</v>
      </c>
      <c r="R180" s="1837" t="str">
        <v>Route Info</v>
      </c>
      <c r="S180" s="1837" t="str">
        <v>Route Info</v>
      </c>
      <c r="T180" s="1837" t="str">
        <v>Route Info</v>
      </c>
      <c r="U180" s="1837" t="str">
        <v>Detour</v>
      </c>
      <c r="V180" s="1837" t="str">
        <v>Route Info</v>
      </c>
      <c r="W180" s="1837" t="str">
        <v>Route Info</v>
      </c>
      <c r="X180" s="1837" t="str">
        <v>Road Block</v>
      </c>
      <c r="Y180" s="1837" t="str">
        <v>Route Info</v>
      </c>
      <c r="Z180" s="1837" t="str">
        <v/>
      </c>
      <c r="AA180" s="1837" t="str">
        <v/>
      </c>
      <c r="AB180" s="1837" t="str">
        <v/>
      </c>
      <c r="AC180" s="1837" t="str">
        <v/>
      </c>
      <c r="AD180" s="1837" t="str">
        <v/>
      </c>
      <c r="AE180" s="1837" t="str">
        <v>China</v>
      </c>
      <c r="AF180" s="1837" t="str">
        <v>East Asia</v>
      </c>
      <c r="AG180" s="1837" t="str">
        <v>Yes</v>
      </c>
      <c r="AH180" s="1837" t="str">
        <v>U-Turn</v>
      </c>
      <c r="AI180" s="1837">
        <v>6</v>
      </c>
      <c r="AJ180" s="1110" t="str">
        <v>Tammy &amp; Victor</v>
      </c>
    </row>
    <row r="181" spans="1:36">
      <c r="A181">
        <v>15</v>
      </c>
      <c r="B181">
        <v>6</v>
      </c>
      <c r="C181" s="3" t="s">
        <v>12</v>
      </c>
      <c r="D181" s="5" t="s">
        <v>14</v>
      </c>
      <c r="E181" s="3" t="s">
        <v>12</v>
      </c>
      <c r="F181" s="4" t="s">
        <v>13</v>
      </c>
      <c r="G181" s="3" t="s">
        <v>12</v>
      </c>
      <c r="H181" s="3" t="s">
        <v>12</v>
      </c>
      <c r="P181" s="1329">
        <v>14</v>
      </c>
      <c r="Q181" s="1837" t="str">
        <v>Final</v>
      </c>
      <c r="R181" s="1837" t="str">
        <v>Route Info</v>
      </c>
      <c r="S181" s="1837" t="str">
        <v>Route Info</v>
      </c>
      <c r="T181" s="1837" t="str">
        <v>Route Info</v>
      </c>
      <c r="U181" s="1837" t="str">
        <v>Road Block</v>
      </c>
      <c r="V181" s="1837" t="str">
        <v>Route Info</v>
      </c>
      <c r="W181" s="1837" t="str">
        <v/>
      </c>
      <c r="X181" s="1837" t="str">
        <v/>
      </c>
      <c r="Y181" s="1837" t="str">
        <v/>
      </c>
      <c r="Z181" s="1837" t="str">
        <v/>
      </c>
      <c r="AA181" s="1837" t="str">
        <v/>
      </c>
      <c r="AB181" s="1837" t="str">
        <v/>
      </c>
      <c r="AC181" s="1837" t="str">
        <v/>
      </c>
      <c r="AD181" s="1837" t="str">
        <v/>
      </c>
      <c r="AE181" s="1837" t="str">
        <v>USA</v>
      </c>
      <c r="AF181" s="1837" t="str">
        <v>North America</v>
      </c>
      <c r="AG181" s="1837" t="str">
        <v>Final Leg</v>
      </c>
      <c r="AH181" s="1837" t="str">
        <v/>
      </c>
      <c r="AI181" s="1837" t="str">
        <v/>
      </c>
      <c r="AJ181" s="1110" t="str">
        <v>Tammy &amp; Victor</v>
      </c>
    </row>
    <row r="182" spans="1:36">
      <c r="A182">
        <v>15</v>
      </c>
      <c r="B182">
        <v>7</v>
      </c>
      <c r="C182" s="3" t="s">
        <v>12</v>
      </c>
      <c r="D182" s="3" t="s">
        <v>12</v>
      </c>
      <c r="E182" s="5" t="s">
        <v>14</v>
      </c>
      <c r="F182" s="3" t="s">
        <v>12</v>
      </c>
      <c r="G182" s="4" t="s">
        <v>13</v>
      </c>
      <c r="H182" s="3" t="s">
        <v>12</v>
      </c>
      <c r="P182" s="1329">
        <v>15</v>
      </c>
      <c r="Q182" s="1837">
        <v>1</v>
      </c>
      <c r="R182" s="1837" t="str">
        <v>Route Info</v>
      </c>
      <c r="S182" s="1837" t="str">
        <v>Road Block</v>
      </c>
      <c r="T182" s="1837" t="str">
        <v>Route Info</v>
      </c>
      <c r="U182" s="1837" t="str">
        <v/>
      </c>
      <c r="V182" s="1837" t="str">
        <v/>
      </c>
      <c r="W182" s="1837" t="str">
        <v/>
      </c>
      <c r="X182" s="1837" t="str">
        <v/>
      </c>
      <c r="Y182" s="1837" t="str">
        <v/>
      </c>
      <c r="Z182" s="1837" t="str">
        <v/>
      </c>
      <c r="AA182" s="1837" t="str">
        <v/>
      </c>
      <c r="AB182" s="1837" t="str">
        <v/>
      </c>
      <c r="AC182" s="1837" t="str">
        <v/>
      </c>
      <c r="AD182" s="1837" t="str">
        <v/>
      </c>
      <c r="AE182" s="1837" t="str">
        <v>Japan</v>
      </c>
      <c r="AF182" s="1837" t="str">
        <v>East Asia</v>
      </c>
      <c r="AG182" s="1837" t="str">
        <v>Yes</v>
      </c>
      <c r="AH182" s="1837" t="str">
        <v/>
      </c>
      <c r="AI182" s="1837" t="str">
        <v/>
      </c>
      <c r="AJ182" s="1110" t="str">
        <v>Meghan &amp; Cheyne</v>
      </c>
    </row>
    <row r="183" spans="1:36">
      <c r="A183">
        <v>15</v>
      </c>
      <c r="B183">
        <v>8</v>
      </c>
      <c r="C183" s="3" t="s">
        <v>12</v>
      </c>
      <c r="D183" s="3" t="s">
        <v>12</v>
      </c>
      <c r="E183" s="3" t="s">
        <v>12</v>
      </c>
      <c r="F183" s="4" t="s">
        <v>13</v>
      </c>
      <c r="G183" s="5" t="s">
        <v>14</v>
      </c>
      <c r="H183" s="3" t="s">
        <v>12</v>
      </c>
      <c r="P183" s="1329">
        <v>15</v>
      </c>
      <c r="Q183" s="1837">
        <v>2</v>
      </c>
      <c r="R183" s="1837" t="str">
        <v>Route Info</v>
      </c>
      <c r="S183" s="1837" t="str">
        <v>Speed Bump</v>
      </c>
      <c r="T183" s="1837" t="str">
        <v>Route Info</v>
      </c>
      <c r="U183" s="1837" t="str">
        <v>Route Info</v>
      </c>
      <c r="V183" s="1837" t="str">
        <v>Road Block</v>
      </c>
      <c r="W183" s="1837" t="str">
        <v>Route Info</v>
      </c>
      <c r="X183" s="1837" t="str">
        <v/>
      </c>
      <c r="Y183" s="1837" t="str">
        <v/>
      </c>
      <c r="Z183" s="1837" t="str">
        <v/>
      </c>
      <c r="AA183" s="1837" t="str">
        <v/>
      </c>
      <c r="AB183" s="1837" t="str">
        <v/>
      </c>
      <c r="AC183" s="1837" t="str">
        <v/>
      </c>
      <c r="AD183" s="1837" t="str">
        <v/>
      </c>
      <c r="AE183" s="1837" t="str">
        <v>Vietnam</v>
      </c>
      <c r="AF183" s="1837" t="str">
        <v>South East Asia</v>
      </c>
      <c r="AG183" s="1837" t="str">
        <v>Yes</v>
      </c>
      <c r="AH183" s="1837" t="str">
        <v/>
      </c>
      <c r="AI183" s="1837" t="str">
        <v/>
      </c>
      <c r="AJ183" s="1110" t="str">
        <v>Gary &amp; Matt</v>
      </c>
    </row>
    <row r="184" spans="1:36" ht="16.5" thickBot="1">
      <c r="A184">
        <v>15</v>
      </c>
      <c r="B184">
        <v>9</v>
      </c>
      <c r="C184" s="3" t="s">
        <v>12</v>
      </c>
      <c r="D184" s="29" t="s">
        <v>49</v>
      </c>
      <c r="E184" s="5" t="s">
        <v>14</v>
      </c>
      <c r="F184" s="3" t="s">
        <v>12</v>
      </c>
      <c r="G184" s="4" t="s">
        <v>13</v>
      </c>
      <c r="H184" s="3" t="s">
        <v>12</v>
      </c>
      <c r="P184" s="1329">
        <v>15</v>
      </c>
      <c r="Q184" s="1837">
        <v>3</v>
      </c>
      <c r="R184" s="1837" t="str">
        <v>Route Info</v>
      </c>
      <c r="S184" s="1837" t="str">
        <v>Route Info</v>
      </c>
      <c r="T184" s="1837" t="str">
        <v>Detour</v>
      </c>
      <c r="U184" s="1837" t="str">
        <v>Route Info</v>
      </c>
      <c r="V184" s="1837" t="str">
        <v>Road Block</v>
      </c>
      <c r="W184" s="1837" t="str">
        <v>Route Info</v>
      </c>
      <c r="X184" s="1837" t="str">
        <v/>
      </c>
      <c r="Y184" s="1837" t="str">
        <v/>
      </c>
      <c r="Z184" s="1837" t="str">
        <v/>
      </c>
      <c r="AA184" s="1837" t="str">
        <v/>
      </c>
      <c r="AB184" s="1837" t="str">
        <v/>
      </c>
      <c r="AC184" s="1837" t="str">
        <v/>
      </c>
      <c r="AD184" s="1837" t="str">
        <v/>
      </c>
      <c r="AE184" s="1837" t="str">
        <v>Vietnam</v>
      </c>
      <c r="AF184" s="1837" t="str">
        <v>South East Asia</v>
      </c>
      <c r="AG184" s="1837" t="str">
        <v>Yes</v>
      </c>
      <c r="AH184" s="1837" t="str">
        <v>U-Turn</v>
      </c>
      <c r="AI184" s="1837">
        <v>4</v>
      </c>
      <c r="AJ184" s="1110" t="str">
        <v>Flight Time &amp; Big Easy</v>
      </c>
    </row>
    <row r="185" spans="1:36" ht="16.5" thickBot="1">
      <c r="A185">
        <v>15</v>
      </c>
      <c r="B185">
        <v>10</v>
      </c>
      <c r="C185" s="3" t="s">
        <v>12</v>
      </c>
      <c r="D185" s="3" t="s">
        <v>12</v>
      </c>
      <c r="E185" s="4" t="s">
        <v>13</v>
      </c>
      <c r="F185" s="614" t="s">
        <v>12</v>
      </c>
      <c r="G185" s="5" t="s">
        <v>14</v>
      </c>
      <c r="H185" s="3" t="s">
        <v>12</v>
      </c>
      <c r="P185" s="1329">
        <v>15</v>
      </c>
      <c r="Q185" s="1837">
        <v>4</v>
      </c>
      <c r="R185" s="1837" t="str">
        <v>Route Info</v>
      </c>
      <c r="S185" s="1837" t="str">
        <v>Route Info</v>
      </c>
      <c r="T185" s="1837" t="str">
        <v>Detour</v>
      </c>
      <c r="U185" s="1837" t="str">
        <v>Route Info</v>
      </c>
      <c r="V185" s="1837" t="str">
        <v>Road Block</v>
      </c>
      <c r="W185" s="1837" t="str">
        <v>Route Info</v>
      </c>
      <c r="X185" s="1837" t="str">
        <v/>
      </c>
      <c r="Y185" s="1837" t="str">
        <v/>
      </c>
      <c r="Z185" s="1837" t="str">
        <v/>
      </c>
      <c r="AA185" s="1837" t="str">
        <v/>
      </c>
      <c r="AB185" s="1837" t="str">
        <v/>
      </c>
      <c r="AC185" s="1837" t="str">
        <v/>
      </c>
      <c r="AD185" s="1837" t="str">
        <v/>
      </c>
      <c r="AE185" s="1837" t="str">
        <v>Cambodia</v>
      </c>
      <c r="AF185" s="1837" t="str">
        <v>South East Asia</v>
      </c>
      <c r="AG185" s="1837" t="str">
        <v>Yes</v>
      </c>
      <c r="AH185" s="1837" t="str">
        <v/>
      </c>
      <c r="AI185" s="1837" t="str">
        <v/>
      </c>
      <c r="AJ185" s="1110" t="str">
        <v>Sam &amp; Dan</v>
      </c>
    </row>
    <row r="186" spans="1:36">
      <c r="A186">
        <v>15</v>
      </c>
      <c r="B186">
        <v>11</v>
      </c>
      <c r="C186" s="3" t="s">
        <v>12</v>
      </c>
      <c r="D186" s="5" t="s">
        <v>14</v>
      </c>
      <c r="E186" s="3" t="s">
        <v>12</v>
      </c>
      <c r="F186" s="5" t="s">
        <v>14</v>
      </c>
      <c r="G186" s="3" t="s">
        <v>12</v>
      </c>
      <c r="H186" s="3" t="s">
        <v>12</v>
      </c>
      <c r="I186" s="3" t="s">
        <v>12</v>
      </c>
      <c r="J186" s="4" t="s">
        <v>13</v>
      </c>
      <c r="K186" s="3" t="s">
        <v>12</v>
      </c>
      <c r="P186" s="1329">
        <v>15</v>
      </c>
      <c r="Q186" s="1837">
        <v>5</v>
      </c>
      <c r="R186" s="1837" t="str">
        <v>Route Info</v>
      </c>
      <c r="S186" s="1837" t="str">
        <v>Fast Forward</v>
      </c>
      <c r="T186" s="1837" t="str">
        <v>Route Info</v>
      </c>
      <c r="U186" s="1837" t="str">
        <v>Road Block</v>
      </c>
      <c r="V186" s="1837" t="str">
        <v>Route Info</v>
      </c>
      <c r="W186" s="1837" t="str">
        <v>Detour</v>
      </c>
      <c r="X186" s="1837" t="str">
        <v>Route Info</v>
      </c>
      <c r="Y186" s="1837" t="str">
        <v/>
      </c>
      <c r="Z186" s="1837" t="str">
        <v/>
      </c>
      <c r="AA186" s="1837" t="str">
        <v/>
      </c>
      <c r="AB186" s="1837" t="str">
        <v/>
      </c>
      <c r="AC186" s="1837" t="str">
        <v/>
      </c>
      <c r="AD186" s="1837" t="str">
        <v/>
      </c>
      <c r="AE186" s="1837" t="str">
        <v>UAE</v>
      </c>
      <c r="AF186" s="1837" t="str">
        <v>Middle East</v>
      </c>
      <c r="AG186" s="1837" t="str">
        <v>Yes</v>
      </c>
      <c r="AH186" s="1837" t="str">
        <v/>
      </c>
      <c r="AI186" s="1837" t="str">
        <v/>
      </c>
      <c r="AJ186" s="1110" t="str">
        <v>Meghan &amp; Cheyne</v>
      </c>
    </row>
    <row r="187" spans="1:36">
      <c r="A187">
        <v>15</v>
      </c>
      <c r="B187" t="s">
        <v>2810</v>
      </c>
      <c r="C187" s="3" t="s">
        <v>12</v>
      </c>
      <c r="D187" s="3" t="s">
        <v>12</v>
      </c>
      <c r="E187" s="5" t="s">
        <v>14</v>
      </c>
      <c r="F187" s="3" t="s">
        <v>12</v>
      </c>
      <c r="G187" s="3" t="s">
        <v>12</v>
      </c>
      <c r="H187" s="3" t="s">
        <v>12</v>
      </c>
      <c r="I187" s="3" t="s">
        <v>12</v>
      </c>
      <c r="J187" s="3" t="s">
        <v>12</v>
      </c>
      <c r="K187" s="3" t="s">
        <v>12</v>
      </c>
      <c r="P187" s="1329">
        <v>15</v>
      </c>
      <c r="Q187" s="1837">
        <v>6</v>
      </c>
      <c r="R187" s="1837" t="str">
        <v>Route Info</v>
      </c>
      <c r="S187" s="1837" t="str">
        <v>Road Block</v>
      </c>
      <c r="T187" s="1837" t="str">
        <v>Route Info</v>
      </c>
      <c r="U187" s="1837" t="str">
        <v>Detour</v>
      </c>
      <c r="V187" s="1837" t="str">
        <v>Route Info</v>
      </c>
      <c r="W187" s="1837" t="str">
        <v>Route Info</v>
      </c>
      <c r="X187" s="1837" t="str">
        <v/>
      </c>
      <c r="Y187" s="1837" t="str">
        <v/>
      </c>
      <c r="Z187" s="1837" t="str">
        <v/>
      </c>
      <c r="AA187" s="1837" t="str">
        <v/>
      </c>
      <c r="AB187" s="1837" t="str">
        <v/>
      </c>
      <c r="AC187" s="1837" t="str">
        <v/>
      </c>
      <c r="AD187" s="1837" t="str">
        <v/>
      </c>
      <c r="AE187" s="1837" t="str">
        <v>UAE</v>
      </c>
      <c r="AF187" s="1837" t="str">
        <v>Middle East</v>
      </c>
      <c r="AG187" s="1837" t="str">
        <v>Yes</v>
      </c>
      <c r="AH187" s="1837" t="str">
        <v/>
      </c>
      <c r="AI187" s="1837" t="str">
        <v/>
      </c>
      <c r="AJ187" s="1110" t="str">
        <v>Meghan &amp; Cheyne</v>
      </c>
    </row>
    <row r="188" spans="1:36">
      <c r="A188">
        <v>16</v>
      </c>
      <c r="B188">
        <v>1</v>
      </c>
      <c r="C188" s="3" t="s">
        <v>12</v>
      </c>
      <c r="D188" s="5" t="s">
        <v>14</v>
      </c>
      <c r="E188" s="3" t="s">
        <v>12</v>
      </c>
      <c r="F188" s="3" t="s">
        <v>12</v>
      </c>
      <c r="G188" s="3" t="s">
        <v>12</v>
      </c>
      <c r="P188" s="1329">
        <v>15</v>
      </c>
      <c r="Q188" s="1837">
        <v>7</v>
      </c>
      <c r="R188" s="1837" t="str">
        <v>Route Info</v>
      </c>
      <c r="S188" s="1837" t="str">
        <v>Route Info</v>
      </c>
      <c r="T188" s="1837" t="str">
        <v>Road Block</v>
      </c>
      <c r="U188" s="1837" t="str">
        <v>Route Info</v>
      </c>
      <c r="V188" s="1837" t="str">
        <v>Detour</v>
      </c>
      <c r="W188" s="1837" t="str">
        <v>Route Info</v>
      </c>
      <c r="X188" s="1837" t="str">
        <v/>
      </c>
      <c r="Y188" s="1837" t="str">
        <v/>
      </c>
      <c r="Z188" s="1837" t="str">
        <v/>
      </c>
      <c r="AA188" s="1837" t="str">
        <v/>
      </c>
      <c r="AB188" s="1837" t="str">
        <v/>
      </c>
      <c r="AC188" s="1837" t="str">
        <v/>
      </c>
      <c r="AD188" s="1837" t="str">
        <v/>
      </c>
      <c r="AE188" s="1837" t="str">
        <v>Netherlands</v>
      </c>
      <c r="AF188" s="1837" t="str">
        <v>Central Europe</v>
      </c>
      <c r="AG188" s="1837" t="str">
        <v>Yes</v>
      </c>
      <c r="AH188" s="1837" t="str">
        <v/>
      </c>
      <c r="AI188" s="1837" t="str">
        <v/>
      </c>
      <c r="AJ188" s="1110" t="str">
        <v>Sam &amp; Dan</v>
      </c>
    </row>
    <row r="189" spans="1:36">
      <c r="A189">
        <v>16</v>
      </c>
      <c r="B189">
        <v>2</v>
      </c>
      <c r="C189" s="3" t="s">
        <v>12</v>
      </c>
      <c r="D189" s="4" t="s">
        <v>13</v>
      </c>
      <c r="E189" s="3" t="s">
        <v>12</v>
      </c>
      <c r="F189" s="5" t="s">
        <v>14</v>
      </c>
      <c r="G189" s="3" t="s">
        <v>12</v>
      </c>
      <c r="P189" s="1329">
        <v>15</v>
      </c>
      <c r="Q189" s="1837">
        <v>8</v>
      </c>
      <c r="R189" s="1837" t="str">
        <v>Route Info</v>
      </c>
      <c r="S189" s="1837" t="str">
        <v>Route Info</v>
      </c>
      <c r="T189" s="1837" t="str">
        <v>Route Info</v>
      </c>
      <c r="U189" s="1837" t="str">
        <v>Detour</v>
      </c>
      <c r="V189" s="1837" t="str">
        <v>Road Block</v>
      </c>
      <c r="W189" s="1837" t="str">
        <v>Route Info</v>
      </c>
      <c r="X189" s="1837" t="str">
        <v/>
      </c>
      <c r="Y189" s="1837" t="str">
        <v/>
      </c>
      <c r="Z189" s="1837" t="str">
        <v/>
      </c>
      <c r="AA189" s="1837" t="str">
        <v/>
      </c>
      <c r="AB189" s="1837" t="str">
        <v/>
      </c>
      <c r="AC189" s="1837" t="str">
        <v/>
      </c>
      <c r="AD189" s="1837" t="str">
        <v/>
      </c>
      <c r="AE189" s="1837" t="str">
        <v>Sweden</v>
      </c>
      <c r="AF189" s="1837" t="str">
        <v>Northern Europe</v>
      </c>
      <c r="AG189" s="1837" t="str">
        <v>No</v>
      </c>
      <c r="AH189" s="1837" t="str">
        <v/>
      </c>
      <c r="AI189" s="1837" t="str">
        <v/>
      </c>
      <c r="AJ189" s="1110" t="str">
        <v>Flight Time &amp; Big Easy</v>
      </c>
    </row>
    <row r="190" spans="1:36" ht="16.5" thickBot="1">
      <c r="A190">
        <v>16</v>
      </c>
      <c r="B190">
        <v>3</v>
      </c>
      <c r="C190" s="3" t="s">
        <v>12</v>
      </c>
      <c r="D190" s="829" t="s">
        <v>12</v>
      </c>
      <c r="E190" s="5" t="s">
        <v>14</v>
      </c>
      <c r="F190" s="3" t="s">
        <v>12</v>
      </c>
      <c r="G190" s="4" t="s">
        <v>13</v>
      </c>
      <c r="H190" s="3" t="s">
        <v>12</v>
      </c>
      <c r="P190" s="1329">
        <v>15</v>
      </c>
      <c r="Q190" s="1837">
        <v>9</v>
      </c>
      <c r="R190" s="1837" t="str">
        <v>Route Info</v>
      </c>
      <c r="S190" s="1837" t="str">
        <v>Speed Bump</v>
      </c>
      <c r="T190" s="1837" t="str">
        <v>Road Block</v>
      </c>
      <c r="U190" s="1837" t="str">
        <v>Route Info</v>
      </c>
      <c r="V190" s="1837" t="str">
        <v>Detour</v>
      </c>
      <c r="W190" s="1837" t="str">
        <v>Route Info</v>
      </c>
      <c r="X190" s="1837" t="str">
        <v/>
      </c>
      <c r="Y190" s="1837" t="str">
        <v/>
      </c>
      <c r="Z190" s="1837" t="str">
        <v/>
      </c>
      <c r="AA190" s="1837" t="str">
        <v/>
      </c>
      <c r="AB190" s="1837" t="str">
        <v/>
      </c>
      <c r="AC190" s="1837" t="str">
        <v/>
      </c>
      <c r="AD190" s="1837" t="str">
        <v/>
      </c>
      <c r="AE190" s="1837" t="str">
        <v>Estonia</v>
      </c>
      <c r="AF190" s="1837" t="str">
        <v>Eastern Europe</v>
      </c>
      <c r="AG190" s="1837" t="str">
        <v>Yes</v>
      </c>
      <c r="AH190" s="1837" t="str">
        <v/>
      </c>
      <c r="AI190" s="1837" t="str">
        <v/>
      </c>
      <c r="AJ190" s="1110" t="str">
        <v>Meghan &amp; Cheyne</v>
      </c>
    </row>
    <row r="191" spans="1:36" ht="16.5" thickBot="1">
      <c r="A191">
        <v>16</v>
      </c>
      <c r="B191">
        <v>4</v>
      </c>
      <c r="C191" s="3" t="s">
        <v>12</v>
      </c>
      <c r="D191" s="828" t="s">
        <v>14</v>
      </c>
      <c r="E191" s="3" t="s">
        <v>12</v>
      </c>
      <c r="F191" s="4" t="s">
        <v>13</v>
      </c>
      <c r="G191" s="3" t="s">
        <v>12</v>
      </c>
      <c r="H191" s="3" t="s">
        <v>12</v>
      </c>
      <c r="P191" s="1329">
        <v>15</v>
      </c>
      <c r="Q191" s="1837">
        <v>10</v>
      </c>
      <c r="R191" s="1837" t="str">
        <v>Route Info</v>
      </c>
      <c r="S191" s="1837" t="str">
        <v>Route Info</v>
      </c>
      <c r="T191" s="1837" t="str">
        <v>Detour</v>
      </c>
      <c r="U191" s="1837" t="str">
        <v>Route Info</v>
      </c>
      <c r="V191" s="1837" t="str">
        <v>Road Block</v>
      </c>
      <c r="W191" s="1837" t="str">
        <v>Route Info</v>
      </c>
      <c r="X191" s="1837" t="str">
        <v/>
      </c>
      <c r="Y191" s="1837" t="str">
        <v/>
      </c>
      <c r="Z191" s="1837" t="str">
        <v/>
      </c>
      <c r="AA191" s="1837" t="str">
        <v/>
      </c>
      <c r="AB191" s="1837" t="str">
        <v/>
      </c>
      <c r="AC191" s="1837" t="str">
        <v/>
      </c>
      <c r="AD191" s="1837" t="str">
        <v/>
      </c>
      <c r="AE191" s="1837" t="str">
        <v>Czech Republic</v>
      </c>
      <c r="AF191" s="1837" t="str">
        <v>Central Europe</v>
      </c>
      <c r="AG191" s="1837" t="str">
        <v>No</v>
      </c>
      <c r="AH191" s="1837" t="str">
        <v>U-Turn</v>
      </c>
      <c r="AI191" s="1837">
        <v>4</v>
      </c>
      <c r="AJ191" s="1110" t="str">
        <v>Meghan &amp; Cheyne</v>
      </c>
    </row>
    <row r="192" spans="1:36" ht="16.5" thickBot="1">
      <c r="A192">
        <v>16</v>
      </c>
      <c r="B192">
        <v>5</v>
      </c>
      <c r="C192" s="3" t="s">
        <v>12</v>
      </c>
      <c r="D192" s="827" t="s">
        <v>12</v>
      </c>
      <c r="E192" s="29" t="s">
        <v>49</v>
      </c>
      <c r="F192" s="4" t="s">
        <v>13</v>
      </c>
      <c r="G192" s="3" t="s">
        <v>12</v>
      </c>
      <c r="H192" s="614" t="s">
        <v>12</v>
      </c>
      <c r="I192" s="3" t="s">
        <v>12</v>
      </c>
      <c r="P192" s="1329">
        <v>15</v>
      </c>
      <c r="Q192" s="1837">
        <v>11</v>
      </c>
      <c r="R192" s="1837" t="str">
        <v>Route Info</v>
      </c>
      <c r="S192" s="1837" t="str">
        <v>Road Block</v>
      </c>
      <c r="T192" s="1837" t="str">
        <v>Route Info</v>
      </c>
      <c r="U192" s="1837" t="str">
        <v>Road Block</v>
      </c>
      <c r="V192" s="1837" t="str">
        <v>Route Info</v>
      </c>
      <c r="W192" s="1837" t="str">
        <v>Route Info</v>
      </c>
      <c r="X192" s="1837" t="str">
        <v>Route Info</v>
      </c>
      <c r="Y192" s="1837" t="str">
        <v>Detour</v>
      </c>
      <c r="Z192" s="1837" t="str">
        <v>Route Info</v>
      </c>
      <c r="AA192" s="1837" t="str">
        <v/>
      </c>
      <c r="AB192" s="1837" t="str">
        <v/>
      </c>
      <c r="AC192" s="1837" t="str">
        <v/>
      </c>
      <c r="AD192" s="1837" t="str">
        <v/>
      </c>
      <c r="AE192" s="1837" t="str">
        <v>Czech Republic</v>
      </c>
      <c r="AF192" s="1837" t="str">
        <v>Central Europe</v>
      </c>
      <c r="AG192" s="1837" t="str">
        <v>Yes</v>
      </c>
      <c r="AH192" s="1837" t="str">
        <v/>
      </c>
      <c r="AI192" s="1837" t="str">
        <v/>
      </c>
      <c r="AJ192" s="1110" t="str">
        <v>Meghan &amp; Cheyne</v>
      </c>
    </row>
    <row r="193" spans="1:36">
      <c r="A193">
        <v>16</v>
      </c>
      <c r="B193">
        <v>6</v>
      </c>
      <c r="C193" s="3" t="s">
        <v>12</v>
      </c>
      <c r="D193" s="3" t="s">
        <v>12</v>
      </c>
      <c r="E193" s="5" t="s">
        <v>14</v>
      </c>
      <c r="F193" s="3" t="s">
        <v>12</v>
      </c>
      <c r="G193" s="4" t="s">
        <v>13</v>
      </c>
      <c r="H193" s="810" t="s">
        <v>12</v>
      </c>
      <c r="P193" s="1329">
        <v>15</v>
      </c>
      <c r="Q193" s="1837" t="str">
        <v>Final</v>
      </c>
      <c r="R193" s="1837" t="str">
        <v>Route Info</v>
      </c>
      <c r="S193" s="1837" t="str">
        <v>Route Info</v>
      </c>
      <c r="T193" s="1837" t="str">
        <v>Road Block</v>
      </c>
      <c r="U193" s="1837" t="str">
        <v>Route Info</v>
      </c>
      <c r="V193" s="1837" t="str">
        <v>Route Info</v>
      </c>
      <c r="W193" s="1837" t="str">
        <v>Route Info</v>
      </c>
      <c r="X193" s="1837" t="str">
        <v>Route Info</v>
      </c>
      <c r="Y193" s="1837" t="str">
        <v>Route Info</v>
      </c>
      <c r="Z193" s="1837" t="str">
        <v>Route Info</v>
      </c>
      <c r="AA193" s="1837" t="str">
        <v/>
      </c>
      <c r="AB193" s="1837" t="str">
        <v/>
      </c>
      <c r="AC193" s="1837" t="str">
        <v/>
      </c>
      <c r="AD193" s="1837" t="str">
        <v/>
      </c>
      <c r="AE193" s="1837" t="str">
        <v>USA</v>
      </c>
      <c r="AF193" s="1837" t="str">
        <v>North America</v>
      </c>
      <c r="AG193" s="1837" t="str">
        <v>Final Leg</v>
      </c>
      <c r="AH193" s="1837" t="str">
        <v/>
      </c>
      <c r="AI193" s="1837" t="str">
        <v/>
      </c>
      <c r="AJ193" s="1110" t="str">
        <v>Meghan &amp; Cheyne</v>
      </c>
    </row>
    <row r="194" spans="1:36">
      <c r="A194">
        <v>16</v>
      </c>
      <c r="B194">
        <v>7</v>
      </c>
      <c r="C194" s="3" t="s">
        <v>12</v>
      </c>
      <c r="D194" s="3" t="s">
        <v>12</v>
      </c>
      <c r="E194" s="4" t="s">
        <v>13</v>
      </c>
      <c r="F194" s="3" t="s">
        <v>12</v>
      </c>
      <c r="G194" s="5" t="s">
        <v>14</v>
      </c>
      <c r="H194" s="3" t="s">
        <v>12</v>
      </c>
      <c r="P194" s="1329">
        <v>16</v>
      </c>
      <c r="Q194" s="1837">
        <v>1</v>
      </c>
      <c r="R194" s="1837" t="str">
        <v>Route Info</v>
      </c>
      <c r="S194" s="1837" t="str">
        <v>Road Block</v>
      </c>
      <c r="T194" s="1837" t="str">
        <v>Route Info</v>
      </c>
      <c r="U194" s="1837" t="str">
        <v>Route Info</v>
      </c>
      <c r="V194" s="1837" t="str">
        <v>Route Info</v>
      </c>
      <c r="W194" s="1837" t="str">
        <v/>
      </c>
      <c r="X194" s="1837" t="str">
        <v/>
      </c>
      <c r="Y194" s="1837" t="str">
        <v/>
      </c>
      <c r="Z194" s="1837" t="str">
        <v/>
      </c>
      <c r="AA194" s="1837" t="str">
        <v/>
      </c>
      <c r="AB194" s="1837" t="str">
        <v/>
      </c>
      <c r="AC194" s="1837" t="str">
        <v/>
      </c>
      <c r="AD194" s="1837" t="str">
        <v/>
      </c>
      <c r="AE194" s="1837" t="str">
        <v>Chile</v>
      </c>
      <c r="AF194" s="1837" t="str">
        <v>South America</v>
      </c>
      <c r="AG194" s="1837" t="str">
        <v>Yes</v>
      </c>
      <c r="AH194" s="1837" t="str">
        <v/>
      </c>
      <c r="AI194" s="1837" t="str">
        <v/>
      </c>
      <c r="AJ194" s="1110" t="str">
        <v>Jordan &amp; Jeff</v>
      </c>
    </row>
    <row r="195" spans="1:36" ht="16.5" thickBot="1">
      <c r="A195">
        <v>16</v>
      </c>
      <c r="B195">
        <v>8</v>
      </c>
      <c r="C195" s="3" t="s">
        <v>12</v>
      </c>
      <c r="D195" s="4" t="s">
        <v>13</v>
      </c>
      <c r="E195" s="3" t="s">
        <v>12</v>
      </c>
      <c r="F195" s="29" t="s">
        <v>49</v>
      </c>
      <c r="G195" s="5" t="s">
        <v>14</v>
      </c>
      <c r="H195" s="3" t="s">
        <v>12</v>
      </c>
      <c r="P195" s="1329">
        <v>16</v>
      </c>
      <c r="Q195" s="1837">
        <v>2</v>
      </c>
      <c r="R195" s="1837" t="str">
        <v>Route Info</v>
      </c>
      <c r="S195" s="1837" t="str">
        <v>Detour</v>
      </c>
      <c r="T195" s="1837" t="str">
        <v>Route Info</v>
      </c>
      <c r="U195" s="1837" t="str">
        <v>Road Block</v>
      </c>
      <c r="V195" s="1837" t="str">
        <v>Route Info</v>
      </c>
      <c r="W195" s="1837" t="str">
        <v/>
      </c>
      <c r="X195" s="1837" t="str">
        <v/>
      </c>
      <c r="Y195" s="1837" t="str">
        <v/>
      </c>
      <c r="Z195" s="1837" t="str">
        <v/>
      </c>
      <c r="AA195" s="1837" t="str">
        <v/>
      </c>
      <c r="AB195" s="1837" t="str">
        <v/>
      </c>
      <c r="AC195" s="1837" t="str">
        <v/>
      </c>
      <c r="AD195" s="1837" t="str">
        <v/>
      </c>
      <c r="AE195" s="1837" t="str">
        <v>Chile</v>
      </c>
      <c r="AF195" s="1837" t="str">
        <v>South America</v>
      </c>
      <c r="AG195" s="1837" t="str">
        <v>Yes</v>
      </c>
      <c r="AH195" s="1837" t="str">
        <v/>
      </c>
      <c r="AI195" s="1837" t="str">
        <v/>
      </c>
      <c r="AJ195" s="1110" t="str">
        <v>Jet &amp; Cord</v>
      </c>
    </row>
    <row r="196" spans="1:36" ht="16.5" thickBot="1">
      <c r="A196">
        <v>16</v>
      </c>
      <c r="B196">
        <v>9</v>
      </c>
      <c r="C196" s="3" t="s">
        <v>12</v>
      </c>
      <c r="D196" s="19" t="s">
        <v>71</v>
      </c>
      <c r="E196" s="4" t="s">
        <v>13</v>
      </c>
      <c r="F196" s="3" t="s">
        <v>12</v>
      </c>
      <c r="G196" s="614" t="s">
        <v>12</v>
      </c>
      <c r="H196" s="5" t="s">
        <v>14</v>
      </c>
      <c r="I196" s="3" t="s">
        <v>12</v>
      </c>
      <c r="J196" s="3" t="s">
        <v>12</v>
      </c>
      <c r="K196" s="3" t="s">
        <v>12</v>
      </c>
      <c r="P196" s="1329">
        <v>16</v>
      </c>
      <c r="Q196" s="1837">
        <v>3</v>
      </c>
      <c r="R196" s="1837" t="str">
        <v>Route Info</v>
      </c>
      <c r="S196" s="1837" t="str">
        <v>Route Info</v>
      </c>
      <c r="T196" s="1837" t="str">
        <v>Road Block</v>
      </c>
      <c r="U196" s="1837" t="str">
        <v>Route Info</v>
      </c>
      <c r="V196" s="1837" t="str">
        <v>Detour</v>
      </c>
      <c r="W196" s="1837" t="str">
        <v>Route Info</v>
      </c>
      <c r="X196" s="1837" t="str">
        <v/>
      </c>
      <c r="Y196" s="1837" t="str">
        <v/>
      </c>
      <c r="Z196" s="1837" t="str">
        <v/>
      </c>
      <c r="AA196" s="1837" t="str">
        <v/>
      </c>
      <c r="AB196" s="1837" t="str">
        <v/>
      </c>
      <c r="AC196" s="1837" t="str">
        <v/>
      </c>
      <c r="AD196" s="1837" t="str">
        <v/>
      </c>
      <c r="AE196" s="1837" t="str">
        <v>Argentina</v>
      </c>
      <c r="AF196" s="1837" t="str">
        <v>South America</v>
      </c>
      <c r="AG196" s="1837" t="str">
        <v>Yes</v>
      </c>
      <c r="AH196" s="1837" t="str">
        <v/>
      </c>
      <c r="AI196" s="1837" t="str">
        <v/>
      </c>
      <c r="AJ196" s="1110" t="str">
        <v>Jet &amp; Cord</v>
      </c>
    </row>
    <row r="197" spans="1:36">
      <c r="A197">
        <v>16</v>
      </c>
      <c r="B197">
        <v>10</v>
      </c>
      <c r="C197" s="3" t="s">
        <v>12</v>
      </c>
      <c r="D197" s="5" t="s">
        <v>14</v>
      </c>
      <c r="E197" s="3" t="s">
        <v>12</v>
      </c>
      <c r="F197" s="3" t="s">
        <v>12</v>
      </c>
      <c r="G197" s="3" t="s">
        <v>12</v>
      </c>
      <c r="H197" s="5" t="s">
        <v>14</v>
      </c>
      <c r="I197" s="3" t="s">
        <v>12</v>
      </c>
      <c r="P197" s="1329">
        <v>16</v>
      </c>
      <c r="Q197" s="1837">
        <v>4</v>
      </c>
      <c r="R197" s="1837" t="str">
        <v>Route Info</v>
      </c>
      <c r="S197" s="1837" t="str">
        <v>Road Block</v>
      </c>
      <c r="T197" s="1837" t="str">
        <v>Route Info</v>
      </c>
      <c r="U197" s="1837" t="str">
        <v>Detour</v>
      </c>
      <c r="V197" s="1837" t="str">
        <v>Route Info</v>
      </c>
      <c r="W197" s="1837" t="str">
        <v>Route Info</v>
      </c>
      <c r="X197" s="1837" t="str">
        <v/>
      </c>
      <c r="Y197" s="1837" t="str">
        <v/>
      </c>
      <c r="Z197" s="1837" t="str">
        <v/>
      </c>
      <c r="AA197" s="1837" t="str">
        <v/>
      </c>
      <c r="AB197" s="1837" t="str">
        <v/>
      </c>
      <c r="AC197" s="1837" t="str">
        <v/>
      </c>
      <c r="AD197" s="1837" t="str">
        <v/>
      </c>
      <c r="AE197" s="1837" t="str">
        <v>Germany</v>
      </c>
      <c r="AF197" s="1837" t="str">
        <v>Central Europe</v>
      </c>
      <c r="AG197" s="1837" t="str">
        <v>No</v>
      </c>
      <c r="AH197" s="1837" t="str">
        <v>Intersection</v>
      </c>
      <c r="AI197" s="1837">
        <v>2</v>
      </c>
      <c r="AJ197" s="1110" t="str">
        <v>Louie &amp; Michael</v>
      </c>
    </row>
    <row r="198" spans="1:36">
      <c r="A198">
        <v>16</v>
      </c>
      <c r="B198">
        <v>11</v>
      </c>
      <c r="C198" s="3" t="s">
        <v>12</v>
      </c>
      <c r="D198" s="3" t="s">
        <v>12</v>
      </c>
      <c r="E198" s="29" t="s">
        <v>49</v>
      </c>
      <c r="F198" s="5" t="s">
        <v>14</v>
      </c>
      <c r="G198" s="3" t="s">
        <v>12</v>
      </c>
      <c r="H198" s="4" t="s">
        <v>13</v>
      </c>
      <c r="I198" s="3" t="s">
        <v>12</v>
      </c>
      <c r="P198" s="1329">
        <v>16</v>
      </c>
      <c r="Q198" s="1837">
        <v>5</v>
      </c>
      <c r="R198" s="1837" t="str">
        <v>Route Info</v>
      </c>
      <c r="S198" s="1837" t="str">
        <v>Route Info</v>
      </c>
      <c r="T198" s="1837" t="str">
        <v>Speed Bump</v>
      </c>
      <c r="U198" s="1837" t="str">
        <v>Detour</v>
      </c>
      <c r="V198" s="1837" t="str">
        <v>Route Info</v>
      </c>
      <c r="W198" s="1837" t="str">
        <v>Route Info</v>
      </c>
      <c r="X198" s="1837" t="str">
        <v>Route Info</v>
      </c>
      <c r="Y198" s="1837" t="str">
        <v/>
      </c>
      <c r="Z198" s="1837" t="str">
        <v/>
      </c>
      <c r="AA198" s="1837" t="str">
        <v/>
      </c>
      <c r="AB198" s="1837" t="str">
        <v/>
      </c>
      <c r="AC198" s="1837" t="str">
        <v/>
      </c>
      <c r="AD198" s="1837" t="str">
        <v/>
      </c>
      <c r="AE198" s="1837" t="str">
        <v>France</v>
      </c>
      <c r="AF198" s="1837" t="str">
        <v>Western Europe</v>
      </c>
      <c r="AG198" s="1837" t="str">
        <v>Yes</v>
      </c>
      <c r="AH198" s="1837" t="str">
        <v>U-Turn</v>
      </c>
      <c r="AI198" s="1837">
        <v>6</v>
      </c>
      <c r="AJ198" s="1110" t="str">
        <v>Louie &amp; Michael</v>
      </c>
    </row>
    <row r="199" spans="1:36" ht="16.5" thickBot="1">
      <c r="A199">
        <v>16</v>
      </c>
      <c r="B199" t="s">
        <v>2810</v>
      </c>
      <c r="C199" s="3" t="s">
        <v>12</v>
      </c>
      <c r="D199" s="3" t="s">
        <v>12</v>
      </c>
      <c r="E199" s="5" t="s">
        <v>14</v>
      </c>
      <c r="F199" s="3" t="s">
        <v>12</v>
      </c>
      <c r="G199" s="3" t="s">
        <v>12</v>
      </c>
      <c r="H199" s="3" t="s">
        <v>12</v>
      </c>
      <c r="I199" s="3" t="s">
        <v>12</v>
      </c>
      <c r="J199" s="3" t="s">
        <v>12</v>
      </c>
      <c r="K199" s="3" t="s">
        <v>12</v>
      </c>
      <c r="P199" s="1329">
        <v>16</v>
      </c>
      <c r="Q199" s="1837">
        <v>6</v>
      </c>
      <c r="R199" s="1837" t="str">
        <v>Route Info</v>
      </c>
      <c r="S199" s="1837" t="str">
        <v>Route Info</v>
      </c>
      <c r="T199" s="1837" t="str">
        <v>Road Block</v>
      </c>
      <c r="U199" s="1837" t="str">
        <v>Route Info</v>
      </c>
      <c r="V199" s="1837" t="str">
        <v>Detour</v>
      </c>
      <c r="W199" s="1837" t="str">
        <v>Route Info</v>
      </c>
      <c r="X199" s="1837" t="str">
        <v/>
      </c>
      <c r="Y199" s="1837" t="str">
        <v/>
      </c>
      <c r="Z199" s="1837" t="str">
        <v/>
      </c>
      <c r="AA199" s="1837" t="str">
        <v/>
      </c>
      <c r="AB199" s="1837" t="str">
        <v/>
      </c>
      <c r="AC199" s="1837" t="str">
        <v/>
      </c>
      <c r="AD199" s="1837" t="str">
        <v/>
      </c>
      <c r="AE199" s="1837" t="str">
        <v>France</v>
      </c>
      <c r="AF199" s="1837" t="str">
        <v>Western Europe</v>
      </c>
      <c r="AG199" s="1837" t="str">
        <v>Yes</v>
      </c>
      <c r="AH199" s="1837" t="str">
        <v/>
      </c>
      <c r="AI199" s="1837" t="str">
        <v/>
      </c>
      <c r="AJ199" s="1110" t="str">
        <v>Louie &amp; Michael</v>
      </c>
    </row>
    <row r="200" spans="1:36" ht="16.5" thickBot="1">
      <c r="A200">
        <v>17</v>
      </c>
      <c r="B200">
        <v>1</v>
      </c>
      <c r="C200" s="3" t="s">
        <v>12</v>
      </c>
      <c r="D200" s="3" t="s">
        <v>12</v>
      </c>
      <c r="E200" s="3" t="s">
        <v>12</v>
      </c>
      <c r="F200" s="5" t="s">
        <v>14</v>
      </c>
      <c r="G200" s="613" t="s">
        <v>12</v>
      </c>
      <c r="P200" s="1329">
        <v>16</v>
      </c>
      <c r="Q200" s="1837">
        <v>7</v>
      </c>
      <c r="R200" s="1837" t="str">
        <v>Route Info</v>
      </c>
      <c r="S200" s="1837" t="str">
        <v>Route Info</v>
      </c>
      <c r="T200" s="1837" t="str">
        <v>Detour</v>
      </c>
      <c r="U200" s="1837" t="str">
        <v>Route Info</v>
      </c>
      <c r="V200" s="1837" t="str">
        <v>Road Block</v>
      </c>
      <c r="W200" s="1837" t="str">
        <v>Route Info</v>
      </c>
      <c r="X200" s="1837" t="str">
        <v/>
      </c>
      <c r="Y200" s="1837" t="str">
        <v/>
      </c>
      <c r="Z200" s="1837" t="str">
        <v/>
      </c>
      <c r="AA200" s="1837" t="str">
        <v/>
      </c>
      <c r="AB200" s="1837" t="str">
        <v/>
      </c>
      <c r="AC200" s="1837" t="str">
        <v/>
      </c>
      <c r="AD200" s="1837" t="str">
        <v/>
      </c>
      <c r="AE200" s="1837" t="str">
        <v>Seychelles</v>
      </c>
      <c r="AF200" s="1837" t="str">
        <v>East Africa</v>
      </c>
      <c r="AG200" s="1837" t="str">
        <v>No</v>
      </c>
      <c r="AH200" s="1837" t="str">
        <v/>
      </c>
      <c r="AI200" s="1837" t="str">
        <v/>
      </c>
      <c r="AJ200" s="1110" t="str">
        <v>Steve &amp; Allie</v>
      </c>
    </row>
    <row r="201" spans="1:36">
      <c r="A201">
        <v>17</v>
      </c>
      <c r="B201">
        <v>2</v>
      </c>
      <c r="C201" s="3" t="s">
        <v>12</v>
      </c>
      <c r="D201" s="3" t="s">
        <v>12</v>
      </c>
      <c r="E201" s="5" t="s">
        <v>14</v>
      </c>
      <c r="F201" s="3" t="s">
        <v>12</v>
      </c>
      <c r="G201" s="4" t="s">
        <v>13</v>
      </c>
      <c r="H201" s="3" t="s">
        <v>12</v>
      </c>
      <c r="P201" s="1329">
        <v>16</v>
      </c>
      <c r="Q201" s="1837">
        <v>8</v>
      </c>
      <c r="R201" s="1837" t="str">
        <v>Route Info</v>
      </c>
      <c r="S201" s="1837" t="str">
        <v>Detour</v>
      </c>
      <c r="T201" s="1837" t="str">
        <v>Route Info</v>
      </c>
      <c r="U201" s="1837" t="str">
        <v>Speed Bump</v>
      </c>
      <c r="V201" s="1837" t="str">
        <v>Road Block</v>
      </c>
      <c r="W201" s="1837" t="str">
        <v>Route Info</v>
      </c>
      <c r="X201" s="1837" t="str">
        <v/>
      </c>
      <c r="Y201" s="1837" t="str">
        <v/>
      </c>
      <c r="Z201" s="1837" t="str">
        <v/>
      </c>
      <c r="AA201" s="1837" t="str">
        <v/>
      </c>
      <c r="AB201" s="1837" t="str">
        <v/>
      </c>
      <c r="AC201" s="1837" t="str">
        <v/>
      </c>
      <c r="AD201" s="1837" t="str">
        <v/>
      </c>
      <c r="AE201" s="1837" t="str">
        <v>Malaysia</v>
      </c>
      <c r="AF201" s="1837" t="str">
        <v>South East Asia</v>
      </c>
      <c r="AG201" s="1837" t="str">
        <v>Yes</v>
      </c>
      <c r="AH201" s="1837" t="str">
        <v/>
      </c>
      <c r="AI201" s="1837" t="str">
        <v/>
      </c>
      <c r="AJ201" s="1110" t="str">
        <v>Jet &amp; Cord</v>
      </c>
    </row>
    <row r="202" spans="1:36">
      <c r="A202">
        <v>17</v>
      </c>
      <c r="B202">
        <v>3</v>
      </c>
      <c r="C202" s="3" t="s">
        <v>12</v>
      </c>
      <c r="D202" s="5" t="s">
        <v>14</v>
      </c>
      <c r="E202" s="3" t="s">
        <v>12</v>
      </c>
      <c r="F202" s="3" t="s">
        <v>12</v>
      </c>
      <c r="G202" s="3" t="s">
        <v>12</v>
      </c>
      <c r="H202" s="4" t="s">
        <v>13</v>
      </c>
      <c r="I202" s="3" t="s">
        <v>12</v>
      </c>
      <c r="P202" s="1329">
        <v>16</v>
      </c>
      <c r="Q202" s="1837">
        <v>9</v>
      </c>
      <c r="R202" s="1837" t="str">
        <v>Route Info</v>
      </c>
      <c r="S202" s="1837" t="str">
        <v>Fast Forward</v>
      </c>
      <c r="T202" s="1837" t="str">
        <v>Detour</v>
      </c>
      <c r="U202" s="1837" t="str">
        <v>Route Info</v>
      </c>
      <c r="V202" s="1837" t="str">
        <v>Route Info</v>
      </c>
      <c r="W202" s="1837" t="str">
        <v>Road Block</v>
      </c>
      <c r="X202" s="1837" t="str">
        <v>Route Info</v>
      </c>
      <c r="Y202" s="1837" t="str">
        <v>Route Info</v>
      </c>
      <c r="Z202" s="1837" t="str">
        <v>Route Info</v>
      </c>
      <c r="AA202" s="1837" t="str">
        <v/>
      </c>
      <c r="AB202" s="1837" t="str">
        <v/>
      </c>
      <c r="AC202" s="1837" t="str">
        <v/>
      </c>
      <c r="AD202" s="1837" t="str">
        <v/>
      </c>
      <c r="AE202" s="1837" t="str">
        <v>Singapore</v>
      </c>
      <c r="AF202" s="1837" t="str">
        <v>South East Asia</v>
      </c>
      <c r="AG202" s="1837" t="str">
        <v>Yes</v>
      </c>
      <c r="AH202" s="1837" t="str">
        <v/>
      </c>
      <c r="AI202" s="1837" t="str">
        <v/>
      </c>
      <c r="AJ202" s="1110" t="str">
        <v>Dan &amp; Jordan</v>
      </c>
    </row>
    <row r="203" spans="1:36">
      <c r="A203">
        <v>17</v>
      </c>
      <c r="B203">
        <v>4</v>
      </c>
      <c r="C203" s="3" t="s">
        <v>12</v>
      </c>
      <c r="D203" s="29" t="s">
        <v>49</v>
      </c>
      <c r="E203" s="3" t="s">
        <v>12</v>
      </c>
      <c r="F203" s="5" t="s">
        <v>14</v>
      </c>
      <c r="G203" s="3" t="s">
        <v>12</v>
      </c>
      <c r="H203" s="4" t="s">
        <v>13</v>
      </c>
      <c r="I203" s="3" t="s">
        <v>12</v>
      </c>
      <c r="P203" s="1329">
        <v>16</v>
      </c>
      <c r="Q203" s="1837">
        <v>10</v>
      </c>
      <c r="R203" s="1837" t="str">
        <v>Route Info</v>
      </c>
      <c r="S203" s="1837" t="str">
        <v>Road Block</v>
      </c>
      <c r="T203" s="1837" t="str">
        <v>Route Info</v>
      </c>
      <c r="U203" s="1837" t="str">
        <v>Route Info</v>
      </c>
      <c r="V203" s="1837" t="str">
        <v>Route Info</v>
      </c>
      <c r="W203" s="1837" t="str">
        <v>Road Block</v>
      </c>
      <c r="X203" s="1837" t="str">
        <v>Route Info</v>
      </c>
      <c r="Y203" s="1837" t="str">
        <v/>
      </c>
      <c r="Z203" s="1837" t="str">
        <v/>
      </c>
      <c r="AA203" s="1837" t="str">
        <v/>
      </c>
      <c r="AB203" s="1837" t="str">
        <v/>
      </c>
      <c r="AC203" s="1837" t="str">
        <v/>
      </c>
      <c r="AD203" s="1837" t="str">
        <v/>
      </c>
      <c r="AE203" s="1837" t="str">
        <v>China</v>
      </c>
      <c r="AF203" s="1837" t="str">
        <v>East Asia</v>
      </c>
      <c r="AG203" s="1837" t="str">
        <v>No</v>
      </c>
      <c r="AH203" s="1837" t="str">
        <v/>
      </c>
      <c r="AI203" s="1837" t="str">
        <v/>
      </c>
      <c r="AJ203" s="1110" t="str">
        <v>Jet &amp; Cord</v>
      </c>
    </row>
    <row r="204" spans="1:36">
      <c r="A204">
        <v>17</v>
      </c>
      <c r="B204">
        <v>5</v>
      </c>
      <c r="C204" s="3" t="s">
        <v>12</v>
      </c>
      <c r="D204" s="19" t="s">
        <v>71</v>
      </c>
      <c r="E204" s="3" t="s">
        <v>12</v>
      </c>
      <c r="F204" s="5" t="s">
        <v>14</v>
      </c>
      <c r="G204" s="3" t="s">
        <v>12</v>
      </c>
      <c r="H204" s="4" t="s">
        <v>13</v>
      </c>
      <c r="I204" s="3" t="s">
        <v>12</v>
      </c>
      <c r="P204" s="1329">
        <v>16</v>
      </c>
      <c r="Q204" s="1837">
        <v>11</v>
      </c>
      <c r="R204" s="1837" t="str">
        <v>Route Info</v>
      </c>
      <c r="S204" s="1837" t="str">
        <v>Route Info</v>
      </c>
      <c r="T204" s="1837" t="str">
        <v>Speed Bump</v>
      </c>
      <c r="U204" s="1837" t="str">
        <v>Road Block</v>
      </c>
      <c r="V204" s="1837" t="str">
        <v>Route Info</v>
      </c>
      <c r="W204" s="1837" t="str">
        <v>Detour</v>
      </c>
      <c r="X204" s="1837" t="str">
        <v>Route Info</v>
      </c>
      <c r="Y204" s="1837" t="str">
        <v/>
      </c>
      <c r="Z204" s="1837" t="str">
        <v/>
      </c>
      <c r="AA204" s="1837" t="str">
        <v/>
      </c>
      <c r="AB204" s="1837" t="str">
        <v/>
      </c>
      <c r="AC204" s="1837" t="str">
        <v/>
      </c>
      <c r="AD204" s="1837" t="str">
        <v/>
      </c>
      <c r="AE204" s="1837" t="str">
        <v>China</v>
      </c>
      <c r="AF204" s="1837" t="str">
        <v>East Asia</v>
      </c>
      <c r="AG204" s="1837" t="str">
        <v>Yes</v>
      </c>
      <c r="AH204" s="1837" t="str">
        <v/>
      </c>
      <c r="AI204" s="1837" t="str">
        <v/>
      </c>
      <c r="AJ204" s="1110" t="str">
        <v>Brent &amp; Caite</v>
      </c>
    </row>
    <row r="205" spans="1:36">
      <c r="A205">
        <v>17</v>
      </c>
      <c r="B205">
        <v>6</v>
      </c>
      <c r="C205" s="3" t="s">
        <v>12</v>
      </c>
      <c r="D205" s="4" t="s">
        <v>13</v>
      </c>
      <c r="E205" s="3" t="s">
        <v>12</v>
      </c>
      <c r="F205" s="3" t="s">
        <v>12</v>
      </c>
      <c r="G205" s="5" t="s">
        <v>14</v>
      </c>
      <c r="H205" s="3" t="s">
        <v>12</v>
      </c>
      <c r="P205" s="1329">
        <v>16</v>
      </c>
      <c r="Q205" s="1837" t="str">
        <v>Final</v>
      </c>
      <c r="R205" s="1837" t="str">
        <v>Route Info</v>
      </c>
      <c r="S205" s="1837" t="str">
        <v>Route Info</v>
      </c>
      <c r="T205" s="1837" t="str">
        <v>Road Block</v>
      </c>
      <c r="U205" s="1837" t="str">
        <v>Route Info</v>
      </c>
      <c r="V205" s="1837" t="str">
        <v>Route Info</v>
      </c>
      <c r="W205" s="1837" t="str">
        <v>Route Info</v>
      </c>
      <c r="X205" s="1837" t="str">
        <v>Route Info</v>
      </c>
      <c r="Y205" s="1837" t="str">
        <v>Route Info</v>
      </c>
      <c r="Z205" s="1837" t="str">
        <v>Route Info</v>
      </c>
      <c r="AA205" s="1837" t="str">
        <v/>
      </c>
      <c r="AB205" s="1837" t="str">
        <v/>
      </c>
      <c r="AC205" s="1837" t="str">
        <v/>
      </c>
      <c r="AD205" s="1837" t="str">
        <v/>
      </c>
      <c r="AE205" s="1837" t="str">
        <v>USA</v>
      </c>
      <c r="AF205" s="1837" t="str">
        <v>North America</v>
      </c>
      <c r="AG205" s="1837" t="str">
        <v>Final Leg</v>
      </c>
      <c r="AH205" s="1837" t="str">
        <v/>
      </c>
      <c r="AI205" s="1837" t="str">
        <v/>
      </c>
      <c r="AJ205" s="1110" t="str">
        <v>Dan &amp; Jordan</v>
      </c>
    </row>
    <row r="206" spans="1:36">
      <c r="A206">
        <v>17</v>
      </c>
      <c r="B206">
        <v>7</v>
      </c>
      <c r="C206" s="3" t="s">
        <v>12</v>
      </c>
      <c r="D206" s="4" t="s">
        <v>13</v>
      </c>
      <c r="E206" s="3" t="s">
        <v>12</v>
      </c>
      <c r="F206" s="3" t="s">
        <v>12</v>
      </c>
      <c r="G206" s="3" t="s">
        <v>12</v>
      </c>
      <c r="H206" s="5" t="s">
        <v>14</v>
      </c>
      <c r="I206" s="3" t="s">
        <v>12</v>
      </c>
      <c r="P206" s="1329">
        <v>17</v>
      </c>
      <c r="Q206" s="1837">
        <v>1</v>
      </c>
      <c r="R206" s="1837" t="str">
        <v>Route Info</v>
      </c>
      <c r="S206" s="1837" t="str">
        <v>Route Info</v>
      </c>
      <c r="T206" s="1837" t="str">
        <v>Route Info</v>
      </c>
      <c r="U206" s="1837" t="str">
        <v>Road Block</v>
      </c>
      <c r="V206" s="1837" t="str">
        <v>Route Info</v>
      </c>
      <c r="W206" s="1837" t="str">
        <v/>
      </c>
      <c r="X206" s="1837" t="str">
        <v/>
      </c>
      <c r="Y206" s="1837" t="str">
        <v/>
      </c>
      <c r="Z206" s="1837" t="str">
        <v/>
      </c>
      <c r="AA206" s="1837" t="str">
        <v/>
      </c>
      <c r="AB206" s="1837" t="str">
        <v/>
      </c>
      <c r="AC206" s="1837" t="str">
        <v/>
      </c>
      <c r="AD206" s="1837" t="str">
        <v/>
      </c>
      <c r="AE206" s="1837" t="str">
        <v>England</v>
      </c>
      <c r="AF206" s="1837" t="str">
        <v>Western Europe</v>
      </c>
      <c r="AG206" s="1837" t="str">
        <v>Yes</v>
      </c>
      <c r="AH206" s="1837" t="str">
        <v>Express Pass</v>
      </c>
      <c r="AI206" s="1837">
        <v>5</v>
      </c>
      <c r="AJ206" s="1110" t="str">
        <v>Jill &amp; Thomas</v>
      </c>
    </row>
    <row r="207" spans="1:36" ht="16.5" thickBot="1">
      <c r="A207">
        <v>17</v>
      </c>
      <c r="B207">
        <v>8</v>
      </c>
      <c r="C207" s="3" t="s">
        <v>12</v>
      </c>
      <c r="D207" s="3" t="s">
        <v>12</v>
      </c>
      <c r="E207" s="5" t="s">
        <v>14</v>
      </c>
      <c r="F207" s="3" t="s">
        <v>12</v>
      </c>
      <c r="G207" s="4" t="s">
        <v>13</v>
      </c>
      <c r="H207" s="3" t="s">
        <v>12</v>
      </c>
      <c r="I207" s="3" t="s">
        <v>12</v>
      </c>
      <c r="P207" s="1329">
        <v>17</v>
      </c>
      <c r="Q207" s="1837">
        <v>2</v>
      </c>
      <c r="R207" s="1837" t="str">
        <v>Route Info</v>
      </c>
      <c r="S207" s="1837" t="str">
        <v>Route Info</v>
      </c>
      <c r="T207" s="1837" t="str">
        <v>Road Block</v>
      </c>
      <c r="U207" s="1837" t="str">
        <v>Route Info</v>
      </c>
      <c r="V207" s="1837" t="str">
        <v>Detour</v>
      </c>
      <c r="W207" s="1837" t="str">
        <v>Route Info</v>
      </c>
      <c r="X207" s="1837" t="str">
        <v/>
      </c>
      <c r="Y207" s="1837" t="str">
        <v/>
      </c>
      <c r="Z207" s="1837" t="str">
        <v/>
      </c>
      <c r="AA207" s="1837" t="str">
        <v/>
      </c>
      <c r="AB207" s="1837" t="str">
        <v/>
      </c>
      <c r="AC207" s="1837" t="str">
        <v/>
      </c>
      <c r="AD207" s="1837" t="str">
        <v/>
      </c>
      <c r="AE207" s="1837" t="str">
        <v>Ghana</v>
      </c>
      <c r="AF207" s="1837" t="str">
        <v>West Africa</v>
      </c>
      <c r="AG207" s="1837" t="str">
        <v>Yes</v>
      </c>
      <c r="AH207" s="1837" t="str">
        <v/>
      </c>
      <c r="AI207" s="1837" t="str">
        <v/>
      </c>
      <c r="AJ207" s="1110" t="str">
        <v>Brook &amp; Claire</v>
      </c>
    </row>
    <row r="208" spans="1:36" ht="16.5" thickBot="1">
      <c r="A208">
        <v>17</v>
      </c>
      <c r="B208">
        <v>9</v>
      </c>
      <c r="C208" s="3" t="s">
        <v>12</v>
      </c>
      <c r="D208" s="4" t="s">
        <v>13</v>
      </c>
      <c r="E208" s="3" t="s">
        <v>12</v>
      </c>
      <c r="F208" s="614" t="s">
        <v>12</v>
      </c>
      <c r="G208" s="5" t="s">
        <v>14</v>
      </c>
      <c r="H208" s="3" t="s">
        <v>12</v>
      </c>
      <c r="P208" s="1329">
        <v>17</v>
      </c>
      <c r="Q208" s="1837">
        <v>3</v>
      </c>
      <c r="R208" s="1837" t="str">
        <v>Route Info</v>
      </c>
      <c r="S208" s="1837" t="str">
        <v>Road Block</v>
      </c>
      <c r="T208" s="1837" t="str">
        <v>Route Info</v>
      </c>
      <c r="U208" s="1837" t="str">
        <v>Route Info</v>
      </c>
      <c r="V208" s="1837" t="str">
        <v>Route Info</v>
      </c>
      <c r="W208" s="1837" t="str">
        <v>Detour</v>
      </c>
      <c r="X208" s="1837" t="str">
        <v>Route Info</v>
      </c>
      <c r="Y208" s="1837" t="str">
        <v/>
      </c>
      <c r="Z208" s="1837" t="str">
        <v/>
      </c>
      <c r="AA208" s="1837" t="str">
        <v/>
      </c>
      <c r="AB208" s="1837" t="str">
        <v/>
      </c>
      <c r="AC208" s="1837" t="str">
        <v/>
      </c>
      <c r="AD208" s="1837" t="str">
        <v/>
      </c>
      <c r="AE208" s="1837" t="str">
        <v>Ghana</v>
      </c>
      <c r="AF208" s="1837" t="str">
        <v>West Africa</v>
      </c>
      <c r="AG208" s="1837" t="str">
        <v>No</v>
      </c>
      <c r="AH208" s="1837" t="str">
        <v/>
      </c>
      <c r="AI208" s="1837" t="str">
        <v/>
      </c>
      <c r="AJ208" s="1110" t="str">
        <v>Connor &amp; Jonathan</v>
      </c>
    </row>
    <row r="209" spans="1:36">
      <c r="A209">
        <v>17</v>
      </c>
      <c r="B209">
        <v>10</v>
      </c>
      <c r="C209" s="3" t="s">
        <v>12</v>
      </c>
      <c r="D209" s="3" t="s">
        <v>12</v>
      </c>
      <c r="E209" s="5" t="s">
        <v>14</v>
      </c>
      <c r="F209" s="3" t="s">
        <v>12</v>
      </c>
      <c r="G209" s="4" t="s">
        <v>13</v>
      </c>
      <c r="H209" s="3" t="s">
        <v>12</v>
      </c>
      <c r="P209" s="1329">
        <v>17</v>
      </c>
      <c r="Q209" s="1837">
        <v>4</v>
      </c>
      <c r="R209" s="1837" t="str">
        <v>Route Info</v>
      </c>
      <c r="S209" s="1837" t="str">
        <v>Speed Bump</v>
      </c>
      <c r="T209" s="1837" t="str">
        <v>Route Info</v>
      </c>
      <c r="U209" s="1837" t="str">
        <v>Road Block</v>
      </c>
      <c r="V209" s="1837" t="str">
        <v>Route Info</v>
      </c>
      <c r="W209" s="1837" t="str">
        <v>Detour</v>
      </c>
      <c r="X209" s="1837" t="str">
        <v>Route Info</v>
      </c>
      <c r="Y209" s="1837" t="str">
        <v/>
      </c>
      <c r="Z209" s="1837" t="str">
        <v/>
      </c>
      <c r="AA209" s="1837" t="str">
        <v/>
      </c>
      <c r="AB209" s="1837" t="str">
        <v/>
      </c>
      <c r="AC209" s="1837" t="str">
        <v/>
      </c>
      <c r="AD209" s="1837" t="str">
        <v/>
      </c>
      <c r="AE209" s="1837" t="str">
        <v>Sweden</v>
      </c>
      <c r="AF209" s="1837" t="str">
        <v>Northern Europe</v>
      </c>
      <c r="AG209" s="1837" t="str">
        <v>Yes</v>
      </c>
      <c r="AH209" s="1837" t="str">
        <v/>
      </c>
      <c r="AI209" s="1837" t="str">
        <v/>
      </c>
      <c r="AJ209" s="1110" t="str">
        <v>Nat &amp; Kat</v>
      </c>
    </row>
    <row r="210" spans="1:36">
      <c r="A210">
        <v>17</v>
      </c>
      <c r="B210">
        <v>11</v>
      </c>
      <c r="C210" s="3" t="s">
        <v>12</v>
      </c>
      <c r="D210" s="3" t="s">
        <v>12</v>
      </c>
      <c r="E210" s="29" t="s">
        <v>49</v>
      </c>
      <c r="F210" s="5" t="s">
        <v>14</v>
      </c>
      <c r="G210" s="3" t="s">
        <v>12</v>
      </c>
      <c r="H210" s="4" t="s">
        <v>13</v>
      </c>
      <c r="I210" s="3" t="s">
        <v>12</v>
      </c>
      <c r="J210" s="3" t="s">
        <v>12</v>
      </c>
      <c r="K210" s="12"/>
      <c r="P210" s="1329">
        <v>17</v>
      </c>
      <c r="Q210" s="1837">
        <v>5</v>
      </c>
      <c r="R210" s="1837" t="str">
        <v>Route Info</v>
      </c>
      <c r="S210" s="1837" t="str">
        <v>Fast Forward</v>
      </c>
      <c r="T210" s="1837" t="str">
        <v>Route Info</v>
      </c>
      <c r="U210" s="1837" t="str">
        <v>Road Block</v>
      </c>
      <c r="V210" s="1837" t="str">
        <v>Route Info</v>
      </c>
      <c r="W210" s="1837" t="str">
        <v>Detour</v>
      </c>
      <c r="X210" s="1837" t="str">
        <v>Route Info</v>
      </c>
      <c r="Y210" s="1837" t="str">
        <v/>
      </c>
      <c r="Z210" s="1837" t="str">
        <v/>
      </c>
      <c r="AA210" s="1837" t="str">
        <v/>
      </c>
      <c r="AB210" s="1837" t="str">
        <v/>
      </c>
      <c r="AC210" s="1837" t="str">
        <v/>
      </c>
      <c r="AD210" s="1837" t="str">
        <v/>
      </c>
      <c r="AE210" s="1837" t="str">
        <v>Norway</v>
      </c>
      <c r="AF210" s="1837" t="str">
        <v>Northern Europe</v>
      </c>
      <c r="AG210" s="1837" t="str">
        <v>Yes</v>
      </c>
      <c r="AH210" s="1837" t="str">
        <v/>
      </c>
      <c r="AI210" s="1837" t="str">
        <v/>
      </c>
      <c r="AJ210" s="1110" t="str">
        <v>Nat &amp; Kat</v>
      </c>
    </row>
    <row r="211" spans="1:36" ht="16.5" thickBot="1">
      <c r="A211">
        <v>17</v>
      </c>
      <c r="B211" t="s">
        <v>2810</v>
      </c>
      <c r="C211" s="3" t="s">
        <v>12</v>
      </c>
      <c r="D211" s="3" t="s">
        <v>12</v>
      </c>
      <c r="E211" s="3" t="s">
        <v>12</v>
      </c>
      <c r="F211" s="5" t="s">
        <v>14</v>
      </c>
      <c r="G211" s="3" t="s">
        <v>12</v>
      </c>
      <c r="H211" s="3" t="s">
        <v>12</v>
      </c>
      <c r="I211" s="3" t="s">
        <v>12</v>
      </c>
      <c r="P211" s="1329">
        <v>17</v>
      </c>
      <c r="Q211" s="1837">
        <v>6</v>
      </c>
      <c r="R211" s="1837" t="str">
        <v>Route Info</v>
      </c>
      <c r="S211" s="1837" t="str">
        <v>Detour</v>
      </c>
      <c r="T211" s="1837" t="str">
        <v>Route Info</v>
      </c>
      <c r="U211" s="1837" t="str">
        <v>Route Info</v>
      </c>
      <c r="V211" s="1837" t="str">
        <v>Road Block</v>
      </c>
      <c r="W211" s="1837" t="str">
        <v>Route Info</v>
      </c>
      <c r="X211" s="1837" t="str">
        <v/>
      </c>
      <c r="Y211" s="1837" t="str">
        <v/>
      </c>
      <c r="Z211" s="1837" t="str">
        <v/>
      </c>
      <c r="AA211" s="1837" t="str">
        <v/>
      </c>
      <c r="AB211" s="1837" t="str">
        <v/>
      </c>
      <c r="AC211" s="1837" t="str">
        <v/>
      </c>
      <c r="AD211" s="1837" t="str">
        <v/>
      </c>
      <c r="AE211" s="1837" t="str">
        <v>Russia</v>
      </c>
      <c r="AF211" s="1837" t="str">
        <v>Eastern Europe</v>
      </c>
      <c r="AG211" s="1837" t="str">
        <v>No</v>
      </c>
      <c r="AH211" s="1837" t="str">
        <v/>
      </c>
      <c r="AI211" s="1837" t="str">
        <v/>
      </c>
      <c r="AJ211" s="1110" t="str">
        <v>Jill &amp; Thomas</v>
      </c>
    </row>
    <row r="212" spans="1:36" ht="16.5" thickBot="1">
      <c r="A212">
        <v>18</v>
      </c>
      <c r="B212">
        <v>1</v>
      </c>
      <c r="C212" s="3" t="s">
        <v>12</v>
      </c>
      <c r="D212" s="3" t="s">
        <v>12</v>
      </c>
      <c r="E212" s="5" t="s">
        <v>14</v>
      </c>
      <c r="F212" s="3" t="s">
        <v>12</v>
      </c>
      <c r="G212" s="613" t="s">
        <v>12</v>
      </c>
      <c r="P212" s="1329">
        <v>17</v>
      </c>
      <c r="Q212" s="1837">
        <v>7</v>
      </c>
      <c r="R212" s="1837" t="str">
        <v>Route Info</v>
      </c>
      <c r="S212" s="1837" t="str">
        <v>Detour</v>
      </c>
      <c r="T212" s="1837" t="str">
        <v>Route Info</v>
      </c>
      <c r="U212" s="1837" t="str">
        <v>Route Info</v>
      </c>
      <c r="V212" s="1837" t="str">
        <v>Route Info</v>
      </c>
      <c r="W212" s="1837" t="str">
        <v>Road Block</v>
      </c>
      <c r="X212" s="1837" t="str">
        <v>Route Info</v>
      </c>
      <c r="Y212" s="1837" t="str">
        <v/>
      </c>
      <c r="Z212" s="1837" t="str">
        <v/>
      </c>
      <c r="AA212" s="1837" t="str">
        <v/>
      </c>
      <c r="AB212" s="1837" t="str">
        <v/>
      </c>
      <c r="AC212" s="1837" t="str">
        <v/>
      </c>
      <c r="AD212" s="1837" t="str">
        <v/>
      </c>
      <c r="AE212" s="1837" t="str">
        <v>Russia</v>
      </c>
      <c r="AF212" s="1837" t="str">
        <v>Eastern Europe</v>
      </c>
      <c r="AG212" s="1837" t="str">
        <v>Yes</v>
      </c>
      <c r="AH212" s="1837" t="str">
        <v/>
      </c>
      <c r="AI212" s="1837" t="str">
        <v/>
      </c>
      <c r="AJ212" s="1110" t="str">
        <v>Nat &amp; Kat</v>
      </c>
    </row>
    <row r="213" spans="1:36">
      <c r="A213">
        <v>18</v>
      </c>
      <c r="B213">
        <v>2</v>
      </c>
      <c r="C213" s="3" t="s">
        <v>12</v>
      </c>
      <c r="D213" s="3" t="s">
        <v>12</v>
      </c>
      <c r="E213" s="3" t="s">
        <v>12</v>
      </c>
      <c r="F213" s="4" t="s">
        <v>13</v>
      </c>
      <c r="G213" s="3" t="s">
        <v>12</v>
      </c>
      <c r="H213" s="3" t="s">
        <v>12</v>
      </c>
      <c r="I213" s="3" t="s">
        <v>12</v>
      </c>
      <c r="P213" s="1329">
        <v>17</v>
      </c>
      <c r="Q213" s="1837">
        <v>8</v>
      </c>
      <c r="R213" s="1837" t="str">
        <v>Route Info</v>
      </c>
      <c r="S213" s="1837" t="str">
        <v>Route Info</v>
      </c>
      <c r="T213" s="1837" t="str">
        <v>Road Block</v>
      </c>
      <c r="U213" s="1837" t="str">
        <v>Route Info</v>
      </c>
      <c r="V213" s="1837" t="str">
        <v>Detour</v>
      </c>
      <c r="W213" s="1837" t="str">
        <v>Route Info</v>
      </c>
      <c r="X213" s="1837" t="str">
        <v>Route Info</v>
      </c>
      <c r="Y213" s="1837" t="str">
        <v/>
      </c>
      <c r="Z213" s="1837" t="str">
        <v/>
      </c>
      <c r="AA213" s="1837" t="str">
        <v/>
      </c>
      <c r="AB213" s="1837" t="str">
        <v/>
      </c>
      <c r="AC213" s="1837" t="str">
        <v/>
      </c>
      <c r="AD213" s="1837" t="str">
        <v/>
      </c>
      <c r="AE213" s="1837" t="str">
        <v>Oman</v>
      </c>
      <c r="AF213" s="1837" t="str">
        <v>Middle East</v>
      </c>
      <c r="AG213" s="1837" t="str">
        <v>Yes</v>
      </c>
      <c r="AH213" s="1837" t="str">
        <v/>
      </c>
      <c r="AI213" s="1837" t="str">
        <v/>
      </c>
      <c r="AJ213" s="1110" t="str">
        <v>Chad &amp; Stephanie</v>
      </c>
    </row>
    <row r="214" spans="1:36">
      <c r="A214">
        <v>18</v>
      </c>
      <c r="B214">
        <v>3</v>
      </c>
      <c r="C214" s="3" t="s">
        <v>12</v>
      </c>
      <c r="D214" s="3" t="s">
        <v>12</v>
      </c>
      <c r="E214" s="5" t="s">
        <v>14</v>
      </c>
      <c r="F214" s="3" t="s">
        <v>12</v>
      </c>
      <c r="G214" s="4" t="s">
        <v>13</v>
      </c>
      <c r="H214" s="3" t="s">
        <v>12</v>
      </c>
      <c r="P214" s="1329">
        <v>17</v>
      </c>
      <c r="Q214" s="1837">
        <v>9</v>
      </c>
      <c r="R214" s="1837" t="str">
        <v>Route Info</v>
      </c>
      <c r="S214" s="1837" t="str">
        <v>Detour</v>
      </c>
      <c r="T214" s="1837" t="str">
        <v>Route Info</v>
      </c>
      <c r="U214" s="1837" t="str">
        <v>Route Info</v>
      </c>
      <c r="V214" s="1837" t="str">
        <v>Road Block</v>
      </c>
      <c r="W214" s="1837" t="str">
        <v>Route Info</v>
      </c>
      <c r="X214" s="1837" t="str">
        <v/>
      </c>
      <c r="Y214" s="1837" t="str">
        <v/>
      </c>
      <c r="Z214" s="1837" t="str">
        <v/>
      </c>
      <c r="AA214" s="1837" t="str">
        <v/>
      </c>
      <c r="AB214" s="1837" t="str">
        <v/>
      </c>
      <c r="AC214" s="1837" t="str">
        <v/>
      </c>
      <c r="AD214" s="1837" t="str">
        <v/>
      </c>
      <c r="AE214" s="1837" t="str">
        <v>Bangladesh</v>
      </c>
      <c r="AF214" s="1837" t="str">
        <v>South Asia</v>
      </c>
      <c r="AG214" s="1837" t="str">
        <v>Yes</v>
      </c>
      <c r="AH214" s="1837" t="str">
        <v>Double U-Turn</v>
      </c>
      <c r="AI214" s="1837">
        <v>4</v>
      </c>
      <c r="AJ214" s="1110" t="str">
        <v>Jill &amp; Thomas</v>
      </c>
    </row>
    <row r="215" spans="1:36" ht="16.5" thickBot="1">
      <c r="A215">
        <v>18</v>
      </c>
      <c r="B215">
        <v>4</v>
      </c>
      <c r="C215" s="3" t="s">
        <v>12</v>
      </c>
      <c r="D215" s="3" t="s">
        <v>12</v>
      </c>
      <c r="E215" s="3" t="s">
        <v>12</v>
      </c>
      <c r="F215" s="5" t="s">
        <v>14</v>
      </c>
      <c r="G215" s="3" t="s">
        <v>12</v>
      </c>
      <c r="H215" s="3" t="s">
        <v>12</v>
      </c>
      <c r="I215" s="4" t="s">
        <v>13</v>
      </c>
      <c r="J215" s="3" t="s">
        <v>12</v>
      </c>
      <c r="P215" s="1329">
        <v>17</v>
      </c>
      <c r="Q215" s="1837">
        <v>10</v>
      </c>
      <c r="R215" s="1837" t="str">
        <v>Route Info</v>
      </c>
      <c r="S215" s="1837" t="str">
        <v>Route Info</v>
      </c>
      <c r="T215" s="1837" t="str">
        <v>Road Block</v>
      </c>
      <c r="U215" s="1837" t="str">
        <v>Route Info</v>
      </c>
      <c r="V215" s="1837" t="str">
        <v>Detour</v>
      </c>
      <c r="W215" s="1837" t="str">
        <v>Route Info</v>
      </c>
      <c r="X215" s="1837" t="str">
        <v/>
      </c>
      <c r="Y215" s="1837" t="str">
        <v/>
      </c>
      <c r="Z215" s="1837" t="str">
        <v/>
      </c>
      <c r="AA215" s="1837" t="str">
        <v/>
      </c>
      <c r="AB215" s="1837" t="str">
        <v/>
      </c>
      <c r="AC215" s="1837" t="str">
        <v/>
      </c>
      <c r="AD215" s="1837" t="str">
        <v/>
      </c>
      <c r="AE215" s="1837" t="str">
        <v>China</v>
      </c>
      <c r="AF215" s="1837" t="str">
        <v>East Asia</v>
      </c>
      <c r="AG215" s="1837" t="str">
        <v>No</v>
      </c>
      <c r="AH215" s="1837" t="str">
        <v/>
      </c>
      <c r="AI215" s="1837" t="str">
        <v/>
      </c>
      <c r="AJ215" s="1110" t="str">
        <v>Nat &amp; Kat</v>
      </c>
    </row>
    <row r="216" spans="1:36" ht="16.5" thickBot="1">
      <c r="A216">
        <v>18</v>
      </c>
      <c r="B216">
        <v>5</v>
      </c>
      <c r="C216" s="3" t="s">
        <v>12</v>
      </c>
      <c r="D216" s="3" t="s">
        <v>12</v>
      </c>
      <c r="E216" s="4" t="s">
        <v>13</v>
      </c>
      <c r="F216" s="3" t="s">
        <v>12</v>
      </c>
      <c r="G216" s="614" t="s">
        <v>12</v>
      </c>
      <c r="H216" s="5" t="s">
        <v>14</v>
      </c>
      <c r="I216" s="3" t="s">
        <v>12</v>
      </c>
      <c r="P216" s="1329">
        <v>17</v>
      </c>
      <c r="Q216" s="1837">
        <v>11</v>
      </c>
      <c r="R216" s="1837" t="str">
        <v>Route Info</v>
      </c>
      <c r="S216" s="1837" t="str">
        <v>Route Info</v>
      </c>
      <c r="T216" s="1837" t="str">
        <v>Speed Bump</v>
      </c>
      <c r="U216" s="1837" t="str">
        <v>Road Block</v>
      </c>
      <c r="V216" s="1837" t="str">
        <v>Route Info</v>
      </c>
      <c r="W216" s="1837" t="str">
        <v>Detour</v>
      </c>
      <c r="X216" s="1837" t="str">
        <v>Route Info</v>
      </c>
      <c r="Y216" s="1837" t="str">
        <v>Route Info</v>
      </c>
      <c r="Z216" s="1837" t="str">
        <v/>
      </c>
      <c r="AA216" s="1837" t="str">
        <v/>
      </c>
      <c r="AB216" s="1837" t="str">
        <v/>
      </c>
      <c r="AC216" s="1837" t="str">
        <v/>
      </c>
      <c r="AD216" s="1837" t="str">
        <v/>
      </c>
      <c r="AE216" s="1837" t="str">
        <v>South Korea</v>
      </c>
      <c r="AF216" s="1837" t="str">
        <v>East Asia</v>
      </c>
      <c r="AG216" s="1837" t="str">
        <v>Yes</v>
      </c>
      <c r="AH216" s="1837" t="str">
        <v/>
      </c>
      <c r="AI216" s="1837" t="str">
        <v/>
      </c>
      <c r="AJ216" s="1110" t="str">
        <v>Jill &amp; Thomas</v>
      </c>
    </row>
    <row r="217" spans="1:36">
      <c r="A217">
        <v>18</v>
      </c>
      <c r="B217">
        <v>6</v>
      </c>
      <c r="C217" s="3" t="s">
        <v>12</v>
      </c>
      <c r="D217" s="3" t="s">
        <v>12</v>
      </c>
      <c r="E217" s="5" t="s">
        <v>14</v>
      </c>
      <c r="F217" s="3" t="s">
        <v>12</v>
      </c>
      <c r="G217" s="4" t="s">
        <v>13</v>
      </c>
      <c r="H217" s="3" t="s">
        <v>12</v>
      </c>
      <c r="P217" s="1329">
        <v>17</v>
      </c>
      <c r="Q217" s="1837" t="str">
        <v>Final</v>
      </c>
      <c r="R217" s="1837" t="str">
        <v>Route Info</v>
      </c>
      <c r="S217" s="1837" t="str">
        <v>Route Info</v>
      </c>
      <c r="T217" s="1837" t="str">
        <v>Route Info</v>
      </c>
      <c r="U217" s="1837" t="str">
        <v>Road Block</v>
      </c>
      <c r="V217" s="1837" t="str">
        <v>Route Info</v>
      </c>
      <c r="W217" s="1837" t="str">
        <v>Route Info</v>
      </c>
      <c r="X217" s="1837" t="str">
        <v>Route Info</v>
      </c>
      <c r="Y217" s="1837" t="str">
        <v/>
      </c>
      <c r="Z217" s="1837" t="str">
        <v/>
      </c>
      <c r="AA217" s="1837" t="str">
        <v/>
      </c>
      <c r="AB217" s="1837" t="str">
        <v/>
      </c>
      <c r="AC217" s="1837" t="str">
        <v/>
      </c>
      <c r="AD217" s="1837" t="str">
        <v/>
      </c>
      <c r="AE217" s="1837" t="str">
        <v>USA</v>
      </c>
      <c r="AF217" s="1837" t="str">
        <v>North America</v>
      </c>
      <c r="AG217" s="1837" t="str">
        <v>Final Leg</v>
      </c>
      <c r="AH217" s="1837" t="str">
        <v/>
      </c>
      <c r="AI217" s="1837" t="str">
        <v/>
      </c>
      <c r="AJ217" s="1110" t="str">
        <v>Nat &amp; Kat</v>
      </c>
    </row>
    <row r="218" spans="1:36">
      <c r="A218">
        <v>18</v>
      </c>
      <c r="B218">
        <v>7</v>
      </c>
      <c r="C218" s="3" t="s">
        <v>12</v>
      </c>
      <c r="D218" s="5" t="s">
        <v>14</v>
      </c>
      <c r="E218" s="3" t="s">
        <v>12</v>
      </c>
      <c r="F218" s="4" t="s">
        <v>13</v>
      </c>
      <c r="G218" s="3" t="s">
        <v>12</v>
      </c>
      <c r="P218" s="1329">
        <v>18</v>
      </c>
      <c r="Q218" s="1837">
        <v>1</v>
      </c>
      <c r="R218" s="1837" t="str">
        <v>Route Info</v>
      </c>
      <c r="S218" s="1837" t="str">
        <v>Route Info</v>
      </c>
      <c r="T218" s="1837" t="str">
        <v>Road Block</v>
      </c>
      <c r="U218" s="1837" t="str">
        <v>Route Info</v>
      </c>
      <c r="V218" s="1837" t="str">
        <v>Route Info</v>
      </c>
      <c r="W218" s="1837" t="str">
        <v/>
      </c>
      <c r="X218" s="1837" t="str">
        <v/>
      </c>
      <c r="Y218" s="1837" t="str">
        <v/>
      </c>
      <c r="Z218" s="1837" t="str">
        <v/>
      </c>
      <c r="AA218" s="1837" t="str">
        <v/>
      </c>
      <c r="AB218" s="1837" t="str">
        <v/>
      </c>
      <c r="AC218" s="1837" t="str">
        <v/>
      </c>
      <c r="AD218" s="1837" t="str">
        <v/>
      </c>
      <c r="AE218" s="1837" t="str">
        <v>Australia</v>
      </c>
      <c r="AF218" s="1837" t="str">
        <v>Oceania</v>
      </c>
      <c r="AG218" s="1837" t="str">
        <v>No</v>
      </c>
      <c r="AH218" s="1837" t="str">
        <v>Express Pass</v>
      </c>
      <c r="AI218" s="1837">
        <v>5</v>
      </c>
      <c r="AJ218" s="1110" t="str">
        <v>Gary &amp; Mallory</v>
      </c>
    </row>
    <row r="219" spans="1:36" ht="16.5" thickBot="1">
      <c r="A219">
        <v>18</v>
      </c>
      <c r="B219">
        <v>8</v>
      </c>
      <c r="C219" s="3" t="s">
        <v>12</v>
      </c>
      <c r="D219" s="3" t="s">
        <v>12</v>
      </c>
      <c r="E219" s="3" t="s">
        <v>12</v>
      </c>
      <c r="F219" s="4" t="s">
        <v>13</v>
      </c>
      <c r="G219" s="3" t="s">
        <v>12</v>
      </c>
      <c r="H219" s="5" t="s">
        <v>14</v>
      </c>
      <c r="I219" s="3" t="s">
        <v>12</v>
      </c>
      <c r="P219" s="1329">
        <v>18</v>
      </c>
      <c r="Q219" s="1837">
        <v>2</v>
      </c>
      <c r="R219" s="1837" t="str">
        <v>Route Info</v>
      </c>
      <c r="S219" s="1837" t="str">
        <v>Route Info</v>
      </c>
      <c r="T219" s="1837" t="str">
        <v>Route Info</v>
      </c>
      <c r="U219" s="1837" t="str">
        <v>Detour</v>
      </c>
      <c r="V219" s="1837" t="str">
        <v>Route Info</v>
      </c>
      <c r="W219" s="1837" t="str">
        <v>Route Info</v>
      </c>
      <c r="X219" s="1837" t="str">
        <v>Route Info</v>
      </c>
      <c r="Y219" s="1837" t="str">
        <v/>
      </c>
      <c r="Z219" s="1837" t="str">
        <v/>
      </c>
      <c r="AA219" s="1837" t="str">
        <v/>
      </c>
      <c r="AB219" s="1837" t="str">
        <v/>
      </c>
      <c r="AC219" s="1837" t="str">
        <v/>
      </c>
      <c r="AD219" s="1837" t="str">
        <v/>
      </c>
      <c r="AE219" s="1837" t="str">
        <v>Australia</v>
      </c>
      <c r="AF219" s="1837" t="str">
        <v>Oceania</v>
      </c>
      <c r="AG219" s="1837" t="str">
        <v>Yes</v>
      </c>
      <c r="AH219" s="1837" t="str">
        <v/>
      </c>
      <c r="AI219" s="1837" t="str">
        <v/>
      </c>
      <c r="AJ219" s="1110" t="str">
        <v>Zev &amp; Justin</v>
      </c>
    </row>
    <row r="220" spans="1:36" ht="16.5" thickBot="1">
      <c r="A220">
        <v>18</v>
      </c>
      <c r="B220">
        <v>9</v>
      </c>
      <c r="C220" s="3" t="s">
        <v>12</v>
      </c>
      <c r="D220" s="29" t="s">
        <v>49</v>
      </c>
      <c r="E220" s="5" t="s">
        <v>14</v>
      </c>
      <c r="F220" s="3" t="s">
        <v>12</v>
      </c>
      <c r="G220" s="4" t="s">
        <v>13</v>
      </c>
      <c r="H220" s="3" t="s">
        <v>12</v>
      </c>
      <c r="I220" s="614" t="s">
        <v>12</v>
      </c>
      <c r="P220" s="1329">
        <v>18</v>
      </c>
      <c r="Q220" s="1837">
        <v>3</v>
      </c>
      <c r="R220" s="1837" t="str">
        <v>Route Info</v>
      </c>
      <c r="S220" s="1837" t="str">
        <v>Route Info</v>
      </c>
      <c r="T220" s="1837" t="str">
        <v>Road Block</v>
      </c>
      <c r="U220" s="1837" t="str">
        <v>Route Info</v>
      </c>
      <c r="V220" s="1837" t="str">
        <v>Detour</v>
      </c>
      <c r="W220" s="1837" t="str">
        <v>Route Info</v>
      </c>
      <c r="X220" s="1837" t="str">
        <v/>
      </c>
      <c r="Y220" s="1837" t="str">
        <v/>
      </c>
      <c r="Z220" s="1837" t="str">
        <v/>
      </c>
      <c r="AA220" s="1837" t="str">
        <v/>
      </c>
      <c r="AB220" s="1837" t="str">
        <v/>
      </c>
      <c r="AC220" s="1837" t="str">
        <v/>
      </c>
      <c r="AD220" s="1837" t="str">
        <v/>
      </c>
      <c r="AE220" s="1837" t="str">
        <v>Japan</v>
      </c>
      <c r="AF220" s="1837" t="str">
        <v>East Asia</v>
      </c>
      <c r="AG220" s="1837" t="str">
        <v>Yes</v>
      </c>
      <c r="AH220" s="1837" t="str">
        <v/>
      </c>
      <c r="AI220" s="1837" t="str">
        <v/>
      </c>
      <c r="AJ220" s="1110" t="str">
        <v>Zev &amp; Justin</v>
      </c>
    </row>
    <row r="221" spans="1:36">
      <c r="A221">
        <v>18</v>
      </c>
      <c r="B221">
        <v>10</v>
      </c>
      <c r="C221" s="3" t="s">
        <v>12</v>
      </c>
      <c r="D221" s="4" t="s">
        <v>13</v>
      </c>
      <c r="E221" s="3" t="s">
        <v>12</v>
      </c>
      <c r="F221" s="5" t="s">
        <v>14</v>
      </c>
      <c r="G221" s="3" t="s">
        <v>12</v>
      </c>
      <c r="P221" s="1329">
        <v>18</v>
      </c>
      <c r="Q221" s="1837">
        <v>4</v>
      </c>
      <c r="R221" s="1837" t="str">
        <v>Route Info</v>
      </c>
      <c r="S221" s="1837" t="str">
        <v>Route Info</v>
      </c>
      <c r="T221" s="1837" t="str">
        <v>Route Info</v>
      </c>
      <c r="U221" s="1837" t="str">
        <v>Road Block</v>
      </c>
      <c r="V221" s="1837" t="str">
        <v>Route Info</v>
      </c>
      <c r="W221" s="1837" t="str">
        <v>Route Info</v>
      </c>
      <c r="X221" s="1837" t="str">
        <v>Detour</v>
      </c>
      <c r="Y221" s="1837" t="str">
        <v>Route Info</v>
      </c>
      <c r="Z221" s="1837" t="str">
        <v/>
      </c>
      <c r="AA221" s="1837" t="str">
        <v/>
      </c>
      <c r="AB221" s="1837" t="str">
        <v/>
      </c>
      <c r="AC221" s="1837" t="str">
        <v/>
      </c>
      <c r="AD221" s="1837" t="str">
        <v/>
      </c>
      <c r="AE221" s="1837" t="str">
        <v>China</v>
      </c>
      <c r="AF221" s="1837" t="str">
        <v>East Asia</v>
      </c>
      <c r="AG221" s="1837" t="str">
        <v>No</v>
      </c>
      <c r="AH221" s="1837" t="str">
        <v/>
      </c>
      <c r="AI221" s="1837" t="str">
        <v/>
      </c>
      <c r="AJ221" s="1110" t="str">
        <v>Margie &amp; Luke</v>
      </c>
    </row>
    <row r="222" spans="1:36">
      <c r="A222">
        <v>18</v>
      </c>
      <c r="B222">
        <v>11</v>
      </c>
      <c r="C222" s="3" t="s">
        <v>12</v>
      </c>
      <c r="D222" s="3" t="s">
        <v>12</v>
      </c>
      <c r="E222" s="5" t="s">
        <v>14</v>
      </c>
      <c r="F222" s="3" t="s">
        <v>12</v>
      </c>
      <c r="G222" s="3" t="s">
        <v>12</v>
      </c>
      <c r="H222" s="4" t="s">
        <v>13</v>
      </c>
      <c r="I222" s="3" t="s">
        <v>12</v>
      </c>
      <c r="P222" s="1329">
        <v>18</v>
      </c>
      <c r="Q222" s="1837">
        <v>5</v>
      </c>
      <c r="R222" s="1837" t="str">
        <v>Route Info</v>
      </c>
      <c r="S222" s="1837" t="str">
        <v>Route Info</v>
      </c>
      <c r="T222" s="1837" t="str">
        <v>Detour</v>
      </c>
      <c r="U222" s="1837" t="str">
        <v>Route Info</v>
      </c>
      <c r="V222" s="1837" t="str">
        <v>Route Info</v>
      </c>
      <c r="W222" s="1837" t="str">
        <v>Road Block</v>
      </c>
      <c r="X222" s="1837" t="str">
        <v>Route Info</v>
      </c>
      <c r="Y222" s="1837" t="str">
        <v/>
      </c>
      <c r="Z222" s="1837" t="str">
        <v/>
      </c>
      <c r="AA222" s="1837" t="str">
        <v/>
      </c>
      <c r="AB222" s="1837" t="str">
        <v/>
      </c>
      <c r="AC222" s="1837" t="str">
        <v/>
      </c>
      <c r="AD222" s="1837" t="str">
        <v/>
      </c>
      <c r="AE222" s="1837" t="str">
        <v>China</v>
      </c>
      <c r="AF222" s="1837" t="str">
        <v>East Asia</v>
      </c>
      <c r="AG222" s="1837" t="str">
        <v>Yes</v>
      </c>
      <c r="AH222" s="1837" t="str">
        <v>Double U-Turn</v>
      </c>
      <c r="AI222" s="1837">
        <v>5</v>
      </c>
      <c r="AJ222" s="1110" t="str">
        <v>Jet &amp; Cord</v>
      </c>
    </row>
    <row r="223" spans="1:36" ht="16.5" thickBot="1">
      <c r="A223">
        <v>18</v>
      </c>
      <c r="B223" t="s">
        <v>2810</v>
      </c>
      <c r="C223" s="3" t="s">
        <v>12</v>
      </c>
      <c r="D223" s="5" t="s">
        <v>14</v>
      </c>
      <c r="E223" s="3" t="s">
        <v>12</v>
      </c>
      <c r="F223" s="5" t="s">
        <v>14</v>
      </c>
      <c r="G223" s="3" t="s">
        <v>12</v>
      </c>
      <c r="H223" s="3" t="s">
        <v>12</v>
      </c>
      <c r="I223" s="3" t="s">
        <v>12</v>
      </c>
      <c r="J223" s="3" t="s">
        <v>12</v>
      </c>
      <c r="K223" s="3" t="s">
        <v>12</v>
      </c>
      <c r="P223" s="1329">
        <v>18</v>
      </c>
      <c r="Q223" s="1837">
        <v>6</v>
      </c>
      <c r="R223" s="1837" t="str">
        <v>Route Info</v>
      </c>
      <c r="S223" s="1837" t="str">
        <v>Route Info</v>
      </c>
      <c r="T223" s="1837" t="str">
        <v>Road Block</v>
      </c>
      <c r="U223" s="1837" t="str">
        <v>Route Info</v>
      </c>
      <c r="V223" s="1837" t="str">
        <v>Detour</v>
      </c>
      <c r="W223" s="1837" t="str">
        <v>Route Info</v>
      </c>
      <c r="X223" s="1837" t="str">
        <v/>
      </c>
      <c r="Y223" s="1837" t="str">
        <v/>
      </c>
      <c r="Z223" s="1837" t="str">
        <v/>
      </c>
      <c r="AA223" s="1837" t="str">
        <v/>
      </c>
      <c r="AB223" s="1837" t="str">
        <v/>
      </c>
      <c r="AC223" s="1837" t="str">
        <v/>
      </c>
      <c r="AD223" s="1837" t="str">
        <v/>
      </c>
      <c r="AE223" s="1837" t="str">
        <v>India</v>
      </c>
      <c r="AF223" s="1837" t="str">
        <v>South Asia</v>
      </c>
      <c r="AG223" s="1837" t="str">
        <v>Yes</v>
      </c>
      <c r="AH223" s="1837" t="str">
        <v/>
      </c>
      <c r="AI223" s="1837" t="str">
        <v/>
      </c>
      <c r="AJ223" s="1110" t="str">
        <v>Gary &amp; Mallory</v>
      </c>
    </row>
    <row r="224" spans="1:36" ht="16.5" thickBot="1">
      <c r="A224">
        <v>19</v>
      </c>
      <c r="B224">
        <v>1</v>
      </c>
      <c r="C224" s="3" t="s">
        <v>12</v>
      </c>
      <c r="D224" s="3" t="s">
        <v>12</v>
      </c>
      <c r="E224" s="5" t="s">
        <v>14</v>
      </c>
      <c r="F224" s="3" t="s">
        <v>12</v>
      </c>
      <c r="G224" s="38" t="s">
        <v>231</v>
      </c>
      <c r="H224" s="3" t="s">
        <v>12</v>
      </c>
      <c r="I224" s="3" t="s">
        <v>12</v>
      </c>
      <c r="J224" s="613" t="s">
        <v>12</v>
      </c>
      <c r="P224" s="1329">
        <v>18</v>
      </c>
      <c r="Q224" s="1837">
        <v>7</v>
      </c>
      <c r="R224" s="1837" t="str">
        <v>Route Info</v>
      </c>
      <c r="S224" s="1837" t="str">
        <v>Road Block</v>
      </c>
      <c r="T224" s="1837" t="str">
        <v>Route Info</v>
      </c>
      <c r="U224" s="1837" t="str">
        <v>Detour</v>
      </c>
      <c r="V224" s="1837" t="str">
        <v>Route Info</v>
      </c>
      <c r="W224" s="1837" t="str">
        <v/>
      </c>
      <c r="X224" s="1837" t="str">
        <v/>
      </c>
      <c r="Y224" s="1837" t="str">
        <v/>
      </c>
      <c r="Z224" s="1837" t="str">
        <v/>
      </c>
      <c r="AA224" s="1837" t="str">
        <v/>
      </c>
      <c r="AB224" s="1837" t="str">
        <v/>
      </c>
      <c r="AC224" s="1837" t="str">
        <v/>
      </c>
      <c r="AD224" s="1837" t="str">
        <v/>
      </c>
      <c r="AE224" s="1837" t="str">
        <v>India</v>
      </c>
      <c r="AF224" s="1837" t="str">
        <v>South Asia</v>
      </c>
      <c r="AG224" s="1837" t="str">
        <v>Yes</v>
      </c>
      <c r="AH224" s="1837" t="str">
        <v/>
      </c>
      <c r="AI224" s="1837" t="str">
        <v/>
      </c>
      <c r="AJ224" s="1110" t="str">
        <v>Flight Time &amp; Big Easy</v>
      </c>
    </row>
    <row r="225" spans="1:36">
      <c r="A225">
        <v>19</v>
      </c>
      <c r="B225">
        <v>2</v>
      </c>
      <c r="C225" s="3" t="s">
        <v>12</v>
      </c>
      <c r="D225" s="3" t="s">
        <v>12</v>
      </c>
      <c r="E225" s="29" t="s">
        <v>49</v>
      </c>
      <c r="F225" s="5" t="s">
        <v>14</v>
      </c>
      <c r="G225" s="4" t="s">
        <v>13</v>
      </c>
      <c r="H225" s="3" t="s">
        <v>12</v>
      </c>
      <c r="P225" s="1329">
        <v>18</v>
      </c>
      <c r="Q225" s="1837">
        <v>8</v>
      </c>
      <c r="R225" s="1837" t="str">
        <v>Route Info</v>
      </c>
      <c r="S225" s="1837" t="str">
        <v>Route Info</v>
      </c>
      <c r="T225" s="1837" t="str">
        <v>Route Info</v>
      </c>
      <c r="U225" s="1837" t="str">
        <v>Detour</v>
      </c>
      <c r="V225" s="1837" t="str">
        <v>Route Info</v>
      </c>
      <c r="W225" s="1837" t="str">
        <v>Road Block</v>
      </c>
      <c r="X225" s="1837" t="str">
        <v>Route Info</v>
      </c>
      <c r="Y225" s="1837" t="str">
        <v/>
      </c>
      <c r="Z225" s="1837" t="str">
        <v/>
      </c>
      <c r="AA225" s="1837" t="str">
        <v/>
      </c>
      <c r="AB225" s="1837" t="str">
        <v/>
      </c>
      <c r="AC225" s="1837" t="str">
        <v/>
      </c>
      <c r="AD225" s="1837" t="str">
        <v/>
      </c>
      <c r="AE225" s="1837" t="str">
        <v>Austria</v>
      </c>
      <c r="AF225" s="1837" t="str">
        <v>Central Europe</v>
      </c>
      <c r="AG225" s="1837" t="str">
        <v>No</v>
      </c>
      <c r="AH225" s="1837" t="str">
        <v/>
      </c>
      <c r="AI225" s="1837" t="str">
        <v/>
      </c>
      <c r="AJ225" s="1110" t="str">
        <v>Zev &amp; Justin</v>
      </c>
    </row>
    <row r="226" spans="1:36">
      <c r="A226">
        <v>19</v>
      </c>
      <c r="B226">
        <v>3</v>
      </c>
      <c r="C226" s="3" t="s">
        <v>12</v>
      </c>
      <c r="D226" s="3" t="s">
        <v>12</v>
      </c>
      <c r="E226" s="4" t="s">
        <v>13</v>
      </c>
      <c r="F226" s="3" t="s">
        <v>12</v>
      </c>
      <c r="G226" s="5" t="s">
        <v>14</v>
      </c>
      <c r="H226" s="3" t="s">
        <v>12</v>
      </c>
      <c r="P226" s="1329">
        <v>18</v>
      </c>
      <c r="Q226" s="1837">
        <v>9</v>
      </c>
      <c r="R226" s="1837" t="str">
        <v>Route Info</v>
      </c>
      <c r="S226" s="1837" t="str">
        <v>Speed Bump</v>
      </c>
      <c r="T226" s="1837" t="str">
        <v>Road Block</v>
      </c>
      <c r="U226" s="1837" t="str">
        <v>Route Info</v>
      </c>
      <c r="V226" s="1837" t="str">
        <v>Detour</v>
      </c>
      <c r="W226" s="1837" t="str">
        <v>Route Info</v>
      </c>
      <c r="X226" s="1837" t="str">
        <v>Route Info</v>
      </c>
      <c r="Y226" s="1837" t="str">
        <v/>
      </c>
      <c r="Z226" s="1837" t="str">
        <v/>
      </c>
      <c r="AA226" s="1837" t="str">
        <v/>
      </c>
      <c r="AB226" s="1837" t="str">
        <v/>
      </c>
      <c r="AC226" s="1837" t="str">
        <v/>
      </c>
      <c r="AD226" s="1837" t="str">
        <v/>
      </c>
      <c r="AE226" s="1837" t="str">
        <v>Liechtenstein\nSwitzerland</v>
      </c>
      <c r="AF226" s="1837" t="str">
        <v>Central Europe\nCentral Europe</v>
      </c>
      <c r="AG226" s="1837" t="str">
        <v>Yes</v>
      </c>
      <c r="AH226" s="1837" t="str">
        <v>Double U-Turn</v>
      </c>
      <c r="AI226" s="1837">
        <v>7</v>
      </c>
      <c r="AJ226" s="1110" t="str">
        <v>Zev &amp; Justin</v>
      </c>
    </row>
    <row r="227" spans="1:36">
      <c r="A227">
        <v>19</v>
      </c>
      <c r="B227">
        <v>4</v>
      </c>
      <c r="C227" s="3" t="s">
        <v>12</v>
      </c>
      <c r="D227" s="4" t="s">
        <v>13</v>
      </c>
      <c r="E227" s="3" t="s">
        <v>12</v>
      </c>
      <c r="F227" s="5" t="s">
        <v>14</v>
      </c>
      <c r="G227" s="3" t="s">
        <v>12</v>
      </c>
      <c r="H227" s="12"/>
      <c r="P227" s="1329">
        <v>18</v>
      </c>
      <c r="Q227" s="1837">
        <v>10</v>
      </c>
      <c r="R227" s="1837" t="str">
        <v>Route Info</v>
      </c>
      <c r="S227" s="1837" t="str">
        <v>Detour</v>
      </c>
      <c r="T227" s="1837" t="str">
        <v>Route Info</v>
      </c>
      <c r="U227" s="1837" t="str">
        <v>Road Block</v>
      </c>
      <c r="V227" s="1837" t="str">
        <v>Route Info</v>
      </c>
      <c r="W227" s="1837" t="str">
        <v/>
      </c>
      <c r="X227" s="1837" t="str">
        <v/>
      </c>
      <c r="Y227" s="1837" t="str">
        <v/>
      </c>
      <c r="Z227" s="1837" t="str">
        <v/>
      </c>
      <c r="AA227" s="1837" t="str">
        <v/>
      </c>
      <c r="AB227" s="1837" t="str">
        <v/>
      </c>
      <c r="AC227" s="1837" t="str">
        <v/>
      </c>
      <c r="AD227" s="1837" t="str">
        <v/>
      </c>
      <c r="AE227" s="1837" t="str">
        <v>Switzerland</v>
      </c>
      <c r="AF227" s="1837" t="str">
        <v>Central Europe</v>
      </c>
      <c r="AG227" s="1837" t="str">
        <v>Yes</v>
      </c>
      <c r="AH227" s="1837" t="str">
        <v/>
      </c>
      <c r="AI227" s="1837" t="str">
        <v/>
      </c>
      <c r="AJ227" s="1110" t="str">
        <v>Flight Time &amp; Big Easy</v>
      </c>
    </row>
    <row r="228" spans="1:36">
      <c r="A228">
        <v>19</v>
      </c>
      <c r="B228">
        <v>5</v>
      </c>
      <c r="C228" s="3" t="s">
        <v>12</v>
      </c>
      <c r="D228" s="29" t="s">
        <v>49</v>
      </c>
      <c r="E228" s="5" t="s">
        <v>14</v>
      </c>
      <c r="F228" s="3" t="s">
        <v>12</v>
      </c>
      <c r="G228" s="5" t="s">
        <v>14</v>
      </c>
      <c r="H228" s="3" t="s">
        <v>12</v>
      </c>
      <c r="I228" s="3" t="s">
        <v>12</v>
      </c>
      <c r="P228" s="1329">
        <v>18</v>
      </c>
      <c r="Q228" s="1837">
        <v>11</v>
      </c>
      <c r="R228" s="1837" t="str">
        <v>Route Info</v>
      </c>
      <c r="S228" s="1837" t="str">
        <v>Route Info</v>
      </c>
      <c r="T228" s="1837" t="str">
        <v>Road Block</v>
      </c>
      <c r="U228" s="1837" t="str">
        <v>Route Info</v>
      </c>
      <c r="V228" s="1837" t="str">
        <v>Route Info</v>
      </c>
      <c r="W228" s="1837" t="str">
        <v>Detour</v>
      </c>
      <c r="X228" s="1837" t="str">
        <v>Route Info</v>
      </c>
      <c r="Y228" s="1837" t="str">
        <v/>
      </c>
      <c r="Z228" s="1837" t="str">
        <v/>
      </c>
      <c r="AA228" s="1837" t="str">
        <v/>
      </c>
      <c r="AB228" s="1837" t="str">
        <v/>
      </c>
      <c r="AC228" s="1837" t="str">
        <v/>
      </c>
      <c r="AD228" s="1837" t="str">
        <v/>
      </c>
      <c r="AE228" s="1837" t="str">
        <v>Brazil</v>
      </c>
      <c r="AF228" s="1837" t="str">
        <v>South America</v>
      </c>
      <c r="AG228" s="1837" t="str">
        <v>Yes</v>
      </c>
      <c r="AH228" s="1837" t="str">
        <v/>
      </c>
      <c r="AI228" s="1837" t="str">
        <v/>
      </c>
      <c r="AJ228" s="1110" t="str">
        <v>Gary &amp; Mallory</v>
      </c>
    </row>
    <row r="229" spans="1:36" ht="16.5" thickBot="1">
      <c r="A229">
        <v>19</v>
      </c>
      <c r="B229">
        <v>6</v>
      </c>
      <c r="C229" s="3" t="s">
        <v>12</v>
      </c>
      <c r="D229" s="5" t="s">
        <v>14</v>
      </c>
      <c r="E229" s="3" t="s">
        <v>12</v>
      </c>
      <c r="F229" s="4" t="s">
        <v>13</v>
      </c>
      <c r="G229" s="3" t="s">
        <v>12</v>
      </c>
      <c r="H229" s="3" t="s">
        <v>12</v>
      </c>
      <c r="P229" s="1329">
        <v>18</v>
      </c>
      <c r="Q229" s="1837" t="str">
        <v>Final</v>
      </c>
      <c r="R229" s="1837" t="str">
        <v>Route Info</v>
      </c>
      <c r="S229" s="1837" t="str">
        <v>Road Block</v>
      </c>
      <c r="T229" s="1837" t="str">
        <v>Route Info</v>
      </c>
      <c r="U229" s="1837" t="str">
        <v>Road Block</v>
      </c>
      <c r="V229" s="1837" t="str">
        <v>Route Info</v>
      </c>
      <c r="W229" s="1837" t="str">
        <v>Route Info</v>
      </c>
      <c r="X229" s="1837" t="str">
        <v>Route Info</v>
      </c>
      <c r="Y229" s="1837" t="str">
        <v>Route Info</v>
      </c>
      <c r="Z229" s="1837" t="str">
        <v>Route Info</v>
      </c>
      <c r="AA229" s="1837" t="str">
        <v/>
      </c>
      <c r="AB229" s="1837" t="str">
        <v/>
      </c>
      <c r="AC229" s="1837" t="str">
        <v/>
      </c>
      <c r="AD229" s="1837" t="str">
        <v/>
      </c>
      <c r="AE229" s="1837" t="str">
        <v>USA</v>
      </c>
      <c r="AF229" s="1837" t="str">
        <v>North America</v>
      </c>
      <c r="AG229" s="1837" t="str">
        <v>Final Leg</v>
      </c>
      <c r="AH229" s="1837" t="str">
        <v/>
      </c>
      <c r="AI229" s="1837" t="str">
        <v/>
      </c>
      <c r="AJ229" s="1110" t="str">
        <v>Kisha &amp; Jen</v>
      </c>
    </row>
    <row r="230" spans="1:36" ht="16.5" thickBot="1">
      <c r="A230">
        <v>19</v>
      </c>
      <c r="B230">
        <v>7</v>
      </c>
      <c r="C230" s="3" t="s">
        <v>12</v>
      </c>
      <c r="D230" s="29" t="s">
        <v>49</v>
      </c>
      <c r="E230" s="5" t="s">
        <v>14</v>
      </c>
      <c r="F230" s="4" t="s">
        <v>13</v>
      </c>
      <c r="G230" s="614" t="s">
        <v>12</v>
      </c>
      <c r="H230" s="3" t="s">
        <v>12</v>
      </c>
      <c r="P230" s="1329">
        <v>19</v>
      </c>
      <c r="Q230" s="1837">
        <v>1</v>
      </c>
      <c r="R230" s="1837" t="str">
        <v>Route Info</v>
      </c>
      <c r="S230" s="1837" t="str">
        <v>Route Info</v>
      </c>
      <c r="T230" s="1837" t="str">
        <v>Road Block</v>
      </c>
      <c r="U230" s="1837" t="str">
        <v>Route Info</v>
      </c>
      <c r="V230" s="1837" t="str">
        <v>Hazard</v>
      </c>
      <c r="W230" s="1837" t="str">
        <v>Route Info</v>
      </c>
      <c r="X230" s="1837" t="str">
        <v>Route Info</v>
      </c>
      <c r="Y230" s="1837" t="str">
        <v>Route Info</v>
      </c>
      <c r="Z230" s="1837" t="str">
        <v/>
      </c>
      <c r="AA230" s="1837" t="str">
        <v/>
      </c>
      <c r="AB230" s="1837" t="str">
        <v/>
      </c>
      <c r="AC230" s="1837" t="str">
        <v/>
      </c>
      <c r="AD230" s="1837" t="str">
        <v/>
      </c>
      <c r="AE230" s="1837" t="str">
        <v>Taiwan</v>
      </c>
      <c r="AF230" s="1837" t="str">
        <v>East Asia</v>
      </c>
      <c r="AG230" s="1837" t="str">
        <v>No</v>
      </c>
      <c r="AH230" s="1837" t="str">
        <v>Express Pass</v>
      </c>
      <c r="AI230" s="1837">
        <v>8</v>
      </c>
      <c r="AJ230" s="1110" t="str">
        <v>Ernie &amp; Cindy</v>
      </c>
    </row>
    <row r="231" spans="1:36" ht="16.5" thickBot="1">
      <c r="A231">
        <v>19</v>
      </c>
      <c r="B231">
        <v>8</v>
      </c>
      <c r="C231" s="3" t="s">
        <v>12</v>
      </c>
      <c r="D231" s="3" t="s">
        <v>12</v>
      </c>
      <c r="E231" s="5" t="s">
        <v>14</v>
      </c>
      <c r="F231" s="3" t="s">
        <v>12</v>
      </c>
      <c r="G231" s="4" t="s">
        <v>13</v>
      </c>
      <c r="H231" s="3" t="s">
        <v>12</v>
      </c>
      <c r="I231" s="614" t="s">
        <v>12</v>
      </c>
      <c r="P231" s="1329">
        <v>19</v>
      </c>
      <c r="Q231" s="1837">
        <v>2</v>
      </c>
      <c r="R231" s="1837" t="str">
        <v>Route Info</v>
      </c>
      <c r="S231" s="1837" t="str">
        <v>Route Info</v>
      </c>
      <c r="T231" s="1837" t="str">
        <v>Speed Bump</v>
      </c>
      <c r="U231" s="1837" t="str">
        <v>Road Block</v>
      </c>
      <c r="V231" s="1837" t="str">
        <v>Detour</v>
      </c>
      <c r="W231" s="1837" t="str">
        <v>Route Info</v>
      </c>
      <c r="X231" s="1837" t="str">
        <v/>
      </c>
      <c r="Y231" s="1837" t="str">
        <v/>
      </c>
      <c r="Z231" s="1837" t="str">
        <v/>
      </c>
      <c r="AA231" s="1837" t="str">
        <v/>
      </c>
      <c r="AB231" s="1837" t="str">
        <v/>
      </c>
      <c r="AC231" s="1837" t="str">
        <v/>
      </c>
      <c r="AD231" s="1837" t="str">
        <v/>
      </c>
      <c r="AE231" s="1837" t="str">
        <v>Indonesia</v>
      </c>
      <c r="AF231" s="1837" t="str">
        <v>South East Asia</v>
      </c>
      <c r="AG231" s="1837" t="str">
        <v>Yes</v>
      </c>
      <c r="AH231" s="1837" t="str">
        <v/>
      </c>
      <c r="AI231" s="1837" t="str">
        <v/>
      </c>
      <c r="AJ231" s="1110" t="str">
        <v>Andy &amp; Tommy</v>
      </c>
    </row>
    <row r="232" spans="1:36">
      <c r="A232">
        <v>19</v>
      </c>
      <c r="B232">
        <v>9</v>
      </c>
      <c r="C232" s="3" t="s">
        <v>12</v>
      </c>
      <c r="D232" s="5" t="s">
        <v>14</v>
      </c>
      <c r="E232" s="3" t="s">
        <v>12</v>
      </c>
      <c r="F232" s="3" t="s">
        <v>12</v>
      </c>
      <c r="G232" s="3" t="s">
        <v>12</v>
      </c>
      <c r="H232" s="3" t="s">
        <v>12</v>
      </c>
      <c r="I232" s="3" t="s">
        <v>12</v>
      </c>
      <c r="J232" s="3" t="s">
        <v>12</v>
      </c>
      <c r="P232" s="1329">
        <v>19</v>
      </c>
      <c r="Q232" s="1837">
        <v>3</v>
      </c>
      <c r="R232" s="1837" t="str">
        <v>Route Info</v>
      </c>
      <c r="S232" s="1837" t="str">
        <v>Route Info</v>
      </c>
      <c r="T232" s="1837" t="str">
        <v>Detour</v>
      </c>
      <c r="U232" s="1837" t="str">
        <v>Route Info</v>
      </c>
      <c r="V232" s="1837" t="str">
        <v>Road Block</v>
      </c>
      <c r="W232" s="1837" t="str">
        <v>Route Info</v>
      </c>
      <c r="X232" s="1837" t="str">
        <v/>
      </c>
      <c r="Y232" s="1837" t="str">
        <v/>
      </c>
      <c r="Z232" s="1837" t="str">
        <v/>
      </c>
      <c r="AA232" s="1837" t="str">
        <v/>
      </c>
      <c r="AB232" s="1837" t="str">
        <v/>
      </c>
      <c r="AC232" s="1837" t="str">
        <v/>
      </c>
      <c r="AD232" s="1837" t="str">
        <v/>
      </c>
      <c r="AE232" s="1837" t="str">
        <v>Indonesia</v>
      </c>
      <c r="AF232" s="1837" t="str">
        <v>South East Asia</v>
      </c>
      <c r="AG232" s="1837" t="str">
        <v>Yes</v>
      </c>
      <c r="AH232" s="1837" t="str">
        <v/>
      </c>
      <c r="AI232" s="1837" t="str">
        <v/>
      </c>
      <c r="AJ232" s="1110" t="str">
        <v>Andy &amp; Tommy</v>
      </c>
    </row>
    <row r="233" spans="1:36">
      <c r="A233">
        <v>19</v>
      </c>
      <c r="B233">
        <v>10</v>
      </c>
      <c r="C233" s="3" t="s">
        <v>12</v>
      </c>
      <c r="D233" s="5" t="s">
        <v>14</v>
      </c>
      <c r="E233" s="3" t="s">
        <v>12</v>
      </c>
      <c r="F233" s="4" t="s">
        <v>13</v>
      </c>
      <c r="G233" s="3" t="s">
        <v>12</v>
      </c>
      <c r="H233" s="3" t="s">
        <v>12</v>
      </c>
      <c r="I233" s="3" t="s">
        <v>12</v>
      </c>
      <c r="P233" s="1329">
        <v>19</v>
      </c>
      <c r="Q233" s="1837">
        <v>4</v>
      </c>
      <c r="R233" s="1837" t="str">
        <v>Route Info</v>
      </c>
      <c r="S233" s="1837" t="str">
        <v>Detour</v>
      </c>
      <c r="T233" s="1837" t="str">
        <v>Route Info</v>
      </c>
      <c r="U233" s="1837" t="str">
        <v>Road Block</v>
      </c>
      <c r="V233" s="1837" t="str">
        <v>Route Info</v>
      </c>
      <c r="W233" s="1837" t="str">
        <v/>
      </c>
      <c r="X233" s="1837" t="str">
        <v/>
      </c>
      <c r="Y233" s="1837" t="str">
        <v/>
      </c>
      <c r="Z233" s="1837" t="str">
        <v/>
      </c>
      <c r="AA233" s="1837" t="str">
        <v/>
      </c>
      <c r="AB233" s="1837" t="str">
        <v/>
      </c>
      <c r="AC233" s="1837" t="str">
        <v/>
      </c>
      <c r="AD233" s="1837" t="str">
        <v/>
      </c>
      <c r="AE233" s="1837" t="str">
        <v>Thailand</v>
      </c>
      <c r="AF233" s="1837" t="str">
        <v>South East Asia</v>
      </c>
      <c r="AG233" s="1837" t="str">
        <v>No</v>
      </c>
      <c r="AH233" s="1837" t="str">
        <v/>
      </c>
      <c r="AI233" s="1837" t="str">
        <v/>
      </c>
      <c r="AJ233" s="1110" t="str">
        <v>Andy &amp; Tommy</v>
      </c>
    </row>
    <row r="234" spans="1:36">
      <c r="A234">
        <v>19</v>
      </c>
      <c r="B234">
        <v>11</v>
      </c>
      <c r="C234" s="3" t="s">
        <v>12</v>
      </c>
      <c r="D234" s="3" t="s">
        <v>12</v>
      </c>
      <c r="E234" s="3" t="s">
        <v>12</v>
      </c>
      <c r="F234" s="5" t="s">
        <v>14</v>
      </c>
      <c r="G234" s="3" t="s">
        <v>12</v>
      </c>
      <c r="H234" s="4" t="s">
        <v>13</v>
      </c>
      <c r="I234" s="3" t="s">
        <v>12</v>
      </c>
      <c r="P234" s="1329">
        <v>19</v>
      </c>
      <c r="Q234" s="1837">
        <v>5</v>
      </c>
      <c r="R234" s="1837" t="str">
        <v>Route Info</v>
      </c>
      <c r="S234" s="1837" t="str">
        <v>Speed Bump</v>
      </c>
      <c r="T234" s="1837" t="str">
        <v>Road Block</v>
      </c>
      <c r="U234" s="1837" t="str">
        <v>Route Info</v>
      </c>
      <c r="V234" s="1837" t="str">
        <v>Road Block</v>
      </c>
      <c r="W234" s="1837" t="str">
        <v>Route Info</v>
      </c>
      <c r="X234" s="1837" t="str">
        <v>Route Info</v>
      </c>
      <c r="Y234" s="1837" t="str">
        <v/>
      </c>
      <c r="Z234" s="1837" t="str">
        <v/>
      </c>
      <c r="AA234" s="1837" t="str">
        <v/>
      </c>
      <c r="AB234" s="1837" t="str">
        <v/>
      </c>
      <c r="AC234" s="1837" t="str">
        <v/>
      </c>
      <c r="AD234" s="1837" t="str">
        <v/>
      </c>
      <c r="AE234" s="1837" t="str">
        <v>Thailand</v>
      </c>
      <c r="AF234" s="1837" t="str">
        <v>South East Asia</v>
      </c>
      <c r="AG234" s="1837" t="str">
        <v>Yes</v>
      </c>
      <c r="AH234" s="1837" t="str">
        <v/>
      </c>
      <c r="AI234" s="1837" t="str">
        <v/>
      </c>
      <c r="AJ234" s="1110" t="str">
        <v>Amani &amp; Marcus</v>
      </c>
    </row>
    <row r="235" spans="1:36" ht="16.5" thickBot="1">
      <c r="A235">
        <v>19</v>
      </c>
      <c r="B235" t="s">
        <v>2810</v>
      </c>
      <c r="C235" s="3" t="s">
        <v>12</v>
      </c>
      <c r="D235" s="3" t="s">
        <v>12</v>
      </c>
      <c r="E235" s="3" t="s">
        <v>12</v>
      </c>
      <c r="F235" s="5" t="s">
        <v>14</v>
      </c>
      <c r="G235" s="3" t="s">
        <v>12</v>
      </c>
      <c r="H235" s="3" t="s">
        <v>12</v>
      </c>
      <c r="I235" s="3" t="s">
        <v>12</v>
      </c>
      <c r="P235" s="1329">
        <v>19</v>
      </c>
      <c r="Q235" s="1837">
        <v>6</v>
      </c>
      <c r="R235" s="1837" t="str">
        <v>Route Info</v>
      </c>
      <c r="S235" s="1837" t="str">
        <v>Road Block</v>
      </c>
      <c r="T235" s="1837" t="str">
        <v>Route Info</v>
      </c>
      <c r="U235" s="1837" t="str">
        <v>Detour</v>
      </c>
      <c r="V235" s="1837" t="str">
        <v>Route Info</v>
      </c>
      <c r="W235" s="1837" t="str">
        <v>Route Info</v>
      </c>
      <c r="X235" s="1837" t="str">
        <v/>
      </c>
      <c r="Y235" s="1837" t="str">
        <v/>
      </c>
      <c r="Z235" s="1837" t="str">
        <v/>
      </c>
      <c r="AA235" s="1837" t="str">
        <v/>
      </c>
      <c r="AB235" s="1837" t="str">
        <v/>
      </c>
      <c r="AC235" s="1837" t="str">
        <v/>
      </c>
      <c r="AD235" s="1837" t="str">
        <v/>
      </c>
      <c r="AE235" s="1837" t="str">
        <v>Malawi</v>
      </c>
      <c r="AF235" s="1837" t="str">
        <v>East Africa</v>
      </c>
      <c r="AG235" s="1837" t="str">
        <v>No</v>
      </c>
      <c r="AH235" s="1837" t="str">
        <v/>
      </c>
      <c r="AI235" s="1837" t="str">
        <v/>
      </c>
      <c r="AJ235" s="1110" t="str">
        <v>Andy &amp; Tommy</v>
      </c>
    </row>
    <row r="236" spans="1:36" ht="16.5" thickBot="1">
      <c r="A236">
        <v>20</v>
      </c>
      <c r="B236">
        <v>1</v>
      </c>
      <c r="C236" s="3" t="s">
        <v>12</v>
      </c>
      <c r="D236" s="3" t="s">
        <v>12</v>
      </c>
      <c r="E236" s="3" t="s">
        <v>12</v>
      </c>
      <c r="F236" s="5" t="s">
        <v>14</v>
      </c>
      <c r="G236" s="3" t="s">
        <v>12</v>
      </c>
      <c r="H236" s="613" t="s">
        <v>12</v>
      </c>
      <c r="P236" s="1329">
        <v>19</v>
      </c>
      <c r="Q236" s="1837">
        <v>7</v>
      </c>
      <c r="R236" s="1837" t="str">
        <v>Route Info</v>
      </c>
      <c r="S236" s="1837" t="str">
        <v>Speed Bump</v>
      </c>
      <c r="T236" s="1837" t="str">
        <v>Road Block</v>
      </c>
      <c r="U236" s="1837" t="str">
        <v>Detour</v>
      </c>
      <c r="V236" s="1837" t="str">
        <v>Route Info</v>
      </c>
      <c r="W236" s="1837" t="str">
        <v>Route Info</v>
      </c>
      <c r="X236" s="1837" t="str">
        <v/>
      </c>
      <c r="Y236" s="1837" t="str">
        <v/>
      </c>
      <c r="Z236" s="1837" t="str">
        <v/>
      </c>
      <c r="AA236" s="1837" t="str">
        <v/>
      </c>
      <c r="AB236" s="1837" t="str">
        <v/>
      </c>
      <c r="AC236" s="1837" t="str">
        <v/>
      </c>
      <c r="AD236" s="1837" t="str">
        <v/>
      </c>
      <c r="AE236" s="1837" t="str">
        <v>Malawi</v>
      </c>
      <c r="AF236" s="1837" t="str">
        <v>East Africa</v>
      </c>
      <c r="AG236" s="1837" t="str">
        <v>Yes</v>
      </c>
      <c r="AH236" s="1837" t="str">
        <v>Double U-Turn</v>
      </c>
      <c r="AI236" s="1837">
        <v>5</v>
      </c>
      <c r="AJ236" s="1110" t="str">
        <v>Andy &amp; Tommy</v>
      </c>
    </row>
    <row r="237" spans="1:36">
      <c r="A237">
        <v>20</v>
      </c>
      <c r="B237">
        <v>2</v>
      </c>
      <c r="C237" s="3" t="s">
        <v>12</v>
      </c>
      <c r="D237" s="4" t="s">
        <v>13</v>
      </c>
      <c r="E237" s="3" t="s">
        <v>12</v>
      </c>
      <c r="F237" s="5" t="s">
        <v>14</v>
      </c>
      <c r="G237" s="3" t="s">
        <v>12</v>
      </c>
      <c r="P237" s="1329">
        <v>19</v>
      </c>
      <c r="Q237" s="1837">
        <v>8</v>
      </c>
      <c r="R237" s="1837" t="str">
        <v>Route Info</v>
      </c>
      <c r="S237" s="1837" t="str">
        <v>Route Info</v>
      </c>
      <c r="T237" s="1837" t="str">
        <v>Road Block</v>
      </c>
      <c r="U237" s="1837" t="str">
        <v>Route Info</v>
      </c>
      <c r="V237" s="1837" t="str">
        <v>Detour</v>
      </c>
      <c r="W237" s="1837" t="str">
        <v>Route Info</v>
      </c>
      <c r="X237" s="1837" t="str">
        <v>Route Info</v>
      </c>
      <c r="Y237" s="1837" t="str">
        <v/>
      </c>
      <c r="Z237" s="1837" t="str">
        <v/>
      </c>
      <c r="AA237" s="1837" t="str">
        <v/>
      </c>
      <c r="AB237" s="1837" t="str">
        <v/>
      </c>
      <c r="AC237" s="1837" t="str">
        <v/>
      </c>
      <c r="AD237" s="1837" t="str">
        <v/>
      </c>
      <c r="AE237" s="1837" t="str">
        <v>Denmark</v>
      </c>
      <c r="AF237" s="1837" t="str">
        <v>Northern Europe</v>
      </c>
      <c r="AG237" s="1837" t="str">
        <v>Yes</v>
      </c>
      <c r="AH237" s="1837" t="str">
        <v>Double U-Turn</v>
      </c>
      <c r="AI237" s="1837">
        <v>7</v>
      </c>
      <c r="AJ237" s="1110" t="str">
        <v>Ernie &amp; Cindy</v>
      </c>
    </row>
    <row r="238" spans="1:36">
      <c r="A238">
        <v>20</v>
      </c>
      <c r="B238">
        <v>3</v>
      </c>
      <c r="C238" s="3" t="s">
        <v>12</v>
      </c>
      <c r="D238" s="4" t="s">
        <v>13</v>
      </c>
      <c r="E238" s="3" t="s">
        <v>12</v>
      </c>
      <c r="F238" s="5" t="s">
        <v>14</v>
      </c>
      <c r="G238" s="3" t="s">
        <v>12</v>
      </c>
      <c r="H238" s="12"/>
      <c r="P238" s="1329">
        <v>19</v>
      </c>
      <c r="Q238" s="1837">
        <v>9</v>
      </c>
      <c r="R238" s="1837" t="str">
        <v>Route Info</v>
      </c>
      <c r="S238" s="1837" t="str">
        <v>Road Block</v>
      </c>
      <c r="T238" s="1837" t="str">
        <v>Route Info</v>
      </c>
      <c r="U238" s="1837" t="str">
        <v>Route Info</v>
      </c>
      <c r="V238" s="1837" t="str">
        <v>Route Info</v>
      </c>
      <c r="W238" s="1837" t="str">
        <v>Route Info</v>
      </c>
      <c r="X238" s="1837" t="str">
        <v>Route Info</v>
      </c>
      <c r="Y238" s="1837" t="str">
        <v>Route Info</v>
      </c>
      <c r="Z238" s="1837" t="str">
        <v/>
      </c>
      <c r="AA238" s="1837" t="str">
        <v/>
      </c>
      <c r="AB238" s="1837" t="str">
        <v/>
      </c>
      <c r="AC238" s="1837" t="str">
        <v/>
      </c>
      <c r="AD238" s="1837" t="str">
        <v/>
      </c>
      <c r="AE238" s="1837" t="str">
        <v>Germany\nBelgium</v>
      </c>
      <c r="AF238" s="1837" t="str">
        <v>Central Europe\nCentral Europe</v>
      </c>
      <c r="AG238" s="1837" t="str">
        <v>No</v>
      </c>
      <c r="AH238" s="1837" t="str">
        <v/>
      </c>
      <c r="AI238" s="1837" t="str">
        <v/>
      </c>
      <c r="AJ238" s="1110" t="str">
        <v>Amani &amp; Marcus</v>
      </c>
    </row>
    <row r="239" spans="1:36">
      <c r="A239">
        <v>20</v>
      </c>
      <c r="B239">
        <v>4</v>
      </c>
      <c r="C239" s="3" t="s">
        <v>12</v>
      </c>
      <c r="D239" s="19" t="s">
        <v>71</v>
      </c>
      <c r="E239" s="5" t="s">
        <v>14</v>
      </c>
      <c r="F239" s="3" t="s">
        <v>12</v>
      </c>
      <c r="G239" s="3" t="s">
        <v>12</v>
      </c>
      <c r="H239" s="4" t="s">
        <v>13</v>
      </c>
      <c r="I239" s="3" t="s">
        <v>12</v>
      </c>
      <c r="P239" s="1329">
        <v>19</v>
      </c>
      <c r="Q239" s="1837">
        <v>10</v>
      </c>
      <c r="R239" s="1837" t="str">
        <v>Route Info</v>
      </c>
      <c r="S239" s="1837" t="str">
        <v>Road Block</v>
      </c>
      <c r="T239" s="1837" t="str">
        <v>Route Info</v>
      </c>
      <c r="U239" s="1837" t="str">
        <v>Detour</v>
      </c>
      <c r="V239" s="1837" t="str">
        <v>Route Info</v>
      </c>
      <c r="W239" s="1837" t="str">
        <v>Route Info</v>
      </c>
      <c r="X239" s="1837" t="str">
        <v>Route Info</v>
      </c>
      <c r="Y239" s="1837" t="str">
        <v/>
      </c>
      <c r="Z239" s="1837" t="str">
        <v/>
      </c>
      <c r="AA239" s="1837" t="str">
        <v/>
      </c>
      <c r="AB239" s="1837" t="str">
        <v/>
      </c>
      <c r="AC239" s="1837" t="str">
        <v/>
      </c>
      <c r="AD239" s="1837" t="str">
        <v/>
      </c>
      <c r="AE239" s="1837" t="str">
        <v>Belgium</v>
      </c>
      <c r="AF239" s="1837" t="str">
        <v>Central Europe</v>
      </c>
      <c r="AG239" s="1837" t="str">
        <v>Yes</v>
      </c>
      <c r="AH239" s="1837" t="str">
        <v/>
      </c>
      <c r="AI239" s="1837" t="str">
        <v/>
      </c>
      <c r="AJ239" s="1110" t="str">
        <v>Andy &amp; Tommy</v>
      </c>
    </row>
    <row r="240" spans="1:36">
      <c r="A240">
        <v>20</v>
      </c>
      <c r="B240">
        <v>5</v>
      </c>
      <c r="C240" s="3" t="s">
        <v>12</v>
      </c>
      <c r="D240" s="29" t="s">
        <v>49</v>
      </c>
      <c r="E240" s="4" t="s">
        <v>13</v>
      </c>
      <c r="F240" s="3" t="s">
        <v>12</v>
      </c>
      <c r="G240" s="3" t="s">
        <v>12</v>
      </c>
      <c r="H240" s="5" t="s">
        <v>14</v>
      </c>
      <c r="I240" s="3" t="s">
        <v>12</v>
      </c>
      <c r="P240" s="1329">
        <v>19</v>
      </c>
      <c r="Q240" s="1837">
        <v>11</v>
      </c>
      <c r="R240" s="1837" t="str">
        <v>Route Info</v>
      </c>
      <c r="S240" s="1837" t="str">
        <v>Route Info</v>
      </c>
      <c r="T240" s="1837" t="str">
        <v>Route Info</v>
      </c>
      <c r="U240" s="1837" t="str">
        <v>Road Block</v>
      </c>
      <c r="V240" s="1837" t="str">
        <v>Route Info</v>
      </c>
      <c r="W240" s="1837" t="str">
        <v>Detour</v>
      </c>
      <c r="X240" s="1837" t="str">
        <v>Route Info</v>
      </c>
      <c r="Y240" s="1837" t="str">
        <v/>
      </c>
      <c r="Z240" s="1837" t="str">
        <v/>
      </c>
      <c r="AA240" s="1837" t="str">
        <v/>
      </c>
      <c r="AB240" s="1837" t="str">
        <v/>
      </c>
      <c r="AC240" s="1837" t="str">
        <v/>
      </c>
      <c r="AD240" s="1837" t="str">
        <v/>
      </c>
      <c r="AE240" s="1837" t="str">
        <v>Netherlands\nPanama</v>
      </c>
      <c r="AF240" s="1837" t="str">
        <v>Central Europe\nCentral America</v>
      </c>
      <c r="AG240" s="1837" t="str">
        <v>Yes</v>
      </c>
      <c r="AH240" s="1837" t="str">
        <v/>
      </c>
      <c r="AI240" s="1837" t="str">
        <v/>
      </c>
      <c r="AJ240" s="1110" t="str">
        <v>Jeremy &amp; Sandy</v>
      </c>
    </row>
    <row r="241" spans="1:36">
      <c r="A241">
        <v>20</v>
      </c>
      <c r="B241">
        <v>6</v>
      </c>
      <c r="C241" s="3" t="s">
        <v>12</v>
      </c>
      <c r="D241" s="19" t="s">
        <v>71</v>
      </c>
      <c r="E241" s="3" t="s">
        <v>12</v>
      </c>
      <c r="F241" s="5" t="s">
        <v>14</v>
      </c>
      <c r="G241" s="3" t="s">
        <v>12</v>
      </c>
      <c r="H241" s="4" t="s">
        <v>13</v>
      </c>
      <c r="I241" s="3" t="s">
        <v>12</v>
      </c>
      <c r="P241" s="1329">
        <v>19</v>
      </c>
      <c r="Q241" s="1837" t="str">
        <v>Final</v>
      </c>
      <c r="R241" s="1837" t="str">
        <v>Route Info</v>
      </c>
      <c r="S241" s="1837" t="str">
        <v>Route Info</v>
      </c>
      <c r="T241" s="1837" t="str">
        <v>Route Info</v>
      </c>
      <c r="U241" s="1837" t="str">
        <v>Road Block</v>
      </c>
      <c r="V241" s="1837" t="str">
        <v>Route Info</v>
      </c>
      <c r="W241" s="1837" t="str">
        <v>Route Info</v>
      </c>
      <c r="X241" s="1837" t="str">
        <v>Route Info</v>
      </c>
      <c r="Y241" s="1837" t="str">
        <v/>
      </c>
      <c r="Z241" s="1837" t="str">
        <v/>
      </c>
      <c r="AA241" s="1837" t="str">
        <v/>
      </c>
      <c r="AB241" s="1837" t="str">
        <v/>
      </c>
      <c r="AC241" s="1837" t="str">
        <v/>
      </c>
      <c r="AD241" s="1837" t="str">
        <v/>
      </c>
      <c r="AE241" s="1837" t="str">
        <v>USA</v>
      </c>
      <c r="AF241" s="1837" t="str">
        <v>North America</v>
      </c>
      <c r="AG241" s="1837" t="str">
        <v>Final Leg</v>
      </c>
      <c r="AH241" s="1837" t="str">
        <v/>
      </c>
      <c r="AI241" s="1837" t="str">
        <v/>
      </c>
      <c r="AJ241" s="1110" t="str">
        <v>Ernie &amp; Cindy</v>
      </c>
    </row>
    <row r="242" spans="1:36" ht="16.5" thickBot="1">
      <c r="A242">
        <v>20</v>
      </c>
      <c r="B242">
        <v>7</v>
      </c>
      <c r="C242" s="3" t="s">
        <v>12</v>
      </c>
      <c r="D242" s="3" t="s">
        <v>12</v>
      </c>
      <c r="E242" s="4" t="s">
        <v>13</v>
      </c>
      <c r="F242" s="3" t="s">
        <v>12</v>
      </c>
      <c r="G242" s="3" t="s">
        <v>12</v>
      </c>
      <c r="P242" s="1329">
        <v>20</v>
      </c>
      <c r="Q242" s="1837">
        <v>1</v>
      </c>
      <c r="R242" s="1837" t="str">
        <v>Route Info</v>
      </c>
      <c r="S242" s="1837" t="str">
        <v>Route Info</v>
      </c>
      <c r="T242" s="1837" t="str">
        <v>Route Info</v>
      </c>
      <c r="U242" s="1837" t="str">
        <v>Road Block</v>
      </c>
      <c r="V242" s="1837" t="str">
        <v>Route Info</v>
      </c>
      <c r="W242" s="1837" t="str">
        <v>Route Info</v>
      </c>
      <c r="X242" s="1837" t="str">
        <v/>
      </c>
      <c r="Y242" s="1837" t="str">
        <v/>
      </c>
      <c r="Z242" s="1837" t="str">
        <v/>
      </c>
      <c r="AA242" s="1837" t="str">
        <v/>
      </c>
      <c r="AB242" s="1837" t="str">
        <v/>
      </c>
      <c r="AC242" s="1837" t="str">
        <v/>
      </c>
      <c r="AD242" s="1837" t="str">
        <v/>
      </c>
      <c r="AE242" s="1837" t="str">
        <v>Argentina</v>
      </c>
      <c r="AF242" s="1837" t="str">
        <v>South America</v>
      </c>
      <c r="AG242" s="1837" t="str">
        <v>Yes</v>
      </c>
      <c r="AH242" s="1837" t="str">
        <v>Express Pass</v>
      </c>
      <c r="AI242" s="1837">
        <v>6</v>
      </c>
      <c r="AJ242" s="1110" t="str">
        <v>Rachel &amp; Dave</v>
      </c>
    </row>
    <row r="243" spans="1:36" ht="16.5" thickBot="1">
      <c r="A243">
        <v>20</v>
      </c>
      <c r="B243">
        <v>8</v>
      </c>
      <c r="C243" s="3" t="s">
        <v>12</v>
      </c>
      <c r="D243" s="4" t="s">
        <v>13</v>
      </c>
      <c r="E243" s="822" t="s">
        <v>49</v>
      </c>
      <c r="F243" s="614" t="s">
        <v>12</v>
      </c>
      <c r="G243" s="3" t="s">
        <v>12</v>
      </c>
      <c r="H243" s="5" t="s">
        <v>14</v>
      </c>
      <c r="I243" s="3" t="s">
        <v>12</v>
      </c>
      <c r="P243" s="1329">
        <v>20</v>
      </c>
      <c r="Q243" s="1837">
        <v>2</v>
      </c>
      <c r="R243" s="1837" t="str">
        <v>Route Info</v>
      </c>
      <c r="S243" s="1837" t="str">
        <v>Detour</v>
      </c>
      <c r="T243" s="1837" t="str">
        <v>Route Info</v>
      </c>
      <c r="U243" s="1837" t="str">
        <v>Road Block</v>
      </c>
      <c r="V243" s="1837" t="str">
        <v>Route Info</v>
      </c>
      <c r="W243" s="1837" t="str">
        <v/>
      </c>
      <c r="X243" s="1837" t="str">
        <v/>
      </c>
      <c r="Y243" s="1837" t="str">
        <v/>
      </c>
      <c r="Z243" s="1837" t="str">
        <v/>
      </c>
      <c r="AA243" s="1837" t="str">
        <v/>
      </c>
      <c r="AB243" s="1837" t="str">
        <v/>
      </c>
      <c r="AC243" s="1837" t="str">
        <v/>
      </c>
      <c r="AD243" s="1837" t="str">
        <v/>
      </c>
      <c r="AE243" s="1837" t="str">
        <v>Argentina</v>
      </c>
      <c r="AF243" s="1837" t="str">
        <v>South America</v>
      </c>
      <c r="AG243" s="1837" t="str">
        <v>Yes</v>
      </c>
      <c r="AH243" s="1837" t="str">
        <v/>
      </c>
      <c r="AI243" s="1837" t="str">
        <v/>
      </c>
      <c r="AJ243" s="1110" t="str">
        <v>Rachel &amp; Dave</v>
      </c>
    </row>
    <row r="244" spans="1:36">
      <c r="A244">
        <v>20</v>
      </c>
      <c r="B244">
        <v>9</v>
      </c>
      <c r="C244" s="3" t="s">
        <v>12</v>
      </c>
      <c r="D244" s="5" t="s">
        <v>14</v>
      </c>
      <c r="E244" s="3" t="s">
        <v>12</v>
      </c>
      <c r="F244" s="4" t="s">
        <v>13</v>
      </c>
      <c r="G244" s="3" t="s">
        <v>12</v>
      </c>
      <c r="P244" s="1329">
        <v>20</v>
      </c>
      <c r="Q244" s="1837">
        <v>3</v>
      </c>
      <c r="R244" s="1837" t="str">
        <v>Route Info</v>
      </c>
      <c r="S244" s="1837" t="str">
        <v>Detour</v>
      </c>
      <c r="T244" s="1837" t="str">
        <v>Route Info</v>
      </c>
      <c r="U244" s="1837" t="str">
        <v>Road Block</v>
      </c>
      <c r="V244" s="1837" t="str">
        <v>Route Info</v>
      </c>
      <c r="W244" s="1837" t="str">
        <v/>
      </c>
      <c r="X244" s="1837" t="str">
        <v/>
      </c>
      <c r="Y244" s="1837" t="str">
        <v/>
      </c>
      <c r="Z244" s="1837" t="str">
        <v/>
      </c>
      <c r="AA244" s="1837" t="str">
        <v/>
      </c>
      <c r="AB244" s="1837" t="str">
        <v/>
      </c>
      <c r="AC244" s="1837" t="str">
        <v/>
      </c>
      <c r="AD244" s="1837" t="str">
        <v/>
      </c>
      <c r="AE244" s="1837" t="str">
        <v>Paraguay</v>
      </c>
      <c r="AF244" s="1837" t="str">
        <v>South America</v>
      </c>
      <c r="AG244" s="1837" t="str">
        <v>Yes</v>
      </c>
      <c r="AH244" s="1837" t="str">
        <v/>
      </c>
      <c r="AI244" s="1837" t="str">
        <v/>
      </c>
      <c r="AJ244" s="1110" t="str">
        <v>Art &amp; JJ</v>
      </c>
    </row>
    <row r="245" spans="1:36">
      <c r="A245">
        <v>20</v>
      </c>
      <c r="B245">
        <v>10</v>
      </c>
      <c r="C245" s="3" t="s">
        <v>12</v>
      </c>
      <c r="D245" s="29" t="s">
        <v>49</v>
      </c>
      <c r="E245" s="19" t="s">
        <v>71</v>
      </c>
      <c r="F245" s="3" t="s">
        <v>12</v>
      </c>
      <c r="G245" s="5" t="s">
        <v>14</v>
      </c>
      <c r="H245" s="3" t="s">
        <v>12</v>
      </c>
      <c r="I245" s="4" t="s">
        <v>13</v>
      </c>
      <c r="J245" s="3" t="s">
        <v>12</v>
      </c>
      <c r="P245" s="1329">
        <v>20</v>
      </c>
      <c r="Q245" s="1837">
        <v>4</v>
      </c>
      <c r="R245" s="1837" t="str">
        <v>Route Info</v>
      </c>
      <c r="S245" s="1837" t="str">
        <v>Fast Forward</v>
      </c>
      <c r="T245" s="1837" t="str">
        <v>Road Block</v>
      </c>
      <c r="U245" s="1837" t="str">
        <v>Route Info</v>
      </c>
      <c r="V245" s="1837" t="str">
        <v>Route Info</v>
      </c>
      <c r="W245" s="1837" t="str">
        <v>Detour</v>
      </c>
      <c r="X245" s="1837" t="str">
        <v>Route Info</v>
      </c>
      <c r="Y245" s="1837" t="str">
        <v/>
      </c>
      <c r="Z245" s="1837" t="str">
        <v/>
      </c>
      <c r="AA245" s="1837" t="str">
        <v/>
      </c>
      <c r="AB245" s="1837" t="str">
        <v/>
      </c>
      <c r="AC245" s="1837" t="str">
        <v/>
      </c>
      <c r="AD245" s="1837" t="str">
        <v/>
      </c>
      <c r="AE245" s="1837" t="str">
        <v>Italy</v>
      </c>
      <c r="AF245" s="1837" t="str">
        <v>Southern Europe</v>
      </c>
      <c r="AG245" s="1837" t="str">
        <v>No</v>
      </c>
      <c r="AH245" s="1837" t="str">
        <v/>
      </c>
      <c r="AI245" s="1837" t="str">
        <v/>
      </c>
      <c r="AJ245" s="1110" t="str">
        <v>Art &amp; JJ</v>
      </c>
    </row>
    <row r="246" spans="1:36">
      <c r="A246">
        <v>20</v>
      </c>
      <c r="B246">
        <v>11</v>
      </c>
      <c r="C246" s="3" t="s">
        <v>12</v>
      </c>
      <c r="D246" s="3" t="s">
        <v>12</v>
      </c>
      <c r="E246" s="5" t="s">
        <v>14</v>
      </c>
      <c r="F246" s="3" t="s">
        <v>12</v>
      </c>
      <c r="G246" s="4" t="s">
        <v>13</v>
      </c>
      <c r="H246" s="3" t="s">
        <v>12</v>
      </c>
      <c r="P246" s="1329">
        <v>20</v>
      </c>
      <c r="Q246" s="1837">
        <v>5</v>
      </c>
      <c r="R246" s="1837" t="str">
        <v>Route Info</v>
      </c>
      <c r="S246" s="1837" t="str">
        <v>Speed Bump</v>
      </c>
      <c r="T246" s="1837" t="str">
        <v>Detour</v>
      </c>
      <c r="U246" s="1837" t="str">
        <v>Route Info</v>
      </c>
      <c r="V246" s="1837" t="str">
        <v>Route Info</v>
      </c>
      <c r="W246" s="1837" t="str">
        <v>Road Block</v>
      </c>
      <c r="X246" s="1837" t="str">
        <v>Route Info</v>
      </c>
      <c r="Y246" s="1837" t="str">
        <v/>
      </c>
      <c r="Z246" s="1837" t="str">
        <v/>
      </c>
      <c r="AA246" s="1837" t="str">
        <v/>
      </c>
      <c r="AB246" s="1837" t="str">
        <v/>
      </c>
      <c r="AC246" s="1837" t="str">
        <v/>
      </c>
      <c r="AD246" s="1837" t="str">
        <v/>
      </c>
      <c r="AE246" s="1837" t="str">
        <v>Austria\nGermany</v>
      </c>
      <c r="AF246" s="1837" t="str">
        <v>Central Europe</v>
      </c>
      <c r="AG246" s="1837" t="str">
        <v>Yes</v>
      </c>
      <c r="AH246" s="1837" t="str">
        <v/>
      </c>
      <c r="AI246" s="1837" t="str">
        <v/>
      </c>
      <c r="AJ246" s="1110" t="str">
        <v>Art &amp; JJ</v>
      </c>
    </row>
    <row r="247" spans="1:36">
      <c r="A247">
        <v>20</v>
      </c>
      <c r="B247" t="s">
        <v>2810</v>
      </c>
      <c r="C247" s="3" t="s">
        <v>12</v>
      </c>
      <c r="D247" s="3" t="s">
        <v>12</v>
      </c>
      <c r="E247" s="5" t="s">
        <v>14</v>
      </c>
      <c r="F247" s="3" t="s">
        <v>12</v>
      </c>
      <c r="G247" s="3" t="s">
        <v>12</v>
      </c>
      <c r="H247" s="3" t="s">
        <v>12</v>
      </c>
      <c r="I247" s="5" t="s">
        <v>14</v>
      </c>
      <c r="J247" s="3" t="s">
        <v>12</v>
      </c>
      <c r="P247" s="1329">
        <v>20</v>
      </c>
      <c r="Q247" s="1837">
        <v>6</v>
      </c>
      <c r="R247" s="1837" t="str">
        <v>Route Info</v>
      </c>
      <c r="S247" s="1837" t="str">
        <v>Fast Forward</v>
      </c>
      <c r="T247" s="1837" t="str">
        <v>Route Info</v>
      </c>
      <c r="U247" s="1837" t="str">
        <v>Road Block</v>
      </c>
      <c r="V247" s="1837" t="str">
        <v>Route Info</v>
      </c>
      <c r="W247" s="1837" t="str">
        <v>Detour</v>
      </c>
      <c r="X247" s="1837" t="str">
        <v>Route Info</v>
      </c>
      <c r="Y247" s="1837" t="str">
        <v/>
      </c>
      <c r="Z247" s="1837" t="str">
        <v/>
      </c>
      <c r="AA247" s="1837" t="str">
        <v/>
      </c>
      <c r="AB247" s="1837" t="str">
        <v/>
      </c>
      <c r="AC247" s="1837" t="str">
        <v/>
      </c>
      <c r="AD247" s="1837" t="str">
        <v/>
      </c>
      <c r="AE247" s="1837" t="str">
        <v>Azerbaijan</v>
      </c>
      <c r="AF247" s="1837" t="str">
        <v>West Asia</v>
      </c>
      <c r="AG247" s="1837" t="str">
        <v>Yes</v>
      </c>
      <c r="AH247" s="1837" t="str">
        <v/>
      </c>
      <c r="AI247" s="1837" t="str">
        <v/>
      </c>
      <c r="AJ247" s="1110" t="str">
        <v>Rachel &amp; Dave</v>
      </c>
    </row>
    <row r="248" spans="1:36" ht="16.5" thickBot="1">
      <c r="A248">
        <v>21</v>
      </c>
      <c r="B248">
        <v>1</v>
      </c>
      <c r="C248" s="3" t="s">
        <v>12</v>
      </c>
      <c r="D248" s="3" t="s">
        <v>12</v>
      </c>
      <c r="E248" s="5" t="s">
        <v>14</v>
      </c>
      <c r="F248" s="3" t="s">
        <v>12</v>
      </c>
      <c r="G248" s="5" t="s">
        <v>14</v>
      </c>
      <c r="H248" s="3" t="s">
        <v>12</v>
      </c>
      <c r="I248" s="3" t="s">
        <v>12</v>
      </c>
      <c r="P248" s="1329">
        <v>20</v>
      </c>
      <c r="Q248" s="1837">
        <v>7</v>
      </c>
      <c r="R248" s="1837" t="str">
        <v>Route Info</v>
      </c>
      <c r="S248" s="1837" t="str">
        <v>Route Info</v>
      </c>
      <c r="T248" s="1837" t="str">
        <v>Detour</v>
      </c>
      <c r="U248" s="1837" t="str">
        <v>Route Info</v>
      </c>
      <c r="V248" s="1837" t="str">
        <v>Route Info</v>
      </c>
      <c r="W248" s="1837" t="str">
        <v/>
      </c>
      <c r="X248" s="1837" t="str">
        <v/>
      </c>
      <c r="Y248" s="1837" t="str">
        <v/>
      </c>
      <c r="Z248" s="1837" t="str">
        <v/>
      </c>
      <c r="AA248" s="1837" t="str">
        <v/>
      </c>
      <c r="AB248" s="1837" t="str">
        <v/>
      </c>
      <c r="AC248" s="1837" t="str">
        <v/>
      </c>
      <c r="AD248" s="1837" t="str">
        <v/>
      </c>
      <c r="AE248" s="1837" t="str">
        <v>Tanzania</v>
      </c>
      <c r="AF248" s="1837" t="str">
        <v>East Africa</v>
      </c>
      <c r="AG248" s="1837" t="str">
        <v>No</v>
      </c>
      <c r="AH248" s="1837" t="str">
        <v/>
      </c>
      <c r="AI248" s="1837" t="str">
        <v/>
      </c>
      <c r="AJ248" s="1110" t="str">
        <v>Rachel &amp; Dave</v>
      </c>
    </row>
    <row r="249" spans="1:36" ht="16.5" thickBot="1">
      <c r="A249">
        <v>21</v>
      </c>
      <c r="B249">
        <v>2</v>
      </c>
      <c r="C249" s="3" t="s">
        <v>12</v>
      </c>
      <c r="D249" s="3" t="s">
        <v>12</v>
      </c>
      <c r="E249" s="3" t="s">
        <v>12</v>
      </c>
      <c r="F249" s="5" t="s">
        <v>14</v>
      </c>
      <c r="G249" s="3" t="s">
        <v>12</v>
      </c>
      <c r="H249" s="820" t="s">
        <v>13</v>
      </c>
      <c r="I249" s="613" t="s">
        <v>12</v>
      </c>
      <c r="P249" s="1329">
        <v>20</v>
      </c>
      <c r="Q249" s="1837">
        <v>8</v>
      </c>
      <c r="R249" s="1837" t="str">
        <v>Route Info</v>
      </c>
      <c r="S249" s="1837" t="str">
        <v>Detour</v>
      </c>
      <c r="T249" s="1837" t="str">
        <v>Speed Bump</v>
      </c>
      <c r="U249" s="1837" t="str">
        <v>Route Info</v>
      </c>
      <c r="V249" s="1837" t="str">
        <v>Route Info</v>
      </c>
      <c r="W249" s="1837" t="str">
        <v>Road Block</v>
      </c>
      <c r="X249" s="1837" t="str">
        <v>Route Info</v>
      </c>
      <c r="Y249" s="1837" t="str">
        <v/>
      </c>
      <c r="Z249" s="1837" t="str">
        <v/>
      </c>
      <c r="AA249" s="1837" t="str">
        <v/>
      </c>
      <c r="AB249" s="1837" t="str">
        <v/>
      </c>
      <c r="AC249" s="1837" t="str">
        <v/>
      </c>
      <c r="AD249" s="1837" t="str">
        <v/>
      </c>
      <c r="AE249" s="1837" t="str">
        <v>Tanzania</v>
      </c>
      <c r="AF249" s="1837" t="str">
        <v>East Africa</v>
      </c>
      <c r="AG249" s="1837" t="str">
        <v>Yes</v>
      </c>
      <c r="AH249" s="1837" t="str">
        <v>Double U-Turn</v>
      </c>
      <c r="AI249" s="1837">
        <v>4</v>
      </c>
      <c r="AJ249" s="1110" t="str">
        <v>Bopper &amp; Mark</v>
      </c>
    </row>
    <row r="250" spans="1:36" ht="16.5" thickBot="1">
      <c r="A250">
        <v>21</v>
      </c>
      <c r="B250">
        <v>3</v>
      </c>
      <c r="C250" s="3" t="s">
        <v>12</v>
      </c>
      <c r="D250" s="5" t="s">
        <v>14</v>
      </c>
      <c r="E250" s="3" t="s">
        <v>12</v>
      </c>
      <c r="F250" s="4" t="s">
        <v>13</v>
      </c>
      <c r="G250" s="3" t="s">
        <v>12</v>
      </c>
      <c r="H250" s="614" t="s">
        <v>12</v>
      </c>
      <c r="I250" s="821"/>
      <c r="J250" s="12"/>
      <c r="P250" s="1329">
        <v>20</v>
      </c>
      <c r="Q250" s="1837">
        <v>9</v>
      </c>
      <c r="R250" s="1837" t="str">
        <v>Route Info</v>
      </c>
      <c r="S250" s="1837" t="str">
        <v>Road Block</v>
      </c>
      <c r="T250" s="1837" t="str">
        <v>Route Info</v>
      </c>
      <c r="U250" s="1837" t="str">
        <v>Detour</v>
      </c>
      <c r="V250" s="1837" t="str">
        <v>Route Info</v>
      </c>
      <c r="W250" s="1837" t="str">
        <v/>
      </c>
      <c r="X250" s="1837" t="str">
        <v/>
      </c>
      <c r="Y250" s="1837" t="str">
        <v/>
      </c>
      <c r="Z250" s="1837" t="str">
        <v/>
      </c>
      <c r="AA250" s="1837" t="str">
        <v/>
      </c>
      <c r="AB250" s="1837" t="str">
        <v/>
      </c>
      <c r="AC250" s="1837" t="str">
        <v/>
      </c>
      <c r="AD250" s="1837" t="str">
        <v/>
      </c>
      <c r="AE250" s="1837" t="str">
        <v>India</v>
      </c>
      <c r="AF250" s="1837" t="str">
        <v>South Asia</v>
      </c>
      <c r="AG250" s="1837" t="str">
        <v>No</v>
      </c>
      <c r="AH250" s="1837" t="str">
        <v/>
      </c>
      <c r="AI250" s="1837" t="str">
        <v/>
      </c>
      <c r="AJ250" s="1110" t="str">
        <v>Rachel &amp; Dave</v>
      </c>
    </row>
    <row r="251" spans="1:36">
      <c r="A251">
        <v>21</v>
      </c>
      <c r="B251">
        <v>4</v>
      </c>
      <c r="C251" s="3" t="s">
        <v>12</v>
      </c>
      <c r="D251" s="5" t="s">
        <v>14</v>
      </c>
      <c r="E251" s="19" t="s">
        <v>71</v>
      </c>
      <c r="F251" s="3" t="s">
        <v>12</v>
      </c>
      <c r="G251" s="4" t="s">
        <v>13</v>
      </c>
      <c r="H251" s="810" t="s">
        <v>12</v>
      </c>
      <c r="P251" s="1329">
        <v>20</v>
      </c>
      <c r="Q251" s="1837">
        <v>10</v>
      </c>
      <c r="R251" s="1837" t="str">
        <v>Route Info</v>
      </c>
      <c r="S251" s="1837" t="str">
        <v>Speed Bump</v>
      </c>
      <c r="T251" s="1837" t="str">
        <v>Fast Forward</v>
      </c>
      <c r="U251" s="1837" t="str">
        <v>Route Info</v>
      </c>
      <c r="V251" s="1837" t="str">
        <v>Road Block</v>
      </c>
      <c r="W251" s="1837" t="str">
        <v>Route Info</v>
      </c>
      <c r="X251" s="1837" t="str">
        <v>Detour</v>
      </c>
      <c r="Y251" s="1837" t="str">
        <v>Route Info</v>
      </c>
      <c r="Z251" s="1837" t="str">
        <v/>
      </c>
      <c r="AA251" s="1837" t="str">
        <v/>
      </c>
      <c r="AB251" s="1837" t="str">
        <v/>
      </c>
      <c r="AC251" s="1837" t="str">
        <v/>
      </c>
      <c r="AD251" s="1837" t="str">
        <v/>
      </c>
      <c r="AE251" s="1837" t="str">
        <v>India</v>
      </c>
      <c r="AF251" s="1837" t="str">
        <v>South Asia</v>
      </c>
      <c r="AG251" s="1837" t="str">
        <v>Yes</v>
      </c>
      <c r="AH251" s="1837" t="str">
        <v/>
      </c>
      <c r="AI251" s="1837" t="str">
        <v/>
      </c>
      <c r="AJ251" s="1110" t="str">
        <v>Rachel &amp; Dave</v>
      </c>
    </row>
    <row r="252" spans="1:36">
      <c r="A252">
        <v>21</v>
      </c>
      <c r="B252">
        <v>5</v>
      </c>
      <c r="C252" s="3" t="s">
        <v>12</v>
      </c>
      <c r="D252" s="3" t="s">
        <v>12</v>
      </c>
      <c r="E252" s="5" t="s">
        <v>14</v>
      </c>
      <c r="F252" s="4" t="s">
        <v>13</v>
      </c>
      <c r="G252" s="3" t="s">
        <v>12</v>
      </c>
      <c r="P252" s="1329">
        <v>20</v>
      </c>
      <c r="Q252" s="1837">
        <v>11</v>
      </c>
      <c r="R252" s="1837" t="str">
        <v>Route Info</v>
      </c>
      <c r="S252" s="1837" t="str">
        <v>Route Info</v>
      </c>
      <c r="T252" s="1837" t="str">
        <v>Road Block</v>
      </c>
      <c r="U252" s="1837" t="str">
        <v>Route Info</v>
      </c>
      <c r="V252" s="1837" t="str">
        <v>Detour</v>
      </c>
      <c r="W252" s="1837" t="str">
        <v>Route Info</v>
      </c>
      <c r="X252" s="1837" t="str">
        <v/>
      </c>
      <c r="Y252" s="1837" t="str">
        <v/>
      </c>
      <c r="Z252" s="1837" t="str">
        <v/>
      </c>
      <c r="AA252" s="1837" t="str">
        <v/>
      </c>
      <c r="AB252" s="1837" t="str">
        <v/>
      </c>
      <c r="AC252" s="1837" t="str">
        <v/>
      </c>
      <c r="AD252" s="1837" t="str">
        <v/>
      </c>
      <c r="AE252" s="1837" t="str">
        <v>Japan</v>
      </c>
      <c r="AF252" s="1837" t="str">
        <v>East Asia</v>
      </c>
      <c r="AG252" s="1837" t="str">
        <v>Yes</v>
      </c>
      <c r="AH252" s="1837" t="str">
        <v/>
      </c>
      <c r="AI252" s="1837" t="str">
        <v/>
      </c>
      <c r="AJ252" s="1110" t="str">
        <v>Rachel &amp; Dave</v>
      </c>
    </row>
    <row r="253" spans="1:36">
      <c r="A253">
        <v>21</v>
      </c>
      <c r="B253">
        <v>6</v>
      </c>
      <c r="C253" s="3" t="s">
        <v>12</v>
      </c>
      <c r="D253" s="3" t="s">
        <v>12</v>
      </c>
      <c r="E253" s="3" t="s">
        <v>12</v>
      </c>
      <c r="F253" s="29" t="s">
        <v>49</v>
      </c>
      <c r="G253" s="4" t="s">
        <v>13</v>
      </c>
      <c r="H253" s="3" t="s">
        <v>12</v>
      </c>
      <c r="I253" s="5" t="s">
        <v>14</v>
      </c>
      <c r="J253" s="3" t="s">
        <v>12</v>
      </c>
      <c r="P253" s="1329">
        <v>20</v>
      </c>
      <c r="Q253" s="1837" t="str">
        <v>Final</v>
      </c>
      <c r="R253" s="1837" t="str">
        <v>Route Info</v>
      </c>
      <c r="S253" s="1837" t="str">
        <v>Route Info</v>
      </c>
      <c r="T253" s="1837" t="str">
        <v>Road Block</v>
      </c>
      <c r="U253" s="1837" t="str">
        <v>Route Info</v>
      </c>
      <c r="V253" s="1837" t="str">
        <v>Route Info</v>
      </c>
      <c r="W253" s="1837" t="str">
        <v>Route Info</v>
      </c>
      <c r="X253" s="1837" t="str">
        <v>Road Block</v>
      </c>
      <c r="Y253" s="1837" t="str">
        <v>Route Info</v>
      </c>
      <c r="Z253" s="1837" t="str">
        <v/>
      </c>
      <c r="AA253" s="1837" t="str">
        <v/>
      </c>
      <c r="AB253" s="1837" t="str">
        <v/>
      </c>
      <c r="AC253" s="1837" t="str">
        <v/>
      </c>
      <c r="AD253" s="1837" t="str">
        <v/>
      </c>
      <c r="AE253" s="1837" t="str">
        <v>USA</v>
      </c>
      <c r="AF253" s="1837" t="str">
        <v>North America</v>
      </c>
      <c r="AG253" s="1837" t="str">
        <v>Final Leg</v>
      </c>
      <c r="AH253" s="1837" t="str">
        <v/>
      </c>
      <c r="AI253" s="1837" t="str">
        <v/>
      </c>
      <c r="AJ253" s="1110" t="str">
        <v>Rachel &amp; Dave</v>
      </c>
    </row>
    <row r="254" spans="1:36">
      <c r="A254">
        <v>21</v>
      </c>
      <c r="B254">
        <v>7</v>
      </c>
      <c r="C254" s="3" t="s">
        <v>12</v>
      </c>
      <c r="D254" s="3" t="s">
        <v>12</v>
      </c>
      <c r="E254" s="4" t="s">
        <v>13</v>
      </c>
      <c r="F254" s="3" t="s">
        <v>12</v>
      </c>
      <c r="G254" s="5" t="s">
        <v>14</v>
      </c>
      <c r="H254" s="3" t="s">
        <v>12</v>
      </c>
      <c r="P254" s="1329">
        <v>21</v>
      </c>
      <c r="Q254" s="1837">
        <v>1</v>
      </c>
      <c r="R254" s="1837" t="str">
        <v>Route Info</v>
      </c>
      <c r="S254" s="1837" t="str">
        <v>Route Info</v>
      </c>
      <c r="T254" s="1837" t="str">
        <v>Road Block</v>
      </c>
      <c r="U254" s="1837" t="str">
        <v>Route Info</v>
      </c>
      <c r="V254" s="1837" t="str">
        <v>Road Block</v>
      </c>
      <c r="W254" s="1837" t="str">
        <v>Route Info</v>
      </c>
      <c r="X254" s="1837" t="str">
        <v>Route Info</v>
      </c>
      <c r="Y254" s="1837" t="str">
        <v/>
      </c>
      <c r="Z254" s="1837" t="str">
        <v/>
      </c>
      <c r="AA254" s="1837" t="str">
        <v/>
      </c>
      <c r="AB254" s="1837" t="str">
        <v/>
      </c>
      <c r="AC254" s="1837" t="str">
        <v/>
      </c>
      <c r="AD254" s="1837" t="str">
        <v/>
      </c>
      <c r="AE254" s="1837" t="str">
        <v>China</v>
      </c>
      <c r="AF254" s="1837" t="str">
        <v>East Asia</v>
      </c>
      <c r="AG254" s="1837" t="str">
        <v>Yes</v>
      </c>
      <c r="AH254" s="1837" t="str">
        <v/>
      </c>
      <c r="AI254" s="1837" t="str">
        <v/>
      </c>
      <c r="AJ254" s="1110" t="str">
        <v>Abbie &amp; Ryan</v>
      </c>
    </row>
    <row r="255" spans="1:36" ht="16.5" thickBot="1">
      <c r="A255">
        <v>21</v>
      </c>
      <c r="B255">
        <v>8</v>
      </c>
      <c r="C255" s="3" t="s">
        <v>12</v>
      </c>
      <c r="D255" s="29" t="s">
        <v>49</v>
      </c>
      <c r="E255" s="5" t="s">
        <v>14</v>
      </c>
      <c r="F255" s="4" t="s">
        <v>13</v>
      </c>
      <c r="G255" s="3" t="s">
        <v>12</v>
      </c>
      <c r="H255" s="12"/>
      <c r="P255" s="1329">
        <v>21</v>
      </c>
      <c r="Q255" s="1837">
        <v>2</v>
      </c>
      <c r="R255" s="1837" t="str">
        <v>Route Info</v>
      </c>
      <c r="S255" s="1837" t="str">
        <v>Route Info</v>
      </c>
      <c r="T255" s="1837" t="str">
        <v>Route Info</v>
      </c>
      <c r="U255" s="1837" t="str">
        <v>Road Block</v>
      </c>
      <c r="V255" s="1837" t="str">
        <v>Route Info</v>
      </c>
      <c r="W255" s="1837" t="str">
        <v>Detour</v>
      </c>
      <c r="X255" s="1837" t="str">
        <v>Route Info</v>
      </c>
      <c r="Y255" s="1837" t="str">
        <v/>
      </c>
      <c r="Z255" s="1837" t="str">
        <v/>
      </c>
      <c r="AA255" s="1837" t="str">
        <v/>
      </c>
      <c r="AB255" s="1837" t="str">
        <v/>
      </c>
      <c r="AC255" s="1837" t="str">
        <v/>
      </c>
      <c r="AD255" s="1837" t="str">
        <v/>
      </c>
      <c r="AE255" s="1837" t="str">
        <v>Indonesia</v>
      </c>
      <c r="AF255" s="1837" t="str">
        <v>South East Asia</v>
      </c>
      <c r="AG255" s="1837" t="str">
        <v>Yes</v>
      </c>
      <c r="AH255" s="1837" t="str">
        <v>Express Pass</v>
      </c>
      <c r="AI255" s="1837">
        <v>7</v>
      </c>
      <c r="AJ255" s="1110" t="str">
        <v>Natalie &amp; Nadiya</v>
      </c>
    </row>
    <row r="256" spans="1:36" ht="16.5" thickBot="1">
      <c r="A256">
        <v>21</v>
      </c>
      <c r="B256">
        <v>9</v>
      </c>
      <c r="C256" s="3" t="s">
        <v>12</v>
      </c>
      <c r="D256" s="19" t="s">
        <v>71</v>
      </c>
      <c r="E256" s="3" t="s">
        <v>12</v>
      </c>
      <c r="F256" s="4" t="s">
        <v>13</v>
      </c>
      <c r="G256" s="614" t="s">
        <v>12</v>
      </c>
      <c r="H256" s="3" t="s">
        <v>12</v>
      </c>
      <c r="I256" s="5" t="s">
        <v>14</v>
      </c>
      <c r="J256" s="3" t="s">
        <v>12</v>
      </c>
      <c r="P256" s="1329">
        <v>21</v>
      </c>
      <c r="Q256" s="1837">
        <v>3</v>
      </c>
      <c r="R256" s="1837" t="str">
        <v>Route Info</v>
      </c>
      <c r="S256" s="1837" t="str">
        <v>Road Block</v>
      </c>
      <c r="T256" s="1837" t="str">
        <v>Route Info</v>
      </c>
      <c r="U256" s="1837" t="str">
        <v>Detour</v>
      </c>
      <c r="V256" s="1837" t="str">
        <v>Route Info</v>
      </c>
      <c r="W256" s="1837" t="str">
        <v>Route Info</v>
      </c>
      <c r="X256" s="1837" t="str">
        <v/>
      </c>
      <c r="Y256" s="1837" t="str">
        <v/>
      </c>
      <c r="Z256" s="1837" t="str">
        <v/>
      </c>
      <c r="AA256" s="1837" t="str">
        <v/>
      </c>
      <c r="AB256" s="1837" t="str">
        <v/>
      </c>
      <c r="AC256" s="1837" t="str">
        <v/>
      </c>
      <c r="AD256" s="1837" t="str">
        <v/>
      </c>
      <c r="AE256" s="1837" t="str">
        <v>Indonesia</v>
      </c>
      <c r="AF256" s="1837" t="str">
        <v>South East Asia</v>
      </c>
      <c r="AG256" s="1837" t="str">
        <v>Yes</v>
      </c>
      <c r="AH256" s="1837" t="str">
        <v>Double U-Turn</v>
      </c>
      <c r="AI256" s="1837">
        <v>6</v>
      </c>
      <c r="AJ256" s="1110" t="str">
        <v>Abbie &amp; Ryan</v>
      </c>
    </row>
    <row r="257" spans="1:36">
      <c r="A257">
        <v>21</v>
      </c>
      <c r="B257">
        <v>10</v>
      </c>
      <c r="C257" s="3" t="s">
        <v>12</v>
      </c>
      <c r="D257" s="3" t="s">
        <v>12</v>
      </c>
      <c r="E257" s="5" t="s">
        <v>14</v>
      </c>
      <c r="F257" s="3" t="s">
        <v>12</v>
      </c>
      <c r="G257" s="4" t="s">
        <v>13</v>
      </c>
      <c r="H257" s="3" t="s">
        <v>12</v>
      </c>
      <c r="P257" s="1329">
        <v>21</v>
      </c>
      <c r="Q257" s="1837">
        <v>4</v>
      </c>
      <c r="R257" s="1837" t="str">
        <v>Route Info</v>
      </c>
      <c r="S257" s="1837" t="str">
        <v>Road Block</v>
      </c>
      <c r="T257" s="1837" t="str">
        <v>Fast Forward</v>
      </c>
      <c r="U257" s="1837" t="str">
        <v>Route Info</v>
      </c>
      <c r="V257" s="1837" t="str">
        <v>Detour</v>
      </c>
      <c r="W257" s="1837" t="str">
        <v>Route Info</v>
      </c>
      <c r="X257" s="1837" t="str">
        <v/>
      </c>
      <c r="Y257" s="1837" t="str">
        <v/>
      </c>
      <c r="Z257" s="1837" t="str">
        <v/>
      </c>
      <c r="AA257" s="1837" t="str">
        <v/>
      </c>
      <c r="AB257" s="1837" t="str">
        <v/>
      </c>
      <c r="AC257" s="1837" t="str">
        <v/>
      </c>
      <c r="AD257" s="1837" t="str">
        <v/>
      </c>
      <c r="AE257" s="1837" t="str">
        <v>Bangladesh</v>
      </c>
      <c r="AF257" s="1837" t="str">
        <v>South Asia</v>
      </c>
      <c r="AG257" s="1837" t="str">
        <v>Yes</v>
      </c>
      <c r="AH257" s="1837" t="str">
        <v/>
      </c>
      <c r="AI257" s="1837" t="str">
        <v/>
      </c>
      <c r="AJ257" s="1110" t="str">
        <v>James &amp; Abba</v>
      </c>
    </row>
    <row r="258" spans="1:36">
      <c r="A258">
        <v>21</v>
      </c>
      <c r="B258">
        <v>11</v>
      </c>
      <c r="C258" s="3" t="s">
        <v>12</v>
      </c>
      <c r="D258" s="3" t="s">
        <v>12</v>
      </c>
      <c r="E258" s="3" t="s">
        <v>12</v>
      </c>
      <c r="F258" s="29" t="s">
        <v>49</v>
      </c>
      <c r="G258" s="4" t="s">
        <v>13</v>
      </c>
      <c r="H258" s="3" t="s">
        <v>12</v>
      </c>
      <c r="I258" s="5" t="s">
        <v>14</v>
      </c>
      <c r="J258" s="3" t="s">
        <v>12</v>
      </c>
      <c r="P258" s="1329">
        <v>21</v>
      </c>
      <c r="Q258" s="1837">
        <v>5</v>
      </c>
      <c r="R258" s="1837" t="str">
        <v>Route Info</v>
      </c>
      <c r="S258" s="1837" t="str">
        <v>Route Info</v>
      </c>
      <c r="T258" s="1837" t="str">
        <v>Road Block</v>
      </c>
      <c r="U258" s="1837" t="str">
        <v>Detour</v>
      </c>
      <c r="V258" s="1837" t="str">
        <v>Route Info</v>
      </c>
      <c r="W258" s="1837" t="str">
        <v/>
      </c>
      <c r="X258" s="1837" t="str">
        <v/>
      </c>
      <c r="Y258" s="1837" t="str">
        <v/>
      </c>
      <c r="Z258" s="1837" t="str">
        <v/>
      </c>
      <c r="AA258" s="1837" t="str">
        <v/>
      </c>
      <c r="AB258" s="1837" t="str">
        <v/>
      </c>
      <c r="AC258" s="1837" t="str">
        <v/>
      </c>
      <c r="AD258" s="1837" t="str">
        <v/>
      </c>
      <c r="AE258" s="1837" t="str">
        <v>Bangladesh</v>
      </c>
      <c r="AF258" s="1837" t="str">
        <v>South Asia</v>
      </c>
      <c r="AG258" s="1837" t="str">
        <v>No</v>
      </c>
      <c r="AH258" s="1837" t="str">
        <v/>
      </c>
      <c r="AI258" s="1837" t="str">
        <v/>
      </c>
      <c r="AJ258" s="1110" t="str">
        <v>James &amp; Abba</v>
      </c>
    </row>
    <row r="259" spans="1:36" ht="16.5" thickBot="1">
      <c r="A259">
        <v>21</v>
      </c>
      <c r="B259" t="s">
        <v>2810</v>
      </c>
      <c r="C259" s="3" t="s">
        <v>12</v>
      </c>
      <c r="D259" s="5" t="s">
        <v>14</v>
      </c>
      <c r="E259" s="3" t="s">
        <v>12</v>
      </c>
      <c r="F259" s="3" t="s">
        <v>12</v>
      </c>
      <c r="G259" s="3" t="s">
        <v>12</v>
      </c>
      <c r="H259" s="5" t="s">
        <v>14</v>
      </c>
      <c r="I259" s="3" t="s">
        <v>12</v>
      </c>
      <c r="P259" s="1329">
        <v>21</v>
      </c>
      <c r="Q259" s="1837">
        <v>6</v>
      </c>
      <c r="R259" s="1837" t="str">
        <v>Route Info</v>
      </c>
      <c r="S259" s="1837" t="str">
        <v>Route Info</v>
      </c>
      <c r="T259" s="1837" t="str">
        <v>Route Info</v>
      </c>
      <c r="U259" s="1837" t="str">
        <v>Speed Bump</v>
      </c>
      <c r="V259" s="1837" t="str">
        <v>Detour</v>
      </c>
      <c r="W259" s="1837" t="str">
        <v>Route Info</v>
      </c>
      <c r="X259" s="1837" t="str">
        <v>Road Block</v>
      </c>
      <c r="Y259" s="1837" t="str">
        <v>Route Info</v>
      </c>
      <c r="Z259" s="1837" t="str">
        <v/>
      </c>
      <c r="AA259" s="1837" t="str">
        <v/>
      </c>
      <c r="AB259" s="1837" t="str">
        <v/>
      </c>
      <c r="AC259" s="1837" t="str">
        <v/>
      </c>
      <c r="AD259" s="1837" t="str">
        <v/>
      </c>
      <c r="AE259" s="1837" t="str">
        <v>Turkey</v>
      </c>
      <c r="AF259" s="1837" t="str">
        <v>Middle East</v>
      </c>
      <c r="AG259" s="1837" t="str">
        <v>Yes</v>
      </c>
      <c r="AH259" s="1837" t="str">
        <v/>
      </c>
      <c r="AI259" s="1837" t="str">
        <v/>
      </c>
      <c r="AJ259" s="1110" t="str">
        <v>Trey &amp; Lexi</v>
      </c>
    </row>
    <row r="260" spans="1:36" ht="16.5" thickBot="1">
      <c r="A260">
        <v>22</v>
      </c>
      <c r="B260">
        <v>1</v>
      </c>
      <c r="C260" s="3" t="s">
        <v>12</v>
      </c>
      <c r="D260" s="3" t="s">
        <v>12</v>
      </c>
      <c r="E260" s="3" t="s">
        <v>12</v>
      </c>
      <c r="F260" s="5" t="s">
        <v>14</v>
      </c>
      <c r="G260" s="3" t="s">
        <v>12</v>
      </c>
      <c r="H260" s="5" t="s">
        <v>14</v>
      </c>
      <c r="I260" s="613" t="s">
        <v>12</v>
      </c>
      <c r="J260" s="819"/>
      <c r="P260" s="1329">
        <v>21</v>
      </c>
      <c r="Q260" s="1837">
        <v>7</v>
      </c>
      <c r="R260" s="1837" t="str">
        <v>Route Info</v>
      </c>
      <c r="S260" s="1837" t="str">
        <v>Route Info</v>
      </c>
      <c r="T260" s="1837" t="str">
        <v>Detour</v>
      </c>
      <c r="U260" s="1837" t="str">
        <v>Route Info</v>
      </c>
      <c r="V260" s="1837" t="str">
        <v>Road Block</v>
      </c>
      <c r="W260" s="1837" t="str">
        <v>Route Info</v>
      </c>
      <c r="X260" s="1837" t="str">
        <v/>
      </c>
      <c r="Y260" s="1837" t="str">
        <v/>
      </c>
      <c r="Z260" s="1837" t="str">
        <v/>
      </c>
      <c r="AA260" s="1837" t="str">
        <v/>
      </c>
      <c r="AB260" s="1837" t="str">
        <v/>
      </c>
      <c r="AC260" s="1837" t="str">
        <v/>
      </c>
      <c r="AD260" s="1837" t="str">
        <v/>
      </c>
      <c r="AE260" s="1837" t="str">
        <v>Russia</v>
      </c>
      <c r="AF260" s="1837" t="str">
        <v>Eastern Europe</v>
      </c>
      <c r="AG260" s="1837" t="str">
        <v>No</v>
      </c>
      <c r="AH260" s="1837" t="str">
        <v/>
      </c>
      <c r="AI260" s="1837" t="str">
        <v/>
      </c>
      <c r="AJ260" s="1110" t="str">
        <v>Trey &amp; Lexi</v>
      </c>
    </row>
    <row r="261" spans="1:36">
      <c r="A261">
        <v>22</v>
      </c>
      <c r="B261">
        <v>2</v>
      </c>
      <c r="C261" s="3" t="s">
        <v>12</v>
      </c>
      <c r="D261" s="4" t="s">
        <v>13</v>
      </c>
      <c r="E261" s="3" t="s">
        <v>12</v>
      </c>
      <c r="F261" s="5" t="s">
        <v>14</v>
      </c>
      <c r="G261" s="12"/>
      <c r="P261" s="1329">
        <v>21</v>
      </c>
      <c r="Q261" s="1837">
        <v>8</v>
      </c>
      <c r="R261" s="1837" t="str">
        <v>Route Info</v>
      </c>
      <c r="S261" s="1837" t="str">
        <v>Speed Bump</v>
      </c>
      <c r="T261" s="1837" t="str">
        <v>Road Block</v>
      </c>
      <c r="U261" s="1837" t="str">
        <v>Detour</v>
      </c>
      <c r="V261" s="1837" t="str">
        <v>Route Info</v>
      </c>
      <c r="W261" s="1837" t="str">
        <v/>
      </c>
      <c r="X261" s="1837" t="str">
        <v/>
      </c>
      <c r="Y261" s="1837" t="str">
        <v/>
      </c>
      <c r="Z261" s="1837" t="str">
        <v/>
      </c>
      <c r="AA261" s="1837" t="str">
        <v/>
      </c>
      <c r="AB261" s="1837" t="str">
        <v/>
      </c>
      <c r="AC261" s="1837" t="str">
        <v/>
      </c>
      <c r="AD261" s="1837" t="str">
        <v/>
      </c>
      <c r="AE261" s="1837" t="str">
        <v>Russia</v>
      </c>
      <c r="AF261" s="1837" t="str">
        <v>Eastern Europe</v>
      </c>
      <c r="AG261" s="1837" t="str">
        <v>Yes</v>
      </c>
      <c r="AH261" s="1837" t="str">
        <v/>
      </c>
      <c r="AI261" s="1837" t="str">
        <v/>
      </c>
      <c r="AJ261" s="1110" t="str">
        <v>Jaymes &amp; James</v>
      </c>
    </row>
    <row r="262" spans="1:36">
      <c r="A262">
        <v>22</v>
      </c>
      <c r="B262">
        <v>3</v>
      </c>
      <c r="C262" s="3" t="s">
        <v>12</v>
      </c>
      <c r="D262" s="3" t="s">
        <v>12</v>
      </c>
      <c r="E262" s="4" t="s">
        <v>13</v>
      </c>
      <c r="F262" s="3" t="s">
        <v>12</v>
      </c>
      <c r="G262" s="5" t="s">
        <v>14</v>
      </c>
      <c r="H262" s="3" t="s">
        <v>12</v>
      </c>
      <c r="P262" s="1329">
        <v>21</v>
      </c>
      <c r="Q262" s="1837">
        <v>9</v>
      </c>
      <c r="R262" s="1837" t="str">
        <v>Route Info</v>
      </c>
      <c r="S262" s="1837" t="str">
        <v>Fast Forward</v>
      </c>
      <c r="T262" s="1837" t="str">
        <v>Route Info</v>
      </c>
      <c r="U262" s="1837" t="str">
        <v>Detour</v>
      </c>
      <c r="V262" s="1837" t="str">
        <v>Route Info</v>
      </c>
      <c r="W262" s="1837" t="str">
        <v>Route Info</v>
      </c>
      <c r="X262" s="1837" t="str">
        <v>Road Block</v>
      </c>
      <c r="Y262" s="1837" t="str">
        <v>Route Info</v>
      </c>
      <c r="Z262" s="1837" t="str">
        <v/>
      </c>
      <c r="AA262" s="1837" t="str">
        <v/>
      </c>
      <c r="AB262" s="1837" t="str">
        <v/>
      </c>
      <c r="AC262" s="1837" t="str">
        <v/>
      </c>
      <c r="AD262" s="1837" t="str">
        <v/>
      </c>
      <c r="AE262" s="1837" t="str">
        <v>Netherlands</v>
      </c>
      <c r="AF262" s="1837" t="str">
        <v>Central Europe</v>
      </c>
      <c r="AG262" s="1837" t="str">
        <v>Yes</v>
      </c>
      <c r="AH262" s="1837" t="str">
        <v>Double U-Turn</v>
      </c>
      <c r="AI262" s="1837">
        <v>5</v>
      </c>
      <c r="AJ262" s="1110" t="str">
        <v>Natalie &amp; Nadiya</v>
      </c>
    </row>
    <row r="263" spans="1:36" ht="16.5" thickBot="1">
      <c r="A263">
        <v>22</v>
      </c>
      <c r="B263">
        <v>4</v>
      </c>
      <c r="C263" s="3" t="s">
        <v>12</v>
      </c>
      <c r="D263" s="4" t="s">
        <v>13</v>
      </c>
      <c r="E263" s="3" t="s">
        <v>12</v>
      </c>
      <c r="F263" s="5" t="s">
        <v>14</v>
      </c>
      <c r="H263" s="12"/>
      <c r="P263" s="1329">
        <v>21</v>
      </c>
      <c r="Q263" s="1837">
        <v>10</v>
      </c>
      <c r="R263" s="1837" t="str">
        <v>Route Info</v>
      </c>
      <c r="S263" s="1837" t="str">
        <v>Route Info</v>
      </c>
      <c r="T263" s="1837" t="str">
        <v>Road Block</v>
      </c>
      <c r="U263" s="1837" t="str">
        <v>Route Info</v>
      </c>
      <c r="V263" s="1837" t="str">
        <v>Detour</v>
      </c>
      <c r="W263" s="1837" t="str">
        <v>Route Info</v>
      </c>
      <c r="X263" s="1837" t="str">
        <v/>
      </c>
      <c r="Y263" s="1837" t="str">
        <v/>
      </c>
      <c r="Z263" s="1837" t="str">
        <v/>
      </c>
      <c r="AA263" s="1837" t="str">
        <v/>
      </c>
      <c r="AB263" s="1837" t="str">
        <v/>
      </c>
      <c r="AC263" s="1837" t="str">
        <v/>
      </c>
      <c r="AD263" s="1837" t="str">
        <v/>
      </c>
      <c r="AE263" s="1837" t="str">
        <v>Spain</v>
      </c>
      <c r="AF263" s="1837" t="str">
        <v>Western Europe</v>
      </c>
      <c r="AG263" s="1837" t="str">
        <v>No</v>
      </c>
      <c r="AH263" s="1837" t="str">
        <v/>
      </c>
      <c r="AI263" s="1837" t="str">
        <v/>
      </c>
      <c r="AJ263" s="1110" t="str">
        <v>Trey &amp; Lexi</v>
      </c>
    </row>
    <row r="264" spans="1:36" ht="16.5" thickBot="1">
      <c r="A264">
        <v>22</v>
      </c>
      <c r="B264">
        <v>5</v>
      </c>
      <c r="C264" s="3" t="s">
        <v>12</v>
      </c>
      <c r="D264" s="5" t="s">
        <v>14</v>
      </c>
      <c r="E264" s="3" t="s">
        <v>12</v>
      </c>
      <c r="F264" s="4" t="s">
        <v>13</v>
      </c>
      <c r="G264" s="614" t="s">
        <v>12</v>
      </c>
      <c r="P264" s="1329">
        <v>21</v>
      </c>
      <c r="Q264" s="1837">
        <v>11</v>
      </c>
      <c r="R264" s="1837" t="str">
        <v>Route Info</v>
      </c>
      <c r="S264" s="1837" t="str">
        <v>Route Info</v>
      </c>
      <c r="T264" s="1837" t="str">
        <v>Route Info</v>
      </c>
      <c r="U264" s="1837" t="str">
        <v>Speed Bump</v>
      </c>
      <c r="V264" s="1837" t="str">
        <v>Detour</v>
      </c>
      <c r="W264" s="1837" t="str">
        <v>Route Info</v>
      </c>
      <c r="X264" s="1837" t="str">
        <v>Road Block</v>
      </c>
      <c r="Y264" s="1837" t="str">
        <v>Route Info</v>
      </c>
      <c r="Z264" s="1837" t="str">
        <v/>
      </c>
      <c r="AA264" s="1837" t="str">
        <v/>
      </c>
      <c r="AB264" s="1837" t="str">
        <v/>
      </c>
      <c r="AC264" s="1837" t="str">
        <v/>
      </c>
      <c r="AD264" s="1837" t="str">
        <v/>
      </c>
      <c r="AE264" s="1837" t="str">
        <v>France</v>
      </c>
      <c r="AF264" s="1837" t="str">
        <v>Western Europe</v>
      </c>
      <c r="AG264" s="1837" t="str">
        <v>Yes</v>
      </c>
      <c r="AH264" s="1837" t="str">
        <v/>
      </c>
      <c r="AI264" s="1837" t="str">
        <v/>
      </c>
      <c r="AJ264" s="1110" t="str">
        <v>Jaymes &amp; James</v>
      </c>
    </row>
    <row r="265" spans="1:36">
      <c r="A265">
        <v>22</v>
      </c>
      <c r="B265">
        <v>6</v>
      </c>
      <c r="C265" s="3" t="s">
        <v>12</v>
      </c>
      <c r="D265" s="3" t="s">
        <v>12</v>
      </c>
      <c r="E265" s="5" t="s">
        <v>14</v>
      </c>
      <c r="F265" s="3" t="s">
        <v>12</v>
      </c>
      <c r="G265" s="4" t="s">
        <v>13</v>
      </c>
      <c r="H265" s="3" t="s">
        <v>12</v>
      </c>
      <c r="P265" s="1329">
        <v>21</v>
      </c>
      <c r="Q265" s="1837" t="str">
        <v>Final</v>
      </c>
      <c r="R265" s="1837" t="str">
        <v>Route Info</v>
      </c>
      <c r="S265" s="1837" t="str">
        <v>Road Block</v>
      </c>
      <c r="T265" s="1837" t="str">
        <v>Route Info</v>
      </c>
      <c r="U265" s="1837" t="str">
        <v>Route Info</v>
      </c>
      <c r="V265" s="1837" t="str">
        <v>Route Info</v>
      </c>
      <c r="W265" s="1837" t="str">
        <v>Road Block</v>
      </c>
      <c r="X265" s="1837" t="str">
        <v>Route Info</v>
      </c>
      <c r="Y265" s="1837" t="str">
        <v/>
      </c>
      <c r="Z265" s="1837" t="str">
        <v/>
      </c>
      <c r="AA265" s="1837" t="str">
        <v/>
      </c>
      <c r="AB265" s="1837" t="str">
        <v/>
      </c>
      <c r="AC265" s="1837" t="str">
        <v/>
      </c>
      <c r="AD265" s="1837" t="str">
        <v/>
      </c>
      <c r="AE265" s="1837" t="str">
        <v>USA</v>
      </c>
      <c r="AF265" s="1837" t="str">
        <v>North America</v>
      </c>
      <c r="AG265" s="1837" t="str">
        <v>Final Leg</v>
      </c>
      <c r="AH265" s="1837" t="str">
        <v/>
      </c>
      <c r="AI265" s="1837" t="str">
        <v/>
      </c>
      <c r="AJ265" s="1110" t="str">
        <v>Josh &amp; Brent</v>
      </c>
    </row>
    <row r="266" spans="1:36">
      <c r="A266">
        <v>22</v>
      </c>
      <c r="B266">
        <v>7</v>
      </c>
      <c r="C266" s="3" t="s">
        <v>12</v>
      </c>
      <c r="D266" s="29" t="s">
        <v>49</v>
      </c>
      <c r="E266" s="19" t="s">
        <v>71</v>
      </c>
      <c r="F266" s="5" t="s">
        <v>14</v>
      </c>
      <c r="G266" s="3" t="s">
        <v>12</v>
      </c>
      <c r="H266" s="4" t="s">
        <v>13</v>
      </c>
      <c r="I266" s="3" t="s">
        <v>12</v>
      </c>
      <c r="P266" s="1329">
        <v>22</v>
      </c>
      <c r="Q266" s="1837">
        <v>1</v>
      </c>
      <c r="R266" s="1837" t="str">
        <v>Route Info</v>
      </c>
      <c r="S266" s="1837" t="str">
        <v>Route Info</v>
      </c>
      <c r="T266" s="1837" t="str">
        <v>Route Info</v>
      </c>
      <c r="U266" s="1837" t="str">
        <v>Road Block</v>
      </c>
      <c r="V266" s="1837" t="str">
        <v>Route Info</v>
      </c>
      <c r="W266" s="1837" t="str">
        <v>Road Block</v>
      </c>
      <c r="X266" s="1837" t="str">
        <v>Route Info</v>
      </c>
      <c r="Y266" s="1837" t="str">
        <v/>
      </c>
      <c r="Z266" s="1837" t="str">
        <v/>
      </c>
      <c r="AA266" s="1837" t="str">
        <v/>
      </c>
      <c r="AB266" s="1837" t="str">
        <v/>
      </c>
      <c r="AC266" s="1837" t="str">
        <v/>
      </c>
      <c r="AD266" s="1837" t="str">
        <v/>
      </c>
      <c r="AE266" s="1837" t="str">
        <v>French Polynesia</v>
      </c>
      <c r="AF266" s="1837" t="str">
        <v>Oceania</v>
      </c>
      <c r="AG266" s="1837" t="str">
        <v>Yes</v>
      </c>
      <c r="AH266" s="1837" t="str">
        <v>Express Pass</v>
      </c>
      <c r="AI266" s="1837">
        <v>7</v>
      </c>
      <c r="AJ266" s="1110" t="str">
        <v>Jessica &amp; John</v>
      </c>
    </row>
    <row r="267" spans="1:36">
      <c r="A267">
        <v>22</v>
      </c>
      <c r="B267">
        <v>8</v>
      </c>
      <c r="C267" s="3" t="s">
        <v>12</v>
      </c>
      <c r="D267" s="3" t="s">
        <v>12</v>
      </c>
      <c r="E267" s="3" t="s">
        <v>12</v>
      </c>
      <c r="F267" s="3" t="s">
        <v>12</v>
      </c>
      <c r="G267" s="5" t="s">
        <v>14</v>
      </c>
      <c r="H267" s="3" t="s">
        <v>12</v>
      </c>
      <c r="I267" s="3" t="s">
        <v>12</v>
      </c>
      <c r="J267" s="3" t="s">
        <v>12</v>
      </c>
      <c r="P267" s="1329">
        <v>22</v>
      </c>
      <c r="Q267" s="1837">
        <v>2</v>
      </c>
      <c r="R267" s="1837" t="str">
        <v>Route Info</v>
      </c>
      <c r="S267" s="1837" t="str">
        <v>Detour</v>
      </c>
      <c r="T267" s="1837" t="str">
        <v>Route Info</v>
      </c>
      <c r="U267" s="1837" t="str">
        <v>Road Block</v>
      </c>
      <c r="V267" s="1837" t="str">
        <v/>
      </c>
      <c r="W267" s="1837" t="str">
        <v/>
      </c>
      <c r="X267" s="1837" t="str">
        <v/>
      </c>
      <c r="Y267" s="1837" t="str">
        <v/>
      </c>
      <c r="Z267" s="1837" t="str">
        <v/>
      </c>
      <c r="AA267" s="1837" t="str">
        <v/>
      </c>
      <c r="AB267" s="1837" t="str">
        <v/>
      </c>
      <c r="AC267" s="1837" t="str">
        <v/>
      </c>
      <c r="AD267" s="1837" t="str">
        <v/>
      </c>
      <c r="AE267" s="1837" t="str">
        <v>French Polynesia</v>
      </c>
      <c r="AF267" s="1837" t="str">
        <v>Oceania</v>
      </c>
      <c r="AG267" s="1837" t="str">
        <v>Yes</v>
      </c>
      <c r="AH267" s="1837" t="str">
        <v/>
      </c>
      <c r="AI267" s="1837" t="str">
        <v/>
      </c>
      <c r="AJ267" s="1110" t="str">
        <v>Bates &amp; Anthony</v>
      </c>
    </row>
    <row r="268" spans="1:36" ht="16.5" thickBot="1">
      <c r="A268">
        <v>22</v>
      </c>
      <c r="B268">
        <v>9</v>
      </c>
      <c r="C268" s="3" t="s">
        <v>12</v>
      </c>
      <c r="D268" s="3" t="s">
        <v>12</v>
      </c>
      <c r="E268" s="3" t="s">
        <v>12</v>
      </c>
      <c r="F268" s="4" t="s">
        <v>13</v>
      </c>
      <c r="G268" s="3" t="s">
        <v>12</v>
      </c>
      <c r="H268" s="5" t="s">
        <v>14</v>
      </c>
      <c r="I268" s="3" t="s">
        <v>12</v>
      </c>
      <c r="P268" s="1329">
        <v>22</v>
      </c>
      <c r="Q268" s="1837">
        <v>3</v>
      </c>
      <c r="R268" s="1837" t="str">
        <v>Route Info</v>
      </c>
      <c r="S268" s="1837" t="str">
        <v>Route Info</v>
      </c>
      <c r="T268" s="1837" t="str">
        <v>Detour</v>
      </c>
      <c r="U268" s="1837" t="str">
        <v>Route Info</v>
      </c>
      <c r="V268" s="1837" t="str">
        <v>Road Block</v>
      </c>
      <c r="W268" s="1837" t="str">
        <v>Route Info</v>
      </c>
      <c r="X268" s="1837" t="str">
        <v/>
      </c>
      <c r="Y268" s="1837" t="str">
        <v/>
      </c>
      <c r="Z268" s="1837" t="str">
        <v/>
      </c>
      <c r="AA268" s="1837" t="str">
        <v/>
      </c>
      <c r="AB268" s="1837" t="str">
        <v/>
      </c>
      <c r="AC268" s="1837" t="str">
        <v/>
      </c>
      <c r="AD268" s="1837" t="str">
        <v/>
      </c>
      <c r="AE268" s="1837" t="str">
        <v>New Zealand</v>
      </c>
      <c r="AF268" s="1837" t="str">
        <v>Oceania</v>
      </c>
      <c r="AG268" s="1837" t="str">
        <v>No</v>
      </c>
      <c r="AH268" s="1837" t="str">
        <v/>
      </c>
      <c r="AI268" s="1837" t="str">
        <v/>
      </c>
      <c r="AJ268" s="1110" t="str">
        <v>Dave &amp; Connor</v>
      </c>
    </row>
    <row r="269" spans="1:36" ht="16.5" thickBot="1">
      <c r="A269">
        <v>22</v>
      </c>
      <c r="B269">
        <v>10</v>
      </c>
      <c r="C269" s="3" t="s">
        <v>12</v>
      </c>
      <c r="D269" s="5" t="s">
        <v>14</v>
      </c>
      <c r="E269" s="3" t="s">
        <v>12</v>
      </c>
      <c r="F269" s="29" t="s">
        <v>49</v>
      </c>
      <c r="G269" s="4" t="s">
        <v>13</v>
      </c>
      <c r="H269" s="3" t="s">
        <v>12</v>
      </c>
      <c r="I269" s="614" t="s">
        <v>12</v>
      </c>
      <c r="P269" s="1329">
        <v>22</v>
      </c>
      <c r="Q269" s="1837">
        <v>4</v>
      </c>
      <c r="R269" s="1837" t="str">
        <v>Route Info</v>
      </c>
      <c r="S269" s="1837" t="str">
        <v>Detour</v>
      </c>
      <c r="T269" s="1837" t="str">
        <v>Route Info</v>
      </c>
      <c r="U269" s="1837" t="str">
        <v>Road Block</v>
      </c>
      <c r="V269" s="1837" t="str">
        <v/>
      </c>
      <c r="W269" s="1837" t="str">
        <v/>
      </c>
      <c r="X269" s="1837" t="str">
        <v/>
      </c>
      <c r="Y269" s="1837" t="str">
        <v/>
      </c>
      <c r="Z269" s="1837" t="str">
        <v/>
      </c>
      <c r="AA269" s="1837" t="str">
        <v/>
      </c>
      <c r="AB269" s="1837" t="str">
        <v/>
      </c>
      <c r="AC269" s="1837" t="str">
        <v/>
      </c>
      <c r="AD269" s="1837" t="str">
        <v/>
      </c>
      <c r="AE269" s="1837" t="str">
        <v>Indonesia</v>
      </c>
      <c r="AF269" s="1837" t="str">
        <v>South East Asia</v>
      </c>
      <c r="AG269" s="1837" t="str">
        <v>Yes</v>
      </c>
      <c r="AH269" s="1837" t="str">
        <v/>
      </c>
      <c r="AI269" s="1837" t="str">
        <v/>
      </c>
      <c r="AJ269" s="1110" t="str">
        <v>Dave &amp; Connor</v>
      </c>
    </row>
    <row r="270" spans="1:36">
      <c r="A270">
        <v>22</v>
      </c>
      <c r="B270">
        <v>11</v>
      </c>
      <c r="C270" s="3" t="s">
        <v>12</v>
      </c>
      <c r="D270" s="5" t="s">
        <v>14</v>
      </c>
      <c r="E270" s="3" t="s">
        <v>12</v>
      </c>
      <c r="F270" s="4" t="s">
        <v>13</v>
      </c>
      <c r="G270" s="3" t="s">
        <v>12</v>
      </c>
      <c r="P270" s="1329">
        <v>22</v>
      </c>
      <c r="Q270" s="1837">
        <v>5</v>
      </c>
      <c r="R270" s="1837" t="str">
        <v>Route Info</v>
      </c>
      <c r="S270" s="1837" t="str">
        <v>Road Block</v>
      </c>
      <c r="T270" s="1837" t="str">
        <v>Route Info</v>
      </c>
      <c r="U270" s="1837" t="str">
        <v>Detour</v>
      </c>
      <c r="V270" s="1837" t="str">
        <v>Route Info</v>
      </c>
      <c r="W270" s="1837" t="str">
        <v/>
      </c>
      <c r="X270" s="1837" t="str">
        <v/>
      </c>
      <c r="Y270" s="1837" t="str">
        <v/>
      </c>
      <c r="Z270" s="1837" t="str">
        <v/>
      </c>
      <c r="AA270" s="1837" t="str">
        <v/>
      </c>
      <c r="AB270" s="1837" t="str">
        <v/>
      </c>
      <c r="AC270" s="1837" t="str">
        <v/>
      </c>
      <c r="AD270" s="1837" t="str">
        <v/>
      </c>
      <c r="AE270" s="1837" t="str">
        <v>Vietnam</v>
      </c>
      <c r="AF270" s="1837" t="str">
        <v>South East Asia</v>
      </c>
      <c r="AG270" s="1837" t="str">
        <v>Yes</v>
      </c>
      <c r="AH270" s="1837" t="str">
        <v>Double U-Turn</v>
      </c>
      <c r="AI270" s="1837">
        <v>5</v>
      </c>
      <c r="AJ270" s="1110" t="str">
        <v>Pam &amp; Winnie</v>
      </c>
    </row>
    <row r="271" spans="1:36" ht="16.5" thickBot="1">
      <c r="A271">
        <v>22</v>
      </c>
      <c r="B271" t="s">
        <v>2810</v>
      </c>
      <c r="C271" s="3" t="s">
        <v>12</v>
      </c>
      <c r="D271" s="3" t="s">
        <v>12</v>
      </c>
      <c r="E271" s="3" t="s">
        <v>12</v>
      </c>
      <c r="F271" s="3" t="s">
        <v>12</v>
      </c>
      <c r="G271" s="5" t="s">
        <v>14</v>
      </c>
      <c r="H271" s="3" t="s">
        <v>12</v>
      </c>
      <c r="I271" s="3" t="s">
        <v>12</v>
      </c>
      <c r="J271" s="3" t="s">
        <v>12</v>
      </c>
      <c r="K271" s="3" t="s">
        <v>12</v>
      </c>
      <c r="L271" s="3" t="s">
        <v>12</v>
      </c>
      <c r="P271" s="1329">
        <v>22</v>
      </c>
      <c r="Q271" s="1837">
        <v>6</v>
      </c>
      <c r="R271" s="1837" t="str">
        <v>Route Info</v>
      </c>
      <c r="S271" s="1837" t="str">
        <v>Route Info</v>
      </c>
      <c r="T271" s="1837" t="str">
        <v>Road Block</v>
      </c>
      <c r="U271" s="1837" t="str">
        <v>Route Info</v>
      </c>
      <c r="V271" s="1837" t="str">
        <v>Detour</v>
      </c>
      <c r="W271" s="1837" t="str">
        <v>Route Info</v>
      </c>
      <c r="X271" s="1837" t="str">
        <v/>
      </c>
      <c r="Y271" s="1837" t="str">
        <v/>
      </c>
      <c r="Z271" s="1837" t="str">
        <v/>
      </c>
      <c r="AA271" s="1837" t="str">
        <v/>
      </c>
      <c r="AB271" s="1837" t="str">
        <v/>
      </c>
      <c r="AC271" s="1837" t="str">
        <v/>
      </c>
      <c r="AD271" s="1837" t="str">
        <v/>
      </c>
      <c r="AE271" s="1837" t="str">
        <v>Botswana</v>
      </c>
      <c r="AF271" s="1837" t="str">
        <v>Southern Africa</v>
      </c>
      <c r="AG271" s="1837" t="str">
        <v>No</v>
      </c>
      <c r="AH271" s="1837" t="str">
        <v/>
      </c>
      <c r="AI271" s="1837" t="str">
        <v/>
      </c>
      <c r="AJ271" s="1110" t="str">
        <v>Bates &amp; Anthony</v>
      </c>
    </row>
    <row r="272" spans="1:36" ht="16.5" thickBot="1">
      <c r="A272">
        <v>23</v>
      </c>
      <c r="B272">
        <v>1</v>
      </c>
      <c r="C272" s="3" t="s">
        <v>12</v>
      </c>
      <c r="D272" s="3" t="s">
        <v>12</v>
      </c>
      <c r="E272" s="5" t="s">
        <v>14</v>
      </c>
      <c r="F272" s="3" t="s">
        <v>12</v>
      </c>
      <c r="G272" s="5" t="s">
        <v>14</v>
      </c>
      <c r="H272" s="613" t="s">
        <v>12</v>
      </c>
      <c r="P272" s="1329">
        <v>22</v>
      </c>
      <c r="Q272" s="1837">
        <v>7</v>
      </c>
      <c r="R272" s="1837" t="str">
        <v>Route Info</v>
      </c>
      <c r="S272" s="1837" t="str">
        <v>Speed Bump</v>
      </c>
      <c r="T272" s="1837" t="str">
        <v>Fast Forward</v>
      </c>
      <c r="U272" s="1837" t="str">
        <v>Road Block</v>
      </c>
      <c r="V272" s="1837" t="str">
        <v>Route Info</v>
      </c>
      <c r="W272" s="1837" t="str">
        <v>Detour</v>
      </c>
      <c r="X272" s="1837" t="str">
        <v>Route Info</v>
      </c>
      <c r="Y272" s="1837" t="str">
        <v/>
      </c>
      <c r="Z272" s="1837" t="str">
        <v/>
      </c>
      <c r="AA272" s="1837" t="str">
        <v/>
      </c>
      <c r="AB272" s="1837" t="str">
        <v/>
      </c>
      <c r="AC272" s="1837" t="str">
        <v/>
      </c>
      <c r="AD272" s="1837" t="str">
        <v/>
      </c>
      <c r="AE272" s="1837" t="str">
        <v>Botswana</v>
      </c>
      <c r="AF272" s="1837" t="str">
        <v>Southern Africa</v>
      </c>
      <c r="AG272" s="1837" t="str">
        <v>Yes</v>
      </c>
      <c r="AH272" s="1837" t="str">
        <v/>
      </c>
      <c r="AI272" s="1837" t="str">
        <v/>
      </c>
      <c r="AJ272" s="1110" t="str">
        <v>Bates &amp; Anthony</v>
      </c>
    </row>
    <row r="273" spans="1:36">
      <c r="A273">
        <v>23</v>
      </c>
      <c r="B273">
        <v>2</v>
      </c>
      <c r="C273" s="3" t="s">
        <v>12</v>
      </c>
      <c r="D273" s="3" t="s">
        <v>12</v>
      </c>
      <c r="E273" s="4" t="s">
        <v>13</v>
      </c>
      <c r="F273" s="3" t="s">
        <v>12</v>
      </c>
      <c r="G273" s="5" t="s">
        <v>14</v>
      </c>
      <c r="H273" s="3" t="s">
        <v>12</v>
      </c>
      <c r="P273" s="1329">
        <v>22</v>
      </c>
      <c r="Q273" s="1837">
        <v>8</v>
      </c>
      <c r="R273" s="1837" t="str">
        <v>Route Info</v>
      </c>
      <c r="S273" s="1837" t="str">
        <v>Route Info</v>
      </c>
      <c r="T273" s="1837" t="str">
        <v>Route Info</v>
      </c>
      <c r="U273" s="1837" t="str">
        <v>Route Info</v>
      </c>
      <c r="V273" s="1837" t="str">
        <v>Road Block</v>
      </c>
      <c r="W273" s="1837" t="str">
        <v>Route Info</v>
      </c>
      <c r="X273" s="1837" t="str">
        <v>Route Info</v>
      </c>
      <c r="Y273" s="1837" t="str">
        <v>Route Info</v>
      </c>
      <c r="Z273" s="1837" t="str">
        <v/>
      </c>
      <c r="AA273" s="1837" t="str">
        <v/>
      </c>
      <c r="AB273" s="1837" t="str">
        <v/>
      </c>
      <c r="AC273" s="1837" t="str">
        <v/>
      </c>
      <c r="AD273" s="1837" t="str">
        <v/>
      </c>
      <c r="AE273" s="1837" t="str">
        <v>Switzerland</v>
      </c>
      <c r="AF273" s="1837" t="str">
        <v>Central Europe</v>
      </c>
      <c r="AG273" s="1837" t="str">
        <v>Yes</v>
      </c>
      <c r="AH273" s="1837" t="str">
        <v/>
      </c>
      <c r="AI273" s="1837" t="str">
        <v/>
      </c>
      <c r="AJ273" s="1110" t="str">
        <v>Bates &amp; Anthony</v>
      </c>
    </row>
    <row r="274" spans="1:36">
      <c r="A274">
        <v>23</v>
      </c>
      <c r="B274">
        <v>3</v>
      </c>
      <c r="C274" s="3" t="s">
        <v>12</v>
      </c>
      <c r="D274" s="3" t="s">
        <v>12</v>
      </c>
      <c r="E274" s="4" t="s">
        <v>13</v>
      </c>
      <c r="F274" s="3" t="s">
        <v>12</v>
      </c>
      <c r="G274" s="5" t="s">
        <v>14</v>
      </c>
      <c r="H274" s="3" t="s">
        <v>12</v>
      </c>
      <c r="P274" s="1329">
        <v>22</v>
      </c>
      <c r="Q274" s="1837">
        <v>9</v>
      </c>
      <c r="R274" s="1837" t="str">
        <v>Route Info</v>
      </c>
      <c r="S274" s="1837" t="str">
        <v>Route Info</v>
      </c>
      <c r="T274" s="1837" t="str">
        <v>Route Info</v>
      </c>
      <c r="U274" s="1837" t="str">
        <v>Detour</v>
      </c>
      <c r="V274" s="1837" t="str">
        <v>Route Info</v>
      </c>
      <c r="W274" s="1837" t="str">
        <v>Road Block</v>
      </c>
      <c r="X274" s="1837" t="str">
        <v>Route Info</v>
      </c>
      <c r="Y274" s="1837" t="str">
        <v/>
      </c>
      <c r="Z274" s="1837" t="str">
        <v/>
      </c>
      <c r="AA274" s="1837" t="str">
        <v/>
      </c>
      <c r="AB274" s="1837" t="str">
        <v/>
      </c>
      <c r="AC274" s="1837" t="str">
        <v/>
      </c>
      <c r="AD274" s="1837" t="str">
        <v/>
      </c>
      <c r="AE274" s="1837" t="str">
        <v>Germany\nBelgium</v>
      </c>
      <c r="AF274" s="1837" t="str">
        <v>Central Europe</v>
      </c>
      <c r="AG274" s="1837" t="str">
        <v>No</v>
      </c>
      <c r="AH274" s="1837" t="str">
        <v/>
      </c>
      <c r="AI274" s="1837" t="str">
        <v/>
      </c>
      <c r="AJ274" s="1110" t="str">
        <v>Max &amp; Katie</v>
      </c>
    </row>
    <row r="275" spans="1:36" ht="16.5" thickBot="1">
      <c r="A275">
        <v>23</v>
      </c>
      <c r="B275">
        <v>4</v>
      </c>
      <c r="C275" s="3" t="s">
        <v>12</v>
      </c>
      <c r="D275" s="4" t="s">
        <v>13</v>
      </c>
      <c r="E275" s="3" t="s">
        <v>12</v>
      </c>
      <c r="F275" s="5" t="s">
        <v>14</v>
      </c>
      <c r="G275" s="3" t="s">
        <v>12</v>
      </c>
      <c r="H275" s="3" t="s">
        <v>12</v>
      </c>
      <c r="P275" s="1329">
        <v>22</v>
      </c>
      <c r="Q275" s="1837">
        <v>10</v>
      </c>
      <c r="R275" s="1837" t="str">
        <v>Route Info</v>
      </c>
      <c r="S275" s="1837" t="str">
        <v>Road Block</v>
      </c>
      <c r="T275" s="1837" t="str">
        <v>Route Info</v>
      </c>
      <c r="U275" s="1837" t="str">
        <v>Speed Bump</v>
      </c>
      <c r="V275" s="1837" t="str">
        <v>Detour</v>
      </c>
      <c r="W275" s="1837" t="str">
        <v>Route Info</v>
      </c>
      <c r="X275" s="1837" t="str">
        <v>Route Info</v>
      </c>
      <c r="Y275" s="1837" t="str">
        <v/>
      </c>
      <c r="Z275" s="1837" t="str">
        <v/>
      </c>
      <c r="AA275" s="1837" t="str">
        <v/>
      </c>
      <c r="AB275" s="1837" t="str">
        <v/>
      </c>
      <c r="AC275" s="1837" t="str">
        <v/>
      </c>
      <c r="AD275" s="1837" t="str">
        <v/>
      </c>
      <c r="AE275" s="1837" t="str">
        <v>Scotland</v>
      </c>
      <c r="AF275" s="1837" t="str">
        <v>Western Europe</v>
      </c>
      <c r="AG275" s="1837" t="str">
        <v>Yes</v>
      </c>
      <c r="AH275" s="1837" t="str">
        <v>Double U-Turn</v>
      </c>
      <c r="AI275" s="1837">
        <v>7</v>
      </c>
      <c r="AJ275" s="1110" t="str">
        <v>Max &amp; Katie</v>
      </c>
    </row>
    <row r="276" spans="1:36" ht="16.5" thickBot="1">
      <c r="A276">
        <v>23</v>
      </c>
      <c r="B276">
        <v>5</v>
      </c>
      <c r="C276" s="3" t="s">
        <v>12</v>
      </c>
      <c r="D276" s="3" t="s">
        <v>12</v>
      </c>
      <c r="E276" s="4" t="s">
        <v>13</v>
      </c>
      <c r="F276" s="614" t="s">
        <v>12</v>
      </c>
      <c r="G276" s="3" t="s">
        <v>12</v>
      </c>
      <c r="H276" s="5" t="s">
        <v>14</v>
      </c>
      <c r="I276" s="3" t="s">
        <v>12</v>
      </c>
      <c r="P276" s="1329">
        <v>22</v>
      </c>
      <c r="Q276" s="1837">
        <v>11</v>
      </c>
      <c r="R276" s="1837" t="str">
        <v>Route Info</v>
      </c>
      <c r="S276" s="1837" t="str">
        <v>Road Block</v>
      </c>
      <c r="T276" s="1837" t="str">
        <v>Route Info</v>
      </c>
      <c r="U276" s="1837" t="str">
        <v>Detour</v>
      </c>
      <c r="V276" s="1837" t="str">
        <v>Route Info</v>
      </c>
      <c r="W276" s="1837" t="str">
        <v/>
      </c>
      <c r="X276" s="1837" t="str">
        <v/>
      </c>
      <c r="Y276" s="1837" t="str">
        <v/>
      </c>
      <c r="Z276" s="1837" t="str">
        <v/>
      </c>
      <c r="AA276" s="1837" t="str">
        <v/>
      </c>
      <c r="AB276" s="1837" t="str">
        <v/>
      </c>
      <c r="AC276" s="1837" t="str">
        <v/>
      </c>
      <c r="AD276" s="1837" t="str">
        <v/>
      </c>
      <c r="AE276" s="1837" t="str">
        <v>Northern Ireland</v>
      </c>
      <c r="AF276" s="1837" t="str">
        <v>Western Europe</v>
      </c>
      <c r="AG276" s="1837" t="str">
        <v>Yes</v>
      </c>
      <c r="AH276" s="1837" t="str">
        <v/>
      </c>
      <c r="AI276" s="1837" t="str">
        <v/>
      </c>
      <c r="AJ276" s="1110" t="str">
        <v>Max &amp; Katie</v>
      </c>
    </row>
    <row r="277" spans="1:36">
      <c r="A277">
        <v>23</v>
      </c>
      <c r="B277">
        <v>6</v>
      </c>
      <c r="C277" s="3" t="s">
        <v>12</v>
      </c>
      <c r="D277" s="19" t="s">
        <v>71</v>
      </c>
      <c r="E277" s="4" t="s">
        <v>13</v>
      </c>
      <c r="F277" s="3" t="s">
        <v>12</v>
      </c>
      <c r="G277" s="5" t="s">
        <v>14</v>
      </c>
      <c r="H277" s="3" t="s">
        <v>12</v>
      </c>
      <c r="I277" s="3" t="s">
        <v>12</v>
      </c>
      <c r="P277" s="1329">
        <v>22</v>
      </c>
      <c r="Q277" s="1837" t="str">
        <v>Final</v>
      </c>
      <c r="R277" s="1837" t="str">
        <v>Route Info</v>
      </c>
      <c r="S277" s="1837" t="str">
        <v>Route Info</v>
      </c>
      <c r="T277" s="1837" t="str">
        <v>Route Info</v>
      </c>
      <c r="U277" s="1837" t="str">
        <v>Route Info</v>
      </c>
      <c r="V277" s="1837" t="str">
        <v>Road Block</v>
      </c>
      <c r="W277" s="1837" t="str">
        <v>Route Info</v>
      </c>
      <c r="X277" s="1837" t="str">
        <v>Route Info</v>
      </c>
      <c r="Y277" s="1837" t="str">
        <v>Route Info</v>
      </c>
      <c r="Z277" s="1837" t="str">
        <v>Route Info</v>
      </c>
      <c r="AA277" s="1837" t="str">
        <v>Route Info</v>
      </c>
      <c r="AB277" s="1837" t="str">
        <v/>
      </c>
      <c r="AC277" s="1837" t="str">
        <v/>
      </c>
      <c r="AD277" s="1837" t="str">
        <v/>
      </c>
      <c r="AE277" s="1837" t="str">
        <v>England \nUSA</v>
      </c>
      <c r="AF277" s="1837" t="str">
        <v>Western Europe\nNorth America</v>
      </c>
      <c r="AG277" s="1837" t="str">
        <v>Final Leg</v>
      </c>
      <c r="AH277" s="1837" t="str">
        <v/>
      </c>
      <c r="AI277" s="1837" t="str">
        <v/>
      </c>
      <c r="AJ277" s="1110" t="str">
        <v>Bates &amp; Anthony</v>
      </c>
    </row>
    <row r="278" spans="1:36" ht="16.5" thickBot="1">
      <c r="A278">
        <v>23</v>
      </c>
      <c r="B278">
        <v>7</v>
      </c>
      <c r="C278" s="3" t="s">
        <v>12</v>
      </c>
      <c r="D278" s="3" t="s">
        <v>12</v>
      </c>
      <c r="E278" s="4" t="s">
        <v>13</v>
      </c>
      <c r="F278" s="3" t="s">
        <v>12</v>
      </c>
      <c r="G278" s="5" t="s">
        <v>14</v>
      </c>
      <c r="H278" s="3" t="s">
        <v>12</v>
      </c>
      <c r="P278" s="1329">
        <v>23</v>
      </c>
      <c r="Q278" s="1837">
        <v>1</v>
      </c>
      <c r="R278" s="1837" t="str">
        <v>Route Info</v>
      </c>
      <c r="S278" s="1837" t="str">
        <v>Route Info</v>
      </c>
      <c r="T278" s="1837" t="str">
        <v>Road Block</v>
      </c>
      <c r="U278" s="1837" t="str">
        <v>Route Info</v>
      </c>
      <c r="V278" s="1837" t="str">
        <v>Road Block</v>
      </c>
      <c r="W278" s="1837" t="str">
        <v>Route Info</v>
      </c>
      <c r="X278" s="1837" t="str">
        <v/>
      </c>
      <c r="Y278" s="1837" t="str">
        <v/>
      </c>
      <c r="Z278" s="1837" t="str">
        <v/>
      </c>
      <c r="AA278" s="1837" t="str">
        <v/>
      </c>
      <c r="AB278" s="1837" t="str">
        <v/>
      </c>
      <c r="AC278" s="1837" t="str">
        <v/>
      </c>
      <c r="AD278" s="1837" t="str">
        <v/>
      </c>
      <c r="AE278" s="1837" t="str">
        <v>Chile</v>
      </c>
      <c r="AF278" s="1837" t="str">
        <v>South America</v>
      </c>
      <c r="AG278" s="1837" t="str">
        <v>Yes</v>
      </c>
      <c r="AH278" s="1837" t="str">
        <v>Express Pass</v>
      </c>
      <c r="AI278" s="1837">
        <v>6</v>
      </c>
      <c r="AJ278" s="1110" t="str">
        <v>Tim &amp; Marie</v>
      </c>
    </row>
    <row r="279" spans="1:36" ht="16.5" thickBot="1">
      <c r="A279">
        <v>23</v>
      </c>
      <c r="B279">
        <v>8</v>
      </c>
      <c r="C279" s="3" t="s">
        <v>12</v>
      </c>
      <c r="D279" s="3" t="s">
        <v>12</v>
      </c>
      <c r="E279" s="3" t="s">
        <v>12</v>
      </c>
      <c r="F279" s="29" t="s">
        <v>49</v>
      </c>
      <c r="G279" s="4" t="s">
        <v>13</v>
      </c>
      <c r="H279" s="614" t="s">
        <v>12</v>
      </c>
      <c r="I279" s="5" t="s">
        <v>14</v>
      </c>
      <c r="J279" s="3" t="s">
        <v>12</v>
      </c>
      <c r="P279" s="1329">
        <v>23</v>
      </c>
      <c r="Q279" s="1837">
        <v>2</v>
      </c>
      <c r="R279" s="1837" t="str">
        <v>Route Info</v>
      </c>
      <c r="S279" s="1837" t="str">
        <v>Route Info</v>
      </c>
      <c r="T279" s="1837" t="str">
        <v>Detour</v>
      </c>
      <c r="U279" s="1837" t="str">
        <v>Route Info</v>
      </c>
      <c r="V279" s="1837" t="str">
        <v>Road Block</v>
      </c>
      <c r="W279" s="1837" t="str">
        <v>Route Info</v>
      </c>
      <c r="X279" s="1837" t="str">
        <v/>
      </c>
      <c r="Y279" s="1837" t="str">
        <v/>
      </c>
      <c r="Z279" s="1837" t="str">
        <v/>
      </c>
      <c r="AA279" s="1837" t="str">
        <v/>
      </c>
      <c r="AB279" s="1837" t="str">
        <v/>
      </c>
      <c r="AC279" s="1837" t="str">
        <v/>
      </c>
      <c r="AD279" s="1837" t="str">
        <v/>
      </c>
      <c r="AE279" s="1837" t="str">
        <v>Chile</v>
      </c>
      <c r="AF279" s="1837" t="str">
        <v>South America</v>
      </c>
      <c r="AG279" s="1837" t="str">
        <v>Yes</v>
      </c>
      <c r="AH279" s="1837" t="str">
        <v/>
      </c>
      <c r="AI279" s="1837" t="str">
        <v/>
      </c>
      <c r="AJ279" s="1110" t="str">
        <v>Chester &amp; Ephraim</v>
      </c>
    </row>
    <row r="280" spans="1:36">
      <c r="A280">
        <v>23</v>
      </c>
      <c r="B280">
        <v>9</v>
      </c>
      <c r="C280" s="3" t="s">
        <v>12</v>
      </c>
      <c r="D280" s="3" t="s">
        <v>12</v>
      </c>
      <c r="E280" s="3" t="s">
        <v>12</v>
      </c>
      <c r="F280" s="4" t="s">
        <v>13</v>
      </c>
      <c r="G280" s="3" t="s">
        <v>12</v>
      </c>
      <c r="H280" s="5" t="s">
        <v>14</v>
      </c>
      <c r="I280" s="3" t="s">
        <v>12</v>
      </c>
      <c r="P280" s="1329">
        <v>23</v>
      </c>
      <c r="Q280" s="1837">
        <v>3</v>
      </c>
      <c r="R280" s="1837" t="str">
        <v>Route Info</v>
      </c>
      <c r="S280" s="1837" t="str">
        <v>Route Info</v>
      </c>
      <c r="T280" s="1837" t="str">
        <v>Detour</v>
      </c>
      <c r="U280" s="1837" t="str">
        <v>Route Info</v>
      </c>
      <c r="V280" s="1837" t="str">
        <v>Road Block</v>
      </c>
      <c r="W280" s="1837" t="str">
        <v>Route Info</v>
      </c>
      <c r="X280" s="1837" t="str">
        <v/>
      </c>
      <c r="Y280" s="1837" t="str">
        <v/>
      </c>
      <c r="Z280" s="1837" t="str">
        <v/>
      </c>
      <c r="AA280" s="1837" t="str">
        <v/>
      </c>
      <c r="AB280" s="1837" t="str">
        <v/>
      </c>
      <c r="AC280" s="1837" t="str">
        <v/>
      </c>
      <c r="AD280" s="1837" t="str">
        <v/>
      </c>
      <c r="AE280" s="1837" t="str">
        <v>Portugal</v>
      </c>
      <c r="AF280" s="1837" t="str">
        <v>Western Europe</v>
      </c>
      <c r="AG280" s="1837" t="str">
        <v>Yes</v>
      </c>
      <c r="AH280" s="1837" t="str">
        <v/>
      </c>
      <c r="AI280" s="1837" t="str">
        <v/>
      </c>
      <c r="AJ280" s="1110" t="str">
        <v>Nicole &amp; Travis</v>
      </c>
    </row>
    <row r="281" spans="1:36">
      <c r="A281">
        <v>23</v>
      </c>
      <c r="B281">
        <v>10</v>
      </c>
      <c r="C281" s="3" t="s">
        <v>12</v>
      </c>
      <c r="D281" s="3" t="s">
        <v>12</v>
      </c>
      <c r="E281" s="5" t="s">
        <v>14</v>
      </c>
      <c r="F281" s="4" t="s">
        <v>13</v>
      </c>
      <c r="G281" s="3" t="s">
        <v>12</v>
      </c>
      <c r="P281" s="1329">
        <v>23</v>
      </c>
      <c r="Q281" s="1837">
        <v>4</v>
      </c>
      <c r="R281" s="1837" t="str">
        <v>Route Info</v>
      </c>
      <c r="S281" s="1837" t="str">
        <v>Detour</v>
      </c>
      <c r="T281" s="1837" t="str">
        <v>Route Info</v>
      </c>
      <c r="U281" s="1837" t="str">
        <v>Road Block</v>
      </c>
      <c r="V281" s="1837" t="str">
        <v>Route Info</v>
      </c>
      <c r="W281" s="1837" t="str">
        <v>Route Info</v>
      </c>
      <c r="X281" s="1837" t="str">
        <v/>
      </c>
      <c r="Y281" s="1837" t="str">
        <v/>
      </c>
      <c r="Z281" s="1837" t="str">
        <v/>
      </c>
      <c r="AA281" s="1837" t="str">
        <v/>
      </c>
      <c r="AB281" s="1837" t="str">
        <v/>
      </c>
      <c r="AC281" s="1837" t="str">
        <v/>
      </c>
      <c r="AD281" s="1837" t="str">
        <v/>
      </c>
      <c r="AE281" s="1837" t="str">
        <v>Norway</v>
      </c>
      <c r="AF281" s="1837" t="str">
        <v>Northern Europe</v>
      </c>
      <c r="AG281" s="1837" t="str">
        <v>No</v>
      </c>
      <c r="AH281" s="1837" t="str">
        <v/>
      </c>
      <c r="AI281" s="1837" t="str">
        <v/>
      </c>
      <c r="AJ281" s="1110" t="str">
        <v>Brandon &amp; Adam</v>
      </c>
    </row>
    <row r="282" spans="1:36">
      <c r="A282">
        <v>23</v>
      </c>
      <c r="B282">
        <v>11</v>
      </c>
      <c r="C282" s="3" t="s">
        <v>12</v>
      </c>
      <c r="D282" s="4" t="s">
        <v>13</v>
      </c>
      <c r="E282" s="3" t="s">
        <v>12</v>
      </c>
      <c r="F282" s="29" t="s">
        <v>49</v>
      </c>
      <c r="G282" s="5" t="s">
        <v>14</v>
      </c>
      <c r="H282" s="3" t="s">
        <v>12</v>
      </c>
      <c r="I282" s="3" t="s">
        <v>12</v>
      </c>
      <c r="P282" s="1329">
        <v>23</v>
      </c>
      <c r="Q282" s="1837">
        <v>5</v>
      </c>
      <c r="R282" s="1837" t="str">
        <v>Route Info</v>
      </c>
      <c r="S282" s="1837" t="str">
        <v>Route Info</v>
      </c>
      <c r="T282" s="1837" t="str">
        <v>Detour</v>
      </c>
      <c r="U282" s="1837" t="str">
        <v>Route Info</v>
      </c>
      <c r="V282" s="1837" t="str">
        <v>Route Info</v>
      </c>
      <c r="W282" s="1837" t="str">
        <v>Road Block</v>
      </c>
      <c r="X282" s="1837" t="str">
        <v>Route Info</v>
      </c>
      <c r="Y282" s="1837" t="str">
        <v/>
      </c>
      <c r="Z282" s="1837" t="str">
        <v/>
      </c>
      <c r="AA282" s="1837" t="str">
        <v/>
      </c>
      <c r="AB282" s="1837" t="str">
        <v/>
      </c>
      <c r="AC282" s="1837" t="str">
        <v/>
      </c>
      <c r="AD282" s="1837" t="str">
        <v/>
      </c>
      <c r="AE282" s="1837" t="str">
        <v>Norway</v>
      </c>
      <c r="AF282" s="1837" t="str">
        <v>Northern Europe</v>
      </c>
      <c r="AG282" s="1837" t="str">
        <v>Yes</v>
      </c>
      <c r="AH282" s="1837" t="str">
        <v>Double U-Turn</v>
      </c>
      <c r="AI282" s="1837">
        <v>4</v>
      </c>
      <c r="AJ282" s="1110" t="str">
        <v>Tim &amp; Marie</v>
      </c>
    </row>
    <row r="283" spans="1:36" ht="16.5" thickBot="1">
      <c r="A283">
        <v>23</v>
      </c>
      <c r="B283" t="s">
        <v>2810</v>
      </c>
      <c r="C283" s="3" t="s">
        <v>12</v>
      </c>
      <c r="D283" s="5" t="s">
        <v>14</v>
      </c>
      <c r="E283" s="3" t="s">
        <v>12</v>
      </c>
      <c r="F283" s="3" t="s">
        <v>12</v>
      </c>
      <c r="G283" s="3" t="s">
        <v>12</v>
      </c>
      <c r="H283" s="3" t="s">
        <v>12</v>
      </c>
      <c r="I283" s="3" t="s">
        <v>12</v>
      </c>
      <c r="P283" s="1329">
        <v>23</v>
      </c>
      <c r="Q283" s="1837">
        <v>6</v>
      </c>
      <c r="R283" s="1837" t="str">
        <v>Route Info</v>
      </c>
      <c r="S283" s="1837" t="str">
        <v>Fast Forward</v>
      </c>
      <c r="T283" s="1837" t="str">
        <v>Detour</v>
      </c>
      <c r="U283" s="1837" t="str">
        <v>Route Info</v>
      </c>
      <c r="V283" s="1837" t="str">
        <v>Road Block</v>
      </c>
      <c r="W283" s="1837" t="str">
        <v>Route Info</v>
      </c>
      <c r="X283" s="1837" t="str">
        <v>Route Info</v>
      </c>
      <c r="Y283" s="1837" t="str">
        <v/>
      </c>
      <c r="Z283" s="1837" t="str">
        <v/>
      </c>
      <c r="AA283" s="1837" t="str">
        <v/>
      </c>
      <c r="AB283" s="1837" t="str">
        <v/>
      </c>
      <c r="AC283" s="1837" t="str">
        <v/>
      </c>
      <c r="AD283" s="1837" t="str">
        <v/>
      </c>
      <c r="AE283" s="1837" t="str">
        <v>Austria</v>
      </c>
      <c r="AF283" s="1837" t="str">
        <v>Central Europe</v>
      </c>
      <c r="AG283" s="1837" t="str">
        <v>Yes</v>
      </c>
      <c r="AH283" s="1837" t="str">
        <v/>
      </c>
      <c r="AI283" s="1837" t="str">
        <v/>
      </c>
      <c r="AJ283" s="1110" t="str">
        <v>Nicole &amp; Travis</v>
      </c>
    </row>
    <row r="284" spans="1:36" ht="16.5" thickBot="1">
      <c r="A284">
        <v>24</v>
      </c>
      <c r="B284">
        <v>1</v>
      </c>
      <c r="C284" s="3" t="s">
        <v>12</v>
      </c>
      <c r="D284" s="3" t="s">
        <v>12</v>
      </c>
      <c r="E284" s="3" t="s">
        <v>12</v>
      </c>
      <c r="F284" s="3" t="s">
        <v>12</v>
      </c>
      <c r="G284" s="5" t="s">
        <v>14</v>
      </c>
      <c r="H284" s="613" t="s">
        <v>12</v>
      </c>
      <c r="P284" s="1329">
        <v>23</v>
      </c>
      <c r="Q284" s="1837">
        <v>7</v>
      </c>
      <c r="R284" s="1837" t="str">
        <v>Route Info</v>
      </c>
      <c r="S284" s="1837" t="str">
        <v>Route Info</v>
      </c>
      <c r="T284" s="1837" t="str">
        <v>Detour</v>
      </c>
      <c r="U284" s="1837" t="str">
        <v>Route Info</v>
      </c>
      <c r="V284" s="1837" t="str">
        <v>Road Block</v>
      </c>
      <c r="W284" s="1837" t="str">
        <v>Route Info</v>
      </c>
      <c r="X284" s="1837" t="str">
        <v/>
      </c>
      <c r="Y284" s="1837" t="str">
        <v/>
      </c>
      <c r="Z284" s="1837" t="str">
        <v/>
      </c>
      <c r="AA284" s="1837" t="str">
        <v/>
      </c>
      <c r="AB284" s="1837" t="str">
        <v/>
      </c>
      <c r="AC284" s="1837" t="str">
        <v/>
      </c>
      <c r="AD284" s="1837" t="str">
        <v/>
      </c>
      <c r="AE284" s="1837" t="str">
        <v>UAE</v>
      </c>
      <c r="AF284" s="1837" t="str">
        <v>Middle East</v>
      </c>
      <c r="AG284" s="1837" t="str">
        <v>No</v>
      </c>
      <c r="AH284" s="1837" t="str">
        <v/>
      </c>
      <c r="AI284" s="1837" t="str">
        <v/>
      </c>
      <c r="AJ284" s="1110" t="str">
        <v>Leo &amp; Jamal</v>
      </c>
    </row>
    <row r="285" spans="1:36">
      <c r="A285">
        <v>24</v>
      </c>
      <c r="B285">
        <v>2</v>
      </c>
      <c r="C285" s="3" t="s">
        <v>12</v>
      </c>
      <c r="D285" s="3" t="s">
        <v>12</v>
      </c>
      <c r="E285" s="5" t="s">
        <v>14</v>
      </c>
      <c r="F285" s="3" t="s">
        <v>12</v>
      </c>
      <c r="G285" s="4" t="s">
        <v>13</v>
      </c>
      <c r="H285" s="808" t="s">
        <v>12</v>
      </c>
      <c r="P285" s="1329">
        <v>23</v>
      </c>
      <c r="Q285" s="1837">
        <v>8</v>
      </c>
      <c r="R285" s="1837" t="str">
        <v>Route Info</v>
      </c>
      <c r="S285" s="1837" t="str">
        <v>Route Info</v>
      </c>
      <c r="T285" s="1837" t="str">
        <v>Route Info</v>
      </c>
      <c r="U285" s="1837" t="str">
        <v>Speed Bump</v>
      </c>
      <c r="V285" s="1837" t="str">
        <v>Detour</v>
      </c>
      <c r="W285" s="1837" t="str">
        <v>Route Info</v>
      </c>
      <c r="X285" s="1837" t="str">
        <v>Road Block</v>
      </c>
      <c r="Y285" s="1837" t="str">
        <v>Route Info</v>
      </c>
      <c r="Z285" s="1837" t="str">
        <v/>
      </c>
      <c r="AA285" s="1837" t="str">
        <v/>
      </c>
      <c r="AB285" s="1837" t="str">
        <v/>
      </c>
      <c r="AC285" s="1837" t="str">
        <v/>
      </c>
      <c r="AD285" s="1837" t="str">
        <v/>
      </c>
      <c r="AE285" s="1837" t="str">
        <v>UAE</v>
      </c>
      <c r="AF285" s="1837" t="str">
        <v>Middle East</v>
      </c>
      <c r="AG285" s="1837" t="str">
        <v>Yes</v>
      </c>
      <c r="AH285" s="1837" t="str">
        <v>Double U-Turn</v>
      </c>
      <c r="AI285" s="1837">
        <v>6</v>
      </c>
      <c r="AJ285" s="1110" t="str">
        <v>Nicole &amp; Travis</v>
      </c>
    </row>
    <row r="286" spans="1:36">
      <c r="A286">
        <v>24</v>
      </c>
      <c r="B286">
        <v>3</v>
      </c>
      <c r="C286" s="3" t="s">
        <v>12</v>
      </c>
      <c r="D286" s="5" t="s">
        <v>14</v>
      </c>
      <c r="E286" s="3" t="s">
        <v>12</v>
      </c>
      <c r="F286" s="4" t="s">
        <v>13</v>
      </c>
      <c r="G286" s="3" t="s">
        <v>12</v>
      </c>
      <c r="H286" s="12"/>
      <c r="P286" s="1329">
        <v>23</v>
      </c>
      <c r="Q286" s="1837">
        <v>9</v>
      </c>
      <c r="R286" s="1837" t="str">
        <v>Route Info</v>
      </c>
      <c r="S286" s="1837" t="str">
        <v>Route Info</v>
      </c>
      <c r="T286" s="1837" t="str">
        <v>Route Info</v>
      </c>
      <c r="U286" s="1837" t="str">
        <v>Detour</v>
      </c>
      <c r="V286" s="1837" t="str">
        <v>Route Info</v>
      </c>
      <c r="W286" s="1837" t="str">
        <v>Road Block</v>
      </c>
      <c r="X286" s="1837" t="str">
        <v>Route Info</v>
      </c>
      <c r="Y286" s="1837" t="str">
        <v/>
      </c>
      <c r="Z286" s="1837" t="str">
        <v/>
      </c>
      <c r="AA286" s="1837" t="str">
        <v/>
      </c>
      <c r="AB286" s="1837" t="str">
        <v/>
      </c>
      <c r="AC286" s="1837" t="str">
        <v/>
      </c>
      <c r="AD286" s="1837" t="str">
        <v/>
      </c>
      <c r="AE286" s="1837" t="str">
        <v>Indonesia</v>
      </c>
      <c r="AF286" s="1837" t="str">
        <v>South East Asia</v>
      </c>
      <c r="AG286" s="1837" t="str">
        <v>Yes</v>
      </c>
      <c r="AH286" s="1837" t="str">
        <v/>
      </c>
      <c r="AI286" s="1837" t="str">
        <v/>
      </c>
      <c r="AJ286" s="1110" t="str">
        <v>Leo &amp; Jamal</v>
      </c>
    </row>
    <row r="287" spans="1:36">
      <c r="A287">
        <v>24</v>
      </c>
      <c r="B287">
        <v>4</v>
      </c>
      <c r="C287" s="3" t="s">
        <v>12</v>
      </c>
      <c r="D287" s="5" t="s">
        <v>14</v>
      </c>
      <c r="E287" s="3" t="s">
        <v>12</v>
      </c>
      <c r="F287" s="4" t="s">
        <v>13</v>
      </c>
      <c r="G287" s="3" t="s">
        <v>12</v>
      </c>
      <c r="H287" s="12"/>
      <c r="P287" s="1329">
        <v>23</v>
      </c>
      <c r="Q287" s="1837">
        <v>10</v>
      </c>
      <c r="R287" s="1837" t="str">
        <v>Route Info</v>
      </c>
      <c r="S287" s="1837" t="str">
        <v>Route Info</v>
      </c>
      <c r="T287" s="1837" t="str">
        <v>Road Block</v>
      </c>
      <c r="U287" s="1837" t="str">
        <v>Detour</v>
      </c>
      <c r="V287" s="1837" t="str">
        <v>Route Info</v>
      </c>
      <c r="W287" s="1837" t="str">
        <v/>
      </c>
      <c r="X287" s="1837" t="str">
        <v/>
      </c>
      <c r="Y287" s="1837" t="str">
        <v/>
      </c>
      <c r="Z287" s="1837" t="str">
        <v/>
      </c>
      <c r="AA287" s="1837" t="str">
        <v/>
      </c>
      <c r="AB287" s="1837" t="str">
        <v/>
      </c>
      <c r="AC287" s="1837" t="str">
        <v/>
      </c>
      <c r="AD287" s="1837" t="str">
        <v/>
      </c>
      <c r="AE287" s="1837" t="str">
        <v>Indonesia</v>
      </c>
      <c r="AF287" s="1837" t="str">
        <v>South East Asia</v>
      </c>
      <c r="AG287" s="1837" t="str">
        <v>No</v>
      </c>
      <c r="AH287" s="1837" t="str">
        <v/>
      </c>
      <c r="AI287" s="1837" t="str">
        <v/>
      </c>
      <c r="AJ287" s="1110" t="str">
        <v>Jason &amp; Amy</v>
      </c>
    </row>
    <row r="288" spans="1:36">
      <c r="A288">
        <v>24</v>
      </c>
      <c r="B288">
        <v>5</v>
      </c>
      <c r="C288" s="3" t="s">
        <v>12</v>
      </c>
      <c r="D288" s="3" t="s">
        <v>12</v>
      </c>
      <c r="E288" s="4" t="s">
        <v>13</v>
      </c>
      <c r="F288" s="3" t="s">
        <v>12</v>
      </c>
      <c r="G288" s="29" t="s">
        <v>49</v>
      </c>
      <c r="H288" s="5" t="s">
        <v>14</v>
      </c>
      <c r="I288" s="3" t="s">
        <v>12</v>
      </c>
      <c r="P288" s="1329">
        <v>23</v>
      </c>
      <c r="Q288" s="1837">
        <v>11</v>
      </c>
      <c r="R288" s="1837" t="str">
        <v>Route Info</v>
      </c>
      <c r="S288" s="1837" t="str">
        <v>Detour</v>
      </c>
      <c r="T288" s="1837" t="str">
        <v>Route Info</v>
      </c>
      <c r="U288" s="1837" t="str">
        <v>Speed Bump</v>
      </c>
      <c r="V288" s="1837" t="str">
        <v>Road Block</v>
      </c>
      <c r="W288" s="1837" t="str">
        <v>Route Info</v>
      </c>
      <c r="X288" s="1837" t="str">
        <v>Route Info</v>
      </c>
      <c r="Y288" s="1837" t="str">
        <v/>
      </c>
      <c r="Z288" s="1837" t="str">
        <v/>
      </c>
      <c r="AA288" s="1837" t="str">
        <v/>
      </c>
      <c r="AB288" s="1837" t="str">
        <v/>
      </c>
      <c r="AC288" s="1837" t="str">
        <v/>
      </c>
      <c r="AD288" s="1837" t="str">
        <v/>
      </c>
      <c r="AE288" s="1837" t="str">
        <v>Japan</v>
      </c>
      <c r="AF288" s="1837" t="str">
        <v>East Asia</v>
      </c>
      <c r="AG288" s="1837" t="str">
        <v>Yes</v>
      </c>
      <c r="AH288" s="1837" t="str">
        <v/>
      </c>
      <c r="AI288" s="1837" t="str">
        <v/>
      </c>
      <c r="AJ288" s="1110" t="str">
        <v>Tim &amp; Marie</v>
      </c>
    </row>
    <row r="289" spans="1:36">
      <c r="A289">
        <v>24</v>
      </c>
      <c r="B289">
        <v>6</v>
      </c>
      <c r="C289" s="3" t="s">
        <v>12</v>
      </c>
      <c r="D289" s="3" t="s">
        <v>12</v>
      </c>
      <c r="E289" s="5" t="s">
        <v>14</v>
      </c>
      <c r="F289" s="3" t="s">
        <v>12</v>
      </c>
      <c r="G289" s="4" t="s">
        <v>13</v>
      </c>
      <c r="H289" s="3" t="s">
        <v>12</v>
      </c>
      <c r="I289" s="3" t="s">
        <v>12</v>
      </c>
      <c r="P289" s="1329">
        <v>23</v>
      </c>
      <c r="Q289" s="1837" t="str">
        <v>Final</v>
      </c>
      <c r="R289" s="1837" t="str">
        <v>Route Info</v>
      </c>
      <c r="S289" s="1837" t="str">
        <v>Road Block</v>
      </c>
      <c r="T289" s="1837" t="str">
        <v>Route Info</v>
      </c>
      <c r="U289" s="1837" t="str">
        <v>Route Info</v>
      </c>
      <c r="V289" s="1837" t="str">
        <v>Route Info</v>
      </c>
      <c r="W289" s="1837" t="str">
        <v>Route Info</v>
      </c>
      <c r="X289" s="1837" t="str">
        <v>Route Info</v>
      </c>
      <c r="Y289" s="1837" t="str">
        <v/>
      </c>
      <c r="Z289" s="1837" t="str">
        <v/>
      </c>
      <c r="AA289" s="1837" t="str">
        <v/>
      </c>
      <c r="AB289" s="1837" t="str">
        <v/>
      </c>
      <c r="AC289" s="1837" t="str">
        <v/>
      </c>
      <c r="AD289" s="1837" t="str">
        <v/>
      </c>
      <c r="AE289" s="1837" t="str">
        <v>USA</v>
      </c>
      <c r="AF289" s="1837" t="str">
        <v>North America</v>
      </c>
      <c r="AG289" s="1837" t="str">
        <v>Final Leg</v>
      </c>
      <c r="AH289" s="1837" t="str">
        <v/>
      </c>
      <c r="AI289" s="1837" t="str">
        <v/>
      </c>
      <c r="AJ289" s="1110" t="str">
        <v>Jason &amp; Amy</v>
      </c>
    </row>
    <row r="290" spans="1:36" ht="16.5" thickBot="1">
      <c r="A290">
        <v>24</v>
      </c>
      <c r="B290">
        <v>7</v>
      </c>
      <c r="C290" s="3" t="s">
        <v>12</v>
      </c>
      <c r="D290" s="29" t="s">
        <v>49</v>
      </c>
      <c r="E290" s="4" t="s">
        <v>13</v>
      </c>
      <c r="F290" s="3" t="s">
        <v>12</v>
      </c>
      <c r="G290" s="5" t="s">
        <v>14</v>
      </c>
      <c r="H290" s="3" t="s">
        <v>12</v>
      </c>
      <c r="P290" s="1329">
        <v>24</v>
      </c>
      <c r="Q290" s="1837">
        <v>1</v>
      </c>
      <c r="R290" s="1837" t="str">
        <v>Route Info</v>
      </c>
      <c r="S290" s="1837" t="str">
        <v>Route Info</v>
      </c>
      <c r="T290" s="1837" t="str">
        <v>Route Info</v>
      </c>
      <c r="U290" s="1837" t="str">
        <v>Route Info</v>
      </c>
      <c r="V290" s="1837" t="str">
        <v>Road Block</v>
      </c>
      <c r="W290" s="1837" t="str">
        <v>Route Info</v>
      </c>
      <c r="X290" s="1837" t="str">
        <v/>
      </c>
      <c r="Y290" s="1837" t="str">
        <v/>
      </c>
      <c r="Z290" s="1837" t="str">
        <v/>
      </c>
      <c r="AA290" s="1837" t="str">
        <v/>
      </c>
      <c r="AB290" s="1837" t="str">
        <v/>
      </c>
      <c r="AC290" s="1837" t="str">
        <v/>
      </c>
      <c r="AD290" s="1837" t="str">
        <v/>
      </c>
      <c r="AE290" s="1837" t="str">
        <v>China</v>
      </c>
      <c r="AF290" s="1837" t="str">
        <v>East Asia</v>
      </c>
      <c r="AG290" s="1837" t="str">
        <v>Yes</v>
      </c>
      <c r="AH290" s="1837" t="str">
        <v>Express Pass</v>
      </c>
      <c r="AI290" s="1837">
        <v>6</v>
      </c>
      <c r="AJ290" s="1110" t="str">
        <v>Jet &amp; Cord</v>
      </c>
    </row>
    <row r="291" spans="1:36" ht="16.5" thickBot="1">
      <c r="A291">
        <v>24</v>
      </c>
      <c r="B291">
        <v>8</v>
      </c>
      <c r="C291" s="3" t="s">
        <v>12</v>
      </c>
      <c r="D291" s="4" t="s">
        <v>13</v>
      </c>
      <c r="E291" s="3" t="s">
        <v>12</v>
      </c>
      <c r="F291" s="809" t="s">
        <v>12</v>
      </c>
      <c r="G291" s="5" t="s">
        <v>14</v>
      </c>
      <c r="H291" s="3" t="s">
        <v>12</v>
      </c>
      <c r="P291" s="1329">
        <v>24</v>
      </c>
      <c r="Q291" s="1837">
        <v>2</v>
      </c>
      <c r="R291" s="1837" t="str">
        <v>Route Info</v>
      </c>
      <c r="S291" s="1837" t="str">
        <v>Route Info</v>
      </c>
      <c r="T291" s="1837" t="str">
        <v>Road Block</v>
      </c>
      <c r="U291" s="1837" t="str">
        <v>Route Info</v>
      </c>
      <c r="V291" s="1837" t="str">
        <v>Detour</v>
      </c>
      <c r="W291" s="1837" t="str">
        <v>Route Info</v>
      </c>
      <c r="X291" s="1837" t="str">
        <v/>
      </c>
      <c r="Y291" s="1837" t="str">
        <v/>
      </c>
      <c r="Z291" s="1837" t="str">
        <v/>
      </c>
      <c r="AA291" s="1837" t="str">
        <v/>
      </c>
      <c r="AB291" s="1837" t="str">
        <v/>
      </c>
      <c r="AC291" s="1837" t="str">
        <v/>
      </c>
      <c r="AD291" s="1837" t="str">
        <v/>
      </c>
      <c r="AE291" s="1837" t="str">
        <v>China</v>
      </c>
      <c r="AF291" s="1837" t="str">
        <v>East Asia</v>
      </c>
      <c r="AG291" s="1837" t="str">
        <v>Yes</v>
      </c>
      <c r="AH291" s="1837" t="str">
        <v/>
      </c>
      <c r="AI291" s="1837" t="str">
        <v/>
      </c>
      <c r="AJ291" s="1110" t="str">
        <v>Brendon &amp; Rachel</v>
      </c>
    </row>
    <row r="292" spans="1:36" ht="16.5" thickBot="1">
      <c r="A292">
        <v>24</v>
      </c>
      <c r="B292">
        <v>9</v>
      </c>
      <c r="C292" s="3" t="s">
        <v>12</v>
      </c>
      <c r="D292" s="3" t="s">
        <v>12</v>
      </c>
      <c r="E292" s="3" t="s">
        <v>12</v>
      </c>
      <c r="F292" s="810" t="s">
        <v>12</v>
      </c>
      <c r="G292" s="3" t="s">
        <v>12</v>
      </c>
      <c r="H292" s="3" t="s">
        <v>12</v>
      </c>
      <c r="I292" s="5" t="s">
        <v>14</v>
      </c>
      <c r="J292" s="3" t="s">
        <v>12</v>
      </c>
      <c r="P292" s="1329">
        <v>24</v>
      </c>
      <c r="Q292" s="1837">
        <v>3</v>
      </c>
      <c r="R292" s="1837" t="str">
        <v>Route Info</v>
      </c>
      <c r="S292" s="1837" t="str">
        <v>Road Block</v>
      </c>
      <c r="T292" s="1837" t="str">
        <v>Route Info</v>
      </c>
      <c r="U292" s="1837" t="str">
        <v>Detour</v>
      </c>
      <c r="V292" s="1837" t="str">
        <v>Route Info</v>
      </c>
      <c r="W292" s="1837" t="str">
        <v/>
      </c>
      <c r="X292" s="1837" t="str">
        <v/>
      </c>
      <c r="Y292" s="1837" t="str">
        <v/>
      </c>
      <c r="Z292" s="1837" t="str">
        <v/>
      </c>
      <c r="AA292" s="1837" t="str">
        <v/>
      </c>
      <c r="AB292" s="1837" t="str">
        <v/>
      </c>
      <c r="AC292" s="1837" t="str">
        <v/>
      </c>
      <c r="AD292" s="1837" t="str">
        <v/>
      </c>
      <c r="AE292" s="1837" t="str">
        <v>Malaysia</v>
      </c>
      <c r="AF292" s="1837" t="str">
        <v>South East Asia</v>
      </c>
      <c r="AG292" s="1837" t="str">
        <v>Yes</v>
      </c>
      <c r="AH292" s="1837" t="str">
        <v/>
      </c>
      <c r="AI292" s="1837" t="str">
        <v/>
      </c>
      <c r="AJ292" s="1110" t="str">
        <v>Dave &amp; Connor</v>
      </c>
    </row>
    <row r="293" spans="1:36" ht="16.5" thickBot="1">
      <c r="A293">
        <v>24</v>
      </c>
      <c r="B293">
        <v>10</v>
      </c>
      <c r="C293" s="3" t="s">
        <v>12</v>
      </c>
      <c r="D293" s="3" t="s">
        <v>12</v>
      </c>
      <c r="E293" s="5" t="s">
        <v>14</v>
      </c>
      <c r="F293" s="3" t="s">
        <v>12</v>
      </c>
      <c r="G293" s="29" t="s">
        <v>49</v>
      </c>
      <c r="H293" s="4" t="s">
        <v>13</v>
      </c>
      <c r="I293" s="614" t="s">
        <v>12</v>
      </c>
      <c r="J293" s="3" t="s">
        <v>12</v>
      </c>
      <c r="P293" s="1329">
        <v>24</v>
      </c>
      <c r="Q293" s="1837">
        <v>4</v>
      </c>
      <c r="R293" s="1837" t="str">
        <v>Route Info</v>
      </c>
      <c r="S293" s="1837" t="str">
        <v>Road Block</v>
      </c>
      <c r="T293" s="1837" t="str">
        <v>Route Info</v>
      </c>
      <c r="U293" s="1837" t="str">
        <v>Detour</v>
      </c>
      <c r="V293" s="1837" t="str">
        <v>Route Info</v>
      </c>
      <c r="W293" s="1837" t="str">
        <v/>
      </c>
      <c r="X293" s="1837" t="str">
        <v/>
      </c>
      <c r="Y293" s="1837" t="str">
        <v/>
      </c>
      <c r="Z293" s="1837" t="str">
        <v/>
      </c>
      <c r="AA293" s="1837" t="str">
        <v/>
      </c>
      <c r="AB293" s="1837" t="str">
        <v/>
      </c>
      <c r="AC293" s="1837" t="str">
        <v/>
      </c>
      <c r="AD293" s="1837" t="str">
        <v/>
      </c>
      <c r="AE293" s="1837" t="str">
        <v>Malaysia</v>
      </c>
      <c r="AF293" s="1837" t="str">
        <v>South East Asia</v>
      </c>
      <c r="AG293" s="1837" t="str">
        <v>No</v>
      </c>
      <c r="AH293" s="1837" t="str">
        <v/>
      </c>
      <c r="AI293" s="1837" t="str">
        <v/>
      </c>
      <c r="AJ293" s="1110" t="str">
        <v>Jet &amp; Cord</v>
      </c>
    </row>
    <row r="294" spans="1:36">
      <c r="A294">
        <v>24</v>
      </c>
      <c r="B294">
        <v>11</v>
      </c>
      <c r="C294" s="3" t="s">
        <v>12</v>
      </c>
      <c r="D294" s="3" t="s">
        <v>12</v>
      </c>
      <c r="E294" s="5" t="s">
        <v>14</v>
      </c>
      <c r="F294" s="3" t="s">
        <v>12</v>
      </c>
      <c r="G294" s="4" t="s">
        <v>13</v>
      </c>
      <c r="H294" s="3" t="s">
        <v>12</v>
      </c>
      <c r="P294" s="1329">
        <v>24</v>
      </c>
      <c r="Q294" s="1837">
        <v>5</v>
      </c>
      <c r="R294" s="1837" t="str">
        <v>Route Info</v>
      </c>
      <c r="S294" s="1837" t="str">
        <v>Route Info</v>
      </c>
      <c r="T294" s="1837" t="str">
        <v>Detour</v>
      </c>
      <c r="U294" s="1837" t="str">
        <v>Route Info</v>
      </c>
      <c r="V294" s="1837" t="str">
        <v>Speed Bump</v>
      </c>
      <c r="W294" s="1837" t="str">
        <v>Road Block</v>
      </c>
      <c r="X294" s="1837" t="str">
        <v>Route Info</v>
      </c>
      <c r="Y294" s="1837" t="str">
        <v/>
      </c>
      <c r="Z294" s="1837" t="str">
        <v/>
      </c>
      <c r="AA294" s="1837" t="str">
        <v/>
      </c>
      <c r="AB294" s="1837" t="str">
        <v/>
      </c>
      <c r="AC294" s="1837" t="str">
        <v/>
      </c>
      <c r="AD294" s="1837" t="str">
        <v/>
      </c>
      <c r="AE294" s="1837" t="str">
        <v>Sri Lanka</v>
      </c>
      <c r="AF294" s="1837" t="str">
        <v>South Asia</v>
      </c>
      <c r="AG294" s="1837" t="str">
        <v>Yes</v>
      </c>
      <c r="AH294" s="1837" t="str">
        <v/>
      </c>
      <c r="AI294" s="1837" t="str">
        <v/>
      </c>
      <c r="AJ294" s="1110" t="str">
        <v>Dave &amp; Connor</v>
      </c>
    </row>
    <row r="295" spans="1:36" ht="16.5" thickBot="1">
      <c r="A295">
        <v>24</v>
      </c>
      <c r="B295" t="s">
        <v>2810</v>
      </c>
      <c r="C295" s="3" t="s">
        <v>12</v>
      </c>
      <c r="D295" s="5" t="s">
        <v>14</v>
      </c>
      <c r="E295" s="3" t="s">
        <v>12</v>
      </c>
      <c r="F295" s="3" t="s">
        <v>12</v>
      </c>
      <c r="G295" s="3" t="s">
        <v>12</v>
      </c>
      <c r="H295" s="3" t="s">
        <v>12</v>
      </c>
      <c r="I295" s="3" t="s">
        <v>12</v>
      </c>
      <c r="P295" s="1329">
        <v>24</v>
      </c>
      <c r="Q295" s="1837">
        <v>6</v>
      </c>
      <c r="R295" s="1837" t="str">
        <v>Route Info</v>
      </c>
      <c r="S295" s="1837" t="str">
        <v>Route Info</v>
      </c>
      <c r="T295" s="1837" t="str">
        <v>Road Block</v>
      </c>
      <c r="U295" s="1837" t="str">
        <v>Route Info</v>
      </c>
      <c r="V295" s="1837" t="str">
        <v>Detour</v>
      </c>
      <c r="W295" s="1837" t="str">
        <v>Route Info</v>
      </c>
      <c r="X295" s="1837" t="str">
        <v>Route Info</v>
      </c>
      <c r="Y295" s="1837" t="str">
        <v/>
      </c>
      <c r="Z295" s="1837" t="str">
        <v/>
      </c>
      <c r="AA295" s="1837" t="str">
        <v/>
      </c>
      <c r="AB295" s="1837" t="str">
        <v/>
      </c>
      <c r="AC295" s="1837" t="str">
        <v/>
      </c>
      <c r="AD295" s="1837" t="str">
        <v/>
      </c>
      <c r="AE295" s="1837" t="str">
        <v>Sri Lanka</v>
      </c>
      <c r="AF295" s="1837" t="str">
        <v>South Asia</v>
      </c>
      <c r="AG295" s="1837" t="str">
        <v>No</v>
      </c>
      <c r="AH295" s="1837" t="str">
        <v/>
      </c>
      <c r="AI295" s="1837" t="str">
        <v/>
      </c>
      <c r="AJ295" s="1110" t="str">
        <v>Leo &amp; Jamal</v>
      </c>
    </row>
    <row r="296" spans="1:36" ht="16.5" thickBot="1">
      <c r="A296">
        <v>25</v>
      </c>
      <c r="B296">
        <v>1</v>
      </c>
      <c r="C296" s="3" t="s">
        <v>12</v>
      </c>
      <c r="D296" s="3" t="s">
        <v>12</v>
      </c>
      <c r="E296" s="3" t="s">
        <v>12</v>
      </c>
      <c r="F296" s="3" t="s">
        <v>12</v>
      </c>
      <c r="G296" s="5" t="s">
        <v>14</v>
      </c>
      <c r="H296" s="807" t="s">
        <v>12</v>
      </c>
      <c r="P296" s="1329">
        <v>24</v>
      </c>
      <c r="Q296" s="1837">
        <v>7</v>
      </c>
      <c r="R296" s="1837" t="str">
        <v>Route Info</v>
      </c>
      <c r="S296" s="1837" t="str">
        <v>Speed Bump</v>
      </c>
      <c r="T296" s="1837" t="str">
        <v>Detour</v>
      </c>
      <c r="U296" s="1837" t="str">
        <v>Route Info</v>
      </c>
      <c r="V296" s="1837" t="str">
        <v>Road Block</v>
      </c>
      <c r="W296" s="1837" t="str">
        <v>Route Info</v>
      </c>
      <c r="X296" s="1837" t="str">
        <v/>
      </c>
      <c r="Y296" s="1837" t="str">
        <v/>
      </c>
      <c r="Z296" s="1837" t="str">
        <v/>
      </c>
      <c r="AA296" s="1837" t="str">
        <v/>
      </c>
      <c r="AB296" s="1837" t="str">
        <v/>
      </c>
      <c r="AC296" s="1837" t="str">
        <v/>
      </c>
      <c r="AD296" s="1837" t="str">
        <v/>
      </c>
      <c r="AE296" s="1837" t="str">
        <v>Italy</v>
      </c>
      <c r="AF296" s="1837" t="str">
        <v>Southern Europe</v>
      </c>
      <c r="AG296" s="1837" t="str">
        <v>Yes</v>
      </c>
      <c r="AH296" s="1837" t="str">
        <v/>
      </c>
      <c r="AI296" s="1837" t="str">
        <v/>
      </c>
      <c r="AJ296" s="1110" t="str">
        <v>Brendon &amp; Rachel</v>
      </c>
    </row>
    <row r="297" spans="1:36" ht="16.5" thickBot="1">
      <c r="A297">
        <v>25</v>
      </c>
      <c r="B297">
        <v>2</v>
      </c>
      <c r="C297" s="3" t="s">
        <v>12</v>
      </c>
      <c r="D297" s="4" t="s">
        <v>13</v>
      </c>
      <c r="E297" s="3" t="s">
        <v>12</v>
      </c>
      <c r="F297" s="3" t="s">
        <v>12</v>
      </c>
      <c r="G297" s="3" t="s">
        <v>12</v>
      </c>
      <c r="H297" s="613" t="s">
        <v>12</v>
      </c>
      <c r="P297" s="1329">
        <v>24</v>
      </c>
      <c r="Q297" s="1837">
        <v>8</v>
      </c>
      <c r="R297" s="1837" t="str">
        <v>Route Info</v>
      </c>
      <c r="S297" s="1837" t="str">
        <v>Detour</v>
      </c>
      <c r="T297" s="1837" t="str">
        <v>Route Info</v>
      </c>
      <c r="U297" s="1837" t="str">
        <v>Route Info</v>
      </c>
      <c r="V297" s="1837" t="str">
        <v>Road Block</v>
      </c>
      <c r="W297" s="1837" t="str">
        <v>Route Info</v>
      </c>
      <c r="X297" s="1837" t="str">
        <v/>
      </c>
      <c r="Y297" s="1837" t="str">
        <v/>
      </c>
      <c r="Z297" s="1837" t="str">
        <v/>
      </c>
      <c r="AA297" s="1837" t="str">
        <v/>
      </c>
      <c r="AB297" s="1837" t="str">
        <v/>
      </c>
      <c r="AC297" s="1837" t="str">
        <v/>
      </c>
      <c r="AD297" s="1837" t="str">
        <v/>
      </c>
      <c r="AE297" s="1837" t="str">
        <v>Italy</v>
      </c>
      <c r="AF297" s="1837" t="str">
        <v>Southern Europe</v>
      </c>
      <c r="AG297" s="1837" t="str">
        <v>Yes</v>
      </c>
      <c r="AH297" s="1837" t="str">
        <v>Double U-Turn</v>
      </c>
      <c r="AI297" s="1837">
        <v>4</v>
      </c>
      <c r="AJ297" s="1110" t="str">
        <v>Brendon &amp; Rachel</v>
      </c>
    </row>
    <row r="298" spans="1:36">
      <c r="A298">
        <v>25</v>
      </c>
      <c r="B298">
        <v>3</v>
      </c>
      <c r="C298" s="3" t="s">
        <v>12</v>
      </c>
      <c r="D298" s="3" t="s">
        <v>12</v>
      </c>
      <c r="E298" s="4" t="s">
        <v>13</v>
      </c>
      <c r="F298" s="3" t="s">
        <v>12</v>
      </c>
      <c r="G298" s="3" t="s">
        <v>12</v>
      </c>
      <c r="H298" s="3" t="s">
        <v>12</v>
      </c>
      <c r="P298" s="1329">
        <v>24</v>
      </c>
      <c r="Q298" s="1837">
        <v>9</v>
      </c>
      <c r="R298" s="1837" t="str">
        <v>Route Info</v>
      </c>
      <c r="S298" s="1837" t="str">
        <v>Route Info</v>
      </c>
      <c r="T298" s="1837" t="str">
        <v>Route Info</v>
      </c>
      <c r="U298" s="1837" t="str">
        <v>Route Info</v>
      </c>
      <c r="V298" s="1837" t="str">
        <v>Route Info</v>
      </c>
      <c r="W298" s="1837" t="str">
        <v>Route Info</v>
      </c>
      <c r="X298" s="1837" t="str">
        <v>Road Block</v>
      </c>
      <c r="Y298" s="1837" t="str">
        <v>Route Info</v>
      </c>
      <c r="Z298" s="1837" t="str">
        <v/>
      </c>
      <c r="AA298" s="1837" t="str">
        <v/>
      </c>
      <c r="AB298" s="1837" t="str">
        <v/>
      </c>
      <c r="AC298" s="1837" t="str">
        <v/>
      </c>
      <c r="AD298" s="1837" t="str">
        <v/>
      </c>
      <c r="AE298" s="1837" t="str">
        <v>Switzerland</v>
      </c>
      <c r="AF298" s="1837" t="str">
        <v>Central Europe</v>
      </c>
      <c r="AG298" s="1837" t="str">
        <v>No</v>
      </c>
      <c r="AH298" s="1837" t="str">
        <v/>
      </c>
      <c r="AI298" s="1837" t="str">
        <v/>
      </c>
      <c r="AJ298" s="1110" t="str">
        <v>Dave &amp; Connor</v>
      </c>
    </row>
    <row r="299" spans="1:36" ht="16.5" thickBot="1">
      <c r="A299">
        <v>25</v>
      </c>
      <c r="B299">
        <v>4</v>
      </c>
      <c r="C299" s="3" t="s">
        <v>12</v>
      </c>
      <c r="D299" s="3" t="s">
        <v>12</v>
      </c>
      <c r="E299" s="4" t="s">
        <v>13</v>
      </c>
      <c r="F299" s="3" t="s">
        <v>12</v>
      </c>
      <c r="G299" s="5" t="s">
        <v>14</v>
      </c>
      <c r="H299" s="3" t="s">
        <v>12</v>
      </c>
      <c r="P299" s="1329">
        <v>24</v>
      </c>
      <c r="Q299" s="1837">
        <v>10</v>
      </c>
      <c r="R299" s="1837" t="str">
        <v>Route Info</v>
      </c>
      <c r="S299" s="1837" t="str">
        <v>Route Info</v>
      </c>
      <c r="T299" s="1837" t="str">
        <v>Road Block</v>
      </c>
      <c r="U299" s="1837" t="str">
        <v>Route Info</v>
      </c>
      <c r="V299" s="1837" t="str">
        <v>Speed Bump</v>
      </c>
      <c r="W299" s="1837" t="str">
        <v>Detour</v>
      </c>
      <c r="X299" s="1837" t="str">
        <v>Route Info</v>
      </c>
      <c r="Y299" s="1837" t="str">
        <v>Route Info</v>
      </c>
      <c r="Z299" s="1837" t="str">
        <v/>
      </c>
      <c r="AA299" s="1837" t="str">
        <v/>
      </c>
      <c r="AB299" s="1837" t="str">
        <v/>
      </c>
      <c r="AC299" s="1837" t="str">
        <v/>
      </c>
      <c r="AD299" s="1837" t="str">
        <v/>
      </c>
      <c r="AE299" s="1837" t="str">
        <v>Spain</v>
      </c>
      <c r="AF299" s="1837" t="str">
        <v>Western Europe</v>
      </c>
      <c r="AG299" s="1837" t="str">
        <v>Yes</v>
      </c>
      <c r="AH299" s="1837" t="str">
        <v>Double U-Turn</v>
      </c>
      <c r="AI299" s="1837">
        <v>7</v>
      </c>
      <c r="AJ299" s="1110" t="str">
        <v>Dave &amp; Connor</v>
      </c>
    </row>
    <row r="300" spans="1:36" ht="16.5" thickBot="1">
      <c r="A300">
        <v>25</v>
      </c>
      <c r="B300">
        <v>5</v>
      </c>
      <c r="C300" s="3" t="s">
        <v>12</v>
      </c>
      <c r="D300" s="29" t="s">
        <v>49</v>
      </c>
      <c r="E300" s="3" t="s">
        <v>12</v>
      </c>
      <c r="F300" s="3" t="s">
        <v>12</v>
      </c>
      <c r="G300" s="5" t="s">
        <v>14</v>
      </c>
      <c r="H300" s="3" t="s">
        <v>12</v>
      </c>
      <c r="I300" s="4" t="s">
        <v>13</v>
      </c>
      <c r="J300" s="3" t="s">
        <v>12</v>
      </c>
      <c r="K300" s="614" t="s">
        <v>12</v>
      </c>
      <c r="P300" s="1329">
        <v>24</v>
      </c>
      <c r="Q300" s="1837">
        <v>11</v>
      </c>
      <c r="R300" s="1837" t="str">
        <v>Route Info</v>
      </c>
      <c r="S300" s="1837" t="str">
        <v>Route Info</v>
      </c>
      <c r="T300" s="1837" t="str">
        <v>Road Block</v>
      </c>
      <c r="U300" s="1837" t="str">
        <v>Route Info</v>
      </c>
      <c r="V300" s="1837" t="str">
        <v>Detour</v>
      </c>
      <c r="W300" s="1837" t="str">
        <v>Route Info</v>
      </c>
      <c r="X300" s="1837" t="str">
        <v/>
      </c>
      <c r="Y300" s="1837" t="str">
        <v/>
      </c>
      <c r="Z300" s="1837" t="str">
        <v/>
      </c>
      <c r="AA300" s="1837" t="str">
        <v/>
      </c>
      <c r="AB300" s="1837" t="str">
        <v/>
      </c>
      <c r="AC300" s="1837" t="str">
        <v/>
      </c>
      <c r="AD300" s="1837" t="str">
        <v/>
      </c>
      <c r="AE300" s="1837" t="str">
        <v>England\nWales</v>
      </c>
      <c r="AF300" s="1837" t="str">
        <v>Western Europe</v>
      </c>
      <c r="AG300" s="1837" t="str">
        <v>Yes</v>
      </c>
      <c r="AH300" s="1837" t="str">
        <v/>
      </c>
      <c r="AI300" s="1837" t="str">
        <v/>
      </c>
      <c r="AJ300" s="1110" t="str">
        <v>Dave &amp; Connor</v>
      </c>
    </row>
    <row r="301" spans="1:36">
      <c r="A301">
        <v>25</v>
      </c>
      <c r="B301">
        <v>6</v>
      </c>
      <c r="C301" s="3" t="s">
        <v>12</v>
      </c>
      <c r="D301" s="3" t="s">
        <v>12</v>
      </c>
      <c r="E301" s="4" t="s">
        <v>13</v>
      </c>
      <c r="F301" s="3" t="s">
        <v>12</v>
      </c>
      <c r="G301" s="5" t="s">
        <v>14</v>
      </c>
      <c r="H301" s="3" t="s">
        <v>12</v>
      </c>
      <c r="P301" s="1329">
        <v>24</v>
      </c>
      <c r="Q301" s="1837" t="str">
        <v>Final</v>
      </c>
      <c r="R301" s="1837" t="str">
        <v>Route Info</v>
      </c>
      <c r="S301" s="1837" t="str">
        <v>Road Block</v>
      </c>
      <c r="T301" s="1837" t="str">
        <v>Route Info</v>
      </c>
      <c r="U301" s="1837" t="str">
        <v>Route Info</v>
      </c>
      <c r="V301" s="1837" t="str">
        <v>Route Info</v>
      </c>
      <c r="W301" s="1837" t="str">
        <v>Route Info</v>
      </c>
      <c r="X301" s="1837" t="str">
        <v>Route Info</v>
      </c>
      <c r="Y301" s="1837" t="str">
        <v/>
      </c>
      <c r="Z301" s="1837" t="str">
        <v/>
      </c>
      <c r="AA301" s="1837" t="str">
        <v/>
      </c>
      <c r="AB301" s="1837" t="str">
        <v/>
      </c>
      <c r="AC301" s="1837" t="str">
        <v/>
      </c>
      <c r="AD301" s="1837" t="str">
        <v/>
      </c>
      <c r="AE301" s="1837" t="str">
        <v>USA</v>
      </c>
      <c r="AF301" s="1837" t="str">
        <v>North America</v>
      </c>
      <c r="AG301" s="1837" t="str">
        <v>Final Leg</v>
      </c>
      <c r="AH301" s="1837" t="str">
        <v/>
      </c>
      <c r="AI301" s="1837" t="str">
        <v/>
      </c>
      <c r="AJ301" s="1110" t="str">
        <v>Dave &amp; Connor</v>
      </c>
    </row>
    <row r="302" spans="1:36">
      <c r="A302">
        <v>25</v>
      </c>
      <c r="B302">
        <v>7</v>
      </c>
      <c r="C302" s="3" t="s">
        <v>12</v>
      </c>
      <c r="D302" s="3" t="s">
        <v>12</v>
      </c>
      <c r="E302" s="5" t="s">
        <v>14</v>
      </c>
      <c r="F302" s="4" t="s">
        <v>13</v>
      </c>
      <c r="G302" s="3" t="s">
        <v>12</v>
      </c>
      <c r="P302" s="1329">
        <v>25</v>
      </c>
      <c r="Q302" s="1837">
        <v>1</v>
      </c>
      <c r="R302" s="1837" t="str">
        <v>Route Info</v>
      </c>
      <c r="S302" s="1837" t="str">
        <v>Route Info</v>
      </c>
      <c r="T302" s="1837" t="str">
        <v>Route Info</v>
      </c>
      <c r="U302" s="1837" t="str">
        <v>Route Info</v>
      </c>
      <c r="V302" s="1837" t="str">
        <v>Road Block</v>
      </c>
      <c r="W302" s="1837" t="str">
        <v>Route Info</v>
      </c>
      <c r="X302" s="1837" t="str">
        <v/>
      </c>
      <c r="Y302" s="1837" t="str">
        <v/>
      </c>
      <c r="Z302" s="1837" t="str">
        <v/>
      </c>
      <c r="AA302" s="1837" t="str">
        <v/>
      </c>
      <c r="AB302" s="1837" t="str">
        <v/>
      </c>
      <c r="AC302" s="1837" t="str">
        <v/>
      </c>
      <c r="AD302" s="1837" t="str">
        <v/>
      </c>
      <c r="AE302" s="1837" t="str">
        <v>Virgin Islands</v>
      </c>
      <c r="AF302" s="1837" t="str">
        <v>Caribbean</v>
      </c>
      <c r="AG302" s="1837" t="str">
        <v>Yes</v>
      </c>
      <c r="AH302" s="1837" t="str">
        <v>Save</v>
      </c>
      <c r="AI302" s="1837">
        <v>6</v>
      </c>
      <c r="AJ302" s="1110" t="str">
        <v>Misti &amp; Jim</v>
      </c>
    </row>
    <row r="303" spans="1:36" ht="16.5" thickBot="1">
      <c r="A303">
        <v>25</v>
      </c>
      <c r="B303">
        <v>8</v>
      </c>
      <c r="C303" s="3" t="s">
        <v>12</v>
      </c>
      <c r="D303" s="3" t="s">
        <v>12</v>
      </c>
      <c r="E303" s="5" t="s">
        <v>14</v>
      </c>
      <c r="F303" s="3" t="s">
        <v>12</v>
      </c>
      <c r="G303" s="29" t="s">
        <v>49</v>
      </c>
      <c r="H303" s="4" t="s">
        <v>13</v>
      </c>
      <c r="I303" s="3" t="s">
        <v>12</v>
      </c>
      <c r="P303" s="1329">
        <v>25</v>
      </c>
      <c r="Q303" s="1837">
        <v>2</v>
      </c>
      <c r="R303" s="1837" t="str">
        <v>Route Info</v>
      </c>
      <c r="S303" s="1837" t="str">
        <v>Detour</v>
      </c>
      <c r="T303" s="1837" t="str">
        <v>Route Info</v>
      </c>
      <c r="U303" s="1837" t="str">
        <v>Route Info</v>
      </c>
      <c r="V303" s="1837" t="str">
        <v>Route Info</v>
      </c>
      <c r="W303" s="1837" t="str">
        <v>Route Info</v>
      </c>
      <c r="X303" s="1837" t="str">
        <v/>
      </c>
      <c r="Y303" s="1837" t="str">
        <v/>
      </c>
      <c r="Z303" s="1837" t="str">
        <v/>
      </c>
      <c r="AA303" s="1837" t="str">
        <v/>
      </c>
      <c r="AB303" s="1837" t="str">
        <v/>
      </c>
      <c r="AC303" s="1837" t="str">
        <v/>
      </c>
      <c r="AD303" s="1837" t="str">
        <v/>
      </c>
      <c r="AE303" s="1837" t="str">
        <v>England</v>
      </c>
      <c r="AF303" s="1837" t="str">
        <v>Western Europe</v>
      </c>
      <c r="AG303" s="1837" t="str">
        <v>Yes</v>
      </c>
      <c r="AH303" s="1837" t="str">
        <v>Express Pass</v>
      </c>
      <c r="AI303" s="1837">
        <v>6</v>
      </c>
      <c r="AJ303" s="1110" t="str">
        <v>Adam &amp; Bethany</v>
      </c>
    </row>
    <row r="304" spans="1:36" ht="16.5" thickBot="1">
      <c r="A304">
        <v>25</v>
      </c>
      <c r="B304">
        <v>9</v>
      </c>
      <c r="C304" s="3" t="s">
        <v>12</v>
      </c>
      <c r="D304" s="19" t="s">
        <v>71</v>
      </c>
      <c r="E304" s="3" t="s">
        <v>12</v>
      </c>
      <c r="F304" s="5" t="s">
        <v>14</v>
      </c>
      <c r="G304" s="3" t="s">
        <v>12</v>
      </c>
      <c r="H304" s="4" t="s">
        <v>13</v>
      </c>
      <c r="I304" s="614" t="s">
        <v>12</v>
      </c>
      <c r="J304" s="3" t="s">
        <v>12</v>
      </c>
      <c r="P304" s="1329">
        <v>25</v>
      </c>
      <c r="Q304" s="1837">
        <v>3</v>
      </c>
      <c r="R304" s="1837" t="str">
        <v>Route Info</v>
      </c>
      <c r="S304" s="1837" t="str">
        <v>Route Info</v>
      </c>
      <c r="T304" s="1837" t="str">
        <v>Detour</v>
      </c>
      <c r="U304" s="1837" t="str">
        <v>Route Info</v>
      </c>
      <c r="V304" s="1837" t="str">
        <v>Route Info</v>
      </c>
      <c r="W304" s="1837" t="str">
        <v>Route Info</v>
      </c>
      <c r="X304" s="1837" t="str">
        <v/>
      </c>
      <c r="Y304" s="1837" t="str">
        <v/>
      </c>
      <c r="Z304" s="1837" t="str">
        <v/>
      </c>
      <c r="AA304" s="1837" t="str">
        <v/>
      </c>
      <c r="AB304" s="1837" t="str">
        <v/>
      </c>
      <c r="AC304" s="1837" t="str">
        <v/>
      </c>
      <c r="AD304" s="1837" t="str">
        <v/>
      </c>
      <c r="AE304" s="1837" t="str">
        <v>Scotland</v>
      </c>
      <c r="AF304" s="1837" t="str">
        <v>Western Europe</v>
      </c>
      <c r="AG304" s="1837" t="str">
        <v>Yes</v>
      </c>
      <c r="AH304" s="1837" t="str">
        <v/>
      </c>
      <c r="AI304" s="1837" t="str">
        <v/>
      </c>
      <c r="AJ304" s="1110" t="str">
        <v>Misti &amp; Jim</v>
      </c>
    </row>
    <row r="305" spans="1:36">
      <c r="A305">
        <v>25</v>
      </c>
      <c r="B305">
        <v>10</v>
      </c>
      <c r="C305" s="3" t="s">
        <v>12</v>
      </c>
      <c r="D305" s="3" t="s">
        <v>12</v>
      </c>
      <c r="E305" s="4" t="s">
        <v>13</v>
      </c>
      <c r="F305" s="3" t="s">
        <v>12</v>
      </c>
      <c r="G305" s="3" t="s">
        <v>12</v>
      </c>
      <c r="H305" s="3" t="s">
        <v>12</v>
      </c>
      <c r="P305" s="1329">
        <v>25</v>
      </c>
      <c r="Q305" s="1837">
        <v>4</v>
      </c>
      <c r="R305" s="1837" t="str">
        <v>Route Info</v>
      </c>
      <c r="S305" s="1837" t="str">
        <v>Route Info</v>
      </c>
      <c r="T305" s="1837" t="str">
        <v>Detour</v>
      </c>
      <c r="U305" s="1837" t="str">
        <v>Route Info</v>
      </c>
      <c r="V305" s="1837" t="str">
        <v>Road Block</v>
      </c>
      <c r="W305" s="1837" t="str">
        <v>Route Info</v>
      </c>
      <c r="X305" s="1837" t="str">
        <v/>
      </c>
      <c r="Y305" s="1837" t="str">
        <v/>
      </c>
      <c r="Z305" s="1837" t="str">
        <v/>
      </c>
      <c r="AA305" s="1837" t="str">
        <v/>
      </c>
      <c r="AB305" s="1837" t="str">
        <v/>
      </c>
      <c r="AC305" s="1837" t="str">
        <v/>
      </c>
      <c r="AD305" s="1837" t="str">
        <v/>
      </c>
      <c r="AE305" s="1837" t="str">
        <v>Netherlands\nSweden</v>
      </c>
      <c r="AF305" s="1837" t="str">
        <v>Central Europe\nNorthern Europe</v>
      </c>
      <c r="AG305" s="1837" t="str">
        <v>No</v>
      </c>
      <c r="AH305" s="1837" t="str">
        <v/>
      </c>
      <c r="AI305" s="1837" t="str">
        <v/>
      </c>
      <c r="AJ305" s="1110" t="str">
        <v>Kym &amp; Alli</v>
      </c>
    </row>
    <row r="306" spans="1:36">
      <c r="A306">
        <v>25</v>
      </c>
      <c r="B306">
        <v>11</v>
      </c>
      <c r="C306" s="3" t="s">
        <v>12</v>
      </c>
      <c r="D306" s="29" t="s">
        <v>49</v>
      </c>
      <c r="E306" s="4" t="s">
        <v>13</v>
      </c>
      <c r="F306" s="3" t="s">
        <v>12</v>
      </c>
      <c r="G306" s="5" t="s">
        <v>14</v>
      </c>
      <c r="H306" s="3" t="s">
        <v>12</v>
      </c>
      <c r="P306" s="1329">
        <v>25</v>
      </c>
      <c r="Q306" s="1837">
        <v>5</v>
      </c>
      <c r="R306" s="1837" t="str">
        <v>Route Info</v>
      </c>
      <c r="S306" s="1837" t="str">
        <v>Speed Bump</v>
      </c>
      <c r="T306" s="1837" t="str">
        <v>Route Info</v>
      </c>
      <c r="U306" s="1837" t="str">
        <v>Route Info</v>
      </c>
      <c r="V306" s="1837" t="str">
        <v>Road Block</v>
      </c>
      <c r="W306" s="1837" t="str">
        <v>Route Info</v>
      </c>
      <c r="X306" s="1837" t="str">
        <v>Detour</v>
      </c>
      <c r="Y306" s="1837" t="str">
        <v>Route Info</v>
      </c>
      <c r="Z306" s="1837" t="str">
        <v>Route Info</v>
      </c>
      <c r="AA306" s="1837" t="str">
        <v/>
      </c>
      <c r="AB306" s="1837" t="str">
        <v/>
      </c>
      <c r="AC306" s="1837" t="str">
        <v/>
      </c>
      <c r="AD306" s="1837" t="str">
        <v/>
      </c>
      <c r="AE306" s="1837" t="str">
        <v>Morocco</v>
      </c>
      <c r="AF306" s="1837" t="str">
        <v>Northern Africa</v>
      </c>
      <c r="AG306" s="1837" t="str">
        <v>Yes</v>
      </c>
      <c r="AH306" s="1837" t="str">
        <v>Double U-Turn</v>
      </c>
      <c r="AI306" s="1837">
        <v>9</v>
      </c>
      <c r="AJ306" s="1110" t="str">
        <v>Kym &amp; Alli</v>
      </c>
    </row>
    <row r="307" spans="1:36" ht="16.5" thickBot="1">
      <c r="A307">
        <v>25</v>
      </c>
      <c r="B307" t="s">
        <v>2810</v>
      </c>
      <c r="C307" s="3" t="s">
        <v>12</v>
      </c>
      <c r="D307" s="3" t="s">
        <v>12</v>
      </c>
      <c r="E307" s="3" t="s">
        <v>12</v>
      </c>
      <c r="F307" s="5" t="s">
        <v>14</v>
      </c>
      <c r="G307" s="3" t="s">
        <v>12</v>
      </c>
      <c r="H307" s="3" t="s">
        <v>12</v>
      </c>
      <c r="I307" s="3" t="s">
        <v>12</v>
      </c>
      <c r="J307" s="5" t="s">
        <v>14</v>
      </c>
      <c r="K307" s="3" t="s">
        <v>12</v>
      </c>
      <c r="P307" s="1329">
        <v>25</v>
      </c>
      <c r="Q307" s="1837">
        <v>6</v>
      </c>
      <c r="R307" s="1837" t="str">
        <v>Route Info</v>
      </c>
      <c r="S307" s="1837" t="str">
        <v>Route Info</v>
      </c>
      <c r="T307" s="1837" t="str">
        <v>Detour</v>
      </c>
      <c r="U307" s="1837" t="str">
        <v>Route Info</v>
      </c>
      <c r="V307" s="1837" t="str">
        <v>Road Block</v>
      </c>
      <c r="W307" s="1837" t="str">
        <v>Route Info</v>
      </c>
      <c r="X307" s="1837" t="str">
        <v/>
      </c>
      <c r="Y307" s="1837" t="str">
        <v/>
      </c>
      <c r="Z307" s="1837" t="str">
        <v/>
      </c>
      <c r="AA307" s="1837" t="str">
        <v/>
      </c>
      <c r="AB307" s="1837" t="str">
        <v/>
      </c>
      <c r="AC307" s="1837" t="str">
        <v/>
      </c>
      <c r="AD307" s="1837" t="str">
        <v/>
      </c>
      <c r="AE307" s="1837" t="str">
        <v>Morocco</v>
      </c>
      <c r="AF307" s="1837" t="str">
        <v>Northern Africa</v>
      </c>
      <c r="AG307" s="1837" t="str">
        <v>Yes</v>
      </c>
      <c r="AH307" s="1837" t="str">
        <v/>
      </c>
      <c r="AI307" s="1837" t="str">
        <v/>
      </c>
      <c r="AJ307" s="1110" t="str">
        <v>Misti &amp; Jim</v>
      </c>
    </row>
    <row r="308" spans="1:36" ht="16.5" thickBot="1">
      <c r="A308">
        <v>26</v>
      </c>
      <c r="B308">
        <v>1</v>
      </c>
      <c r="C308" s="3" t="s">
        <v>12</v>
      </c>
      <c r="D308" s="4" t="s">
        <v>13</v>
      </c>
      <c r="E308" s="3" t="s">
        <v>12</v>
      </c>
      <c r="F308" s="799" t="s">
        <v>12</v>
      </c>
      <c r="G308" s="12"/>
      <c r="P308" s="1329">
        <v>25</v>
      </c>
      <c r="Q308" s="1837">
        <v>7</v>
      </c>
      <c r="R308" s="1837" t="str">
        <v>Route Info</v>
      </c>
      <c r="S308" s="1837" t="str">
        <v>Route Info</v>
      </c>
      <c r="T308" s="1837" t="str">
        <v>Road Block</v>
      </c>
      <c r="U308" s="1837" t="str">
        <v>Detour</v>
      </c>
      <c r="V308" s="1837" t="str">
        <v>Route Info</v>
      </c>
      <c r="W308" s="1837" t="str">
        <v/>
      </c>
      <c r="X308" s="1837" t="str">
        <v/>
      </c>
      <c r="Y308" s="1837" t="str">
        <v/>
      </c>
      <c r="Z308" s="1837" t="str">
        <v/>
      </c>
      <c r="AA308" s="1837" t="str">
        <v/>
      </c>
      <c r="AB308" s="1837" t="str">
        <v/>
      </c>
      <c r="AC308" s="1837" t="str">
        <v/>
      </c>
      <c r="AD308" s="1837" t="str">
        <v/>
      </c>
      <c r="AE308" s="1837" t="str">
        <v>Italy</v>
      </c>
      <c r="AF308" s="1837" t="str">
        <v>Southern Europe</v>
      </c>
      <c r="AG308" s="1837" t="str">
        <v>No</v>
      </c>
      <c r="AH308" s="1837" t="str">
        <v/>
      </c>
      <c r="AI308" s="1837" t="str">
        <v/>
      </c>
      <c r="AJ308" s="1110" t="str">
        <v>Misti &amp; Jim</v>
      </c>
    </row>
    <row r="309" spans="1:36" ht="16.5" thickBot="1">
      <c r="A309">
        <v>26</v>
      </c>
      <c r="B309">
        <v>2</v>
      </c>
      <c r="C309" s="3" t="s">
        <v>12</v>
      </c>
      <c r="D309" s="5" t="s">
        <v>14</v>
      </c>
      <c r="E309" s="3" t="s">
        <v>12</v>
      </c>
      <c r="F309" s="4" t="s">
        <v>13</v>
      </c>
      <c r="G309" s="3" t="s">
        <v>12</v>
      </c>
      <c r="P309" s="1329">
        <v>25</v>
      </c>
      <c r="Q309" s="1837">
        <v>8</v>
      </c>
      <c r="R309" s="1837" t="str">
        <v>Route Info</v>
      </c>
      <c r="S309" s="1837" t="str">
        <v>Route Info</v>
      </c>
      <c r="T309" s="1837" t="str">
        <v>Road Block</v>
      </c>
      <c r="U309" s="1837" t="str">
        <v>Route Info</v>
      </c>
      <c r="V309" s="1837" t="str">
        <v>Speed Bump</v>
      </c>
      <c r="W309" s="1837" t="str">
        <v>Detour</v>
      </c>
      <c r="X309" s="1837" t="str">
        <v>Route Info</v>
      </c>
      <c r="Y309" s="1837" t="str">
        <v/>
      </c>
      <c r="Z309" s="1837" t="str">
        <v/>
      </c>
      <c r="AA309" s="1837" t="str">
        <v/>
      </c>
      <c r="AB309" s="1837" t="str">
        <v/>
      </c>
      <c r="AC309" s="1837" t="str">
        <v/>
      </c>
      <c r="AD309" s="1837" t="str">
        <v/>
      </c>
      <c r="AE309" s="1837" t="str">
        <v>Malta</v>
      </c>
      <c r="AF309" s="1837" t="str">
        <v>Southern Europe</v>
      </c>
      <c r="AG309" s="1837" t="str">
        <v>Yes</v>
      </c>
      <c r="AH309" s="1837" t="str">
        <v/>
      </c>
      <c r="AI309" s="1837" t="str">
        <v/>
      </c>
      <c r="AJ309" s="1110" t="str">
        <v>Adam &amp; Bethany</v>
      </c>
    </row>
    <row r="310" spans="1:36" ht="16.5" thickBot="1">
      <c r="A310">
        <v>26</v>
      </c>
      <c r="B310">
        <v>3</v>
      </c>
      <c r="C310" s="3" t="s">
        <v>12</v>
      </c>
      <c r="D310" s="3" t="s">
        <v>12</v>
      </c>
      <c r="E310" s="803" t="s">
        <v>13</v>
      </c>
      <c r="F310" s="3" t="s">
        <v>12</v>
      </c>
      <c r="G310" s="3" t="s">
        <v>12</v>
      </c>
      <c r="H310" s="3" t="s">
        <v>12</v>
      </c>
      <c r="P310" s="1329">
        <v>25</v>
      </c>
      <c r="Q310" s="1837">
        <v>9</v>
      </c>
      <c r="R310" s="1837" t="str">
        <v>Route Info</v>
      </c>
      <c r="S310" s="1837" t="str">
        <v>Fast Forward</v>
      </c>
      <c r="T310" s="1837" t="str">
        <v>Route Info</v>
      </c>
      <c r="U310" s="1837" t="str">
        <v>Road Block</v>
      </c>
      <c r="V310" s="1837" t="str">
        <v>Route Info</v>
      </c>
      <c r="W310" s="1837" t="str">
        <v>Detour</v>
      </c>
      <c r="X310" s="1837" t="str">
        <v>Route Info</v>
      </c>
      <c r="Y310" s="1837" t="str">
        <v>Route Info</v>
      </c>
      <c r="Z310" s="1837" t="str">
        <v/>
      </c>
      <c r="AA310" s="1837" t="str">
        <v/>
      </c>
      <c r="AB310" s="1837" t="str">
        <v/>
      </c>
      <c r="AC310" s="1837" t="str">
        <v/>
      </c>
      <c r="AD310" s="1837" t="str">
        <v/>
      </c>
      <c r="AE310" s="1837" t="str">
        <v>Singapore</v>
      </c>
      <c r="AF310" s="1837" t="str">
        <v>South East Asia</v>
      </c>
      <c r="AG310" s="1837" t="str">
        <v>Yes</v>
      </c>
      <c r="AH310" s="1837" t="str">
        <v>Double U-Turn</v>
      </c>
      <c r="AI310" s="1837">
        <v>7</v>
      </c>
      <c r="AJ310" s="1110" t="str">
        <v>Adam &amp; Bethany</v>
      </c>
    </row>
    <row r="311" spans="1:36">
      <c r="A311">
        <v>26</v>
      </c>
      <c r="B311">
        <v>4</v>
      </c>
      <c r="C311" s="3" t="s">
        <v>12</v>
      </c>
      <c r="D311" s="4" t="s">
        <v>13</v>
      </c>
      <c r="E311" s="802" t="s">
        <v>49</v>
      </c>
      <c r="F311" s="3" t="s">
        <v>12</v>
      </c>
      <c r="G311" s="5" t="s">
        <v>14</v>
      </c>
      <c r="H311" s="3" t="s">
        <v>12</v>
      </c>
      <c r="P311" s="1329">
        <v>25</v>
      </c>
      <c r="Q311" s="1837">
        <v>10</v>
      </c>
      <c r="R311" s="1837" t="str">
        <v>Route Info</v>
      </c>
      <c r="S311" s="1837" t="str">
        <v>Route Info</v>
      </c>
      <c r="T311" s="1837" t="str">
        <v>Detour</v>
      </c>
      <c r="U311" s="1837" t="str">
        <v>Route Info</v>
      </c>
      <c r="V311" s="1837" t="str">
        <v>Route Info</v>
      </c>
      <c r="W311" s="1837" t="str">
        <v>Route Info</v>
      </c>
      <c r="X311" s="1837" t="str">
        <v/>
      </c>
      <c r="Y311" s="1837" t="str">
        <v/>
      </c>
      <c r="Z311" s="1837" t="str">
        <v/>
      </c>
      <c r="AA311" s="1837" t="str">
        <v/>
      </c>
      <c r="AB311" s="1837" t="str">
        <v/>
      </c>
      <c r="AC311" s="1837" t="str">
        <v/>
      </c>
      <c r="AD311" s="1837" t="str">
        <v/>
      </c>
      <c r="AE311" s="1837" t="str">
        <v>Philippines</v>
      </c>
      <c r="AF311" s="1837" t="str">
        <v>South East Asia</v>
      </c>
      <c r="AG311" s="1837" t="str">
        <v>No</v>
      </c>
      <c r="AH311" s="1837" t="str">
        <v/>
      </c>
      <c r="AI311" s="1837" t="str">
        <v/>
      </c>
      <c r="AJ311" s="1110" t="str">
        <v>Misti &amp; Jim</v>
      </c>
    </row>
    <row r="312" spans="1:36">
      <c r="A312">
        <v>26</v>
      </c>
      <c r="B312">
        <v>5</v>
      </c>
      <c r="C312" s="3" t="s">
        <v>12</v>
      </c>
      <c r="D312" s="3" t="s">
        <v>12</v>
      </c>
      <c r="E312" s="3" t="s">
        <v>12</v>
      </c>
      <c r="F312" s="3" t="s">
        <v>12</v>
      </c>
      <c r="G312" s="4" t="s">
        <v>13</v>
      </c>
      <c r="H312" s="3" t="s">
        <v>12</v>
      </c>
      <c r="I312" s="3" t="s">
        <v>12</v>
      </c>
      <c r="P312" s="1329">
        <v>25</v>
      </c>
      <c r="Q312" s="1837">
        <v>11</v>
      </c>
      <c r="R312" s="1837" t="str">
        <v>Route Info</v>
      </c>
      <c r="S312" s="1837" t="str">
        <v>Speed Bump</v>
      </c>
      <c r="T312" s="1837" t="str">
        <v>Detour</v>
      </c>
      <c r="U312" s="1837" t="str">
        <v>Route Info</v>
      </c>
      <c r="V312" s="1837" t="str">
        <v>Road Block</v>
      </c>
      <c r="W312" s="1837" t="str">
        <v>Route Info</v>
      </c>
      <c r="X312" s="1837" t="str">
        <v/>
      </c>
      <c r="Y312" s="1837" t="str">
        <v/>
      </c>
      <c r="Z312" s="1837" t="str">
        <v/>
      </c>
      <c r="AA312" s="1837" t="str">
        <v/>
      </c>
      <c r="AB312" s="1837" t="str">
        <v/>
      </c>
      <c r="AC312" s="1837" t="str">
        <v/>
      </c>
      <c r="AD312" s="1837" t="str">
        <v/>
      </c>
      <c r="AE312" s="1837" t="str">
        <v>Philippines</v>
      </c>
      <c r="AF312" s="1837" t="str">
        <v>South East Asia</v>
      </c>
      <c r="AG312" s="1837" t="str">
        <v>No</v>
      </c>
      <c r="AH312" s="1837" t="str">
        <v/>
      </c>
      <c r="AI312" s="1837" t="str">
        <v/>
      </c>
      <c r="AJ312" s="1110" t="str">
        <v>Brooke &amp; Robbie</v>
      </c>
    </row>
    <row r="313" spans="1:36">
      <c r="A313">
        <v>26</v>
      </c>
      <c r="B313">
        <v>6</v>
      </c>
      <c r="C313" s="3" t="s">
        <v>12</v>
      </c>
      <c r="D313" s="5" t="s">
        <v>14</v>
      </c>
      <c r="E313" s="3" t="s">
        <v>12</v>
      </c>
      <c r="F313" s="4" t="s">
        <v>13</v>
      </c>
      <c r="G313" s="3" t="s">
        <v>12</v>
      </c>
      <c r="P313" s="1329">
        <v>25</v>
      </c>
      <c r="Q313" s="1837" t="str">
        <v>Final</v>
      </c>
      <c r="R313" s="1837" t="str">
        <v>Route Info</v>
      </c>
      <c r="S313" s="1837" t="str">
        <v>Route Info</v>
      </c>
      <c r="T313" s="1837" t="str">
        <v>Route Info</v>
      </c>
      <c r="U313" s="1837" t="str">
        <v>Road Block</v>
      </c>
      <c r="V313" s="1837" t="str">
        <v>Route Info</v>
      </c>
      <c r="W313" s="1837" t="str">
        <v>Route Info</v>
      </c>
      <c r="X313" s="1837" t="str">
        <v>Route Info</v>
      </c>
      <c r="Y313" s="1837" t="str">
        <v>Road Block</v>
      </c>
      <c r="Z313" s="1837" t="str">
        <v>Route Info</v>
      </c>
      <c r="AA313" s="1837" t="str">
        <v/>
      </c>
      <c r="AB313" s="1837" t="str">
        <v/>
      </c>
      <c r="AC313" s="1837" t="str">
        <v/>
      </c>
      <c r="AD313" s="1837" t="str">
        <v/>
      </c>
      <c r="AE313" s="1837" t="str">
        <v>USA</v>
      </c>
      <c r="AF313" s="1837" t="str">
        <v>North America</v>
      </c>
      <c r="AG313" s="1837" t="str">
        <v>Final Leg</v>
      </c>
      <c r="AH313" s="1837" t="str">
        <v/>
      </c>
      <c r="AI313" s="1837" t="str">
        <v/>
      </c>
      <c r="AJ313" s="1110" t="str">
        <v>Amy &amp; Maya</v>
      </c>
    </row>
    <row r="314" spans="1:36" ht="16.5" thickBot="1">
      <c r="A314">
        <v>26</v>
      </c>
      <c r="B314">
        <v>7</v>
      </c>
      <c r="C314" s="3" t="s">
        <v>12</v>
      </c>
      <c r="D314" s="3" t="s">
        <v>12</v>
      </c>
      <c r="E314" s="5" t="s">
        <v>14</v>
      </c>
      <c r="F314" s="3" t="s">
        <v>12</v>
      </c>
      <c r="G314" s="4" t="s">
        <v>13</v>
      </c>
      <c r="H314" s="3" t="s">
        <v>12</v>
      </c>
      <c r="P314" s="1329">
        <v>26</v>
      </c>
      <c r="Q314" s="1837">
        <v>1</v>
      </c>
      <c r="R314" s="1837" t="str">
        <v>Route Info</v>
      </c>
      <c r="S314" s="1837" t="str">
        <v>Detour</v>
      </c>
      <c r="T314" s="1837" t="str">
        <v>Route Info</v>
      </c>
      <c r="U314" s="1837" t="str">
        <v>Route Info</v>
      </c>
      <c r="V314" s="1837" t="str">
        <v/>
      </c>
      <c r="W314" s="1837" t="str">
        <v/>
      </c>
      <c r="X314" s="1837" t="str">
        <v/>
      </c>
      <c r="Y314" s="1837" t="str">
        <v/>
      </c>
      <c r="Z314" s="1837" t="str">
        <v/>
      </c>
      <c r="AA314" s="1837" t="str">
        <v/>
      </c>
      <c r="AB314" s="1837" t="str">
        <v/>
      </c>
      <c r="AC314" s="1837" t="str">
        <v/>
      </c>
      <c r="AD314" s="1837" t="str">
        <v/>
      </c>
      <c r="AE314" s="1837" t="str">
        <v>Japan</v>
      </c>
      <c r="AF314" s="1837" t="str">
        <v>East Asia</v>
      </c>
      <c r="AG314" s="1837" t="str">
        <v>Yes</v>
      </c>
      <c r="AH314" s="1837" t="str">
        <v>Double U-Turn\nExpress Pass</v>
      </c>
      <c r="AI314" s="1837">
        <v>4</v>
      </c>
      <c r="AJ314" s="1110" t="str">
        <v>Jelani &amp; Jenny</v>
      </c>
    </row>
    <row r="315" spans="1:36" ht="16.5" thickBot="1">
      <c r="A315">
        <v>26</v>
      </c>
      <c r="B315">
        <v>8</v>
      </c>
      <c r="C315" s="3" t="s">
        <v>12</v>
      </c>
      <c r="D315" s="29" t="s">
        <v>49</v>
      </c>
      <c r="E315" s="5" t="s">
        <v>14</v>
      </c>
      <c r="F315" s="30" t="s">
        <v>12</v>
      </c>
      <c r="G315" s="804" t="s">
        <v>13</v>
      </c>
      <c r="H315" s="805" t="s">
        <v>12</v>
      </c>
      <c r="I315" s="30" t="s">
        <v>12</v>
      </c>
      <c r="P315" s="1329">
        <v>26</v>
      </c>
      <c r="Q315" s="1837">
        <v>2</v>
      </c>
      <c r="R315" s="1837" t="str">
        <v>Route Info</v>
      </c>
      <c r="S315" s="1837" t="str">
        <v>Road Block</v>
      </c>
      <c r="T315" s="1837" t="str">
        <v>Route Info</v>
      </c>
      <c r="U315" s="1837" t="str">
        <v>Detour</v>
      </c>
      <c r="V315" s="1837" t="str">
        <v>Route Info</v>
      </c>
      <c r="W315" s="1837" t="str">
        <v/>
      </c>
      <c r="X315" s="1837" t="str">
        <v/>
      </c>
      <c r="Y315" s="1837" t="str">
        <v/>
      </c>
      <c r="Z315" s="1837" t="str">
        <v/>
      </c>
      <c r="AA315" s="1837" t="str">
        <v/>
      </c>
      <c r="AB315" s="1837" t="str">
        <v/>
      </c>
      <c r="AC315" s="1837" t="str">
        <v/>
      </c>
      <c r="AD315" s="1837" t="str">
        <v/>
      </c>
      <c r="AE315" s="1837" t="str">
        <v>Japan</v>
      </c>
      <c r="AF315" s="1837" t="str">
        <v>East Asia</v>
      </c>
      <c r="AG315" s="1837" t="str">
        <v>Yes</v>
      </c>
      <c r="AH315" s="1837" t="str">
        <v/>
      </c>
      <c r="AI315" s="1837" t="str">
        <v/>
      </c>
      <c r="AJ315" s="1110" t="str">
        <v>Jelani &amp; Jenny</v>
      </c>
    </row>
    <row r="316" spans="1:36">
      <c r="A316">
        <v>26</v>
      </c>
      <c r="B316">
        <v>9</v>
      </c>
      <c r="C316" s="3" t="s">
        <v>12</v>
      </c>
      <c r="D316" s="5" t="s">
        <v>14</v>
      </c>
      <c r="E316" s="3" t="s">
        <v>12</v>
      </c>
      <c r="F316" s="4" t="s">
        <v>13</v>
      </c>
      <c r="G316" s="3" t="s">
        <v>12</v>
      </c>
      <c r="P316" s="1329">
        <v>26</v>
      </c>
      <c r="Q316" s="1837">
        <v>3</v>
      </c>
      <c r="R316" s="1837" t="str">
        <v>Route Info</v>
      </c>
      <c r="S316" s="1837" t="str">
        <v>Route Info</v>
      </c>
      <c r="T316" s="1837" t="str">
        <v>Detour</v>
      </c>
      <c r="U316" s="1837" t="str">
        <v>Route Info</v>
      </c>
      <c r="V316" s="1837" t="str">
        <v>Route Info</v>
      </c>
      <c r="W316" s="1837" t="str">
        <v>Route Info</v>
      </c>
      <c r="X316" s="1837" t="str">
        <v/>
      </c>
      <c r="Y316" s="1837" t="str">
        <v/>
      </c>
      <c r="Z316" s="1837" t="str">
        <v/>
      </c>
      <c r="AA316" s="1837" t="str">
        <v/>
      </c>
      <c r="AB316" s="1837" t="str">
        <v/>
      </c>
      <c r="AC316" s="1837" t="str">
        <v/>
      </c>
      <c r="AD316" s="1837" t="str">
        <v/>
      </c>
      <c r="AE316" s="1837" t="str">
        <v>Thailand</v>
      </c>
      <c r="AF316" s="1837" t="str">
        <v>South East Asia</v>
      </c>
      <c r="AG316" s="1837" t="str">
        <v>No</v>
      </c>
      <c r="AH316" s="1837" t="str">
        <v>Save</v>
      </c>
      <c r="AI316" s="1837">
        <v>3</v>
      </c>
      <c r="AJ316" s="1110" t="str">
        <v>Mike &amp; Rochelle</v>
      </c>
    </row>
    <row r="317" spans="1:36">
      <c r="A317">
        <v>26</v>
      </c>
      <c r="B317">
        <v>10</v>
      </c>
      <c r="C317" s="3" t="s">
        <v>12</v>
      </c>
      <c r="D317" s="3" t="s">
        <v>12</v>
      </c>
      <c r="E317" s="29" t="s">
        <v>49</v>
      </c>
      <c r="F317" s="3" t="s">
        <v>12</v>
      </c>
      <c r="G317" s="5" t="s">
        <v>14</v>
      </c>
      <c r="H317" s="3" t="s">
        <v>12</v>
      </c>
      <c r="I317" s="3" t="s">
        <v>12</v>
      </c>
      <c r="J317" s="4" t="s">
        <v>13</v>
      </c>
      <c r="K317" s="3" t="s">
        <v>12</v>
      </c>
      <c r="P317" s="1329">
        <v>26</v>
      </c>
      <c r="Q317" s="1837">
        <v>4</v>
      </c>
      <c r="R317" s="1837" t="str">
        <v>Route Info</v>
      </c>
      <c r="S317" s="1837" t="str">
        <v>Detour</v>
      </c>
      <c r="T317" s="1837" t="str">
        <v>Speed Bump</v>
      </c>
      <c r="U317" s="1837" t="str">
        <v>Route Info</v>
      </c>
      <c r="V317" s="1837" t="str">
        <v>Road Block</v>
      </c>
      <c r="W317" s="1837" t="str">
        <v>Route Info</v>
      </c>
      <c r="X317" s="1837" t="str">
        <v/>
      </c>
      <c r="Y317" s="1837" t="str">
        <v/>
      </c>
      <c r="Z317" s="1837" t="str">
        <v/>
      </c>
      <c r="AA317" s="1837" t="str">
        <v/>
      </c>
      <c r="AB317" s="1837" t="str">
        <v/>
      </c>
      <c r="AC317" s="1837" t="str">
        <v/>
      </c>
      <c r="AD317" s="1837" t="str">
        <v/>
      </c>
      <c r="AE317" s="1837" t="str">
        <v>Thailand</v>
      </c>
      <c r="AF317" s="1837" t="str">
        <v>South East Asia</v>
      </c>
      <c r="AG317" s="1837" t="str">
        <v>Yes</v>
      </c>
      <c r="AH317" s="1837" t="str">
        <v/>
      </c>
      <c r="AI317" s="1837" t="str">
        <v/>
      </c>
      <c r="AJ317" s="1110" t="str">
        <v>Bergen &amp; Kurt</v>
      </c>
    </row>
    <row r="318" spans="1:36">
      <c r="A318">
        <v>26</v>
      </c>
      <c r="B318">
        <v>11</v>
      </c>
      <c r="C318" s="3" t="s">
        <v>12</v>
      </c>
      <c r="D318" s="4" t="s">
        <v>13</v>
      </c>
      <c r="E318" s="3" t="s">
        <v>12</v>
      </c>
      <c r="F318" s="5" t="s">
        <v>14</v>
      </c>
      <c r="G318" s="3" t="s">
        <v>12</v>
      </c>
      <c r="P318" s="1329">
        <v>26</v>
      </c>
      <c r="Q318" s="1837">
        <v>5</v>
      </c>
      <c r="R318" s="1837" t="str">
        <v>Route Info</v>
      </c>
      <c r="S318" s="1837" t="str">
        <v>Route Info</v>
      </c>
      <c r="T318" s="1837" t="str">
        <v>Route Info</v>
      </c>
      <c r="U318" s="1837" t="str">
        <v>Route Info</v>
      </c>
      <c r="V318" s="1837" t="str">
        <v>Detour</v>
      </c>
      <c r="W318" s="1837" t="str">
        <v>Route Info</v>
      </c>
      <c r="X318" s="1837" t="str">
        <v>Route Info</v>
      </c>
      <c r="Y318" s="1837" t="str">
        <v/>
      </c>
      <c r="Z318" s="1837" t="str">
        <v/>
      </c>
      <c r="AA318" s="1837" t="str">
        <v/>
      </c>
      <c r="AB318" s="1837" t="str">
        <v/>
      </c>
      <c r="AC318" s="1837" t="str">
        <v/>
      </c>
      <c r="AD318" s="1837" t="str">
        <v/>
      </c>
      <c r="AE318" s="1837" t="str">
        <v>Germany</v>
      </c>
      <c r="AF318" s="1837" t="str">
        <v>Central Europe</v>
      </c>
      <c r="AG318" s="1837" t="str">
        <v>Yes</v>
      </c>
      <c r="AH318" s="1837" t="str">
        <v/>
      </c>
      <c r="AI318" s="1837" t="str">
        <v/>
      </c>
      <c r="AJ318" s="1110" t="str">
        <v>Aly &amp; Steve</v>
      </c>
    </row>
    <row r="319" spans="1:36" ht="16.5" thickBot="1">
      <c r="A319">
        <v>26</v>
      </c>
      <c r="B319" t="s">
        <v>2810</v>
      </c>
      <c r="C319" s="3" t="s">
        <v>12</v>
      </c>
      <c r="D319" s="5" t="s">
        <v>14</v>
      </c>
      <c r="E319" s="3" t="s">
        <v>12</v>
      </c>
      <c r="F319" s="3" t="s">
        <v>12</v>
      </c>
      <c r="G319" s="3" t="s">
        <v>12</v>
      </c>
      <c r="H319" s="5" t="s">
        <v>14</v>
      </c>
      <c r="I319" s="3" t="s">
        <v>12</v>
      </c>
      <c r="J319" s="3" t="s">
        <v>12</v>
      </c>
      <c r="P319" s="1329">
        <v>26</v>
      </c>
      <c r="Q319" s="1837">
        <v>6</v>
      </c>
      <c r="R319" s="1837" t="str">
        <v>Route Info</v>
      </c>
      <c r="S319" s="1837" t="str">
        <v>Road Block</v>
      </c>
      <c r="T319" s="1837" t="str">
        <v>Route Info</v>
      </c>
      <c r="U319" s="1837" t="str">
        <v>Detour</v>
      </c>
      <c r="V319" s="1837" t="str">
        <v>Route Info</v>
      </c>
      <c r="W319" s="1837" t="str">
        <v/>
      </c>
      <c r="X319" s="1837" t="str">
        <v/>
      </c>
      <c r="Y319" s="1837" t="str">
        <v/>
      </c>
      <c r="Z319" s="1837" t="str">
        <v/>
      </c>
      <c r="AA319" s="1837" t="str">
        <v/>
      </c>
      <c r="AB319" s="1837" t="str">
        <v/>
      </c>
      <c r="AC319" s="1837" t="str">
        <v/>
      </c>
      <c r="AD319" s="1837" t="str">
        <v/>
      </c>
      <c r="AE319" s="1837" t="str">
        <v>France\nMonaco</v>
      </c>
      <c r="AF319" s="1837" t="str">
        <v>Western Europe\nWestern Europe</v>
      </c>
      <c r="AG319" s="1837" t="str">
        <v>Yes</v>
      </c>
      <c r="AH319" s="1837" t="str">
        <v/>
      </c>
      <c r="AI319" s="1837" t="str">
        <v/>
      </c>
      <c r="AJ319" s="1110" t="str">
        <v>Hayley &amp; Blair</v>
      </c>
    </row>
    <row r="320" spans="1:36" ht="16.5" thickBot="1">
      <c r="A320">
        <v>27</v>
      </c>
      <c r="B320">
        <v>1</v>
      </c>
      <c r="C320" s="3" t="s">
        <v>12</v>
      </c>
      <c r="D320" s="3" t="s">
        <v>12</v>
      </c>
      <c r="E320" s="19" t="s">
        <v>71</v>
      </c>
      <c r="F320" s="3" t="s">
        <v>12</v>
      </c>
      <c r="G320" s="4" t="s">
        <v>13</v>
      </c>
      <c r="H320" s="797" t="s">
        <v>12</v>
      </c>
      <c r="P320" s="1329">
        <v>26</v>
      </c>
      <c r="Q320" s="1837">
        <v>7</v>
      </c>
      <c r="R320" s="1837" t="str">
        <v>Route Info</v>
      </c>
      <c r="S320" s="1837" t="str">
        <v>Route Info</v>
      </c>
      <c r="T320" s="1837" t="str">
        <v>Road Block</v>
      </c>
      <c r="U320" s="1837" t="str">
        <v>Route Info</v>
      </c>
      <c r="V320" s="1837" t="str">
        <v>Detour</v>
      </c>
      <c r="W320" s="1837" t="str">
        <v>Route Info</v>
      </c>
      <c r="X320" s="1837" t="str">
        <v/>
      </c>
      <c r="Y320" s="1837" t="str">
        <v/>
      </c>
      <c r="Z320" s="1837" t="str">
        <v/>
      </c>
      <c r="AA320" s="1837" t="str">
        <v/>
      </c>
      <c r="AB320" s="1837" t="str">
        <v/>
      </c>
      <c r="AC320" s="1837" t="str">
        <v/>
      </c>
      <c r="AD320" s="1837" t="str">
        <v/>
      </c>
      <c r="AE320" s="1837" t="str">
        <v>Namibia</v>
      </c>
      <c r="AF320" s="1837" t="str">
        <v>Southern Africa</v>
      </c>
      <c r="AG320" s="1837" t="str">
        <v>No</v>
      </c>
      <c r="AH320" s="1837" t="str">
        <v/>
      </c>
      <c r="AI320" s="1837" t="str">
        <v/>
      </c>
      <c r="AJ320" s="1110" t="str">
        <v>Matt &amp; Ashley</v>
      </c>
    </row>
    <row r="321" spans="1:36">
      <c r="A321">
        <v>27</v>
      </c>
      <c r="B321">
        <v>2</v>
      </c>
      <c r="C321" s="3" t="s">
        <v>12</v>
      </c>
      <c r="D321" s="4" t="s">
        <v>13</v>
      </c>
      <c r="E321" s="3" t="s">
        <v>12</v>
      </c>
      <c r="F321" s="5" t="s">
        <v>14</v>
      </c>
      <c r="G321" s="3" t="s">
        <v>12</v>
      </c>
      <c r="H321" s="796"/>
      <c r="P321" s="1329">
        <v>26</v>
      </c>
      <c r="Q321" s="1837">
        <v>8</v>
      </c>
      <c r="R321" s="1837" t="str">
        <v>Route Info</v>
      </c>
      <c r="S321" s="1837" t="str">
        <v>Speed Bump</v>
      </c>
      <c r="T321" s="1837" t="str">
        <v>Road Block</v>
      </c>
      <c r="U321" s="1837" t="str">
        <v>Route Info</v>
      </c>
      <c r="V321" s="1837" t="str">
        <v>Detour</v>
      </c>
      <c r="W321" s="1837" t="str">
        <v>Route Info</v>
      </c>
      <c r="X321" s="1837" t="str">
        <v>Route Info</v>
      </c>
      <c r="Y321" s="1837" t="str">
        <v/>
      </c>
      <c r="Z321" s="1837" t="str">
        <v/>
      </c>
      <c r="AA321" s="1837" t="str">
        <v/>
      </c>
      <c r="AB321" s="1837" t="str">
        <v/>
      </c>
      <c r="AC321" s="1837" t="str">
        <v/>
      </c>
      <c r="AD321" s="1837" t="str">
        <v/>
      </c>
      <c r="AE321" s="1837" t="str">
        <v>Namibia</v>
      </c>
      <c r="AF321" s="1837" t="str">
        <v>Southern Africa</v>
      </c>
      <c r="AG321" s="1837" t="str">
        <v>Yes</v>
      </c>
      <c r="AH321" s="1837" t="str">
        <v>Double U-Turn</v>
      </c>
      <c r="AI321" s="1837">
        <v>5</v>
      </c>
      <c r="AJ321" s="1110" t="str">
        <v>Laura &amp; Tyler</v>
      </c>
    </row>
    <row r="322" spans="1:36" ht="16.5" thickBot="1">
      <c r="A322">
        <v>27</v>
      </c>
      <c r="B322">
        <v>3</v>
      </c>
      <c r="C322" s="3" t="s">
        <v>12</v>
      </c>
      <c r="D322" s="5" t="s">
        <v>14</v>
      </c>
      <c r="E322" s="3" t="s">
        <v>12</v>
      </c>
      <c r="F322" s="4" t="s">
        <v>13</v>
      </c>
      <c r="G322" s="3" t="s">
        <v>12</v>
      </c>
      <c r="H322" s="801"/>
      <c r="P322" s="1329">
        <v>26</v>
      </c>
      <c r="Q322" s="1837">
        <v>9</v>
      </c>
      <c r="R322" s="1837" t="str">
        <v>Route Info</v>
      </c>
      <c r="S322" s="1837" t="str">
        <v>Road Block</v>
      </c>
      <c r="T322" s="1837" t="str">
        <v>Route Info</v>
      </c>
      <c r="U322" s="1837" t="str">
        <v>Detour</v>
      </c>
      <c r="V322" s="1837" t="str">
        <v>Route Info</v>
      </c>
      <c r="W322" s="1837" t="str">
        <v/>
      </c>
      <c r="X322" s="1837" t="str">
        <v/>
      </c>
      <c r="Y322" s="1837" t="str">
        <v/>
      </c>
      <c r="Z322" s="1837" t="str">
        <v/>
      </c>
      <c r="AA322" s="1837" t="str">
        <v/>
      </c>
      <c r="AB322" s="1837" t="str">
        <v/>
      </c>
      <c r="AC322" s="1837" t="str">
        <v/>
      </c>
      <c r="AD322" s="1837" t="str">
        <v/>
      </c>
      <c r="AE322" s="1837" t="str">
        <v>Netherlands</v>
      </c>
      <c r="AF322" s="1837" t="str">
        <v>Central Europe</v>
      </c>
      <c r="AG322" s="1837" t="str">
        <v>No</v>
      </c>
      <c r="AH322" s="1837" t="str">
        <v/>
      </c>
      <c r="AI322" s="1837" t="str">
        <v/>
      </c>
      <c r="AJ322" s="1110" t="str">
        <v>Laura &amp; Tyler</v>
      </c>
    </row>
    <row r="323" spans="1:36" ht="16.5" thickBot="1">
      <c r="A323">
        <v>27</v>
      </c>
      <c r="B323">
        <v>4</v>
      </c>
      <c r="C323" s="3" t="s">
        <v>12</v>
      </c>
      <c r="D323" s="3" t="s">
        <v>12</v>
      </c>
      <c r="E323" s="5" t="s">
        <v>14</v>
      </c>
      <c r="F323" s="3" t="s">
        <v>12</v>
      </c>
      <c r="G323" s="4" t="s">
        <v>13</v>
      </c>
      <c r="H323" s="800" t="s">
        <v>12</v>
      </c>
      <c r="P323" s="1329">
        <v>26</v>
      </c>
      <c r="Q323" s="1837">
        <v>10</v>
      </c>
      <c r="R323" s="1837" t="str">
        <v>Route Info</v>
      </c>
      <c r="S323" s="1837" t="str">
        <v>Route Info</v>
      </c>
      <c r="T323" s="1837" t="str">
        <v>Speed Bump</v>
      </c>
      <c r="U323" s="1837" t="str">
        <v>Route Info</v>
      </c>
      <c r="V323" s="1837" t="str">
        <v>Road Block</v>
      </c>
      <c r="W323" s="1837" t="str">
        <v>Route Info</v>
      </c>
      <c r="X323" s="1837" t="str">
        <v>Route Info</v>
      </c>
      <c r="Y323" s="1837" t="str">
        <v>Detour</v>
      </c>
      <c r="Z323" s="1837" t="str">
        <v>Route Info</v>
      </c>
      <c r="AA323" s="1837" t="str">
        <v/>
      </c>
      <c r="AB323" s="1837" t="str">
        <v/>
      </c>
      <c r="AC323" s="1837" t="str">
        <v/>
      </c>
      <c r="AD323" s="1837" t="str">
        <v/>
      </c>
      <c r="AE323" s="1837" t="str">
        <v>Peru</v>
      </c>
      <c r="AF323" s="1837" t="str">
        <v>South America</v>
      </c>
      <c r="AG323" s="1837" t="str">
        <v>Yes</v>
      </c>
      <c r="AH323" s="1837" t="str">
        <v/>
      </c>
      <c r="AI323" s="1837" t="str">
        <v/>
      </c>
      <c r="AJ323" s="1110" t="str">
        <v>Hayley &amp; Blair</v>
      </c>
    </row>
    <row r="324" spans="1:36">
      <c r="A324">
        <v>27</v>
      </c>
      <c r="B324">
        <v>5</v>
      </c>
      <c r="C324" s="3" t="s">
        <v>12</v>
      </c>
      <c r="D324" s="5" t="s">
        <v>14</v>
      </c>
      <c r="E324" s="4" t="s">
        <v>13</v>
      </c>
      <c r="F324" s="3" t="s">
        <v>12</v>
      </c>
      <c r="G324" s="3" t="s">
        <v>12</v>
      </c>
      <c r="H324" s="708"/>
      <c r="P324" s="1329">
        <v>26</v>
      </c>
      <c r="Q324" s="1837">
        <v>11</v>
      </c>
      <c r="R324" s="1837" t="str">
        <v>Route Info</v>
      </c>
      <c r="S324" s="1837" t="str">
        <v>Detour</v>
      </c>
      <c r="T324" s="1837" t="str">
        <v>Route Info</v>
      </c>
      <c r="U324" s="1837" t="str">
        <v>Road Block</v>
      </c>
      <c r="V324" s="1837" t="str">
        <v>Route Info</v>
      </c>
      <c r="W324" s="1837" t="str">
        <v/>
      </c>
      <c r="X324" s="1837" t="str">
        <v/>
      </c>
      <c r="Y324" s="1837" t="str">
        <v/>
      </c>
      <c r="Z324" s="1837" t="str">
        <v/>
      </c>
      <c r="AA324" s="1837" t="str">
        <v/>
      </c>
      <c r="AB324" s="1837" t="str">
        <v/>
      </c>
      <c r="AC324" s="1837" t="str">
        <v/>
      </c>
      <c r="AD324" s="1837" t="str">
        <v/>
      </c>
      <c r="AE324" s="1837" t="str">
        <v>Peru</v>
      </c>
      <c r="AF324" s="1837" t="str">
        <v>South America</v>
      </c>
      <c r="AG324" s="1837" t="str">
        <v>No</v>
      </c>
      <c r="AH324" s="1837" t="str">
        <v/>
      </c>
      <c r="AI324" s="1837" t="str">
        <v/>
      </c>
      <c r="AJ324" s="1110" t="str">
        <v>Hayley &amp; Blair</v>
      </c>
    </row>
    <row r="325" spans="1:36">
      <c r="A325">
        <v>27</v>
      </c>
      <c r="B325">
        <v>6</v>
      </c>
      <c r="C325" s="5" t="s">
        <v>14</v>
      </c>
      <c r="D325" s="3" t="s">
        <v>12</v>
      </c>
      <c r="E325" s="5" t="s">
        <v>14</v>
      </c>
      <c r="F325" s="3" t="s">
        <v>12</v>
      </c>
      <c r="G325" s="4" t="s">
        <v>13</v>
      </c>
      <c r="H325" s="3" t="s">
        <v>12</v>
      </c>
      <c r="P325" s="1329">
        <v>26</v>
      </c>
      <c r="Q325" s="1837" t="str">
        <v>Final</v>
      </c>
      <c r="R325" s="1837" t="str">
        <v>Route Info</v>
      </c>
      <c r="S325" s="1837" t="str">
        <v>Road Block</v>
      </c>
      <c r="T325" s="1837" t="str">
        <v>Route Info</v>
      </c>
      <c r="U325" s="1837" t="str">
        <v>Route Info</v>
      </c>
      <c r="V325" s="1837" t="str">
        <v>Route Info</v>
      </c>
      <c r="W325" s="1837" t="str">
        <v>Road Block</v>
      </c>
      <c r="X325" s="1837" t="str">
        <v>Route Info</v>
      </c>
      <c r="Y325" s="1837" t="str">
        <v>Route Info</v>
      </c>
      <c r="Z325" s="1837" t="str">
        <v/>
      </c>
      <c r="AA325" s="1837" t="str">
        <v/>
      </c>
      <c r="AB325" s="1837" t="str">
        <v/>
      </c>
      <c r="AC325" s="1837" t="str">
        <v/>
      </c>
      <c r="AD325" s="1837" t="str">
        <v/>
      </c>
      <c r="AE325" s="1837" t="str">
        <v>USA</v>
      </c>
      <c r="AF325" s="1837" t="str">
        <v>North America</v>
      </c>
      <c r="AG325" s="1837" t="str">
        <v>Final Leg</v>
      </c>
      <c r="AH325" s="1837" t="str">
        <v/>
      </c>
      <c r="AI325" s="1837" t="str">
        <v/>
      </c>
      <c r="AJ325" s="1110" t="str">
        <v>Laura &amp; Tyler</v>
      </c>
    </row>
    <row r="326" spans="1:36">
      <c r="A326">
        <v>27</v>
      </c>
      <c r="B326">
        <v>7</v>
      </c>
      <c r="C326" s="3" t="s">
        <v>12</v>
      </c>
      <c r="D326" s="3" t="s">
        <v>12</v>
      </c>
      <c r="E326" s="5" t="s">
        <v>14</v>
      </c>
      <c r="F326" s="3" t="s">
        <v>12</v>
      </c>
      <c r="G326" s="3" t="s">
        <v>12</v>
      </c>
      <c r="H326" s="4" t="s">
        <v>13</v>
      </c>
      <c r="I326" s="3" t="s">
        <v>12</v>
      </c>
      <c r="P326" s="1329">
        <v>27</v>
      </c>
      <c r="Q326" s="1837">
        <v>1</v>
      </c>
      <c r="R326" s="1837" t="str">
        <v>Route Info</v>
      </c>
      <c r="S326" s="1837" t="str">
        <v>Route Info</v>
      </c>
      <c r="T326" s="1837" t="str">
        <v>Fast Forward</v>
      </c>
      <c r="U326" s="1837" t="str">
        <v>Route Info</v>
      </c>
      <c r="V326" s="1837" t="str">
        <v>Detour</v>
      </c>
      <c r="W326" s="1837" t="str">
        <v>Route Info</v>
      </c>
      <c r="X326" s="1837" t="str">
        <v/>
      </c>
      <c r="Y326" s="1837" t="str">
        <v/>
      </c>
      <c r="Z326" s="1837" t="str">
        <v/>
      </c>
      <c r="AA326" s="1837" t="str">
        <v/>
      </c>
      <c r="AB326" s="1837" t="str">
        <v/>
      </c>
      <c r="AC326" s="1837" t="str">
        <v/>
      </c>
      <c r="AD326" s="1837" t="str">
        <v/>
      </c>
      <c r="AE326" s="1837" t="str">
        <v>Brazil</v>
      </c>
      <c r="AF326" s="1837" t="str">
        <v>South America</v>
      </c>
      <c r="AG326" s="1837" t="str">
        <v>Yes</v>
      </c>
      <c r="AH326" s="1837" t="str">
        <v>Express Pass</v>
      </c>
      <c r="AI326" s="1837">
        <v>5</v>
      </c>
      <c r="AJ326" s="1110" t="str">
        <v>Tanner &amp; Josh</v>
      </c>
    </row>
    <row r="327" spans="1:36" ht="16.5" thickBot="1">
      <c r="A327">
        <v>27</v>
      </c>
      <c r="B327">
        <v>8</v>
      </c>
      <c r="C327" s="3" t="s">
        <v>12</v>
      </c>
      <c r="D327" s="4" t="s">
        <v>13</v>
      </c>
      <c r="E327" s="3" t="s">
        <v>12</v>
      </c>
      <c r="F327" s="3" t="s">
        <v>12</v>
      </c>
      <c r="G327" s="5" t="s">
        <v>14</v>
      </c>
      <c r="H327" s="3" t="s">
        <v>12</v>
      </c>
      <c r="P327" s="1329">
        <v>27</v>
      </c>
      <c r="Q327" s="1837">
        <v>2</v>
      </c>
      <c r="R327" s="1837" t="str">
        <v>Route Info</v>
      </c>
      <c r="S327" s="1837" t="str">
        <v>Detour</v>
      </c>
      <c r="T327" s="1837" t="str">
        <v>Route Info</v>
      </c>
      <c r="U327" s="1837" t="str">
        <v>Road Block</v>
      </c>
      <c r="V327" s="1837" t="str">
        <v>Route Info</v>
      </c>
      <c r="W327" s="1837" t="str">
        <v/>
      </c>
      <c r="X327" s="1837" t="str">
        <v/>
      </c>
      <c r="Y327" s="1837" t="str">
        <v/>
      </c>
      <c r="Z327" s="1837" t="str">
        <v/>
      </c>
      <c r="AA327" s="1837" t="str">
        <v/>
      </c>
      <c r="AB327" s="1837" t="str">
        <v/>
      </c>
      <c r="AC327" s="1837" t="str">
        <v/>
      </c>
      <c r="AD327" s="1837" t="str">
        <v/>
      </c>
      <c r="AE327" s="1837" t="str">
        <v>Argentina</v>
      </c>
      <c r="AF327" s="1837" t="str">
        <v>South America</v>
      </c>
      <c r="AG327" s="1837" t="str">
        <v>Yes</v>
      </c>
      <c r="AH327" s="1837" t="str">
        <v/>
      </c>
      <c r="AI327" s="1837" t="str">
        <v/>
      </c>
      <c r="AJ327" s="1110" t="str">
        <v>Justin &amp; Diana</v>
      </c>
    </row>
    <row r="328" spans="1:36" ht="16.5" thickBot="1">
      <c r="A328">
        <v>27</v>
      </c>
      <c r="B328">
        <v>9</v>
      </c>
      <c r="C328" s="3" t="s">
        <v>12</v>
      </c>
      <c r="D328" s="29" t="s">
        <v>49</v>
      </c>
      <c r="E328" s="5" t="s">
        <v>14</v>
      </c>
      <c r="F328" s="3" t="s">
        <v>12</v>
      </c>
      <c r="G328" s="4" t="s">
        <v>13</v>
      </c>
      <c r="H328" s="614" t="s">
        <v>12</v>
      </c>
      <c r="I328" s="3" t="s">
        <v>12</v>
      </c>
      <c r="P328" s="1329">
        <v>27</v>
      </c>
      <c r="Q328" s="1837">
        <v>3</v>
      </c>
      <c r="R328" s="1837" t="str">
        <v>Route Info</v>
      </c>
      <c r="S328" s="1837" t="str">
        <v>Road Block</v>
      </c>
      <c r="T328" s="1837" t="str">
        <v>Route Info</v>
      </c>
      <c r="U328" s="1837" t="str">
        <v>Detour</v>
      </c>
      <c r="V328" s="1837" t="str">
        <v>Route Info</v>
      </c>
      <c r="W328" s="1837" t="str">
        <v/>
      </c>
      <c r="X328" s="1837" t="str">
        <v/>
      </c>
      <c r="Y328" s="1837" t="str">
        <v/>
      </c>
      <c r="Z328" s="1837" t="str">
        <v/>
      </c>
      <c r="AA328" s="1837" t="str">
        <v/>
      </c>
      <c r="AB328" s="1837" t="str">
        <v/>
      </c>
      <c r="AC328" s="1837" t="str">
        <v/>
      </c>
      <c r="AD328" s="1837" t="str">
        <v/>
      </c>
      <c r="AE328" s="1837" t="str">
        <v>Argentina</v>
      </c>
      <c r="AF328" s="1837" t="str">
        <v>South America</v>
      </c>
      <c r="AG328" s="1837" t="str">
        <v>Yes</v>
      </c>
      <c r="AH328" s="1837" t="str">
        <v/>
      </c>
      <c r="AI328" s="1837" t="str">
        <v/>
      </c>
      <c r="AJ328" s="1110" t="str">
        <v>Tanner &amp; Josh</v>
      </c>
    </row>
    <row r="329" spans="1:36" ht="16.5" thickBot="1">
      <c r="A329">
        <v>27</v>
      </c>
      <c r="B329">
        <v>10</v>
      </c>
      <c r="C329" s="3" t="s">
        <v>12</v>
      </c>
      <c r="D329" s="5" t="s">
        <v>14</v>
      </c>
      <c r="E329" s="3" t="s">
        <v>12</v>
      </c>
      <c r="F329" s="793" t="s">
        <v>13</v>
      </c>
      <c r="G329" s="3" t="s">
        <v>12</v>
      </c>
      <c r="P329" s="1329">
        <v>27</v>
      </c>
      <c r="Q329" s="1837">
        <v>4</v>
      </c>
      <c r="R329" s="1837" t="str">
        <v>Route Info</v>
      </c>
      <c r="S329" s="1837" t="str">
        <v>Route Info</v>
      </c>
      <c r="T329" s="1837" t="str">
        <v>Road Block</v>
      </c>
      <c r="U329" s="1837" t="str">
        <v>Route Info</v>
      </c>
      <c r="V329" s="1837" t="str">
        <v>Detour</v>
      </c>
      <c r="W329" s="1837" t="str">
        <v>Route Info</v>
      </c>
      <c r="X329" s="1837" t="str">
        <v/>
      </c>
      <c r="Y329" s="1837" t="str">
        <v/>
      </c>
      <c r="Z329" s="1837" t="str">
        <v/>
      </c>
      <c r="AA329" s="1837" t="str">
        <v/>
      </c>
      <c r="AB329" s="1837" t="str">
        <v/>
      </c>
      <c r="AC329" s="1837" t="str">
        <v/>
      </c>
      <c r="AD329" s="1837" t="str">
        <v/>
      </c>
      <c r="AE329" s="1837" t="str">
        <v>Zambia</v>
      </c>
      <c r="AF329" s="1837" t="str">
        <v>Southern Africa</v>
      </c>
      <c r="AG329" s="1837" t="str">
        <v>No</v>
      </c>
      <c r="AH329" s="1837" t="str">
        <v>Double U-Turn</v>
      </c>
      <c r="AI329" s="1837">
        <v>6</v>
      </c>
      <c r="AJ329" s="1110" t="str">
        <v>Justin &amp; Diana</v>
      </c>
    </row>
    <row r="330" spans="1:36">
      <c r="A330">
        <v>27</v>
      </c>
      <c r="B330">
        <v>11</v>
      </c>
      <c r="C330" s="3" t="s">
        <v>12</v>
      </c>
      <c r="D330" s="4" t="s">
        <v>13</v>
      </c>
      <c r="E330" s="3" t="s">
        <v>12</v>
      </c>
      <c r="F330" s="5" t="s">
        <v>14</v>
      </c>
      <c r="G330" s="3" t="s">
        <v>12</v>
      </c>
      <c r="P330" s="1329">
        <v>27</v>
      </c>
      <c r="Q330" s="1837">
        <v>5</v>
      </c>
      <c r="R330" s="1837" t="str">
        <v>Route Info</v>
      </c>
      <c r="S330" s="1837" t="str">
        <v>Road Block</v>
      </c>
      <c r="T330" s="1837" t="str">
        <v>Detour</v>
      </c>
      <c r="U330" s="1837" t="str">
        <v>Route Info</v>
      </c>
      <c r="V330" s="1837" t="str">
        <v>Route Info</v>
      </c>
      <c r="W330" s="1837" t="str">
        <v/>
      </c>
      <c r="X330" s="1837" t="str">
        <v/>
      </c>
      <c r="Y330" s="1837" t="str">
        <v/>
      </c>
      <c r="Z330" s="1837" t="str">
        <v/>
      </c>
      <c r="AA330" s="1837" t="str">
        <v/>
      </c>
      <c r="AB330" s="1837" t="str">
        <v/>
      </c>
      <c r="AC330" s="1837" t="str">
        <v/>
      </c>
      <c r="AD330" s="1837" t="str">
        <v/>
      </c>
      <c r="AE330" s="1837" t="str">
        <v>Zambia</v>
      </c>
      <c r="AF330" s="1837" t="str">
        <v>Southern Africa</v>
      </c>
      <c r="AG330" s="1837" t="str">
        <v>Yes</v>
      </c>
      <c r="AH330" s="1837" t="str">
        <v/>
      </c>
      <c r="AI330" s="1837" t="str">
        <v/>
      </c>
      <c r="AJ330" s="1110" t="str">
        <v>Denise &amp; James Earl</v>
      </c>
    </row>
    <row r="331" spans="1:36">
      <c r="A331">
        <v>27</v>
      </c>
      <c r="B331" t="s">
        <v>2810</v>
      </c>
      <c r="C331" s="3" t="s">
        <v>12</v>
      </c>
      <c r="D331" s="5" t="s">
        <v>14</v>
      </c>
      <c r="E331" s="3" t="s">
        <v>12</v>
      </c>
      <c r="F331" s="3" t="s">
        <v>12</v>
      </c>
      <c r="G331" s="3" t="s">
        <v>12</v>
      </c>
      <c r="H331" s="3" t="s">
        <v>12</v>
      </c>
      <c r="I331" s="3" t="s">
        <v>12</v>
      </c>
      <c r="J331" s="3" t="s">
        <v>12</v>
      </c>
      <c r="K331" s="3" t="s">
        <v>12</v>
      </c>
      <c r="P331" s="1329">
        <v>27</v>
      </c>
      <c r="Q331" s="1837">
        <v>6</v>
      </c>
      <c r="R331" s="1837" t="str">
        <v>Road Block</v>
      </c>
      <c r="S331" s="1837" t="str">
        <v>Route Info</v>
      </c>
      <c r="T331" s="1837" t="str">
        <v>Road Block</v>
      </c>
      <c r="U331" s="1837" t="str">
        <v>Route Info</v>
      </c>
      <c r="V331" s="1837" t="str">
        <v>Detour</v>
      </c>
      <c r="W331" s="1837" t="str">
        <v>Route Info</v>
      </c>
      <c r="X331" s="1837" t="str">
        <v/>
      </c>
      <c r="Y331" s="1837" t="str">
        <v/>
      </c>
      <c r="Z331" s="1837" t="str">
        <v/>
      </c>
      <c r="AA331" s="1837" t="str">
        <v/>
      </c>
      <c r="AB331" s="1837" t="str">
        <v/>
      </c>
      <c r="AC331" s="1837" t="str">
        <v/>
      </c>
      <c r="AD331" s="1837" t="str">
        <v/>
      </c>
      <c r="AE331" s="1837" t="str">
        <v>France</v>
      </c>
      <c r="AF331" s="1837" t="str">
        <v>Western Europe</v>
      </c>
      <c r="AG331" s="1837" t="str">
        <v>No</v>
      </c>
      <c r="AH331" s="1837" t="str">
        <v/>
      </c>
      <c r="AI331" s="1837" t="str">
        <v/>
      </c>
      <c r="AJ331" s="1110" t="str">
        <v>Justin &amp; Diana</v>
      </c>
    </row>
    <row r="332" spans="1:36">
      <c r="A332">
        <v>28</v>
      </c>
      <c r="B332">
        <v>1</v>
      </c>
      <c r="C332" s="3" t="s">
        <v>12</v>
      </c>
      <c r="D332" s="4" t="s">
        <v>13</v>
      </c>
      <c r="E332" s="3" t="s">
        <v>12</v>
      </c>
      <c r="F332" s="5" t="s">
        <v>14</v>
      </c>
      <c r="G332" s="3" t="s">
        <v>12</v>
      </c>
      <c r="P332" s="1329">
        <v>27</v>
      </c>
      <c r="Q332" s="1837">
        <v>7</v>
      </c>
      <c r="R332" s="1837" t="str">
        <v>Route Info</v>
      </c>
      <c r="S332" s="1837" t="str">
        <v>Route Info</v>
      </c>
      <c r="T332" s="1837" t="str">
        <v>Road Block</v>
      </c>
      <c r="U332" s="1837" t="str">
        <v>Route Info</v>
      </c>
      <c r="V332" s="1837" t="str">
        <v>Route Info</v>
      </c>
      <c r="W332" s="1837" t="str">
        <v>Detour</v>
      </c>
      <c r="X332" s="1837" t="str">
        <v>Route Info</v>
      </c>
      <c r="Y332" s="1837" t="str">
        <v/>
      </c>
      <c r="Z332" s="1837" t="str">
        <v/>
      </c>
      <c r="AA332" s="1837" t="str">
        <v/>
      </c>
      <c r="AB332" s="1837" t="str">
        <v/>
      </c>
      <c r="AC332" s="1837" t="str">
        <v/>
      </c>
      <c r="AD332" s="1837" t="str">
        <v/>
      </c>
      <c r="AE332" s="1837" t="str">
        <v>Netherlands</v>
      </c>
      <c r="AF332" s="1837" t="str">
        <v>Central Europe</v>
      </c>
      <c r="AG332" s="1837" t="str">
        <v>Yes</v>
      </c>
      <c r="AH332" s="1837" t="str">
        <v/>
      </c>
      <c r="AI332" s="1837" t="str">
        <v/>
      </c>
      <c r="AJ332" s="1110" t="str">
        <v>Justin &amp; Diana</v>
      </c>
    </row>
    <row r="333" spans="1:36">
      <c r="A333">
        <v>28</v>
      </c>
      <c r="B333">
        <v>2</v>
      </c>
      <c r="C333" s="3" t="s">
        <v>12</v>
      </c>
      <c r="D333" s="5" t="s">
        <v>14</v>
      </c>
      <c r="E333" s="3" t="s">
        <v>12</v>
      </c>
      <c r="F333" s="29" t="s">
        <v>49</v>
      </c>
      <c r="G333" s="4" t="s">
        <v>13</v>
      </c>
      <c r="H333" s="3" t="s">
        <v>12</v>
      </c>
      <c r="P333" s="1329">
        <v>27</v>
      </c>
      <c r="Q333" s="1837">
        <v>8</v>
      </c>
      <c r="R333" s="1837" t="str">
        <v>Route Info</v>
      </c>
      <c r="S333" s="1837" t="str">
        <v>Detour</v>
      </c>
      <c r="T333" s="1837" t="str">
        <v>Route Info</v>
      </c>
      <c r="U333" s="1837" t="str">
        <v>Route Info</v>
      </c>
      <c r="V333" s="1837" t="str">
        <v>Road Block</v>
      </c>
      <c r="W333" s="1837" t="str">
        <v>Route Info</v>
      </c>
      <c r="X333" s="1837" t="str">
        <v/>
      </c>
      <c r="Y333" s="1837" t="str">
        <v/>
      </c>
      <c r="Z333" s="1837" t="str">
        <v/>
      </c>
      <c r="AA333" s="1837" t="str">
        <v/>
      </c>
      <c r="AB333" s="1837" t="str">
        <v/>
      </c>
      <c r="AC333" s="1837" t="str">
        <v/>
      </c>
      <c r="AD333" s="1837" t="str">
        <v/>
      </c>
      <c r="AE333" s="1837" t="str">
        <v>Poland</v>
      </c>
      <c r="AF333" s="1837" t="str">
        <v>Eastern Europe</v>
      </c>
      <c r="AG333" s="1837" t="str">
        <v>No</v>
      </c>
      <c r="AH333" s="1837" t="str">
        <v/>
      </c>
      <c r="AI333" s="1837" t="str">
        <v/>
      </c>
      <c r="AJ333" s="1110" t="str">
        <v>Justin &amp; Diana</v>
      </c>
    </row>
    <row r="334" spans="1:36">
      <c r="A334">
        <v>28</v>
      </c>
      <c r="B334">
        <v>3</v>
      </c>
      <c r="C334" s="3" t="s">
        <v>12</v>
      </c>
      <c r="D334" s="3" t="s">
        <v>12</v>
      </c>
      <c r="E334" s="4" t="s">
        <v>13</v>
      </c>
      <c r="F334" s="3" t="s">
        <v>12</v>
      </c>
      <c r="G334" s="5" t="s">
        <v>14</v>
      </c>
      <c r="H334" s="3" t="s">
        <v>12</v>
      </c>
      <c r="P334" s="1329">
        <v>27</v>
      </c>
      <c r="Q334" s="1837">
        <v>9</v>
      </c>
      <c r="R334" s="1837" t="str">
        <v>Route Info</v>
      </c>
      <c r="S334" s="1837" t="str">
        <v>Speed Bump</v>
      </c>
      <c r="T334" s="1837" t="str">
        <v>Road Block</v>
      </c>
      <c r="U334" s="1837" t="str">
        <v>Route Info</v>
      </c>
      <c r="V334" s="1837" t="str">
        <v>Detour</v>
      </c>
      <c r="W334" s="1837" t="str">
        <v>Route Info</v>
      </c>
      <c r="X334" s="1837" t="str">
        <v>Route Info</v>
      </c>
      <c r="Y334" s="1837" t="str">
        <v/>
      </c>
      <c r="Z334" s="1837" t="str">
        <v/>
      </c>
      <c r="AA334" s="1837" t="str">
        <v/>
      </c>
      <c r="AB334" s="1837" t="str">
        <v/>
      </c>
      <c r="AC334" s="1837" t="str">
        <v/>
      </c>
      <c r="AD334" s="1837" t="str">
        <v/>
      </c>
      <c r="AE334" s="1837" t="str">
        <v>India</v>
      </c>
      <c r="AF334" s="1837" t="str">
        <v>South Asia</v>
      </c>
      <c r="AG334" s="1837" t="str">
        <v>Yes</v>
      </c>
      <c r="AH334" s="1837" t="str">
        <v>U-Turn</v>
      </c>
      <c r="AI334" s="1837">
        <v>6</v>
      </c>
      <c r="AJ334" s="1110" t="str">
        <v>Justin &amp; Diana</v>
      </c>
    </row>
    <row r="335" spans="1:36">
      <c r="A335">
        <v>28</v>
      </c>
      <c r="B335">
        <v>4</v>
      </c>
      <c r="C335" s="3" t="s">
        <v>12</v>
      </c>
      <c r="D335" s="3" t="s">
        <v>12</v>
      </c>
      <c r="E335" s="4" t="s">
        <v>13</v>
      </c>
      <c r="F335" s="3" t="s">
        <v>12</v>
      </c>
      <c r="G335" s="5" t="s">
        <v>14</v>
      </c>
      <c r="H335" s="3" t="s">
        <v>12</v>
      </c>
      <c r="P335" s="1329">
        <v>27</v>
      </c>
      <c r="Q335" s="1837">
        <v>10</v>
      </c>
      <c r="R335" s="1837" t="str">
        <v>Route Info</v>
      </c>
      <c r="S335" s="1837" t="str">
        <v>Road Block</v>
      </c>
      <c r="T335" s="1837" t="str">
        <v>Route Info</v>
      </c>
      <c r="U335" s="1837" t="str">
        <v>Detour</v>
      </c>
      <c r="V335" s="1837" t="str">
        <v>Route Info</v>
      </c>
      <c r="W335" s="1837" t="str">
        <v/>
      </c>
      <c r="X335" s="1837" t="str">
        <v/>
      </c>
      <c r="Y335" s="1837" t="str">
        <v/>
      </c>
      <c r="Z335" s="1837" t="str">
        <v/>
      </c>
      <c r="AA335" s="1837" t="str">
        <v/>
      </c>
      <c r="AB335" s="1837" t="str">
        <v/>
      </c>
      <c r="AC335" s="1837" t="str">
        <v/>
      </c>
      <c r="AD335" s="1837" t="str">
        <v/>
      </c>
      <c r="AE335" s="1837" t="str">
        <v>India</v>
      </c>
      <c r="AF335" s="1837" t="str">
        <v>South Asia</v>
      </c>
      <c r="AG335" s="1837" t="str">
        <v>Yes</v>
      </c>
      <c r="AH335" s="1837" t="str">
        <v>U-Turn</v>
      </c>
      <c r="AI335" s="1837">
        <v>4</v>
      </c>
      <c r="AJ335" s="1110" t="str">
        <v>Justin &amp; Diana</v>
      </c>
    </row>
    <row r="336" spans="1:36" ht="16.5" thickBot="1">
      <c r="A336">
        <v>28</v>
      </c>
      <c r="B336">
        <v>5</v>
      </c>
      <c r="C336" s="3" t="s">
        <v>12</v>
      </c>
      <c r="D336" s="3" t="s">
        <v>12</v>
      </c>
      <c r="E336" s="4" t="s">
        <v>13</v>
      </c>
      <c r="F336" s="3" t="s">
        <v>12</v>
      </c>
      <c r="G336" s="5" t="s">
        <v>14</v>
      </c>
      <c r="H336" s="3" t="s">
        <v>12</v>
      </c>
      <c r="P336" s="1329">
        <v>27</v>
      </c>
      <c r="Q336" s="1837">
        <v>11</v>
      </c>
      <c r="R336" s="1837" t="str">
        <v>Route Info</v>
      </c>
      <c r="S336" s="1837" t="str">
        <v>Detour</v>
      </c>
      <c r="T336" s="1837" t="str">
        <v>Route Info</v>
      </c>
      <c r="U336" s="1837" t="str">
        <v>Road Block</v>
      </c>
      <c r="V336" s="1837" t="str">
        <v>Route Info</v>
      </c>
      <c r="W336" s="1837" t="str">
        <v/>
      </c>
      <c r="X336" s="1837" t="str">
        <v/>
      </c>
      <c r="Y336" s="1837" t="str">
        <v/>
      </c>
      <c r="Z336" s="1837" t="str">
        <v/>
      </c>
      <c r="AA336" s="1837" t="str">
        <v/>
      </c>
      <c r="AB336" s="1837" t="str">
        <v/>
      </c>
      <c r="AC336" s="1837" t="str">
        <v/>
      </c>
      <c r="AD336" s="1837" t="str">
        <v/>
      </c>
      <c r="AE336" s="1837" t="str">
        <v>China</v>
      </c>
      <c r="AF336" s="1837" t="str">
        <v>East Asia</v>
      </c>
      <c r="AG336" s="1837" t="str">
        <v>Yes</v>
      </c>
      <c r="AH336" s="1837" t="str">
        <v/>
      </c>
      <c r="AI336" s="1837" t="str">
        <v/>
      </c>
      <c r="AJ336" s="1110" t="str">
        <v>Logan &amp; Chris</v>
      </c>
    </row>
    <row r="337" spans="1:36" ht="16.5" thickBot="1">
      <c r="A337">
        <v>28</v>
      </c>
      <c r="B337">
        <v>6</v>
      </c>
      <c r="C337" s="3" t="s">
        <v>12</v>
      </c>
      <c r="D337" s="3" t="s">
        <v>12</v>
      </c>
      <c r="E337" s="3" t="s">
        <v>12</v>
      </c>
      <c r="F337" s="4" t="s">
        <v>13</v>
      </c>
      <c r="G337" s="3" t="s">
        <v>12</v>
      </c>
      <c r="H337" s="5" t="s">
        <v>14</v>
      </c>
      <c r="I337" s="613" t="s">
        <v>12</v>
      </c>
      <c r="P337" s="1329">
        <v>27</v>
      </c>
      <c r="Q337" s="1837" t="str">
        <v>Final</v>
      </c>
      <c r="R337" s="1837" t="str">
        <v>Route Info</v>
      </c>
      <c r="S337" s="1837" t="str">
        <v>Road Block</v>
      </c>
      <c r="T337" s="1837" t="str">
        <v>Route Info</v>
      </c>
      <c r="U337" s="1837" t="str">
        <v>Route Info</v>
      </c>
      <c r="V337" s="1837" t="str">
        <v>Route Info</v>
      </c>
      <c r="W337" s="1837" t="str">
        <v>Route Info</v>
      </c>
      <c r="X337" s="1837" t="str">
        <v>Route Info</v>
      </c>
      <c r="Y337" s="1837" t="str">
        <v>Route Info</v>
      </c>
      <c r="Z337" s="1837" t="str">
        <v>Route Info</v>
      </c>
      <c r="AA337" s="1837" t="str">
        <v/>
      </c>
      <c r="AB337" s="1837" t="str">
        <v/>
      </c>
      <c r="AC337" s="1837" t="str">
        <v/>
      </c>
      <c r="AD337" s="1837" t="str">
        <v/>
      </c>
      <c r="AE337" s="1837" t="str">
        <v>USA</v>
      </c>
      <c r="AF337" s="1837" t="str">
        <v>North America</v>
      </c>
      <c r="AG337" s="1837" t="str">
        <v>Final Leg</v>
      </c>
      <c r="AH337" s="1837" t="str">
        <v/>
      </c>
      <c r="AI337" s="1837" t="str">
        <v/>
      </c>
      <c r="AJ337" s="1110" t="str">
        <v>Kelsey &amp; Joey</v>
      </c>
    </row>
    <row r="338" spans="1:36">
      <c r="A338">
        <v>28</v>
      </c>
      <c r="B338">
        <v>7</v>
      </c>
      <c r="C338" s="3" t="s">
        <v>12</v>
      </c>
      <c r="D338" s="3" t="s">
        <v>12</v>
      </c>
      <c r="E338" s="4" t="s">
        <v>13</v>
      </c>
      <c r="F338" s="3" t="s">
        <v>12</v>
      </c>
      <c r="G338" s="5" t="s">
        <v>14</v>
      </c>
      <c r="H338" s="3" t="s">
        <v>12</v>
      </c>
      <c r="P338" s="1329">
        <v>28</v>
      </c>
      <c r="Q338" s="1837">
        <v>1</v>
      </c>
      <c r="R338" s="1837" t="str">
        <v>Route Info</v>
      </c>
      <c r="S338" s="1837" t="str">
        <v>Detour</v>
      </c>
      <c r="T338" s="1837" t="str">
        <v>Route Info</v>
      </c>
      <c r="U338" s="1837" t="str">
        <v>Road Block</v>
      </c>
      <c r="V338" s="1837" t="str">
        <v>Route Info</v>
      </c>
      <c r="W338" s="1837" t="str">
        <v/>
      </c>
      <c r="X338" s="1837" t="str">
        <v/>
      </c>
      <c r="Y338" s="1837" t="str">
        <v/>
      </c>
      <c r="Z338" s="1837" t="str">
        <v/>
      </c>
      <c r="AA338" s="1837" t="str">
        <v/>
      </c>
      <c r="AB338" s="1837" t="str">
        <v/>
      </c>
      <c r="AC338" s="1837" t="str">
        <v/>
      </c>
      <c r="AD338" s="1837" t="str">
        <v/>
      </c>
      <c r="AE338" s="1837" t="str">
        <v>Mexico</v>
      </c>
      <c r="AF338" s="1837" t="str">
        <v>North America</v>
      </c>
      <c r="AG338" s="1837" t="str">
        <v>No</v>
      </c>
      <c r="AH338" s="1837" t="str">
        <v/>
      </c>
      <c r="AI338" s="1837" t="str">
        <v/>
      </c>
      <c r="AJ338" s="1110" t="str">
        <v>Dana &amp; Matt</v>
      </c>
    </row>
    <row r="339" spans="1:36">
      <c r="A339">
        <v>28</v>
      </c>
      <c r="B339">
        <v>8</v>
      </c>
      <c r="C339" s="3" t="s">
        <v>12</v>
      </c>
      <c r="D339" s="4" t="s">
        <v>13</v>
      </c>
      <c r="E339" s="3" t="s">
        <v>12</v>
      </c>
      <c r="F339" s="5" t="s">
        <v>14</v>
      </c>
      <c r="G339" s="3" t="s">
        <v>12</v>
      </c>
      <c r="H339" s="3" t="s">
        <v>12</v>
      </c>
      <c r="P339" s="1329">
        <v>28</v>
      </c>
      <c r="Q339" s="1837">
        <v>2</v>
      </c>
      <c r="R339" s="1837" t="str">
        <v>Route Info</v>
      </c>
      <c r="S339" s="1837" t="str">
        <v>Road Block</v>
      </c>
      <c r="T339" s="1837" t="str">
        <v>Route Info</v>
      </c>
      <c r="U339" s="1837" t="str">
        <v>Speed Bump</v>
      </c>
      <c r="V339" s="1837" t="str">
        <v>Detour</v>
      </c>
      <c r="W339" s="1837" t="str">
        <v>Route Info</v>
      </c>
      <c r="X339" s="1837" t="str">
        <v/>
      </c>
      <c r="Y339" s="1837" t="str">
        <v/>
      </c>
      <c r="Z339" s="1837" t="str">
        <v/>
      </c>
      <c r="AA339" s="1837" t="str">
        <v/>
      </c>
      <c r="AB339" s="1837" t="str">
        <v/>
      </c>
      <c r="AC339" s="1837" t="str">
        <v/>
      </c>
      <c r="AD339" s="1837" t="str">
        <v/>
      </c>
      <c r="AE339" s="1837" t="str">
        <v>Colombia</v>
      </c>
      <c r="AF339" s="1837" t="str">
        <v>South America</v>
      </c>
      <c r="AG339" s="1837" t="str">
        <v>Yes</v>
      </c>
      <c r="AH339" s="1837" t="str">
        <v/>
      </c>
      <c r="AI339" s="1837" t="str">
        <v/>
      </c>
      <c r="AJ339" s="1110" t="str">
        <v>Tyler &amp; Korey</v>
      </c>
    </row>
    <row r="340" spans="1:36" ht="16.5" thickBot="1">
      <c r="A340">
        <v>28</v>
      </c>
      <c r="B340">
        <v>9</v>
      </c>
      <c r="C340" s="3" t="s">
        <v>12</v>
      </c>
      <c r="D340" s="3" t="s">
        <v>12</v>
      </c>
      <c r="E340" s="3" t="s">
        <v>12</v>
      </c>
      <c r="F340" s="3" t="s">
        <v>12</v>
      </c>
      <c r="G340" s="5" t="s">
        <v>14</v>
      </c>
      <c r="H340" s="29" t="s">
        <v>49</v>
      </c>
      <c r="I340" s="3" t="s">
        <v>12</v>
      </c>
      <c r="J340" s="5" t="s">
        <v>14</v>
      </c>
      <c r="K340" s="3" t="s">
        <v>12</v>
      </c>
      <c r="P340" s="1329">
        <v>28</v>
      </c>
      <c r="Q340" s="1837">
        <v>3</v>
      </c>
      <c r="R340" s="1837" t="str">
        <v>Route Info</v>
      </c>
      <c r="S340" s="1837" t="str">
        <v>Route Info</v>
      </c>
      <c r="T340" s="1837" t="str">
        <v>Detour</v>
      </c>
      <c r="U340" s="1837" t="str">
        <v>Route Info</v>
      </c>
      <c r="V340" s="1837" t="str">
        <v>Road Block</v>
      </c>
      <c r="W340" s="1837" t="str">
        <v>Route Info</v>
      </c>
      <c r="X340" s="1837" t="str">
        <v/>
      </c>
      <c r="Y340" s="1837" t="str">
        <v/>
      </c>
      <c r="Z340" s="1837" t="str">
        <v/>
      </c>
      <c r="AA340" s="1837" t="str">
        <v/>
      </c>
      <c r="AB340" s="1837" t="str">
        <v/>
      </c>
      <c r="AC340" s="1837" t="str">
        <v/>
      </c>
      <c r="AD340" s="1837" t="str">
        <v/>
      </c>
      <c r="AE340" s="1837" t="str">
        <v>Colombia</v>
      </c>
      <c r="AF340" s="1837" t="str">
        <v>South America</v>
      </c>
      <c r="AG340" s="1837" t="str">
        <v>Yes</v>
      </c>
      <c r="AH340" s="1837" t="str">
        <v/>
      </c>
      <c r="AI340" s="1837" t="str">
        <v/>
      </c>
      <c r="AJ340" s="1110" t="str">
        <v>Brodie &amp; Kurt</v>
      </c>
    </row>
    <row r="341" spans="1:36" ht="16.5" thickBot="1">
      <c r="A341">
        <v>28</v>
      </c>
      <c r="B341">
        <v>10</v>
      </c>
      <c r="C341" s="3" t="s">
        <v>12</v>
      </c>
      <c r="D341" s="3" t="s">
        <v>12</v>
      </c>
      <c r="E341" s="4" t="s">
        <v>13</v>
      </c>
      <c r="F341" s="3" t="s">
        <v>12</v>
      </c>
      <c r="G341" s="614" t="s">
        <v>12</v>
      </c>
      <c r="H341" s="5" t="s">
        <v>14</v>
      </c>
      <c r="I341" s="3" t="s">
        <v>12</v>
      </c>
      <c r="P341" s="1329">
        <v>28</v>
      </c>
      <c r="Q341" s="1837">
        <v>4</v>
      </c>
      <c r="R341" s="1837" t="str">
        <v>Route Info</v>
      </c>
      <c r="S341" s="1837" t="str">
        <v>Route Info</v>
      </c>
      <c r="T341" s="1837" t="str">
        <v>Detour</v>
      </c>
      <c r="U341" s="1837" t="str">
        <v>Route Info</v>
      </c>
      <c r="V341" s="1837" t="str">
        <v>Road Block</v>
      </c>
      <c r="W341" s="1837" t="str">
        <v>Route Info</v>
      </c>
      <c r="X341" s="1837" t="str">
        <v/>
      </c>
      <c r="Y341" s="1837" t="str">
        <v/>
      </c>
      <c r="Z341" s="1837" t="str">
        <v/>
      </c>
      <c r="AA341" s="1837" t="str">
        <v/>
      </c>
      <c r="AB341" s="1837" t="str">
        <v/>
      </c>
      <c r="AC341" s="1837" t="str">
        <v/>
      </c>
      <c r="AD341" s="1837" t="str">
        <v/>
      </c>
      <c r="AE341" s="1837" t="str">
        <v>Switzerland\nFrance</v>
      </c>
      <c r="AF341" s="1837" t="str">
        <v>Central Europe\nWestern Europe</v>
      </c>
      <c r="AG341" s="1837" t="str">
        <v>Yes</v>
      </c>
      <c r="AH341" s="1837" t="str">
        <v/>
      </c>
      <c r="AI341" s="1837" t="str">
        <v/>
      </c>
      <c r="AJ341" s="1110" t="str">
        <v>Brodie &amp; Kurt</v>
      </c>
    </row>
    <row r="342" spans="1:36">
      <c r="A342">
        <v>28</v>
      </c>
      <c r="B342">
        <v>11</v>
      </c>
      <c r="C342" s="3" t="s">
        <v>12</v>
      </c>
      <c r="D342" s="3" t="s">
        <v>12</v>
      </c>
      <c r="E342" s="5" t="s">
        <v>14</v>
      </c>
      <c r="F342" s="3" t="s">
        <v>12</v>
      </c>
      <c r="G342" s="795" t="s">
        <v>13</v>
      </c>
      <c r="H342" s="3" t="s">
        <v>12</v>
      </c>
      <c r="P342" s="1329">
        <v>28</v>
      </c>
      <c r="Q342" s="1837">
        <v>5</v>
      </c>
      <c r="R342" s="1837" t="str">
        <v>Route Info</v>
      </c>
      <c r="S342" s="1837" t="str">
        <v>Route Info</v>
      </c>
      <c r="T342" s="1837" t="str">
        <v>Detour</v>
      </c>
      <c r="U342" s="1837" t="str">
        <v>Route Info</v>
      </c>
      <c r="V342" s="1837" t="str">
        <v>Road Block</v>
      </c>
      <c r="W342" s="1837" t="str">
        <v>Route Info</v>
      </c>
      <c r="X342" s="1837" t="str">
        <v/>
      </c>
      <c r="Y342" s="1837" t="str">
        <v/>
      </c>
      <c r="Z342" s="1837" t="str">
        <v/>
      </c>
      <c r="AA342" s="1837" t="str">
        <v/>
      </c>
      <c r="AB342" s="1837" t="str">
        <v/>
      </c>
      <c r="AC342" s="1837" t="str">
        <v/>
      </c>
      <c r="AD342" s="1837" t="str">
        <v/>
      </c>
      <c r="AE342" s="1837" t="str">
        <v>France</v>
      </c>
      <c r="AF342" s="1837" t="str">
        <v>Western Europe</v>
      </c>
      <c r="AG342" s="1837" t="str">
        <v>Yes</v>
      </c>
      <c r="AH342" s="1837" t="str">
        <v/>
      </c>
      <c r="AI342" s="1837" t="str">
        <v/>
      </c>
      <c r="AJ342" s="1110" t="str">
        <v>Tyler &amp; Korey</v>
      </c>
    </row>
    <row r="343" spans="1:36">
      <c r="A343">
        <v>28</v>
      </c>
      <c r="B343" t="s">
        <v>2810</v>
      </c>
      <c r="C343" s="3" t="s">
        <v>12</v>
      </c>
      <c r="D343" s="5" t="s">
        <v>14</v>
      </c>
      <c r="E343" s="3" t="s">
        <v>12</v>
      </c>
      <c r="F343" s="3" t="s">
        <v>12</v>
      </c>
      <c r="G343" s="3" t="s">
        <v>12</v>
      </c>
      <c r="H343" s="3" t="s">
        <v>12</v>
      </c>
      <c r="I343" s="5" t="s">
        <v>14</v>
      </c>
      <c r="J343" s="3" t="s">
        <v>12</v>
      </c>
      <c r="P343" s="1329">
        <v>28</v>
      </c>
      <c r="Q343" s="1837">
        <v>6</v>
      </c>
      <c r="R343" s="1837" t="str">
        <v>Route Info</v>
      </c>
      <c r="S343" s="1837" t="str">
        <v>Route Info</v>
      </c>
      <c r="T343" s="1837" t="str">
        <v>Route Info</v>
      </c>
      <c r="U343" s="1837" t="str">
        <v>Detour</v>
      </c>
      <c r="V343" s="1837" t="str">
        <v>Route Info</v>
      </c>
      <c r="W343" s="1837" t="str">
        <v>Road Block</v>
      </c>
      <c r="X343" s="1837" t="str">
        <v>Route Info</v>
      </c>
      <c r="Y343" s="1837" t="str">
        <v/>
      </c>
      <c r="Z343" s="1837" t="str">
        <v/>
      </c>
      <c r="AA343" s="1837" t="str">
        <v/>
      </c>
      <c r="AB343" s="1837" t="str">
        <v/>
      </c>
      <c r="AC343" s="1837" t="str">
        <v/>
      </c>
      <c r="AD343" s="1837" t="str">
        <v/>
      </c>
      <c r="AE343" s="1837" t="str">
        <v>Armenia</v>
      </c>
      <c r="AF343" s="1837" t="str">
        <v>West Asia</v>
      </c>
      <c r="AG343" s="1837" t="str">
        <v>No</v>
      </c>
      <c r="AH343" s="1837" t="str">
        <v>Express Pass</v>
      </c>
      <c r="AI343" s="1837">
        <v>7</v>
      </c>
      <c r="AJ343" s="1110" t="str">
        <v>Brodie &amp; Kurt</v>
      </c>
    </row>
    <row r="344" spans="1:36">
      <c r="A344">
        <v>29</v>
      </c>
      <c r="B344">
        <v>1</v>
      </c>
      <c r="C344" s="3" t="s">
        <v>12</v>
      </c>
      <c r="D344" s="3" t="s">
        <v>12</v>
      </c>
      <c r="E344" s="3" t="s">
        <v>12</v>
      </c>
      <c r="F344" s="4" t="s">
        <v>13</v>
      </c>
      <c r="G344" s="3" t="s">
        <v>12</v>
      </c>
      <c r="P344" s="1329">
        <v>28</v>
      </c>
      <c r="Q344" s="1837">
        <v>7</v>
      </c>
      <c r="R344" s="1837" t="str">
        <v>Route Info</v>
      </c>
      <c r="S344" s="1837" t="str">
        <v>Route Info</v>
      </c>
      <c r="T344" s="1837" t="str">
        <v>Detour</v>
      </c>
      <c r="U344" s="1837" t="str">
        <v>Route Info</v>
      </c>
      <c r="V344" s="1837" t="str">
        <v>Road Block</v>
      </c>
      <c r="W344" s="1837" t="str">
        <v>Route Info</v>
      </c>
      <c r="X344" s="1837" t="str">
        <v/>
      </c>
      <c r="Y344" s="1837" t="str">
        <v/>
      </c>
      <c r="Z344" s="1837" t="str">
        <v/>
      </c>
      <c r="AA344" s="1837" t="str">
        <v/>
      </c>
      <c r="AB344" s="1837" t="str">
        <v/>
      </c>
      <c r="AC344" s="1837" t="str">
        <v/>
      </c>
      <c r="AD344" s="1837" t="str">
        <v/>
      </c>
      <c r="AE344" s="1837" t="str">
        <v>Georgia</v>
      </c>
      <c r="AF344" s="1837" t="str">
        <v>West Asia</v>
      </c>
      <c r="AG344" s="1837" t="str">
        <v>Yes</v>
      </c>
      <c r="AH344" s="1837" t="str">
        <v/>
      </c>
      <c r="AI344" s="1837" t="str">
        <v/>
      </c>
      <c r="AJ344" s="1110" t="str">
        <v>Zach &amp; Rachel</v>
      </c>
    </row>
    <row r="345" spans="1:36" ht="16.5" thickBot="1">
      <c r="A345">
        <v>29</v>
      </c>
      <c r="B345">
        <v>2</v>
      </c>
      <c r="C345" s="3" t="s">
        <v>12</v>
      </c>
      <c r="D345" s="4" t="s">
        <v>13</v>
      </c>
      <c r="E345" s="3" t="s">
        <v>12</v>
      </c>
      <c r="F345" s="5" t="s">
        <v>14</v>
      </c>
      <c r="G345" s="3" t="s">
        <v>12</v>
      </c>
      <c r="P345" s="1329">
        <v>28</v>
      </c>
      <c r="Q345" s="1837">
        <v>8</v>
      </c>
      <c r="R345" s="1837" t="str">
        <v>Route Info</v>
      </c>
      <c r="S345" s="1837" t="str">
        <v>Detour</v>
      </c>
      <c r="T345" s="1837" t="str">
        <v>Route Info</v>
      </c>
      <c r="U345" s="1837" t="str">
        <v>Road Block</v>
      </c>
      <c r="V345" s="1837" t="str">
        <v>Route Info</v>
      </c>
      <c r="W345" s="1837" t="str">
        <v>Route Info</v>
      </c>
      <c r="X345" s="1837" t="str">
        <v/>
      </c>
      <c r="Y345" s="1837" t="str">
        <v/>
      </c>
      <c r="Z345" s="1837" t="str">
        <v/>
      </c>
      <c r="AA345" s="1837" t="str">
        <v/>
      </c>
      <c r="AB345" s="1837" t="str">
        <v/>
      </c>
      <c r="AC345" s="1837" t="str">
        <v/>
      </c>
      <c r="AD345" s="1837" t="str">
        <v/>
      </c>
      <c r="AE345" s="1837" t="str">
        <v>UAE</v>
      </c>
      <c r="AF345" s="1837" t="str">
        <v>Middle East</v>
      </c>
      <c r="AG345" s="1837" t="str">
        <v>No</v>
      </c>
      <c r="AH345" s="1837" t="str">
        <v/>
      </c>
      <c r="AI345" s="1837" t="str">
        <v/>
      </c>
      <c r="AJ345" s="1110" t="str">
        <v>Brodie &amp; Kurt</v>
      </c>
    </row>
    <row r="346" spans="1:36" ht="16.5" thickBot="1">
      <c r="A346">
        <v>29</v>
      </c>
      <c r="B346">
        <v>3</v>
      </c>
      <c r="C346" s="3" t="s">
        <v>12</v>
      </c>
      <c r="D346" s="3" t="s">
        <v>12</v>
      </c>
      <c r="E346" s="793" t="s">
        <v>13</v>
      </c>
      <c r="F346" s="3" t="s">
        <v>12</v>
      </c>
      <c r="G346" s="5" t="s">
        <v>14</v>
      </c>
      <c r="H346" s="3" t="s">
        <v>12</v>
      </c>
      <c r="P346" s="1329">
        <v>28</v>
      </c>
      <c r="Q346" s="1837">
        <v>9</v>
      </c>
      <c r="R346" s="1837" t="str">
        <v>Route Info</v>
      </c>
      <c r="S346" s="1837" t="str">
        <v>Route Info</v>
      </c>
      <c r="T346" s="1837" t="str">
        <v>Route Info</v>
      </c>
      <c r="U346" s="1837" t="str">
        <v>Route Info</v>
      </c>
      <c r="V346" s="1837" t="str">
        <v>Road Block</v>
      </c>
      <c r="W346" s="1837" t="str">
        <v>Speed Bump</v>
      </c>
      <c r="X346" s="1837" t="str">
        <v>Route Info</v>
      </c>
      <c r="Y346" s="1837" t="str">
        <v>Road Block</v>
      </c>
      <c r="Z346" s="1837" t="str">
        <v>Route Info</v>
      </c>
      <c r="AA346" s="1837" t="str">
        <v/>
      </c>
      <c r="AB346" s="1837" t="str">
        <v/>
      </c>
      <c r="AC346" s="1837" t="str">
        <v/>
      </c>
      <c r="AD346" s="1837" t="str">
        <v/>
      </c>
      <c r="AE346" s="1837" t="str">
        <v>Indonesia</v>
      </c>
      <c r="AF346" s="1837" t="str">
        <v>South East Asia</v>
      </c>
      <c r="AG346" s="1837" t="str">
        <v>Yes</v>
      </c>
      <c r="AH346" s="1837" t="str">
        <v/>
      </c>
      <c r="AI346" s="1837" t="str">
        <v/>
      </c>
      <c r="AJ346" s="1110" t="str">
        <v>Tyler &amp; Korey</v>
      </c>
    </row>
    <row r="347" spans="1:36">
      <c r="A347">
        <v>29</v>
      </c>
      <c r="B347">
        <v>4</v>
      </c>
      <c r="C347" s="3" t="s">
        <v>12</v>
      </c>
      <c r="D347" s="4" t="s">
        <v>13</v>
      </c>
      <c r="E347" s="3" t="s">
        <v>12</v>
      </c>
      <c r="F347" s="5" t="s">
        <v>14</v>
      </c>
      <c r="G347" s="3" t="s">
        <v>12</v>
      </c>
      <c r="H347" s="12"/>
      <c r="P347" s="1329">
        <v>28</v>
      </c>
      <c r="Q347" s="1837">
        <v>10</v>
      </c>
      <c r="R347" s="1837" t="str">
        <v>Route Info</v>
      </c>
      <c r="S347" s="1837" t="str">
        <v>Route Info</v>
      </c>
      <c r="T347" s="1837" t="str">
        <v>Detour</v>
      </c>
      <c r="U347" s="1837" t="str">
        <v>Route Info</v>
      </c>
      <c r="V347" s="1837" t="str">
        <v>Route Info</v>
      </c>
      <c r="W347" s="1837" t="str">
        <v>Road Block</v>
      </c>
      <c r="X347" s="1837" t="str">
        <v>Route Info</v>
      </c>
      <c r="Y347" s="1837" t="str">
        <v/>
      </c>
      <c r="Z347" s="1837" t="str">
        <v/>
      </c>
      <c r="AA347" s="1837" t="str">
        <v/>
      </c>
      <c r="AB347" s="1837" t="str">
        <v/>
      </c>
      <c r="AC347" s="1837" t="str">
        <v/>
      </c>
      <c r="AD347" s="1837" t="str">
        <v/>
      </c>
      <c r="AE347" s="1837" t="str">
        <v>Indonesia</v>
      </c>
      <c r="AF347" s="1837" t="str">
        <v>South East Asia</v>
      </c>
      <c r="AG347" s="1837" t="str">
        <v>Yes</v>
      </c>
      <c r="AH347" s="1837" t="str">
        <v>Double U-Turn</v>
      </c>
      <c r="AI347" s="1837">
        <v>5</v>
      </c>
      <c r="AJ347" s="1110" t="str">
        <v>Tyler &amp; Korey</v>
      </c>
    </row>
    <row r="348" spans="1:36" ht="16.5" thickBot="1">
      <c r="A348">
        <v>29</v>
      </c>
      <c r="B348">
        <v>5</v>
      </c>
      <c r="C348" s="3" t="s">
        <v>12</v>
      </c>
      <c r="D348" s="19" t="s">
        <v>71</v>
      </c>
      <c r="E348" s="3" t="s">
        <v>12</v>
      </c>
      <c r="F348" s="5" t="s">
        <v>14</v>
      </c>
      <c r="G348" s="4" t="s">
        <v>13</v>
      </c>
      <c r="H348" s="3" t="s">
        <v>12</v>
      </c>
      <c r="P348" s="1329">
        <v>28</v>
      </c>
      <c r="Q348" s="1837">
        <v>11</v>
      </c>
      <c r="R348" s="1837" t="str">
        <v>Route Info</v>
      </c>
      <c r="S348" s="1837" t="str">
        <v>Route Info</v>
      </c>
      <c r="T348" s="1837" t="str">
        <v>Road Block</v>
      </c>
      <c r="U348" s="1837" t="str">
        <v>Route Info</v>
      </c>
      <c r="V348" s="1837" t="str">
        <v>Detour</v>
      </c>
      <c r="W348" s="1837" t="str">
        <v>Route Info</v>
      </c>
      <c r="X348" s="1837" t="str">
        <v/>
      </c>
      <c r="Y348" s="1837" t="str">
        <v/>
      </c>
      <c r="Z348" s="1837" t="str">
        <v/>
      </c>
      <c r="AA348" s="1837" t="str">
        <v/>
      </c>
      <c r="AB348" s="1837" t="str">
        <v/>
      </c>
      <c r="AC348" s="1837" t="str">
        <v/>
      </c>
      <c r="AD348" s="1837" t="str">
        <v/>
      </c>
      <c r="AE348" s="1837" t="str">
        <v>China</v>
      </c>
      <c r="AF348" s="1837" t="str">
        <v>East Asia</v>
      </c>
      <c r="AG348" s="1837" t="str">
        <v>Yes</v>
      </c>
      <c r="AH348" s="1837" t="str">
        <v/>
      </c>
      <c r="AI348" s="1837" t="str">
        <v/>
      </c>
      <c r="AJ348" s="1110" t="str">
        <v>Tyler &amp; Korey</v>
      </c>
    </row>
    <row r="349" spans="1:36" ht="16.5" thickBot="1">
      <c r="A349">
        <v>29</v>
      </c>
      <c r="B349">
        <v>6</v>
      </c>
      <c r="C349" s="3" t="s">
        <v>12</v>
      </c>
      <c r="D349" s="5" t="s">
        <v>14</v>
      </c>
      <c r="E349" s="3" t="s">
        <v>12</v>
      </c>
      <c r="F349" s="3" t="s">
        <v>12</v>
      </c>
      <c r="G349" s="793" t="s">
        <v>13</v>
      </c>
      <c r="H349" s="3" t="s">
        <v>12</v>
      </c>
      <c r="P349" s="1329">
        <v>28</v>
      </c>
      <c r="Q349" s="1837" t="str">
        <v>Final</v>
      </c>
      <c r="R349" s="1837" t="str">
        <v>Route Info</v>
      </c>
      <c r="S349" s="1837" t="str">
        <v>Road Block</v>
      </c>
      <c r="T349" s="1837" t="str">
        <v>Route Info</v>
      </c>
      <c r="U349" s="1837" t="str">
        <v>Route Info</v>
      </c>
      <c r="V349" s="1837" t="str">
        <v>Route Info</v>
      </c>
      <c r="W349" s="1837" t="str">
        <v>Route Info</v>
      </c>
      <c r="X349" s="1837" t="str">
        <v>Road Block</v>
      </c>
      <c r="Y349" s="1837" t="str">
        <v>Route Info</v>
      </c>
      <c r="Z349" s="1837" t="str">
        <v/>
      </c>
      <c r="AA349" s="1837" t="str">
        <v/>
      </c>
      <c r="AB349" s="1837" t="str">
        <v/>
      </c>
      <c r="AC349" s="1837" t="str">
        <v/>
      </c>
      <c r="AD349" s="1837" t="str">
        <v/>
      </c>
      <c r="AE349" s="1837" t="str">
        <v>USA</v>
      </c>
      <c r="AF349" s="1837" t="str">
        <v>North America</v>
      </c>
      <c r="AG349" s="1837" t="str">
        <v>Final Leg</v>
      </c>
      <c r="AH349" s="1837" t="str">
        <v/>
      </c>
      <c r="AI349" s="1837" t="str">
        <v/>
      </c>
      <c r="AJ349" s="1110" t="str">
        <v>Dana &amp; Matt</v>
      </c>
    </row>
    <row r="350" spans="1:36" ht="16.5" thickBot="1">
      <c r="A350">
        <v>29</v>
      </c>
      <c r="B350">
        <v>7</v>
      </c>
      <c r="C350" s="3" t="s">
        <v>12</v>
      </c>
      <c r="D350" s="4" t="s">
        <v>13</v>
      </c>
      <c r="E350" s="3" t="s">
        <v>12</v>
      </c>
      <c r="F350" s="5" t="s">
        <v>14</v>
      </c>
      <c r="G350" s="3" t="s">
        <v>12</v>
      </c>
      <c r="P350" s="1329">
        <v>29</v>
      </c>
      <c r="Q350" s="1837">
        <v>1</v>
      </c>
      <c r="R350" s="1837" t="str">
        <v>Route Info</v>
      </c>
      <c r="S350" s="1837" t="str">
        <v>Route Info</v>
      </c>
      <c r="T350" s="1837" t="str">
        <v>Route Info</v>
      </c>
      <c r="U350" s="1837" t="str">
        <v>Detour</v>
      </c>
      <c r="V350" s="1837" t="str">
        <v>Route Info</v>
      </c>
      <c r="W350" s="1837" t="str">
        <v/>
      </c>
      <c r="X350" s="1837" t="str">
        <v/>
      </c>
      <c r="Y350" s="1837" t="str">
        <v/>
      </c>
      <c r="Z350" s="1837" t="str">
        <v/>
      </c>
      <c r="AA350" s="1837" t="str">
        <v/>
      </c>
      <c r="AB350" s="1837" t="str">
        <v/>
      </c>
      <c r="AC350" s="1837" t="str">
        <v/>
      </c>
      <c r="AD350" s="1837" t="str">
        <v/>
      </c>
      <c r="AE350" s="1837" t="str">
        <v>Panama</v>
      </c>
      <c r="AF350" s="1837" t="str">
        <v>Central America</v>
      </c>
      <c r="AG350" s="1837" t="str">
        <v>Yes</v>
      </c>
      <c r="AH350" s="1837" t="str">
        <v/>
      </c>
      <c r="AI350" s="1837" t="str">
        <v/>
      </c>
      <c r="AJ350" s="1110" t="str">
        <v>Seth &amp; Olive</v>
      </c>
    </row>
    <row r="351" spans="1:36" ht="16.5" thickBot="1">
      <c r="A351">
        <v>29</v>
      </c>
      <c r="B351">
        <v>8</v>
      </c>
      <c r="C351" s="3" t="s">
        <v>12</v>
      </c>
      <c r="D351" s="793" t="s">
        <v>13</v>
      </c>
      <c r="E351" s="29" t="s">
        <v>49</v>
      </c>
      <c r="F351" s="3" t="s">
        <v>12</v>
      </c>
      <c r="G351" s="3" t="s">
        <v>12</v>
      </c>
      <c r="H351" s="3" t="s">
        <v>12</v>
      </c>
      <c r="I351" s="5" t="s">
        <v>14</v>
      </c>
      <c r="J351" s="3" t="s">
        <v>12</v>
      </c>
      <c r="P351" s="1329">
        <v>29</v>
      </c>
      <c r="Q351" s="1837">
        <v>2</v>
      </c>
      <c r="R351" s="1837" t="str">
        <v>Route Info</v>
      </c>
      <c r="S351" s="1837" t="str">
        <v>Detour</v>
      </c>
      <c r="T351" s="1837" t="str">
        <v>Route Info</v>
      </c>
      <c r="U351" s="1837" t="str">
        <v>Road Block</v>
      </c>
      <c r="V351" s="1837" t="str">
        <v>Route Info</v>
      </c>
      <c r="W351" s="1837" t="str">
        <v/>
      </c>
      <c r="X351" s="1837" t="str">
        <v/>
      </c>
      <c r="Y351" s="1837" t="str">
        <v/>
      </c>
      <c r="Z351" s="1837" t="str">
        <v/>
      </c>
      <c r="AA351" s="1837" t="str">
        <v/>
      </c>
      <c r="AB351" s="1837" t="str">
        <v/>
      </c>
      <c r="AC351" s="1837" t="str">
        <v/>
      </c>
      <c r="AD351" s="1837" t="str">
        <v/>
      </c>
      <c r="AE351" s="1837" t="str">
        <v>Brazil</v>
      </c>
      <c r="AF351" s="1837" t="str">
        <v>South America</v>
      </c>
      <c r="AG351" s="1837" t="str">
        <v>Yes</v>
      </c>
      <c r="AH351" s="1837" t="str">
        <v/>
      </c>
      <c r="AI351" s="1837" t="str">
        <v/>
      </c>
      <c r="AJ351" s="1110" t="str">
        <v>Liz &amp; Michael</v>
      </c>
    </row>
    <row r="352" spans="1:36">
      <c r="A352">
        <v>29</v>
      </c>
      <c r="B352">
        <v>9</v>
      </c>
      <c r="C352" s="3" t="s">
        <v>12</v>
      </c>
      <c r="D352" s="5" t="s">
        <v>14</v>
      </c>
      <c r="E352" s="3" t="s">
        <v>12</v>
      </c>
      <c r="F352" s="3" t="s">
        <v>12</v>
      </c>
      <c r="G352" s="4" t="s">
        <v>13</v>
      </c>
      <c r="H352" s="3" t="s">
        <v>12</v>
      </c>
      <c r="P352" s="1329">
        <v>29</v>
      </c>
      <c r="Q352" s="1837">
        <v>3</v>
      </c>
      <c r="R352" s="1837" t="str">
        <v>Route Info</v>
      </c>
      <c r="S352" s="1837" t="str">
        <v>Route Info</v>
      </c>
      <c r="T352" s="1837" t="str">
        <v>Detour</v>
      </c>
      <c r="U352" s="1837" t="str">
        <v>Route Info</v>
      </c>
      <c r="V352" s="1837" t="str">
        <v>Road Block</v>
      </c>
      <c r="W352" s="1837" t="str">
        <v>Route Info</v>
      </c>
      <c r="X352" s="1837" t="str">
        <v/>
      </c>
      <c r="Y352" s="1837" t="str">
        <v/>
      </c>
      <c r="Z352" s="1837" t="str">
        <v/>
      </c>
      <c r="AA352" s="1837" t="str">
        <v/>
      </c>
      <c r="AB352" s="1837" t="str">
        <v/>
      </c>
      <c r="AC352" s="1837" t="str">
        <v/>
      </c>
      <c r="AD352" s="1837" t="str">
        <v/>
      </c>
      <c r="AE352" s="1837" t="str">
        <v>Tanzania</v>
      </c>
      <c r="AF352" s="1837" t="str">
        <v>East Africa</v>
      </c>
      <c r="AG352" s="1837" t="str">
        <v>Yes</v>
      </c>
      <c r="AH352" s="1837" t="str">
        <v>Double U-Turn</v>
      </c>
      <c r="AI352" s="1837">
        <v>3</v>
      </c>
      <c r="AJ352" s="1110" t="str">
        <v>Liz &amp; Michael</v>
      </c>
    </row>
    <row r="353" spans="1:36">
      <c r="A353">
        <v>29</v>
      </c>
      <c r="B353">
        <v>10</v>
      </c>
      <c r="C353" s="3" t="s">
        <v>12</v>
      </c>
      <c r="D353" s="3" t="s">
        <v>12</v>
      </c>
      <c r="E353" s="29" t="s">
        <v>49</v>
      </c>
      <c r="F353" s="3" t="s">
        <v>12</v>
      </c>
      <c r="G353" s="5" t="s">
        <v>14</v>
      </c>
      <c r="H353" s="3" t="s">
        <v>12</v>
      </c>
      <c r="I353" s="3" t="s">
        <v>12</v>
      </c>
      <c r="J353" s="3" t="s">
        <v>12</v>
      </c>
      <c r="P353" s="1329">
        <v>29</v>
      </c>
      <c r="Q353" s="1837">
        <v>4</v>
      </c>
      <c r="R353" s="1837" t="str">
        <v>Route Info</v>
      </c>
      <c r="S353" s="1837" t="str">
        <v>Detour</v>
      </c>
      <c r="T353" s="1837" t="str">
        <v>Route Info</v>
      </c>
      <c r="U353" s="1837" t="str">
        <v>Road Block</v>
      </c>
      <c r="V353" s="1837" t="str">
        <v>Route Info</v>
      </c>
      <c r="W353" s="1837" t="str">
        <v/>
      </c>
      <c r="X353" s="1837" t="str">
        <v/>
      </c>
      <c r="Y353" s="1837" t="str">
        <v/>
      </c>
      <c r="Z353" s="1837" t="str">
        <v/>
      </c>
      <c r="AA353" s="1837" t="str">
        <v/>
      </c>
      <c r="AB353" s="1837" t="str">
        <v/>
      </c>
      <c r="AC353" s="1837" t="str">
        <v/>
      </c>
      <c r="AD353" s="1837" t="str">
        <v/>
      </c>
      <c r="AE353" s="1837" t="str">
        <v>Tanzania</v>
      </c>
      <c r="AF353" s="1837" t="str">
        <v>East Africa</v>
      </c>
      <c r="AG353" s="1837" t="str">
        <v>Yes</v>
      </c>
      <c r="AH353" s="1837" t="str">
        <v/>
      </c>
      <c r="AI353" s="1837" t="str">
        <v/>
      </c>
      <c r="AJ353" s="1110" t="str">
        <v>Tara &amp; Joey</v>
      </c>
    </row>
    <row r="354" spans="1:36" ht="16.5" thickBot="1">
      <c r="A354">
        <v>29</v>
      </c>
      <c r="B354">
        <v>11</v>
      </c>
      <c r="C354" s="3" t="s">
        <v>12</v>
      </c>
      <c r="D354" s="3" t="s">
        <v>12</v>
      </c>
      <c r="E354" s="5" t="s">
        <v>14</v>
      </c>
      <c r="F354" s="3" t="s">
        <v>12</v>
      </c>
      <c r="G354" s="3" t="s">
        <v>12</v>
      </c>
      <c r="H354" s="3" t="s">
        <v>12</v>
      </c>
      <c r="I354" s="5" t="s">
        <v>14</v>
      </c>
      <c r="J354" s="3" t="s">
        <v>12</v>
      </c>
      <c r="P354" s="1329">
        <v>29</v>
      </c>
      <c r="Q354" s="1837">
        <v>5</v>
      </c>
      <c r="R354" s="1837" t="str">
        <v>Route Info</v>
      </c>
      <c r="S354" s="1837" t="str">
        <v>Fast Forward</v>
      </c>
      <c r="T354" s="1837" t="str">
        <v>Route Info</v>
      </c>
      <c r="U354" s="1837" t="str">
        <v>Road Block</v>
      </c>
      <c r="V354" s="1837" t="str">
        <v>Detour</v>
      </c>
      <c r="W354" s="1837" t="str">
        <v>Route Info</v>
      </c>
      <c r="X354" s="1837" t="str">
        <v/>
      </c>
      <c r="Y354" s="1837" t="str">
        <v/>
      </c>
      <c r="Z354" s="1837" t="str">
        <v/>
      </c>
      <c r="AA354" s="1837" t="str">
        <v/>
      </c>
      <c r="AB354" s="1837" t="str">
        <v/>
      </c>
      <c r="AC354" s="1837" t="str">
        <v/>
      </c>
      <c r="AD354" s="1837" t="str">
        <v/>
      </c>
      <c r="AE354" s="1837" t="str">
        <v>Norway</v>
      </c>
      <c r="AF354" s="1837" t="str">
        <v>Northern Europe</v>
      </c>
      <c r="AG354" s="1837" t="str">
        <v>No</v>
      </c>
      <c r="AH354" s="1837" t="str">
        <v>Double U-Turn</v>
      </c>
      <c r="AI354" s="1837">
        <v>5</v>
      </c>
      <c r="AJ354" s="1110" t="str">
        <v>Tara &amp; Joey</v>
      </c>
    </row>
    <row r="355" spans="1:36" ht="16.5" thickBot="1">
      <c r="A355">
        <v>29</v>
      </c>
      <c r="B355" t="s">
        <v>2810</v>
      </c>
      <c r="C355" s="3" t="s">
        <v>12</v>
      </c>
      <c r="D355" s="3" t="s">
        <v>12</v>
      </c>
      <c r="E355" s="3" t="s">
        <v>12</v>
      </c>
      <c r="F355" s="794" t="s">
        <v>12</v>
      </c>
      <c r="G355" s="3" t="s">
        <v>12</v>
      </c>
      <c r="H355" s="3" t="s">
        <v>12</v>
      </c>
      <c r="I355" s="3" t="s">
        <v>12</v>
      </c>
      <c r="J355" s="3" t="s">
        <v>12</v>
      </c>
      <c r="K355" s="3" t="s">
        <v>12</v>
      </c>
      <c r="P355" s="1329">
        <v>29</v>
      </c>
      <c r="Q355" s="1837">
        <v>6</v>
      </c>
      <c r="R355" s="1837" t="str">
        <v>Route Info</v>
      </c>
      <c r="S355" s="1837" t="str">
        <v>Road Block</v>
      </c>
      <c r="T355" s="1837" t="str">
        <v>Route Info</v>
      </c>
      <c r="U355" s="1837" t="str">
        <v>Route Info</v>
      </c>
      <c r="V355" s="1837" t="str">
        <v>Detour</v>
      </c>
      <c r="W355" s="1837" t="str">
        <v>Route Info</v>
      </c>
      <c r="X355" s="1837" t="str">
        <v/>
      </c>
      <c r="Y355" s="1837" t="str">
        <v/>
      </c>
      <c r="Z355" s="1837" t="str">
        <v/>
      </c>
      <c r="AA355" s="1837" t="str">
        <v/>
      </c>
      <c r="AB355" s="1837" t="str">
        <v/>
      </c>
      <c r="AC355" s="1837" t="str">
        <v/>
      </c>
      <c r="AD355" s="1837" t="str">
        <v/>
      </c>
      <c r="AE355" s="1837" t="str">
        <v>Italy</v>
      </c>
      <c r="AF355" s="1837" t="str">
        <v>Southern Europe</v>
      </c>
      <c r="AG355" s="1837" t="str">
        <v>Yes</v>
      </c>
      <c r="AH355" s="1837" t="str">
        <v/>
      </c>
      <c r="AI355" s="1837" t="str">
        <v/>
      </c>
      <c r="AJ355" s="1110" t="str">
        <v>Becca &amp; Floyd</v>
      </c>
    </row>
    <row r="356" spans="1:36" ht="16.5" thickBot="1">
      <c r="A356">
        <v>30</v>
      </c>
      <c r="B356">
        <v>1</v>
      </c>
      <c r="C356" s="3" t="s">
        <v>12</v>
      </c>
      <c r="D356" s="3" t="s">
        <v>12</v>
      </c>
      <c r="E356" s="3" t="s">
        <v>12</v>
      </c>
      <c r="F356" s="5" t="s">
        <v>14</v>
      </c>
      <c r="G356" s="3" t="s">
        <v>12</v>
      </c>
      <c r="H356" s="3" t="s">
        <v>12</v>
      </c>
      <c r="P356" s="1329">
        <v>29</v>
      </c>
      <c r="Q356" s="1837">
        <v>7</v>
      </c>
      <c r="R356" s="1837" t="str">
        <v>Route Info</v>
      </c>
      <c r="S356" s="1837" t="str">
        <v>Detour</v>
      </c>
      <c r="T356" s="1837" t="str">
        <v>Route Info</v>
      </c>
      <c r="U356" s="1837" t="str">
        <v>Road Block</v>
      </c>
      <c r="V356" s="1837" t="str">
        <v>Route Info</v>
      </c>
      <c r="W356" s="1837" t="str">
        <v/>
      </c>
      <c r="X356" s="1837" t="str">
        <v/>
      </c>
      <c r="Y356" s="1837" t="str">
        <v/>
      </c>
      <c r="Z356" s="1837" t="str">
        <v/>
      </c>
      <c r="AA356" s="1837" t="str">
        <v/>
      </c>
      <c r="AB356" s="1837" t="str">
        <v/>
      </c>
      <c r="AC356" s="1837" t="str">
        <v/>
      </c>
      <c r="AD356" s="1837" t="str">
        <v/>
      </c>
      <c r="AE356" s="1837" t="str">
        <v>Italy</v>
      </c>
      <c r="AF356" s="1837" t="str">
        <v>Southern Europe</v>
      </c>
      <c r="AG356" s="1837" t="str">
        <v>No</v>
      </c>
      <c r="AH356" s="1837" t="str">
        <v/>
      </c>
      <c r="AI356" s="1837" t="str">
        <v/>
      </c>
      <c r="AJ356" s="1110" t="str">
        <v>Matt &amp; Redmond</v>
      </c>
    </row>
    <row r="357" spans="1:36" ht="16.5" thickBot="1">
      <c r="A357">
        <v>30</v>
      </c>
      <c r="B357">
        <v>2</v>
      </c>
      <c r="C357" s="3" t="s">
        <v>12</v>
      </c>
      <c r="D357" s="5" t="s">
        <v>14</v>
      </c>
      <c r="E357" s="4" t="s">
        <v>13</v>
      </c>
      <c r="F357" s="812" t="s">
        <v>12</v>
      </c>
      <c r="G357" s="12"/>
      <c r="P357" s="1329">
        <v>29</v>
      </c>
      <c r="Q357" s="1837">
        <v>8</v>
      </c>
      <c r="R357" s="1837" t="str">
        <v>Route Info</v>
      </c>
      <c r="S357" s="1837" t="str">
        <v>Detour</v>
      </c>
      <c r="T357" s="1837" t="str">
        <v>Speed Bump</v>
      </c>
      <c r="U357" s="1837" t="str">
        <v>Route Info</v>
      </c>
      <c r="V357" s="1837" t="str">
        <v>Route Info</v>
      </c>
      <c r="W357" s="1837" t="str">
        <v>Route Info</v>
      </c>
      <c r="X357" s="1837" t="str">
        <v>Road Block</v>
      </c>
      <c r="Y357" s="1837" t="str">
        <v>Route Info</v>
      </c>
      <c r="Z357" s="1837" t="str">
        <v/>
      </c>
      <c r="AA357" s="1837" t="str">
        <v/>
      </c>
      <c r="AB357" s="1837" t="str">
        <v/>
      </c>
      <c r="AC357" s="1837" t="str">
        <v/>
      </c>
      <c r="AD357" s="1837" t="str">
        <v/>
      </c>
      <c r="AE357" s="1837" t="str">
        <v>Greece</v>
      </c>
      <c r="AF357" s="1837" t="str">
        <v>Southern Europe</v>
      </c>
      <c r="AG357" s="1837" t="str">
        <v>Yes</v>
      </c>
      <c r="AH357" s="1837" t="str">
        <v>U-Turn</v>
      </c>
      <c r="AI357" s="1837">
        <v>2</v>
      </c>
      <c r="AJ357" s="1110" t="str">
        <v>Tara &amp; Joey</v>
      </c>
    </row>
    <row r="358" spans="1:36" ht="16.5" thickBot="1">
      <c r="A358">
        <v>30</v>
      </c>
      <c r="B358">
        <v>3</v>
      </c>
      <c r="C358" s="3" t="s">
        <v>12</v>
      </c>
      <c r="D358" s="3" t="s">
        <v>12</v>
      </c>
      <c r="E358" s="5" t="s">
        <v>14</v>
      </c>
      <c r="F358" s="811" t="s">
        <v>13</v>
      </c>
      <c r="G358" s="3" t="s">
        <v>12</v>
      </c>
      <c r="H358" s="12"/>
      <c r="P358" s="1329">
        <v>29</v>
      </c>
      <c r="Q358" s="1837">
        <v>9</v>
      </c>
      <c r="R358" s="1837" t="str">
        <v>Route Info</v>
      </c>
      <c r="S358" s="1837" t="str">
        <v>Road Block</v>
      </c>
      <c r="T358" s="1837" t="str">
        <v>Route Info</v>
      </c>
      <c r="U358" s="1837" t="str">
        <v>Route Info</v>
      </c>
      <c r="V358" s="1837" t="str">
        <v>Detour</v>
      </c>
      <c r="W358" s="1837" t="str">
        <v>Route Info</v>
      </c>
      <c r="X358" s="1837" t="str">
        <v/>
      </c>
      <c r="Y358" s="1837" t="str">
        <v/>
      </c>
      <c r="Z358" s="1837" t="str">
        <v/>
      </c>
      <c r="AA358" s="1837" t="str">
        <v/>
      </c>
      <c r="AB358" s="1837" t="str">
        <v/>
      </c>
      <c r="AC358" s="1837" t="str">
        <v/>
      </c>
      <c r="AD358" s="1837" t="str">
        <v/>
      </c>
      <c r="AE358" s="1837" t="str">
        <v>Vietnam</v>
      </c>
      <c r="AF358" s="1837" t="str">
        <v>South East Asia</v>
      </c>
      <c r="AG358" s="1837" t="str">
        <v>No</v>
      </c>
      <c r="AH358" s="1837" t="str">
        <v/>
      </c>
      <c r="AI358" s="1837" t="str">
        <v/>
      </c>
      <c r="AJ358" s="1110" t="str">
        <v>Becca &amp; Floyd</v>
      </c>
    </row>
    <row r="359" spans="1:36" ht="16.5" thickBot="1">
      <c r="A359">
        <v>30</v>
      </c>
      <c r="B359">
        <v>4</v>
      </c>
      <c r="C359" s="3" t="s">
        <v>12</v>
      </c>
      <c r="D359" s="29" t="s">
        <v>49</v>
      </c>
      <c r="E359" s="5" t="s">
        <v>14</v>
      </c>
      <c r="F359" s="4" t="s">
        <v>13</v>
      </c>
      <c r="G359" s="812" t="s">
        <v>12</v>
      </c>
      <c r="H359" s="12"/>
      <c r="P359" s="1329">
        <v>29</v>
      </c>
      <c r="Q359" s="1837">
        <v>10</v>
      </c>
      <c r="R359" s="1837" t="str">
        <v>Route Info</v>
      </c>
      <c r="S359" s="1837" t="str">
        <v>Route Info</v>
      </c>
      <c r="T359" s="1837" t="str">
        <v>Speed Bump</v>
      </c>
      <c r="U359" s="1837" t="str">
        <v>Route Info</v>
      </c>
      <c r="V359" s="1837" t="str">
        <v>Road Block</v>
      </c>
      <c r="W359" s="1837" t="str">
        <v>Route Info</v>
      </c>
      <c r="X359" s="1837" t="str">
        <v>Route Info</v>
      </c>
      <c r="Y359" s="1837" t="str">
        <v>Route Info</v>
      </c>
      <c r="Z359" s="1837" t="str">
        <v/>
      </c>
      <c r="AA359" s="1837" t="str">
        <v/>
      </c>
      <c r="AB359" s="1837" t="str">
        <v/>
      </c>
      <c r="AC359" s="1837" t="str">
        <v/>
      </c>
      <c r="AD359" s="1837" t="str">
        <v/>
      </c>
      <c r="AE359" s="1837" t="str">
        <v>Vietnam</v>
      </c>
      <c r="AF359" s="1837" t="str">
        <v>South East Asia</v>
      </c>
      <c r="AG359" s="1837" t="str">
        <v>Yes</v>
      </c>
      <c r="AH359" s="1837" t="str">
        <v/>
      </c>
      <c r="AI359" s="1837" t="str">
        <v/>
      </c>
      <c r="AJ359" s="1110" t="str">
        <v>Matt &amp; Redmond</v>
      </c>
    </row>
    <row r="360" spans="1:36" ht="16.5" thickBot="1">
      <c r="A360">
        <v>30</v>
      </c>
      <c r="B360">
        <v>5</v>
      </c>
      <c r="C360" s="3" t="s">
        <v>12</v>
      </c>
      <c r="D360" s="5" t="s">
        <v>14</v>
      </c>
      <c r="E360" s="3" t="s">
        <v>12</v>
      </c>
      <c r="F360" s="4" t="s">
        <v>13</v>
      </c>
      <c r="G360" s="3" t="s">
        <v>12</v>
      </c>
      <c r="P360" s="1329">
        <v>29</v>
      </c>
      <c r="Q360" s="1837">
        <v>11</v>
      </c>
      <c r="R360" s="1837" t="str">
        <v>Route Info</v>
      </c>
      <c r="S360" s="1837" t="str">
        <v>Route Info</v>
      </c>
      <c r="T360" s="1837" t="str">
        <v>Road Block</v>
      </c>
      <c r="U360" s="1837" t="str">
        <v>Route Info</v>
      </c>
      <c r="V360" s="1837" t="str">
        <v>Route Info</v>
      </c>
      <c r="W360" s="1837" t="str">
        <v>Route Info</v>
      </c>
      <c r="X360" s="1837" t="str">
        <v>Road Block</v>
      </c>
      <c r="Y360" s="1837" t="str">
        <v>Route Info</v>
      </c>
      <c r="Z360" s="1837" t="str">
        <v/>
      </c>
      <c r="AA360" s="1837" t="str">
        <v/>
      </c>
      <c r="AB360" s="1837" t="str">
        <v/>
      </c>
      <c r="AC360" s="1837" t="str">
        <v/>
      </c>
      <c r="AD360" s="1837" t="str">
        <v/>
      </c>
      <c r="AE360" s="1837" t="str">
        <v>South Korea</v>
      </c>
      <c r="AF360" s="1837" t="str">
        <v>East Asia</v>
      </c>
      <c r="AG360" s="1837" t="str">
        <v>Yes</v>
      </c>
      <c r="AH360" s="1837" t="str">
        <v/>
      </c>
      <c r="AI360" s="1837" t="str">
        <v/>
      </c>
      <c r="AJ360" s="1110" t="str">
        <v>Brooke &amp; Scott</v>
      </c>
    </row>
    <row r="361" spans="1:36" ht="16.5" thickBot="1">
      <c r="A361">
        <v>30</v>
      </c>
      <c r="B361">
        <v>6</v>
      </c>
      <c r="C361" s="3" t="s">
        <v>12</v>
      </c>
      <c r="D361" s="817" t="s">
        <v>13</v>
      </c>
      <c r="E361" s="3" t="s">
        <v>12</v>
      </c>
      <c r="F361" s="5" t="s">
        <v>14</v>
      </c>
      <c r="G361" s="3" t="s">
        <v>12</v>
      </c>
      <c r="P361" s="1329">
        <v>29</v>
      </c>
      <c r="Q361" s="1837" t="str">
        <v>Final</v>
      </c>
      <c r="R361" s="1837" t="str">
        <v>Route Info</v>
      </c>
      <c r="S361" s="1837" t="str">
        <v>Route Info</v>
      </c>
      <c r="T361" s="1837" t="str">
        <v>Route Info</v>
      </c>
      <c r="U361" s="1837" t="str">
        <v>Route Info</v>
      </c>
      <c r="V361" s="1837" t="str">
        <v>Route Info</v>
      </c>
      <c r="W361" s="1837" t="str">
        <v>Route Info</v>
      </c>
      <c r="X361" s="1837" t="str">
        <v>Route Info</v>
      </c>
      <c r="Y361" s="1837" t="str">
        <v>Route Info</v>
      </c>
      <c r="Z361" s="1837" t="str">
        <v>Route Info</v>
      </c>
      <c r="AA361" s="1837" t="str">
        <v/>
      </c>
      <c r="AB361" s="1837" t="str">
        <v/>
      </c>
      <c r="AC361" s="1837" t="str">
        <v/>
      </c>
      <c r="AD361" s="1837" t="str">
        <v/>
      </c>
      <c r="AE361" s="1837" t="str">
        <v>USA</v>
      </c>
      <c r="AF361" s="1837" t="str">
        <v>North America</v>
      </c>
      <c r="AG361" s="1837" t="str">
        <v>Final Leg</v>
      </c>
      <c r="AH361" s="1837" t="str">
        <v>Scramble</v>
      </c>
      <c r="AI361" s="1837">
        <v>4</v>
      </c>
      <c r="AJ361" s="1110" t="str">
        <v>Brooke &amp; Scott</v>
      </c>
    </row>
    <row r="362" spans="1:36" ht="16.5" thickBot="1">
      <c r="A362">
        <v>30</v>
      </c>
      <c r="B362">
        <v>7</v>
      </c>
      <c r="C362" s="3" t="s">
        <v>12</v>
      </c>
      <c r="D362" s="818" t="s">
        <v>12</v>
      </c>
      <c r="E362" s="816" t="s">
        <v>12</v>
      </c>
      <c r="F362" s="815" t="s">
        <v>13</v>
      </c>
      <c r="G362" s="814" t="s">
        <v>12</v>
      </c>
      <c r="P362" s="1329">
        <v>30</v>
      </c>
      <c r="Q362" s="1837">
        <v>1</v>
      </c>
      <c r="R362" s="1837" t="str">
        <v>Route Info</v>
      </c>
      <c r="S362" s="1837" t="str">
        <v>Route Info</v>
      </c>
      <c r="T362" s="1837" t="str">
        <v>Route Info</v>
      </c>
      <c r="U362" s="1837" t="str">
        <v>Road Block</v>
      </c>
      <c r="V362" s="1837" t="str">
        <v>Route Info</v>
      </c>
      <c r="W362" s="1837" t="str">
        <v>Route Info</v>
      </c>
      <c r="X362" s="1837" t="str">
        <v/>
      </c>
      <c r="Y362" s="1837" t="str">
        <v/>
      </c>
      <c r="Z362" s="1837" t="str">
        <v/>
      </c>
      <c r="AA362" s="1837" t="str">
        <v/>
      </c>
      <c r="AB362" s="1837" t="str">
        <v/>
      </c>
      <c r="AC362" s="1837" t="str">
        <v/>
      </c>
      <c r="AD362" s="1837" t="str">
        <v/>
      </c>
      <c r="AE362" s="1837" t="str">
        <v>Iceland</v>
      </c>
      <c r="AF362" s="1837" t="str">
        <v>Western Europe</v>
      </c>
      <c r="AG362" s="1837" t="str">
        <v>Yes</v>
      </c>
      <c r="AH362" s="1837" t="str">
        <v/>
      </c>
      <c r="AI362" s="1837" t="str">
        <v/>
      </c>
      <c r="AJ362" s="1110" t="str">
        <v>Kristi &amp; Jen</v>
      </c>
    </row>
    <row r="363" spans="1:36" ht="16.5" thickBot="1">
      <c r="A363">
        <v>30</v>
      </c>
      <c r="B363">
        <v>8</v>
      </c>
      <c r="C363" s="3" t="s">
        <v>12</v>
      </c>
      <c r="D363" s="793" t="s">
        <v>13</v>
      </c>
      <c r="E363" s="813" t="s">
        <v>12</v>
      </c>
      <c r="F363" s="813" t="s">
        <v>12</v>
      </c>
      <c r="G363" s="813" t="s">
        <v>12</v>
      </c>
      <c r="H363" s="12"/>
      <c r="P363" s="1329">
        <v>30</v>
      </c>
      <c r="Q363" s="1837">
        <v>2</v>
      </c>
      <c r="R363" s="1837" t="str">
        <v>Route Info</v>
      </c>
      <c r="S363" s="1837" t="str">
        <v>Road Block</v>
      </c>
      <c r="T363" s="1837" t="str">
        <v>Detour</v>
      </c>
      <c r="U363" s="1837" t="str">
        <v>Route Info</v>
      </c>
      <c r="V363" s="1837" t="str">
        <v/>
      </c>
      <c r="W363" s="1837" t="str">
        <v/>
      </c>
      <c r="X363" s="1837" t="str">
        <v/>
      </c>
      <c r="Y363" s="1837" t="str">
        <v/>
      </c>
      <c r="Z363" s="1837" t="str">
        <v/>
      </c>
      <c r="AA363" s="1837" t="str">
        <v/>
      </c>
      <c r="AB363" s="1837" t="str">
        <v/>
      </c>
      <c r="AC363" s="1837" t="str">
        <v/>
      </c>
      <c r="AD363" s="1837" t="str">
        <v/>
      </c>
      <c r="AE363" s="1837" t="str">
        <v>Belgium</v>
      </c>
      <c r="AF363" s="1837" t="str">
        <v>Central Europe</v>
      </c>
      <c r="AG363" s="1837" t="str">
        <v>Yes</v>
      </c>
      <c r="AH363" s="1837" t="str">
        <v>Head-to-Head</v>
      </c>
      <c r="AI363" s="1837">
        <v>4</v>
      </c>
      <c r="AJ363" s="1110" t="str">
        <v>Cody &amp; Jessica</v>
      </c>
    </row>
    <row r="364" spans="1:36">
      <c r="A364">
        <v>30</v>
      </c>
      <c r="B364">
        <v>9</v>
      </c>
      <c r="C364" s="3" t="s">
        <v>12</v>
      </c>
      <c r="D364" s="3" t="s">
        <v>12</v>
      </c>
      <c r="E364" s="3" t="s">
        <v>12</v>
      </c>
      <c r="F364" s="3" t="s">
        <v>12</v>
      </c>
      <c r="G364" s="3" t="s">
        <v>12</v>
      </c>
      <c r="H364" s="3" t="s">
        <v>12</v>
      </c>
      <c r="I364" s="3" t="s">
        <v>12</v>
      </c>
      <c r="J364" s="3" t="s">
        <v>12</v>
      </c>
      <c r="K364" s="3" t="s">
        <v>12</v>
      </c>
      <c r="P364" s="1329">
        <v>30</v>
      </c>
      <c r="Q364" s="1837">
        <v>3</v>
      </c>
      <c r="R364" s="1837" t="str">
        <v>Route Info</v>
      </c>
      <c r="S364" s="1837" t="str">
        <v>Route Info</v>
      </c>
      <c r="T364" s="1837" t="str">
        <v>Road Block</v>
      </c>
      <c r="U364" s="1837" t="str">
        <v>Detour</v>
      </c>
      <c r="V364" s="1837" t="str">
        <v>Route Info</v>
      </c>
      <c r="W364" s="1837" t="str">
        <v/>
      </c>
      <c r="X364" s="1837" t="str">
        <v/>
      </c>
      <c r="Y364" s="1837" t="str">
        <v/>
      </c>
      <c r="Z364" s="1837" t="str">
        <v/>
      </c>
      <c r="AA364" s="1837" t="str">
        <v/>
      </c>
      <c r="AB364" s="1837" t="str">
        <v/>
      </c>
      <c r="AC364" s="1837" t="str">
        <v/>
      </c>
      <c r="AD364" s="1837" t="str">
        <v/>
      </c>
      <c r="AE364" s="1837" t="str">
        <v>Morocco</v>
      </c>
      <c r="AF364" s="1837" t="str">
        <v>Northern Africa</v>
      </c>
      <c r="AG364" s="1837" t="str">
        <v>No</v>
      </c>
      <c r="AH364" s="1837" t="str">
        <v/>
      </c>
      <c r="AI364" s="1837" t="str">
        <v/>
      </c>
      <c r="AJ364" s="1110" t="str">
        <v>Henry &amp; Evan</v>
      </c>
    </row>
    <row r="365" spans="1:36">
      <c r="A365">
        <v>30</v>
      </c>
      <c r="B365">
        <v>10</v>
      </c>
      <c r="C365" s="3" t="s">
        <v>12</v>
      </c>
      <c r="D365" s="4" t="s">
        <v>13</v>
      </c>
      <c r="E365" s="3" t="s">
        <v>12</v>
      </c>
      <c r="F365" s="5" t="s">
        <v>14</v>
      </c>
      <c r="G365" s="3" t="s">
        <v>12</v>
      </c>
      <c r="P365" s="1329">
        <v>30</v>
      </c>
      <c r="Q365" s="1837">
        <v>4</v>
      </c>
      <c r="R365" s="1837" t="str">
        <v>Route Info</v>
      </c>
      <c r="S365" s="1837" t="str">
        <v>Speed Bump</v>
      </c>
      <c r="T365" s="1837" t="str">
        <v>Road Block</v>
      </c>
      <c r="U365" s="1837" t="str">
        <v>Detour</v>
      </c>
      <c r="V365" s="1837" t="str">
        <v>Route Info</v>
      </c>
      <c r="W365" s="1837" t="str">
        <v/>
      </c>
      <c r="X365" s="1837" t="str">
        <v/>
      </c>
      <c r="Y365" s="1837" t="str">
        <v/>
      </c>
      <c r="Z365" s="1837" t="str">
        <v/>
      </c>
      <c r="AA365" s="1837" t="str">
        <v/>
      </c>
      <c r="AB365" s="1837" t="str">
        <v/>
      </c>
      <c r="AC365" s="1837" t="str">
        <v/>
      </c>
      <c r="AD365" s="1837" t="str">
        <v/>
      </c>
      <c r="AE365" s="1837" t="str">
        <v>France</v>
      </c>
      <c r="AF365" s="1837" t="str">
        <v>Western Europe</v>
      </c>
      <c r="AG365" s="1837" t="str">
        <v>Yes</v>
      </c>
      <c r="AH365" s="1837" t="str">
        <v>Head-to-Head</v>
      </c>
      <c r="AI365" s="1837">
        <v>5</v>
      </c>
      <c r="AJ365" s="1110" t="str">
        <v>Alex &amp; Conor</v>
      </c>
    </row>
    <row r="366" spans="1:36">
      <c r="A366">
        <v>30</v>
      </c>
      <c r="B366">
        <v>11</v>
      </c>
      <c r="C366" s="3" t="s">
        <v>12</v>
      </c>
      <c r="D366" s="29" t="s">
        <v>49</v>
      </c>
      <c r="E366" s="3" t="s">
        <v>12</v>
      </c>
      <c r="F366" s="4" t="s">
        <v>13</v>
      </c>
      <c r="G366" s="3" t="s">
        <v>12</v>
      </c>
      <c r="H366" s="5" t="s">
        <v>14</v>
      </c>
      <c r="I366" s="3" t="s">
        <v>12</v>
      </c>
      <c r="J366" s="3" t="s">
        <v>12</v>
      </c>
      <c r="P366" s="1329">
        <v>30</v>
      </c>
      <c r="Q366" s="1837">
        <v>5</v>
      </c>
      <c r="R366" s="1837" t="str">
        <v>Route Info</v>
      </c>
      <c r="S366" s="1837" t="str">
        <v>Road Block</v>
      </c>
      <c r="T366" s="1837" t="str">
        <v>Route Info</v>
      </c>
      <c r="U366" s="1837" t="str">
        <v>Detour</v>
      </c>
      <c r="V366" s="1837" t="str">
        <v>Route Info</v>
      </c>
      <c r="W366" s="1837" t="str">
        <v/>
      </c>
      <c r="X366" s="1837" t="str">
        <v/>
      </c>
      <c r="Y366" s="1837" t="str">
        <v/>
      </c>
      <c r="Z366" s="1837" t="str">
        <v/>
      </c>
      <c r="AA366" s="1837" t="str">
        <v/>
      </c>
      <c r="AB366" s="1837" t="str">
        <v/>
      </c>
      <c r="AC366" s="1837" t="str">
        <v/>
      </c>
      <c r="AD366" s="1837" t="str">
        <v/>
      </c>
      <c r="AE366" s="1837" t="str">
        <v>France</v>
      </c>
      <c r="AF366" s="1837" t="str">
        <v>Western Europe</v>
      </c>
      <c r="AG366" s="1837" t="str">
        <v>Yes</v>
      </c>
      <c r="AH366" s="1837" t="str">
        <v/>
      </c>
      <c r="AI366" s="1837" t="str">
        <v/>
      </c>
      <c r="AJ366" s="1110" t="str">
        <v>Lucas &amp; Brittany</v>
      </c>
    </row>
    <row r="367" spans="1:36">
      <c r="A367">
        <v>30</v>
      </c>
      <c r="B367" t="s">
        <v>2810</v>
      </c>
      <c r="C367" s="3" t="s">
        <v>12</v>
      </c>
      <c r="D367" s="3" t="s">
        <v>12</v>
      </c>
      <c r="E367" s="5" t="s">
        <v>14</v>
      </c>
      <c r="F367" s="3" t="s">
        <v>12</v>
      </c>
      <c r="G367" s="3" t="s">
        <v>12</v>
      </c>
      <c r="H367" s="3" t="s">
        <v>12</v>
      </c>
      <c r="I367" s="3" t="s">
        <v>12</v>
      </c>
      <c r="P367" s="1329">
        <v>30</v>
      </c>
      <c r="Q367" s="1837">
        <v>6</v>
      </c>
      <c r="R367" s="1837" t="str">
        <v>Route Info</v>
      </c>
      <c r="S367" s="1837" t="str">
        <v>Detour</v>
      </c>
      <c r="T367" s="1837" t="str">
        <v>Route Info</v>
      </c>
      <c r="U367" s="1837" t="str">
        <v>Road Block</v>
      </c>
      <c r="V367" s="1837" t="str">
        <v>Route Info</v>
      </c>
      <c r="W367" s="1837" t="str">
        <v/>
      </c>
      <c r="X367" s="1837" t="str">
        <v/>
      </c>
      <c r="Y367" s="1837" t="str">
        <v/>
      </c>
      <c r="Z367" s="1837" t="str">
        <v/>
      </c>
      <c r="AA367" s="1837" t="str">
        <v/>
      </c>
      <c r="AB367" s="1837" t="str">
        <v/>
      </c>
      <c r="AC367" s="1837" t="str">
        <v/>
      </c>
      <c r="AD367" s="1837" t="str">
        <v/>
      </c>
      <c r="AE367" s="1837" t="str">
        <v>Czech Republic</v>
      </c>
      <c r="AF367" s="1837" t="str">
        <v>Central Europe</v>
      </c>
      <c r="AG367" s="1837" t="str">
        <v>Yes</v>
      </c>
      <c r="AH367" s="1837" t="str">
        <v>Double U-Turn</v>
      </c>
      <c r="AI367" s="1837">
        <v>2</v>
      </c>
      <c r="AJ367" s="1110" t="str">
        <v>Kristi &amp; Jen</v>
      </c>
    </row>
    <row r="368" spans="1:36" ht="16.5" thickBot="1">
      <c r="A368">
        <v>31</v>
      </c>
      <c r="B368">
        <v>1</v>
      </c>
      <c r="C368" s="3" t="s">
        <v>12</v>
      </c>
      <c r="D368" s="3" t="s">
        <v>12</v>
      </c>
      <c r="E368" s="3" t="s">
        <v>12</v>
      </c>
      <c r="F368" s="3" t="s">
        <v>12</v>
      </c>
      <c r="G368" s="3" t="s">
        <v>12</v>
      </c>
      <c r="H368" s="5" t="s">
        <v>14</v>
      </c>
      <c r="I368" s="3" t="s">
        <v>12</v>
      </c>
      <c r="J368" s="5" t="s">
        <v>14</v>
      </c>
      <c r="K368" s="3" t="s">
        <v>12</v>
      </c>
      <c r="P368" s="1329">
        <v>30</v>
      </c>
      <c r="Q368" s="1837">
        <v>7</v>
      </c>
      <c r="R368" s="1837" t="str">
        <v>Route Info</v>
      </c>
      <c r="S368" s="1837" t="str">
        <v>Route Info</v>
      </c>
      <c r="T368" s="1837" t="str">
        <v>Route Info</v>
      </c>
      <c r="U368" s="1837" t="str">
        <v>Detour</v>
      </c>
      <c r="V368" s="1837" t="str">
        <v>Route Info</v>
      </c>
      <c r="W368" s="1837" t="str">
        <v/>
      </c>
      <c r="X368" s="1837" t="str">
        <v/>
      </c>
      <c r="Y368" s="1837" t="str">
        <v/>
      </c>
      <c r="Z368" s="1837" t="str">
        <v/>
      </c>
      <c r="AA368" s="1837" t="str">
        <v/>
      </c>
      <c r="AB368" s="1837" t="str">
        <v/>
      </c>
      <c r="AC368" s="1837" t="str">
        <v/>
      </c>
      <c r="AD368" s="1837" t="str">
        <v/>
      </c>
      <c r="AE368" s="1837" t="str">
        <v>Zimbabwe</v>
      </c>
      <c r="AF368" s="1837" t="str">
        <v>Southern Africa</v>
      </c>
      <c r="AG368" s="1837" t="str">
        <v>No</v>
      </c>
      <c r="AH368" s="1837" t="str">
        <v xml:space="preserve">Partner Swap </v>
      </c>
      <c r="AI368" s="1837" t="str">
        <v>2 thru 5</v>
      </c>
      <c r="AJ368" s="1110" t="str">
        <v>Alex &amp; Conor\nLucas &amp; Brittany</v>
      </c>
    </row>
    <row r="369" spans="1:36" ht="16.5" thickBot="1">
      <c r="A369">
        <v>31</v>
      </c>
      <c r="B369">
        <v>2</v>
      </c>
      <c r="C369" s="3" t="s">
        <v>12</v>
      </c>
      <c r="D369" s="3" t="s">
        <v>12</v>
      </c>
      <c r="E369" s="3" t="s">
        <v>12</v>
      </c>
      <c r="F369" s="793" t="s">
        <v>13</v>
      </c>
      <c r="G369" s="3" t="s">
        <v>12</v>
      </c>
      <c r="H369" s="5" t="s">
        <v>14</v>
      </c>
      <c r="I369" s="3" t="s">
        <v>12</v>
      </c>
      <c r="P369" s="1329">
        <v>30</v>
      </c>
      <c r="Q369" s="1837">
        <v>8</v>
      </c>
      <c r="R369" s="1837" t="str">
        <v>Route Info</v>
      </c>
      <c r="S369" s="1837" t="str">
        <v>Detour</v>
      </c>
      <c r="T369" s="1837" t="str">
        <v>Route Info</v>
      </c>
      <c r="U369" s="1837" t="str">
        <v>Route Info</v>
      </c>
      <c r="V369" s="1837" t="str">
        <v>Route Info</v>
      </c>
      <c r="W369" s="1837" t="str">
        <v/>
      </c>
      <c r="X369" s="1837" t="str">
        <v/>
      </c>
      <c r="Y369" s="1837" t="str">
        <v/>
      </c>
      <c r="Z369" s="1837" t="str">
        <v/>
      </c>
      <c r="AA369" s="1837" t="str">
        <v/>
      </c>
      <c r="AB369" s="1837" t="str">
        <v/>
      </c>
      <c r="AC369" s="1837" t="str">
        <v/>
      </c>
      <c r="AD369" s="1837" t="str">
        <v/>
      </c>
      <c r="AE369" s="1837" t="str">
        <v>Zimbabwe</v>
      </c>
      <c r="AF369" s="1837" t="str">
        <v>Southern Africa</v>
      </c>
      <c r="AG369" s="1837" t="str">
        <v>Yes</v>
      </c>
      <c r="AH369" s="1837" t="str">
        <v>Double U-Turn</v>
      </c>
      <c r="AI369" s="1837">
        <v>2</v>
      </c>
      <c r="AJ369" s="1110" t="str">
        <v>Lucas &amp; Brittany</v>
      </c>
    </row>
    <row r="370" spans="1:36" ht="16.5" thickBot="1">
      <c r="A370">
        <v>31</v>
      </c>
      <c r="B370">
        <v>3</v>
      </c>
      <c r="C370" s="3" t="s">
        <v>12</v>
      </c>
      <c r="D370" s="4" t="s">
        <v>13</v>
      </c>
      <c r="E370" s="5" t="s">
        <v>14</v>
      </c>
      <c r="F370" s="3" t="s">
        <v>12</v>
      </c>
      <c r="H370" s="12"/>
      <c r="P370" s="1329">
        <v>30</v>
      </c>
      <c r="Q370" s="1837">
        <v>9</v>
      </c>
      <c r="R370" s="1837" t="str">
        <v>Route Info</v>
      </c>
      <c r="S370" s="1837" t="str">
        <v>Route Info</v>
      </c>
      <c r="T370" s="1837" t="str">
        <v>Route Info</v>
      </c>
      <c r="U370" s="1837" t="str">
        <v>Route Info</v>
      </c>
      <c r="V370" s="1837" t="str">
        <v>Route Info</v>
      </c>
      <c r="W370" s="1837" t="str">
        <v>Route Info</v>
      </c>
      <c r="X370" s="1837" t="str">
        <v>Route Info</v>
      </c>
      <c r="Y370" s="1837" t="str">
        <v>Route Info</v>
      </c>
      <c r="Z370" s="1837" t="str">
        <v>Route Info</v>
      </c>
      <c r="AA370" s="1837" t="str">
        <v/>
      </c>
      <c r="AB370" s="1837" t="str">
        <v/>
      </c>
      <c r="AC370" s="1837" t="str">
        <v/>
      </c>
      <c r="AD370" s="1837" t="str">
        <v/>
      </c>
      <c r="AE370" s="1837" t="str">
        <v>Bahrain</v>
      </c>
      <c r="AF370" s="1837" t="str">
        <v>Middle East</v>
      </c>
      <c r="AG370" s="1837" t="str">
        <v>Yes</v>
      </c>
      <c r="AH370" s="1837" t="str">
        <v/>
      </c>
      <c r="AI370" s="1837" t="str">
        <v/>
      </c>
      <c r="AJ370" s="1110" t="str">
        <v>Alex &amp; Conor</v>
      </c>
    </row>
    <row r="371" spans="1:36" ht="16.5" thickBot="1">
      <c r="A371">
        <v>31</v>
      </c>
      <c r="B371">
        <v>4</v>
      </c>
      <c r="C371" s="3" t="s">
        <v>12</v>
      </c>
      <c r="D371" s="29" t="s">
        <v>49</v>
      </c>
      <c r="E371" s="3" t="s">
        <v>12</v>
      </c>
      <c r="F371" s="5" t="s">
        <v>14</v>
      </c>
      <c r="G371" s="3" t="s">
        <v>12</v>
      </c>
      <c r="H371" s="4" t="s">
        <v>13</v>
      </c>
      <c r="I371" s="812" t="s">
        <v>12</v>
      </c>
      <c r="P371" s="1329">
        <v>30</v>
      </c>
      <c r="Q371" s="1837">
        <v>10</v>
      </c>
      <c r="R371" s="1837" t="str">
        <v>Route Info</v>
      </c>
      <c r="S371" s="1837" t="str">
        <v>Detour</v>
      </c>
      <c r="T371" s="1837" t="str">
        <v>Route Info</v>
      </c>
      <c r="U371" s="1837" t="str">
        <v>Road Block</v>
      </c>
      <c r="V371" s="1837" t="str">
        <v>Route Info</v>
      </c>
      <c r="W371" s="1837" t="str">
        <v/>
      </c>
      <c r="X371" s="1837" t="str">
        <v/>
      </c>
      <c r="Y371" s="1837" t="str">
        <v/>
      </c>
      <c r="Z371" s="1837" t="str">
        <v/>
      </c>
      <c r="AA371" s="1837" t="str">
        <v/>
      </c>
      <c r="AB371" s="1837" t="str">
        <v/>
      </c>
      <c r="AC371" s="1837" t="str">
        <v/>
      </c>
      <c r="AD371" s="1837" t="str">
        <v/>
      </c>
      <c r="AE371" s="1837" t="str">
        <v>Thailand</v>
      </c>
      <c r="AF371" s="1837" t="str">
        <v>South East Asia</v>
      </c>
      <c r="AG371" s="1837" t="str">
        <v>No</v>
      </c>
      <c r="AH371" s="1837" t="str">
        <v/>
      </c>
      <c r="AI371" s="1837" t="str">
        <v/>
      </c>
      <c r="AJ371" s="1110" t="str">
        <v>Alex &amp; Conor</v>
      </c>
    </row>
    <row r="372" spans="1:36" ht="16.5" thickBot="1">
      <c r="A372">
        <v>31</v>
      </c>
      <c r="B372">
        <v>5</v>
      </c>
      <c r="C372" s="3" t="s">
        <v>12</v>
      </c>
      <c r="D372" s="3" t="s">
        <v>12</v>
      </c>
      <c r="E372" s="4" t="s">
        <v>13</v>
      </c>
      <c r="F372" s="3" t="s">
        <v>12</v>
      </c>
      <c r="G372" s="5" t="s">
        <v>14</v>
      </c>
      <c r="H372" s="3" t="s">
        <v>12</v>
      </c>
      <c r="P372" s="1329">
        <v>30</v>
      </c>
      <c r="Q372" s="1837">
        <v>11</v>
      </c>
      <c r="R372" s="1837" t="str">
        <v>Route Info</v>
      </c>
      <c r="S372" s="1837" t="str">
        <v>Speed Bump</v>
      </c>
      <c r="T372" s="1837" t="str">
        <v>Route Info</v>
      </c>
      <c r="U372" s="1837" t="str">
        <v>Detour</v>
      </c>
      <c r="V372" s="1837" t="str">
        <v>Route Info</v>
      </c>
      <c r="W372" s="1837" t="str">
        <v>Road Block</v>
      </c>
      <c r="X372" s="1837" t="str">
        <v>Route Info</v>
      </c>
      <c r="Y372" s="1837" t="str">
        <v>Route Info</v>
      </c>
      <c r="Z372" s="1837" t="str">
        <v/>
      </c>
      <c r="AA372" s="1837" t="str">
        <v/>
      </c>
      <c r="AB372" s="1837" t="str">
        <v/>
      </c>
      <c r="AC372" s="1837" t="str">
        <v/>
      </c>
      <c r="AD372" s="1837" t="str">
        <v/>
      </c>
      <c r="AE372" s="1837" t="str">
        <v>China</v>
      </c>
      <c r="AF372" s="1837" t="str">
        <v>East Asia</v>
      </c>
      <c r="AG372" s="1837" t="str">
        <v>Yes</v>
      </c>
      <c r="AH372" s="1837" t="str">
        <v/>
      </c>
      <c r="AI372" s="1837" t="str">
        <v/>
      </c>
      <c r="AJ372" s="1110" t="str">
        <v>Henry &amp; Evan</v>
      </c>
    </row>
    <row r="373" spans="1:36" ht="16.5" thickBot="1">
      <c r="A373">
        <v>31</v>
      </c>
      <c r="B373">
        <v>6</v>
      </c>
      <c r="C373" s="3" t="s">
        <v>12</v>
      </c>
      <c r="D373" s="3" t="s">
        <v>12</v>
      </c>
      <c r="E373" s="3" t="s">
        <v>12</v>
      </c>
      <c r="F373" s="29" t="s">
        <v>49</v>
      </c>
      <c r="G373" s="5" t="s">
        <v>14</v>
      </c>
      <c r="H373" s="3" t="s">
        <v>12</v>
      </c>
      <c r="I373" s="4" t="s">
        <v>13</v>
      </c>
      <c r="J373" s="812" t="s">
        <v>12</v>
      </c>
      <c r="P373" s="1329">
        <v>30</v>
      </c>
      <c r="Q373" s="1837" t="str">
        <v>Final</v>
      </c>
      <c r="R373" s="1837" t="str">
        <v>Route Info</v>
      </c>
      <c r="S373" s="1837" t="str">
        <v>Route Info</v>
      </c>
      <c r="T373" s="1837" t="str">
        <v>Road Block</v>
      </c>
      <c r="U373" s="1837" t="str">
        <v>Route Info</v>
      </c>
      <c r="V373" s="1837" t="str">
        <v>Route Info</v>
      </c>
      <c r="W373" s="1837" t="str">
        <v>Route Info</v>
      </c>
      <c r="X373" s="1837" t="str">
        <v>Route Info</v>
      </c>
      <c r="Y373" s="1837" t="str">
        <v/>
      </c>
      <c r="Z373" s="1837" t="str">
        <v/>
      </c>
      <c r="AA373" s="1837" t="str">
        <v/>
      </c>
      <c r="AB373" s="1837" t="str">
        <v/>
      </c>
      <c r="AC373" s="1837" t="str">
        <v/>
      </c>
      <c r="AD373" s="1837" t="str">
        <v/>
      </c>
      <c r="AE373" s="1837" t="str">
        <v>USA</v>
      </c>
      <c r="AF373" s="1837" t="str">
        <v>North America</v>
      </c>
      <c r="AG373" s="1837" t="str">
        <v>Final Leg</v>
      </c>
      <c r="AH373" s="1837" t="str">
        <v/>
      </c>
      <c r="AI373" s="1837" t="str">
        <v/>
      </c>
      <c r="AJ373" s="1110" t="str">
        <v>Cody &amp; Jessica</v>
      </c>
    </row>
    <row r="374" spans="1:36" ht="16.5" thickBot="1">
      <c r="A374">
        <v>31</v>
      </c>
      <c r="B374">
        <v>7</v>
      </c>
      <c r="C374" s="3" t="s">
        <v>12</v>
      </c>
      <c r="D374" s="5" t="s">
        <v>14</v>
      </c>
      <c r="E374" s="3" t="s">
        <v>12</v>
      </c>
      <c r="F374" s="4" t="s">
        <v>13</v>
      </c>
      <c r="G374" s="3" t="s">
        <v>12</v>
      </c>
      <c r="P374" s="1329">
        <v>31</v>
      </c>
      <c r="Q374" s="1837">
        <v>1</v>
      </c>
      <c r="R374" s="1837" t="str">
        <v>Route Info</v>
      </c>
      <c r="S374" s="1837" t="str">
        <v>Route Info</v>
      </c>
      <c r="T374" s="1837" t="str">
        <v>Route Info</v>
      </c>
      <c r="U374" s="1837" t="str">
        <v>Route Info</v>
      </c>
      <c r="V374" s="1837" t="str">
        <v>Route Info</v>
      </c>
      <c r="W374" s="1837" t="str">
        <v>Road Block</v>
      </c>
      <c r="X374" s="1837" t="str">
        <v>Route Info</v>
      </c>
      <c r="Y374" s="1837" t="str">
        <v>Road Block</v>
      </c>
      <c r="Z374" s="1837" t="str">
        <v>Route Info</v>
      </c>
      <c r="AA374" s="1837" t="str">
        <v/>
      </c>
      <c r="AB374" s="1837" t="str">
        <v/>
      </c>
      <c r="AC374" s="1837" t="str">
        <v/>
      </c>
      <c r="AD374" s="1837" t="str">
        <v/>
      </c>
      <c r="AE374" s="1837" t="str">
        <v>Japan</v>
      </c>
      <c r="AF374" s="1837" t="str">
        <v>East Asia</v>
      </c>
      <c r="AG374" s="1837" t="str">
        <v>Yes</v>
      </c>
      <c r="AH374" s="1837" t="str">
        <v/>
      </c>
      <c r="AI374" s="1837" t="str">
        <v/>
      </c>
      <c r="AJ374" s="1110" t="str">
        <v>Leo &amp; Jamal</v>
      </c>
    </row>
    <row r="375" spans="1:36" ht="16.5" thickBot="1">
      <c r="A375">
        <v>31</v>
      </c>
      <c r="B375">
        <v>8</v>
      </c>
      <c r="C375" s="3" t="s">
        <v>12</v>
      </c>
      <c r="D375" s="29" t="s">
        <v>49</v>
      </c>
      <c r="E375" s="793" t="s">
        <v>13</v>
      </c>
      <c r="F375" s="3" t="s">
        <v>12</v>
      </c>
      <c r="G375" s="5" t="s">
        <v>14</v>
      </c>
      <c r="H375" s="3" t="s">
        <v>12</v>
      </c>
      <c r="P375" s="1329">
        <v>31</v>
      </c>
      <c r="Q375" s="1837">
        <v>2</v>
      </c>
      <c r="R375" s="1837" t="str">
        <v>Route Info</v>
      </c>
      <c r="S375" s="1837" t="str">
        <v>Route Info</v>
      </c>
      <c r="T375" s="1837" t="str">
        <v>Route Info</v>
      </c>
      <c r="U375" s="1837" t="str">
        <v>Detour</v>
      </c>
      <c r="V375" s="1837" t="str">
        <v>Route Info</v>
      </c>
      <c r="W375" s="1837" t="str">
        <v>Road Block</v>
      </c>
      <c r="X375" s="1837" t="str">
        <v>Route Info</v>
      </c>
      <c r="Y375" s="1837" t="str">
        <v/>
      </c>
      <c r="Z375" s="1837" t="str">
        <v/>
      </c>
      <c r="AA375" s="1837" t="str">
        <v/>
      </c>
      <c r="AB375" s="1837" t="str">
        <v/>
      </c>
      <c r="AC375" s="1837" t="str">
        <v/>
      </c>
      <c r="AD375" s="1837" t="str">
        <v/>
      </c>
      <c r="AE375" s="1837" t="str">
        <v>Laos</v>
      </c>
      <c r="AF375" s="1837" t="str">
        <v>South East Asia</v>
      </c>
      <c r="AG375" s="1837" t="str">
        <v>Yes</v>
      </c>
      <c r="AH375" s="1837" t="str">
        <v>Double U-Turn</v>
      </c>
      <c r="AI375" s="1837">
        <v>4</v>
      </c>
      <c r="AJ375" s="1110" t="str">
        <v>Leo &amp; Jamal</v>
      </c>
    </row>
    <row r="376" spans="1:36" ht="16.5" thickBot="1">
      <c r="A376">
        <v>31</v>
      </c>
      <c r="B376">
        <v>9</v>
      </c>
      <c r="C376" s="3" t="s">
        <v>12</v>
      </c>
      <c r="D376" s="3" t="s">
        <v>12</v>
      </c>
      <c r="E376" s="3" t="s">
        <v>12</v>
      </c>
      <c r="F376" s="4" t="s">
        <v>13</v>
      </c>
      <c r="G376" s="3" t="s">
        <v>12</v>
      </c>
      <c r="H376" s="5" t="s">
        <v>14</v>
      </c>
      <c r="I376" s="3" t="s">
        <v>12</v>
      </c>
      <c r="P376" s="1329">
        <v>31</v>
      </c>
      <c r="Q376" s="1837">
        <v>3</v>
      </c>
      <c r="R376" s="1837" t="str">
        <v>Route Info</v>
      </c>
      <c r="S376" s="1837" t="str">
        <v>Detour</v>
      </c>
      <c r="T376" s="1837" t="str">
        <v>Road Block</v>
      </c>
      <c r="U376" s="1837" t="str">
        <v>Route Info</v>
      </c>
      <c r="V376" s="1837" t="str">
        <v/>
      </c>
      <c r="W376" s="1837" t="str">
        <v/>
      </c>
      <c r="X376" s="1837" t="str">
        <v/>
      </c>
      <c r="Y376" s="1837" t="str">
        <v/>
      </c>
      <c r="Z376" s="1837" t="str">
        <v/>
      </c>
      <c r="AA376" s="1837" t="str">
        <v/>
      </c>
      <c r="AB376" s="1837" t="str">
        <v/>
      </c>
      <c r="AC376" s="1837" t="str">
        <v/>
      </c>
      <c r="AD376" s="1837" t="str">
        <v/>
      </c>
      <c r="AE376" s="1837" t="str">
        <v>Vietnam</v>
      </c>
      <c r="AF376" s="1837" t="str">
        <v>South East Asia</v>
      </c>
      <c r="AG376" s="1837" t="str">
        <v>No</v>
      </c>
      <c r="AH376" s="1837" t="str">
        <v/>
      </c>
      <c r="AI376" s="1837" t="str">
        <v/>
      </c>
      <c r="AJ376" s="1110" t="str">
        <v>Becca &amp; Floyd</v>
      </c>
    </row>
    <row r="377" spans="1:36" ht="16.5" thickBot="1">
      <c r="A377">
        <v>31</v>
      </c>
      <c r="B377">
        <v>10</v>
      </c>
      <c r="C377" s="3" t="s">
        <v>12</v>
      </c>
      <c r="D377" s="3" t="s">
        <v>12</v>
      </c>
      <c r="E377" s="4" t="s">
        <v>13</v>
      </c>
      <c r="F377" s="614" t="s">
        <v>12</v>
      </c>
      <c r="G377" s="3" t="s">
        <v>12</v>
      </c>
      <c r="P377" s="1329">
        <v>31</v>
      </c>
      <c r="Q377" s="1837">
        <v>4</v>
      </c>
      <c r="R377" s="1837" t="str">
        <v>Route Info</v>
      </c>
      <c r="S377" s="1837" t="str">
        <v>Speed Bump</v>
      </c>
      <c r="T377" s="1837" t="str">
        <v>Route Info</v>
      </c>
      <c r="U377" s="1837" t="str">
        <v>Road Block</v>
      </c>
      <c r="V377" s="1837" t="str">
        <v>Route Info</v>
      </c>
      <c r="W377" s="1837" t="str">
        <v>Detour</v>
      </c>
      <c r="X377" s="1837" t="str">
        <v>Route Info</v>
      </c>
      <c r="Y377" s="1837" t="str">
        <v/>
      </c>
      <c r="Z377" s="1837" t="str">
        <v/>
      </c>
      <c r="AA377" s="1837" t="str">
        <v/>
      </c>
      <c r="AB377" s="1837" t="str">
        <v/>
      </c>
      <c r="AC377" s="1837" t="str">
        <v/>
      </c>
      <c r="AD377" s="1837" t="str">
        <v/>
      </c>
      <c r="AE377" s="1837" t="str">
        <v>Vietnam</v>
      </c>
      <c r="AF377" s="1837" t="str">
        <v>South East Asia</v>
      </c>
      <c r="AG377" s="1837" t="str">
        <v>Yes</v>
      </c>
      <c r="AH377" s="1837" t="str">
        <v>Head-to-Head</v>
      </c>
      <c r="AI377" s="1837">
        <v>7</v>
      </c>
      <c r="AJ377" s="1110" t="str">
        <v>Colin &amp; Christie</v>
      </c>
    </row>
    <row r="378" spans="1:36">
      <c r="A378">
        <v>31</v>
      </c>
      <c r="B378">
        <v>11</v>
      </c>
      <c r="C378" s="3" t="s">
        <v>12</v>
      </c>
      <c r="D378" s="3" t="s">
        <v>12</v>
      </c>
      <c r="E378" s="5" t="s">
        <v>14</v>
      </c>
      <c r="F378" s="3" t="s">
        <v>12</v>
      </c>
      <c r="G378" s="3" t="s">
        <v>12</v>
      </c>
      <c r="H378" s="4" t="s">
        <v>13</v>
      </c>
      <c r="I378" s="3" t="s">
        <v>12</v>
      </c>
      <c r="P378" s="1329">
        <v>31</v>
      </c>
      <c r="Q378" s="1837">
        <v>5</v>
      </c>
      <c r="R378" s="1837" t="str">
        <v>Route Info</v>
      </c>
      <c r="S378" s="1837" t="str">
        <v>Route Info</v>
      </c>
      <c r="T378" s="1837" t="str">
        <v>Detour</v>
      </c>
      <c r="U378" s="1837" t="str">
        <v>Route Info</v>
      </c>
      <c r="V378" s="1837" t="str">
        <v>Road Block</v>
      </c>
      <c r="W378" s="1837" t="str">
        <v>Route Info</v>
      </c>
      <c r="X378" s="1837" t="str">
        <v/>
      </c>
      <c r="Y378" s="1837" t="str">
        <v/>
      </c>
      <c r="Z378" s="1837" t="str">
        <v/>
      </c>
      <c r="AA378" s="1837" t="str">
        <v/>
      </c>
      <c r="AB378" s="1837" t="str">
        <v/>
      </c>
      <c r="AC378" s="1837" t="str">
        <v/>
      </c>
      <c r="AD378" s="1837" t="str">
        <v/>
      </c>
      <c r="AE378" s="1837" t="str">
        <v>UAE</v>
      </c>
      <c r="AF378" s="1837" t="str">
        <v>Middle East</v>
      </c>
      <c r="AG378" s="1837" t="str">
        <v>No</v>
      </c>
      <c r="AH378" s="1837" t="str">
        <v/>
      </c>
      <c r="AI378" s="1837" t="str">
        <v/>
      </c>
      <c r="AJ378" s="1110" t="str">
        <v>Becca &amp; Floyd</v>
      </c>
    </row>
    <row r="379" spans="1:36">
      <c r="A379">
        <v>31</v>
      </c>
      <c r="B379" t="s">
        <v>2810</v>
      </c>
      <c r="C379" s="3" t="s">
        <v>12</v>
      </c>
      <c r="D379" s="5" t="s">
        <v>14</v>
      </c>
      <c r="E379" s="3" t="s">
        <v>12</v>
      </c>
      <c r="F379" s="3" t="s">
        <v>12</v>
      </c>
      <c r="G379" s="3" t="s">
        <v>12</v>
      </c>
      <c r="H379" s="3" t="s">
        <v>12</v>
      </c>
      <c r="I379" s="3" t="s">
        <v>12</v>
      </c>
      <c r="P379" s="1329">
        <v>31</v>
      </c>
      <c r="Q379" s="1837">
        <v>6</v>
      </c>
      <c r="R379" s="1837" t="str">
        <v>Route Info</v>
      </c>
      <c r="S379" s="1837" t="str">
        <v>Route Info</v>
      </c>
      <c r="T379" s="1837" t="str">
        <v>Route Info</v>
      </c>
      <c r="U379" s="1837" t="str">
        <v>Speed Bump</v>
      </c>
      <c r="V379" s="1837" t="str">
        <v>Road Block</v>
      </c>
      <c r="W379" s="1837" t="str">
        <v>Route Info</v>
      </c>
      <c r="X379" s="1837" t="str">
        <v>Detour</v>
      </c>
      <c r="Y379" s="1837" t="str">
        <v>Route Info</v>
      </c>
      <c r="Z379" s="1837" t="str">
        <v/>
      </c>
      <c r="AA379" s="1837" t="str">
        <v/>
      </c>
      <c r="AB379" s="1837" t="str">
        <v/>
      </c>
      <c r="AC379" s="1837" t="str">
        <v/>
      </c>
      <c r="AD379" s="1837" t="str">
        <v/>
      </c>
      <c r="AE379" s="1837" t="str">
        <v>Uganda</v>
      </c>
      <c r="AF379" s="1837" t="str">
        <v>East Africa</v>
      </c>
      <c r="AG379" s="1837" t="str">
        <v>Yes</v>
      </c>
      <c r="AH379" s="1837" t="str">
        <v>Head-to-Head</v>
      </c>
      <c r="AI379" s="1837">
        <v>8</v>
      </c>
      <c r="AJ379" s="1110" t="str">
        <v>Tyler &amp; Korey</v>
      </c>
    </row>
    <row r="380" spans="1:36" ht="16.5" thickBot="1">
      <c r="A380">
        <v>32</v>
      </c>
      <c r="B380">
        <v>1</v>
      </c>
      <c r="C380" s="3" t="s">
        <v>12</v>
      </c>
      <c r="D380" s="3" t="s">
        <v>12</v>
      </c>
      <c r="E380" s="3" t="s">
        <v>12</v>
      </c>
      <c r="F380" s="3" t="s">
        <v>12</v>
      </c>
      <c r="G380" s="5" t="s">
        <v>14</v>
      </c>
      <c r="H380" s="3" t="s">
        <v>12</v>
      </c>
      <c r="P380" s="1329">
        <v>31</v>
      </c>
      <c r="Q380" s="1837">
        <v>7</v>
      </c>
      <c r="R380" s="1837" t="str">
        <v>Route Info</v>
      </c>
      <c r="S380" s="1837" t="str">
        <v>Road Block</v>
      </c>
      <c r="T380" s="1837" t="str">
        <v>Route Info</v>
      </c>
      <c r="U380" s="1837" t="str">
        <v>Detour</v>
      </c>
      <c r="V380" s="1837" t="str">
        <v>Route Info</v>
      </c>
      <c r="W380" s="1837" t="str">
        <v/>
      </c>
      <c r="X380" s="1837" t="str">
        <v/>
      </c>
      <c r="Y380" s="1837" t="str">
        <v/>
      </c>
      <c r="Z380" s="1837" t="str">
        <v/>
      </c>
      <c r="AA380" s="1837" t="str">
        <v/>
      </c>
      <c r="AB380" s="1837" t="str">
        <v/>
      </c>
      <c r="AC380" s="1837" t="str">
        <v/>
      </c>
      <c r="AD380" s="1837" t="str">
        <v/>
      </c>
      <c r="AE380" s="1837" t="str">
        <v>Switzerland</v>
      </c>
      <c r="AF380" s="1837" t="str">
        <v>Central Europe</v>
      </c>
      <c r="AG380" s="1837" t="str">
        <v>No</v>
      </c>
      <c r="AH380" s="1837" t="str">
        <v/>
      </c>
      <c r="AI380" s="1837" t="str">
        <v/>
      </c>
      <c r="AJ380" s="1110" t="str">
        <v>Tyler &amp; Korey</v>
      </c>
    </row>
    <row r="381" spans="1:36" ht="16.5" thickBot="1">
      <c r="A381">
        <v>32</v>
      </c>
      <c r="B381">
        <v>2</v>
      </c>
      <c r="C381" s="3" t="s">
        <v>12</v>
      </c>
      <c r="D381" s="3" t="s">
        <v>12</v>
      </c>
      <c r="E381" s="3" t="s">
        <v>12</v>
      </c>
      <c r="F381" s="783" t="s">
        <v>14</v>
      </c>
      <c r="G381" s="3" t="s">
        <v>12</v>
      </c>
      <c r="H381" s="3" t="s">
        <v>12</v>
      </c>
      <c r="I381" s="3" t="s">
        <v>12</v>
      </c>
      <c r="P381" s="1329">
        <v>31</v>
      </c>
      <c r="Q381" s="1837">
        <v>8</v>
      </c>
      <c r="R381" s="1837" t="str">
        <v>Route Info</v>
      </c>
      <c r="S381" s="1837" t="str">
        <v>Speed Bump</v>
      </c>
      <c r="T381" s="1837" t="str">
        <v>Detour</v>
      </c>
      <c r="U381" s="1837" t="str">
        <v>Route Info</v>
      </c>
      <c r="V381" s="1837" t="str">
        <v>Road Block</v>
      </c>
      <c r="W381" s="1837" t="str">
        <v>Route Info</v>
      </c>
      <c r="X381" s="1837" t="str">
        <v/>
      </c>
      <c r="Y381" s="1837" t="str">
        <v/>
      </c>
      <c r="Z381" s="1837" t="str">
        <v/>
      </c>
      <c r="AA381" s="1837" t="str">
        <v/>
      </c>
      <c r="AB381" s="1837" t="str">
        <v/>
      </c>
      <c r="AC381" s="1837" t="str">
        <v/>
      </c>
      <c r="AD381" s="1837" t="str">
        <v/>
      </c>
      <c r="AE381" s="1837" t="str">
        <v>Switzerland</v>
      </c>
      <c r="AF381" s="1837" t="str">
        <v>Central Europe</v>
      </c>
      <c r="AG381" s="1837" t="str">
        <v>Yes</v>
      </c>
      <c r="AH381" s="1837" t="str">
        <v>Double U-Turn</v>
      </c>
      <c r="AI381" s="1837">
        <v>3</v>
      </c>
      <c r="AJ381" s="1110" t="str">
        <v>Tyler &amp; Korey</v>
      </c>
    </row>
    <row r="382" spans="1:36" ht="16.5" thickBot="1">
      <c r="A382">
        <v>32</v>
      </c>
      <c r="B382">
        <v>3</v>
      </c>
      <c r="C382" s="3" t="s">
        <v>12</v>
      </c>
      <c r="D382" s="3" t="s">
        <v>12</v>
      </c>
      <c r="E382" s="4" t="s">
        <v>13</v>
      </c>
      <c r="F382" s="3" t="s">
        <v>12</v>
      </c>
      <c r="G382" s="614" t="s">
        <v>12</v>
      </c>
      <c r="H382" s="12"/>
      <c r="P382" s="1329">
        <v>31</v>
      </c>
      <c r="Q382" s="1837">
        <v>9</v>
      </c>
      <c r="R382" s="1837" t="str">
        <v>Route Info</v>
      </c>
      <c r="S382" s="1837" t="str">
        <v>Route Info</v>
      </c>
      <c r="T382" s="1837" t="str">
        <v>Route Info</v>
      </c>
      <c r="U382" s="1837" t="str">
        <v>Detour</v>
      </c>
      <c r="V382" s="1837" t="str">
        <v>Route Info</v>
      </c>
      <c r="W382" s="1837" t="str">
        <v>Road Block</v>
      </c>
      <c r="X382" s="1837" t="str">
        <v>Route Info</v>
      </c>
      <c r="Y382" s="1837" t="str">
        <v/>
      </c>
      <c r="Z382" s="1837" t="str">
        <v/>
      </c>
      <c r="AA382" s="1837" t="str">
        <v/>
      </c>
      <c r="AB382" s="1837" t="str">
        <v/>
      </c>
      <c r="AC382" s="1837" t="str">
        <v/>
      </c>
      <c r="AD382" s="1837" t="str">
        <v/>
      </c>
      <c r="AE382" s="1837" t="str">
        <v>Croatia</v>
      </c>
      <c r="AF382" s="1837" t="str">
        <v>Southern Europe</v>
      </c>
      <c r="AG382" s="1837" t="str">
        <v>Yes</v>
      </c>
      <c r="AH382" s="1837" t="str">
        <v/>
      </c>
      <c r="AI382" s="1837" t="str">
        <v/>
      </c>
      <c r="AJ382" s="1110" t="str">
        <v>Tyler &amp; Korey</v>
      </c>
    </row>
    <row r="383" spans="1:36" ht="16.5" thickBot="1">
      <c r="A383">
        <v>32</v>
      </c>
      <c r="B383">
        <v>4</v>
      </c>
      <c r="C383" s="3" t="s">
        <v>12</v>
      </c>
      <c r="D383" s="3" t="s">
        <v>12</v>
      </c>
      <c r="E383" s="5" t="s">
        <v>14</v>
      </c>
      <c r="F383" s="3" t="s">
        <v>12</v>
      </c>
      <c r="G383" s="782" t="s">
        <v>12</v>
      </c>
      <c r="H383" s="4" t="s">
        <v>13</v>
      </c>
      <c r="I383" s="3" t="s">
        <v>12</v>
      </c>
      <c r="P383" s="1329">
        <v>31</v>
      </c>
      <c r="Q383" s="1837">
        <v>10</v>
      </c>
      <c r="R383" s="1837" t="str">
        <v>Route Info</v>
      </c>
      <c r="S383" s="1837" t="str">
        <v>Route Info</v>
      </c>
      <c r="T383" s="1837" t="str">
        <v>Detour</v>
      </c>
      <c r="U383" s="1837" t="str">
        <v>Route Info</v>
      </c>
      <c r="V383" s="1837" t="str">
        <v>Route Info</v>
      </c>
      <c r="W383" s="1837" t="str">
        <v/>
      </c>
      <c r="X383" s="1837" t="str">
        <v/>
      </c>
      <c r="Y383" s="1837" t="str">
        <v/>
      </c>
      <c r="Z383" s="1837" t="str">
        <v/>
      </c>
      <c r="AA383" s="1837" t="str">
        <v/>
      </c>
      <c r="AB383" s="1837" t="str">
        <v/>
      </c>
      <c r="AC383" s="1837" t="str">
        <v/>
      </c>
      <c r="AD383" s="1837" t="str">
        <v/>
      </c>
      <c r="AE383" s="1837" t="str">
        <v>Netherlands</v>
      </c>
      <c r="AF383" s="1837" t="str">
        <v>Central Europe</v>
      </c>
      <c r="AG383" s="1837" t="str">
        <v>Yes</v>
      </c>
      <c r="AH383" s="1837" t="str">
        <v>Double U-Turn</v>
      </c>
      <c r="AI383" s="1837">
        <v>4</v>
      </c>
      <c r="AJ383" s="1110" t="str">
        <v>Colin &amp; Christie</v>
      </c>
    </row>
    <row r="384" spans="1:36" ht="16.5" thickBot="1">
      <c r="A384">
        <v>32</v>
      </c>
      <c r="B384">
        <v>5</v>
      </c>
      <c r="C384" s="3" t="s">
        <v>12</v>
      </c>
      <c r="D384" s="29" t="s">
        <v>49</v>
      </c>
      <c r="E384" s="5" t="s">
        <v>14</v>
      </c>
      <c r="F384" s="3" t="s">
        <v>12</v>
      </c>
      <c r="G384" s="3" t="s">
        <v>12</v>
      </c>
      <c r="H384" s="783" t="s">
        <v>14</v>
      </c>
      <c r="I384" s="3" t="s">
        <v>12</v>
      </c>
      <c r="P384" s="1329">
        <v>31</v>
      </c>
      <c r="Q384" s="1837">
        <v>11</v>
      </c>
      <c r="R384" s="1837" t="str">
        <v>Route Info</v>
      </c>
      <c r="S384" s="1837" t="str">
        <v>Route Info</v>
      </c>
      <c r="T384" s="1837" t="str">
        <v>Road Block</v>
      </c>
      <c r="U384" s="1837" t="str">
        <v>Route Info</v>
      </c>
      <c r="V384" s="1837" t="str">
        <v>Route Info</v>
      </c>
      <c r="W384" s="1837" t="str">
        <v>Detour</v>
      </c>
      <c r="X384" s="1837" t="str">
        <v>Route Info</v>
      </c>
      <c r="Y384" s="1837" t="str">
        <v/>
      </c>
      <c r="Z384" s="1837" t="str">
        <v/>
      </c>
      <c r="AA384" s="1837" t="str">
        <v/>
      </c>
      <c r="AB384" s="1837" t="str">
        <v/>
      </c>
      <c r="AC384" s="1837" t="str">
        <v/>
      </c>
      <c r="AD384" s="1837" t="str">
        <v/>
      </c>
      <c r="AE384" s="1837" t="str">
        <v>England</v>
      </c>
      <c r="AF384" s="1837" t="str">
        <v>Western Europe</v>
      </c>
      <c r="AG384" s="1837" t="str">
        <v>Yes</v>
      </c>
      <c r="AH384" s="1837" t="str">
        <v/>
      </c>
      <c r="AI384" s="1837" t="str">
        <v/>
      </c>
      <c r="AJ384" s="1110" t="str">
        <v>Leo &amp; Jamal</v>
      </c>
    </row>
    <row r="385" spans="1:36" ht="16.5" thickBot="1">
      <c r="A385">
        <v>32</v>
      </c>
      <c r="B385">
        <v>6</v>
      </c>
      <c r="C385" s="3" t="s">
        <v>12</v>
      </c>
      <c r="D385" s="3" t="s">
        <v>12</v>
      </c>
      <c r="E385" s="3" t="s">
        <v>12</v>
      </c>
      <c r="F385" s="783" t="s">
        <v>14</v>
      </c>
      <c r="G385" s="4" t="s">
        <v>13</v>
      </c>
      <c r="H385" s="3" t="s">
        <v>12</v>
      </c>
      <c r="P385" s="1329">
        <v>31</v>
      </c>
      <c r="Q385" s="1837" t="str">
        <v>Final</v>
      </c>
      <c r="R385" s="1837" t="str">
        <v>Route Info</v>
      </c>
      <c r="S385" s="1837" t="str">
        <v>Road Block</v>
      </c>
      <c r="T385" s="1837" t="str">
        <v>Route Info</v>
      </c>
      <c r="U385" s="1837" t="str">
        <v>Route Info</v>
      </c>
      <c r="V385" s="1837" t="str">
        <v>Route Info</v>
      </c>
      <c r="W385" s="1837" t="str">
        <v>Route Info</v>
      </c>
      <c r="X385" s="1837" t="str">
        <v>Route Info</v>
      </c>
      <c r="Y385" s="1837" t="str">
        <v/>
      </c>
      <c r="Z385" s="1837" t="str">
        <v/>
      </c>
      <c r="AA385" s="1837" t="str">
        <v/>
      </c>
      <c r="AB385" s="1837" t="str">
        <v/>
      </c>
      <c r="AC385" s="1837" t="str">
        <v/>
      </c>
      <c r="AD385" s="1837" t="str">
        <v/>
      </c>
      <c r="AE385" s="1837" t="str">
        <v>USA</v>
      </c>
      <c r="AF385" s="1837" t="str">
        <v>North America</v>
      </c>
      <c r="AG385" s="1837" t="str">
        <v>Final Leg</v>
      </c>
      <c r="AH385" s="1837" t="str">
        <v/>
      </c>
      <c r="AI385" s="1837" t="str">
        <v/>
      </c>
      <c r="AJ385" s="1110" t="str">
        <v>Colin &amp; Christie</v>
      </c>
    </row>
    <row r="386" spans="1:36" ht="16.5" thickBot="1">
      <c r="A386">
        <v>32</v>
      </c>
      <c r="B386">
        <v>7</v>
      </c>
      <c r="C386" s="3" t="s">
        <v>12</v>
      </c>
      <c r="D386" s="29" t="s">
        <v>49</v>
      </c>
      <c r="E386" s="4" t="s">
        <v>13</v>
      </c>
      <c r="F386" s="782" t="s">
        <v>12</v>
      </c>
      <c r="G386" s="3" t="s">
        <v>12</v>
      </c>
      <c r="H386" s="3" t="s">
        <v>12</v>
      </c>
      <c r="I386" s="3" t="s">
        <v>12</v>
      </c>
      <c r="P386" s="1329">
        <v>32</v>
      </c>
      <c r="Q386" s="1837">
        <v>1</v>
      </c>
      <c r="R386" s="1837" t="str">
        <v>Route Info</v>
      </c>
      <c r="S386" s="1837" t="str">
        <v>Route Info</v>
      </c>
      <c r="T386" s="1837" t="str">
        <v>Route Info</v>
      </c>
      <c r="U386" s="1837" t="str">
        <v>Route Info</v>
      </c>
      <c r="V386" s="1837" t="str">
        <v>Road Block</v>
      </c>
      <c r="W386" s="1837" t="str">
        <v>Route Info</v>
      </c>
      <c r="X386" s="1837" t="str">
        <v/>
      </c>
      <c r="Y386" s="1837" t="str">
        <v/>
      </c>
      <c r="Z386" s="1837" t="str">
        <v/>
      </c>
      <c r="AA386" s="1837" t="str">
        <v/>
      </c>
      <c r="AB386" s="1837" t="str">
        <v/>
      </c>
      <c r="AC386" s="1837" t="str">
        <v/>
      </c>
      <c r="AD386" s="1837" t="str">
        <v/>
      </c>
      <c r="AE386" s="1837" t="str">
        <v>Trinidad and Tabago</v>
      </c>
      <c r="AF386" s="1837" t="str">
        <v>Caribbean</v>
      </c>
      <c r="AG386" s="1837" t="str">
        <v>Yes</v>
      </c>
      <c r="AH386" s="1837" t="str">
        <v/>
      </c>
      <c r="AI386" s="1837" t="str">
        <v/>
      </c>
      <c r="AJ386" s="1110" t="str">
        <v>Hung &amp; Chee</v>
      </c>
    </row>
    <row r="387" spans="1:36" ht="16.5" thickBot="1">
      <c r="A387">
        <v>32</v>
      </c>
      <c r="B387" s="35">
        <v>8</v>
      </c>
      <c r="C387" s="3" t="s">
        <v>12</v>
      </c>
      <c r="D387" s="3" t="s">
        <v>12</v>
      </c>
      <c r="E387" s="4" t="s">
        <v>13</v>
      </c>
      <c r="F387" s="3" t="s">
        <v>12</v>
      </c>
      <c r="G387" s="783" t="s">
        <v>14</v>
      </c>
      <c r="H387" s="3" t="s">
        <v>12</v>
      </c>
      <c r="I387" s="4" t="s">
        <v>13</v>
      </c>
      <c r="J387" s="3" t="s">
        <v>12</v>
      </c>
      <c r="K387" s="3" t="s">
        <v>12</v>
      </c>
      <c r="L387" s="783" t="s">
        <v>14</v>
      </c>
      <c r="M387" s="3" t="s">
        <v>12</v>
      </c>
      <c r="P387" s="1329">
        <v>32</v>
      </c>
      <c r="Q387" s="1837">
        <v>2</v>
      </c>
      <c r="R387" s="1837" t="str">
        <v>Route Info</v>
      </c>
      <c r="S387" s="1837" t="str">
        <v>Route Info</v>
      </c>
      <c r="T387" s="1837" t="str">
        <v>Route Info</v>
      </c>
      <c r="U387" s="1837" t="str">
        <v>Road Block</v>
      </c>
      <c r="V387" s="1837" t="str">
        <v>Route Info</v>
      </c>
      <c r="W387" s="1837" t="str">
        <v>Route Info</v>
      </c>
      <c r="X387" s="1837" t="str">
        <v>Route Info</v>
      </c>
      <c r="Y387" s="1837" t="str">
        <v/>
      </c>
      <c r="Z387" s="1837" t="str">
        <v/>
      </c>
      <c r="AA387" s="1837" t="str">
        <v/>
      </c>
      <c r="AB387" s="1837" t="str">
        <v/>
      </c>
      <c r="AC387" s="1837" t="str">
        <v/>
      </c>
      <c r="AD387" s="1837" t="str">
        <v/>
      </c>
      <c r="AE387" s="1837" t="str">
        <v>Colombia</v>
      </c>
      <c r="AF387" s="1837" t="str">
        <v>South America</v>
      </c>
      <c r="AG387" s="1837" t="str">
        <v>Yes</v>
      </c>
      <c r="AH387" s="1837" t="str">
        <v>Yield</v>
      </c>
      <c r="AI387" s="1837">
        <v>4</v>
      </c>
      <c r="AJ387" s="1110" t="str">
        <v>Hung &amp; Chee</v>
      </c>
    </row>
    <row r="388" spans="1:36" ht="16.5" thickBot="1">
      <c r="A388">
        <v>32</v>
      </c>
      <c r="B388">
        <v>9</v>
      </c>
      <c r="C388" s="3" t="s">
        <v>12</v>
      </c>
      <c r="D388" s="3" t="s">
        <v>12</v>
      </c>
      <c r="E388" s="3" t="s">
        <v>12</v>
      </c>
      <c r="F388" s="4" t="s">
        <v>13</v>
      </c>
      <c r="G388" s="3" t="s">
        <v>12</v>
      </c>
      <c r="H388" s="614" t="s">
        <v>12</v>
      </c>
      <c r="I388" s="5" t="s">
        <v>14</v>
      </c>
      <c r="J388" s="3" t="s">
        <v>12</v>
      </c>
      <c r="P388" s="1329">
        <v>32</v>
      </c>
      <c r="Q388" s="1837">
        <v>3</v>
      </c>
      <c r="R388" s="1837" t="str">
        <v>Route Info</v>
      </c>
      <c r="S388" s="1837" t="str">
        <v>Route Info</v>
      </c>
      <c r="T388" s="1837" t="str">
        <v>Detour</v>
      </c>
      <c r="U388" s="1837" t="str">
        <v>Route Info</v>
      </c>
      <c r="V388" s="1837" t="str">
        <v>Route Info</v>
      </c>
      <c r="W388" s="1837" t="str">
        <v/>
      </c>
      <c r="X388" s="1837" t="str">
        <v/>
      </c>
      <c r="Y388" s="1837" t="str">
        <v/>
      </c>
      <c r="Z388" s="1837" t="str">
        <v/>
      </c>
      <c r="AA388" s="1837" t="str">
        <v/>
      </c>
      <c r="AB388" s="1837" t="str">
        <v/>
      </c>
      <c r="AC388" s="1837" t="str">
        <v/>
      </c>
      <c r="AD388" s="1837" t="str">
        <v/>
      </c>
      <c r="AE388" s="1837" t="str">
        <v>Brazil</v>
      </c>
      <c r="AF388" s="1837" t="str">
        <v>South America</v>
      </c>
      <c r="AG388" s="1837" t="str">
        <v>Yes</v>
      </c>
      <c r="AH388" s="1837" t="str">
        <v>Double U-Turn</v>
      </c>
      <c r="AI388" s="1837">
        <v>5</v>
      </c>
      <c r="AJ388" s="1110" t="str">
        <v>Will &amp; James</v>
      </c>
    </row>
    <row r="389" spans="1:36">
      <c r="A389">
        <v>32</v>
      </c>
      <c r="B389">
        <v>10</v>
      </c>
      <c r="C389" s="3" t="s">
        <v>12</v>
      </c>
      <c r="D389" s="18" t="s">
        <v>56</v>
      </c>
      <c r="E389" s="18" t="s">
        <v>56</v>
      </c>
      <c r="F389" s="18" t="s">
        <v>56</v>
      </c>
      <c r="G389" s="18" t="s">
        <v>56</v>
      </c>
      <c r="H389" s="18" t="s">
        <v>56</v>
      </c>
      <c r="I389" s="18" t="s">
        <v>56</v>
      </c>
      <c r="J389" s="18" t="s">
        <v>56</v>
      </c>
      <c r="K389" s="18" t="s">
        <v>56</v>
      </c>
      <c r="L389" s="18" t="s">
        <v>56</v>
      </c>
      <c r="P389" s="1329">
        <v>32</v>
      </c>
      <c r="Q389" s="1837">
        <v>4</v>
      </c>
      <c r="R389" s="1837" t="str">
        <v>Route Info</v>
      </c>
      <c r="S389" s="1837" t="str">
        <v>Route Info</v>
      </c>
      <c r="T389" s="1837" t="str">
        <v>Road Block</v>
      </c>
      <c r="U389" s="1837" t="str">
        <v>Route Info</v>
      </c>
      <c r="V389" s="1837" t="str">
        <v>Route Info</v>
      </c>
      <c r="W389" s="1837" t="str">
        <v>Detour</v>
      </c>
      <c r="X389" s="1837" t="str">
        <v>Route Info</v>
      </c>
      <c r="Y389" s="1837" t="str">
        <v/>
      </c>
      <c r="Z389" s="1837" t="str">
        <v/>
      </c>
      <c r="AA389" s="1837" t="str">
        <v/>
      </c>
      <c r="AB389" s="1837" t="str">
        <v/>
      </c>
      <c r="AC389" s="1837" t="str">
        <v/>
      </c>
      <c r="AD389" s="1837" t="str">
        <v/>
      </c>
      <c r="AE389" s="1837" t="str">
        <v>Paraguay</v>
      </c>
      <c r="AF389" s="1837" t="str">
        <v>South America</v>
      </c>
      <c r="AG389" s="1837" t="str">
        <v>No</v>
      </c>
      <c r="AH389" s="1837" t="str">
        <v xml:space="preserve">Yield </v>
      </c>
      <c r="AI389" s="1837">
        <v>3</v>
      </c>
      <c r="AJ389" s="1110" t="str">
        <v>Will &amp; James</v>
      </c>
    </row>
    <row r="390" spans="1:36">
      <c r="A390">
        <v>32</v>
      </c>
      <c r="B390" t="s">
        <v>2810</v>
      </c>
      <c r="C390" s="3" t="s">
        <v>12</v>
      </c>
      <c r="D390" s="3" t="s">
        <v>12</v>
      </c>
      <c r="E390" s="5" t="s">
        <v>14</v>
      </c>
      <c r="F390" s="3" t="s">
        <v>12</v>
      </c>
      <c r="G390" s="5" t="s">
        <v>14</v>
      </c>
      <c r="H390" s="3" t="s">
        <v>12</v>
      </c>
      <c r="I390" s="3" t="s">
        <v>12</v>
      </c>
      <c r="J390" s="3" t="s">
        <v>12</v>
      </c>
      <c r="P390" s="1329">
        <v>32</v>
      </c>
      <c r="Q390" s="1837">
        <v>5</v>
      </c>
      <c r="R390" s="1837" t="str">
        <v>Route Info</v>
      </c>
      <c r="S390" s="1837" t="str">
        <v>Speed Bump</v>
      </c>
      <c r="T390" s="1837" t="str">
        <v>Road Block</v>
      </c>
      <c r="U390" s="1837" t="str">
        <v>Route Info</v>
      </c>
      <c r="V390" s="1837" t="str">
        <v>Route Info</v>
      </c>
      <c r="W390" s="1837" t="str">
        <v>Road Block</v>
      </c>
      <c r="X390" s="1837" t="str">
        <v>Route Info</v>
      </c>
      <c r="Y390" s="1837" t="str">
        <v/>
      </c>
      <c r="Z390" s="1837" t="str">
        <v/>
      </c>
      <c r="AA390" s="1837" t="str">
        <v/>
      </c>
      <c r="AB390" s="1837" t="str">
        <v/>
      </c>
      <c r="AC390" s="1837" t="str">
        <v/>
      </c>
      <c r="AD390" s="1837" t="str">
        <v/>
      </c>
      <c r="AE390" s="1837" t="str">
        <v>France</v>
      </c>
      <c r="AF390" s="1837" t="str">
        <v>Western Europe</v>
      </c>
      <c r="AG390" s="1837" t="str">
        <v>Yes</v>
      </c>
      <c r="AH390" s="1837" t="str">
        <v>Yield</v>
      </c>
      <c r="AI390" s="1837">
        <v>5</v>
      </c>
      <c r="AJ390" s="1110" t="str">
        <v>Riley &amp; Maddison</v>
      </c>
    </row>
    <row r="391" spans="1:36">
      <c r="A391">
        <v>33</v>
      </c>
      <c r="B391">
        <v>1</v>
      </c>
      <c r="C391" s="3" t="s">
        <v>12</v>
      </c>
      <c r="D391" s="3" t="s">
        <v>12</v>
      </c>
      <c r="E391" s="4" t="s">
        <v>13</v>
      </c>
      <c r="F391" s="3" t="s">
        <v>12</v>
      </c>
      <c r="G391" s="3" t="s">
        <v>12</v>
      </c>
      <c r="P391" s="1329">
        <v>32</v>
      </c>
      <c r="Q391" s="1837">
        <v>6</v>
      </c>
      <c r="R391" s="1837" t="str">
        <v>Route Info</v>
      </c>
      <c r="S391" s="1837" t="str">
        <v>Route Info</v>
      </c>
      <c r="T391" s="1837" t="str">
        <v>Route Info</v>
      </c>
      <c r="U391" s="1837" t="str">
        <v>Road Block</v>
      </c>
      <c r="V391" s="1837" t="str">
        <v>Detour</v>
      </c>
      <c r="W391" s="1837" t="str">
        <v>Route Info</v>
      </c>
      <c r="X391" s="1837" t="str">
        <v/>
      </c>
      <c r="Y391" s="1837" t="str">
        <v/>
      </c>
      <c r="Z391" s="1837" t="str">
        <v/>
      </c>
      <c r="AA391" s="1837" t="str">
        <v/>
      </c>
      <c r="AB391" s="1837" t="str">
        <v/>
      </c>
      <c r="AC391" s="1837" t="str">
        <v/>
      </c>
      <c r="AD391" s="1837" t="str">
        <v/>
      </c>
      <c r="AE391" s="1837" t="str">
        <v>Germany</v>
      </c>
      <c r="AF391" s="1837" t="str">
        <v>Central Europe</v>
      </c>
      <c r="AG391" s="1837" t="str">
        <v>No</v>
      </c>
      <c r="AH391" s="1837" t="str">
        <v>Yield</v>
      </c>
      <c r="AI391" s="1837">
        <v>4</v>
      </c>
      <c r="AJ391" s="1110" t="str">
        <v>DeAngelo &amp; Gary</v>
      </c>
    </row>
    <row r="392" spans="1:36">
      <c r="A392">
        <v>33</v>
      </c>
      <c r="B392">
        <v>2</v>
      </c>
      <c r="C392" s="3" t="s">
        <v>12</v>
      </c>
      <c r="D392" s="5" t="s">
        <v>14</v>
      </c>
      <c r="E392" s="3" t="s">
        <v>12</v>
      </c>
      <c r="F392" s="4" t="s">
        <v>13</v>
      </c>
      <c r="G392" s="3" t="s">
        <v>12</v>
      </c>
      <c r="P392" s="1329">
        <v>32</v>
      </c>
      <c r="Q392" s="1837">
        <v>7</v>
      </c>
      <c r="R392" s="1837" t="str">
        <v>Route Info</v>
      </c>
      <c r="S392" s="1837" t="str">
        <v>Speed Bump</v>
      </c>
      <c r="T392" s="1837" t="str">
        <v>Detour</v>
      </c>
      <c r="U392" s="1837" t="str">
        <v>Route Info</v>
      </c>
      <c r="V392" s="1837" t="str">
        <v>Route Info</v>
      </c>
      <c r="W392" s="1837" t="str">
        <v>Route Info</v>
      </c>
      <c r="X392" s="1837" t="str">
        <v>Route Info</v>
      </c>
      <c r="Y392" s="1837" t="str">
        <v/>
      </c>
      <c r="Z392" s="1837" t="str">
        <v/>
      </c>
      <c r="AA392" s="1837" t="str">
        <v/>
      </c>
      <c r="AB392" s="1837" t="str">
        <v/>
      </c>
      <c r="AC392" s="1837" t="str">
        <v/>
      </c>
      <c r="AD392" s="1837" t="str">
        <v/>
      </c>
      <c r="AE392" s="1837" t="str">
        <v>Kazakhstan</v>
      </c>
      <c r="AF392" s="1837" t="str">
        <v>Central Asia</v>
      </c>
      <c r="AG392" s="1837" t="str">
        <v>Yes</v>
      </c>
      <c r="AH392" s="1837" t="str">
        <v xml:space="preserve">Yield </v>
      </c>
      <c r="AI392" s="1837">
        <v>4</v>
      </c>
      <c r="AJ392" s="1110" t="str">
        <v>Will &amp; James</v>
      </c>
    </row>
    <row r="393" spans="1:36">
      <c r="A393">
        <v>33</v>
      </c>
      <c r="B393">
        <v>3</v>
      </c>
      <c r="C393" s="3" t="s">
        <v>12</v>
      </c>
      <c r="D393" s="3" t="s">
        <v>12</v>
      </c>
      <c r="E393" s="5" t="s">
        <v>14</v>
      </c>
      <c r="F393" s="3" t="s">
        <v>12</v>
      </c>
      <c r="G393" s="4" t="s">
        <v>13</v>
      </c>
      <c r="H393" s="3" t="s">
        <v>12</v>
      </c>
      <c r="P393" s="1329">
        <v>32</v>
      </c>
      <c r="Q393" s="1837">
        <v>8</v>
      </c>
      <c r="R393" s="1837" t="str">
        <v>Route Info</v>
      </c>
      <c r="S393" s="1837" t="str">
        <v>Route Info</v>
      </c>
      <c r="T393" s="1837" t="str">
        <v>Detour</v>
      </c>
      <c r="U393" s="1837" t="str">
        <v>Route Info</v>
      </c>
      <c r="V393" s="1837" t="str">
        <v>Road Block</v>
      </c>
      <c r="W393" s="1837" t="str">
        <v>Route Info</v>
      </c>
      <c r="X393" s="1837" t="str">
        <v>Detour</v>
      </c>
      <c r="Y393" s="1837" t="str">
        <v>Route Info</v>
      </c>
      <c r="Z393" s="1837" t="str">
        <v>Route Info</v>
      </c>
      <c r="AA393" s="1837" t="str">
        <v>Road Block</v>
      </c>
      <c r="AB393" s="1837" t="str">
        <v>Route Info</v>
      </c>
      <c r="AC393" s="1837" t="str">
        <v/>
      </c>
      <c r="AD393" s="1837" t="str">
        <v/>
      </c>
      <c r="AE393" s="1837" t="str">
        <v>India</v>
      </c>
      <c r="AF393" s="1837" t="str">
        <v>South Asia</v>
      </c>
      <c r="AG393" s="1837" t="str">
        <v>Yes</v>
      </c>
      <c r="AH393" s="1837" t="str">
        <v>Yield</v>
      </c>
      <c r="AI393" s="1837" t="str">
        <v>5 and 10</v>
      </c>
      <c r="AJ393" s="1110" t="str">
        <v>Riley &amp; Maddison</v>
      </c>
    </row>
    <row r="394" spans="1:36">
      <c r="A394">
        <v>33</v>
      </c>
      <c r="B394">
        <v>4</v>
      </c>
      <c r="C394" s="3" t="s">
        <v>12</v>
      </c>
      <c r="D394" s="3" t="s">
        <v>12</v>
      </c>
      <c r="E394" s="5" t="s">
        <v>14</v>
      </c>
      <c r="F394" s="3" t="s">
        <v>12</v>
      </c>
      <c r="G394" s="4" t="s">
        <v>13</v>
      </c>
      <c r="H394" s="29" t="s">
        <v>49</v>
      </c>
      <c r="I394" s="3" t="s">
        <v>12</v>
      </c>
      <c r="P394" s="1329">
        <v>32</v>
      </c>
      <c r="Q394" s="1837">
        <v>9</v>
      </c>
      <c r="R394" s="1837" t="str">
        <v>Route Info</v>
      </c>
      <c r="S394" s="1837" t="str">
        <v>Route Info</v>
      </c>
      <c r="T394" s="1837" t="str">
        <v>Route Info</v>
      </c>
      <c r="U394" s="1837" t="str">
        <v>Detour</v>
      </c>
      <c r="V394" s="1837" t="str">
        <v>Route Info</v>
      </c>
      <c r="W394" s="1837" t="str">
        <v>Route Info</v>
      </c>
      <c r="X394" s="1837" t="str">
        <v>Road Block</v>
      </c>
      <c r="Y394" s="1837" t="str">
        <v>Route Info</v>
      </c>
      <c r="Z394" s="1837" t="str">
        <v/>
      </c>
      <c r="AA394" s="1837" t="str">
        <v/>
      </c>
      <c r="AB394" s="1837" t="str">
        <v/>
      </c>
      <c r="AC394" s="1837" t="str">
        <v/>
      </c>
      <c r="AD394" s="1837" t="str">
        <v/>
      </c>
      <c r="AE394" s="1837" t="str">
        <v>Cambodia</v>
      </c>
      <c r="AF394" s="1837" t="str">
        <v>South East Asia</v>
      </c>
      <c r="AG394" s="1837" t="str">
        <v>Yes</v>
      </c>
      <c r="AH394" s="1837" t="str">
        <v>Double U-Turn</v>
      </c>
      <c r="AI394" s="1837">
        <v>6</v>
      </c>
      <c r="AJ394" s="1110" t="str">
        <v>Riley &amp; Maddison</v>
      </c>
    </row>
    <row r="395" spans="1:36">
      <c r="A395">
        <v>33</v>
      </c>
      <c r="B395">
        <v>5</v>
      </c>
      <c r="C395" s="5" t="s">
        <v>14</v>
      </c>
      <c r="D395" s="3" t="s">
        <v>12</v>
      </c>
      <c r="E395" s="4" t="s">
        <v>13</v>
      </c>
      <c r="F395" s="3" t="s">
        <v>12</v>
      </c>
      <c r="P395" s="1329">
        <v>32</v>
      </c>
      <c r="Q395" s="1837">
        <v>10</v>
      </c>
      <c r="R395" s="1837" t="str">
        <v>Route Info</v>
      </c>
      <c r="S395" s="1837" t="str">
        <v>City Sprint</v>
      </c>
      <c r="T395" s="1837" t="str">
        <v>City Sprint</v>
      </c>
      <c r="U395" s="1837" t="str">
        <v>City Sprint</v>
      </c>
      <c r="V395" s="1837" t="str">
        <v>City Sprint</v>
      </c>
      <c r="W395" s="1837" t="str">
        <v>City Sprint</v>
      </c>
      <c r="X395" s="1837" t="str">
        <v>City Sprint</v>
      </c>
      <c r="Y395" s="1837" t="str">
        <v>City Sprint</v>
      </c>
      <c r="Z395" s="1837" t="str">
        <v>City Sprint</v>
      </c>
      <c r="AA395" s="1837" t="str">
        <v>City Sprint</v>
      </c>
      <c r="AB395" s="1837" t="str">
        <v/>
      </c>
      <c r="AC395" s="1837" t="str">
        <v/>
      </c>
      <c r="AD395" s="1837" t="str">
        <v/>
      </c>
      <c r="AE395" s="1837" t="str">
        <v>Philippines</v>
      </c>
      <c r="AF395" s="1837" t="str">
        <v>South East Asia</v>
      </c>
      <c r="AG395" s="1837" t="str">
        <v>Yes</v>
      </c>
      <c r="AH395" s="1837" t="str">
        <v/>
      </c>
      <c r="AI395" s="1837" t="str">
        <v/>
      </c>
      <c r="AJ395" s="1110" t="str">
        <v>Riley &amp; Maddison</v>
      </c>
    </row>
    <row r="396" spans="1:36">
      <c r="A396">
        <v>33</v>
      </c>
      <c r="B396">
        <v>6</v>
      </c>
      <c r="C396" s="3" t="s">
        <v>12</v>
      </c>
      <c r="D396" s="4" t="s">
        <v>13</v>
      </c>
      <c r="E396" s="3" t="s">
        <v>12</v>
      </c>
      <c r="F396" s="5" t="s">
        <v>14</v>
      </c>
      <c r="G396" s="3" t="s">
        <v>12</v>
      </c>
      <c r="P396" s="1329">
        <v>32</v>
      </c>
      <c r="Q396" s="1837" t="str">
        <v>Final</v>
      </c>
      <c r="R396" s="1837" t="str">
        <v>Route Info</v>
      </c>
      <c r="S396" s="1837" t="str">
        <v>Route Info</v>
      </c>
      <c r="T396" s="1837" t="str">
        <v>Road Block</v>
      </c>
      <c r="U396" s="1837" t="str">
        <v>Route Info</v>
      </c>
      <c r="V396" s="1837" t="str">
        <v>Road Block</v>
      </c>
      <c r="W396" s="1837" t="str">
        <v>Route Info</v>
      </c>
      <c r="X396" s="1837" t="str">
        <v>Route Info</v>
      </c>
      <c r="Y396" s="1837" t="str">
        <v>Route Info</v>
      </c>
      <c r="Z396" s="1837" t="str">
        <v/>
      </c>
      <c r="AA396" s="1837" t="str">
        <v/>
      </c>
      <c r="AB396" s="1837" t="str">
        <v/>
      </c>
      <c r="AC396" s="1837" t="str">
        <v/>
      </c>
      <c r="AD396" s="1837" t="str">
        <v/>
      </c>
      <c r="AE396" s="1837" t="str">
        <v>USA</v>
      </c>
      <c r="AF396" s="1837" t="str">
        <v>North America</v>
      </c>
      <c r="AG396" s="1837" t="str">
        <v>Final Leg</v>
      </c>
      <c r="AH396" s="1837" t="str">
        <v/>
      </c>
      <c r="AI396" s="1837" t="str">
        <v/>
      </c>
      <c r="AJ396" s="1110" t="str">
        <v>Will &amp; James</v>
      </c>
    </row>
    <row r="397" spans="1:36">
      <c r="A397">
        <v>33</v>
      </c>
      <c r="B397">
        <v>7</v>
      </c>
      <c r="C397" s="3" t="s">
        <v>12</v>
      </c>
      <c r="D397" s="4" t="s">
        <v>13</v>
      </c>
      <c r="E397" s="3" t="s">
        <v>12</v>
      </c>
      <c r="F397" s="5" t="s">
        <v>14</v>
      </c>
      <c r="G397" s="3" t="s">
        <v>12</v>
      </c>
      <c r="P397" s="1329">
        <v>33</v>
      </c>
      <c r="Q397" s="1837">
        <v>1</v>
      </c>
      <c r="R397" s="1837" t="str">
        <v>Route Info</v>
      </c>
      <c r="S397" s="1837" t="str">
        <v>Route Info</v>
      </c>
      <c r="T397" s="1837" t="str">
        <v>Detour</v>
      </c>
      <c r="U397" s="1837" t="str">
        <v>Route Info</v>
      </c>
      <c r="V397" s="1837" t="str">
        <v>Route Info</v>
      </c>
      <c r="W397" s="1837" t="str">
        <v/>
      </c>
      <c r="X397" s="1837" t="str">
        <v/>
      </c>
      <c r="Y397" s="1837" t="str">
        <v/>
      </c>
      <c r="Z397" s="1837" t="str">
        <v/>
      </c>
      <c r="AA397" s="1837" t="str">
        <v/>
      </c>
      <c r="AB397" s="1837" t="str">
        <v/>
      </c>
      <c r="AC397" s="1837" t="str">
        <v/>
      </c>
      <c r="AD397" s="1837" t="str">
        <v/>
      </c>
      <c r="AE397" s="1837" t="str">
        <v>England</v>
      </c>
      <c r="AF397" s="1837" t="str">
        <v>Western Europe</v>
      </c>
      <c r="AG397" s="1837" t="str">
        <v>Yes</v>
      </c>
      <c r="AH397" s="1837" t="str">
        <v/>
      </c>
      <c r="AI397" s="1837" t="str">
        <v/>
      </c>
      <c r="AJ397" s="1110" t="str">
        <v>Anthony &amp; Spencer</v>
      </c>
    </row>
    <row r="398" spans="1:36">
      <c r="A398">
        <v>33</v>
      </c>
      <c r="B398">
        <v>8</v>
      </c>
      <c r="C398" s="3" t="s">
        <v>12</v>
      </c>
      <c r="D398" s="3" t="s">
        <v>12</v>
      </c>
      <c r="E398" s="5" t="s">
        <v>14</v>
      </c>
      <c r="F398" s="3" t="s">
        <v>12</v>
      </c>
      <c r="G398" s="5" t="s">
        <v>14</v>
      </c>
      <c r="H398" s="3" t="s">
        <v>12</v>
      </c>
      <c r="P398" s="1329">
        <v>33</v>
      </c>
      <c r="Q398" s="1837">
        <v>2</v>
      </c>
      <c r="R398" s="1837" t="str">
        <v>Route Info</v>
      </c>
      <c r="S398" s="1837" t="str">
        <v>Road Block</v>
      </c>
      <c r="T398" s="1837" t="str">
        <v>Route Info</v>
      </c>
      <c r="U398" s="1837" t="str">
        <v>Detour</v>
      </c>
      <c r="V398" s="1837" t="str">
        <v>Route Info</v>
      </c>
      <c r="W398" s="1837" t="str">
        <v/>
      </c>
      <c r="X398" s="1837" t="str">
        <v/>
      </c>
      <c r="Y398" s="1837" t="str">
        <v/>
      </c>
      <c r="Z398" s="1837" t="str">
        <v/>
      </c>
      <c r="AA398" s="1837" t="str">
        <v/>
      </c>
      <c r="AB398" s="1837" t="str">
        <v/>
      </c>
      <c r="AC398" s="1837" t="str">
        <v/>
      </c>
      <c r="AD398" s="1837" t="str">
        <v/>
      </c>
      <c r="AE398" s="1837" t="str">
        <v>England</v>
      </c>
      <c r="AF398" s="1837" t="str">
        <v>Western Europe</v>
      </c>
      <c r="AG398" s="1837" t="str">
        <v>No</v>
      </c>
      <c r="AH398" s="1837" t="str">
        <v/>
      </c>
      <c r="AI398" s="1837" t="str">
        <v/>
      </c>
      <c r="AJ398" s="1110" t="str">
        <v>Ryan &amp; Dusty</v>
      </c>
    </row>
    <row r="399" spans="1:36">
      <c r="A399">
        <v>33</v>
      </c>
      <c r="B399">
        <v>9</v>
      </c>
      <c r="C399" s="3" t="s">
        <v>12</v>
      </c>
      <c r="D399" s="5" t="s">
        <v>14</v>
      </c>
      <c r="E399" s="3" t="s">
        <v>12</v>
      </c>
      <c r="F399" s="4" t="s">
        <v>13</v>
      </c>
      <c r="G399" s="3" t="s">
        <v>12</v>
      </c>
      <c r="P399" s="1329">
        <v>33</v>
      </c>
      <c r="Q399" s="1837">
        <v>3</v>
      </c>
      <c r="R399" s="1837" t="str">
        <v>Route Info</v>
      </c>
      <c r="S399" s="1837" t="str">
        <v>Route Info</v>
      </c>
      <c r="T399" s="1837" t="str">
        <v>Road Block</v>
      </c>
      <c r="U399" s="1837" t="str">
        <v>Route Info</v>
      </c>
      <c r="V399" s="1837" t="str">
        <v>Detour</v>
      </c>
      <c r="W399" s="1837" t="str">
        <v>Route Info</v>
      </c>
      <c r="X399" s="1837" t="str">
        <v/>
      </c>
      <c r="Y399" s="1837" t="str">
        <v/>
      </c>
      <c r="Z399" s="1837" t="str">
        <v/>
      </c>
      <c r="AA399" s="1837" t="str">
        <v/>
      </c>
      <c r="AB399" s="1837" t="str">
        <v/>
      </c>
      <c r="AC399" s="1837" t="str">
        <v/>
      </c>
      <c r="AD399" s="1837" t="str">
        <v/>
      </c>
      <c r="AE399" s="1837" t="str">
        <v>Scotland</v>
      </c>
      <c r="AF399" s="1837" t="str">
        <v>Western Europe</v>
      </c>
      <c r="AG399" s="1837" t="str">
        <v>Yes</v>
      </c>
      <c r="AH399" s="1837" t="str">
        <v/>
      </c>
      <c r="AI399" s="1837" t="str">
        <v/>
      </c>
      <c r="AJ399" s="1110" t="str">
        <v>Kim &amp; Penn</v>
      </c>
    </row>
    <row r="400" spans="1:36">
      <c r="A400">
        <v>33</v>
      </c>
      <c r="B400">
        <v>10</v>
      </c>
      <c r="C400" s="3" t="s">
        <v>12</v>
      </c>
      <c r="D400" s="5" t="s">
        <v>14</v>
      </c>
      <c r="E400" s="3" t="s">
        <v>12</v>
      </c>
      <c r="F400" s="3" t="s">
        <v>12</v>
      </c>
      <c r="G400" s="3" t="s">
        <v>12</v>
      </c>
      <c r="H400" s="5" t="s">
        <v>14</v>
      </c>
      <c r="I400" s="3" t="s">
        <v>12</v>
      </c>
      <c r="P400" s="1329">
        <v>33</v>
      </c>
      <c r="Q400" s="1837">
        <v>4</v>
      </c>
      <c r="R400" s="1837" t="str">
        <v>Route Info</v>
      </c>
      <c r="S400" s="1837" t="str">
        <v>Route Info</v>
      </c>
      <c r="T400" s="1837" t="str">
        <v>Road Block</v>
      </c>
      <c r="U400" s="1837" t="str">
        <v>Route Info</v>
      </c>
      <c r="V400" s="1837" t="str">
        <v>Detour</v>
      </c>
      <c r="W400" s="1837" t="str">
        <v>Speed Bump</v>
      </c>
      <c r="X400" s="1837" t="str">
        <v>Route Info</v>
      </c>
      <c r="Y400" s="1837" t="str">
        <v/>
      </c>
      <c r="Z400" s="1837" t="str">
        <v/>
      </c>
      <c r="AA400" s="1837" t="str">
        <v/>
      </c>
      <c r="AB400" s="1837" t="str">
        <v/>
      </c>
      <c r="AC400" s="1837" t="str">
        <v/>
      </c>
      <c r="AD400" s="1837" t="str">
        <v/>
      </c>
      <c r="AE400" s="1837" t="str">
        <v>Switzerland</v>
      </c>
      <c r="AF400" s="1837" t="str">
        <v>Central Europe</v>
      </c>
      <c r="AG400" s="1837" t="str">
        <v>Yes</v>
      </c>
      <c r="AH400" s="1837" t="str">
        <v/>
      </c>
      <c r="AI400" s="1837" t="str">
        <v/>
      </c>
      <c r="AJ400" s="1110" t="str">
        <v>Ryan &amp; Dusty</v>
      </c>
    </row>
    <row r="401" spans="1:36" ht="16.5" thickBot="1">
      <c r="A401">
        <v>33</v>
      </c>
      <c r="B401" t="s">
        <v>2810</v>
      </c>
      <c r="C401" s="3" t="s">
        <v>12</v>
      </c>
      <c r="D401" s="3" t="s">
        <v>12</v>
      </c>
      <c r="E401" s="3" t="s">
        <v>12</v>
      </c>
      <c r="F401" s="3" t="s">
        <v>12</v>
      </c>
      <c r="G401" s="3" t="s">
        <v>12</v>
      </c>
      <c r="H401" s="3" t="s">
        <v>12</v>
      </c>
      <c r="I401" s="3" t="s">
        <v>12</v>
      </c>
      <c r="J401" s="3" t="s">
        <v>12</v>
      </c>
      <c r="P401" s="1329">
        <v>33</v>
      </c>
      <c r="Q401" s="1837">
        <v>5</v>
      </c>
      <c r="R401" s="1837" t="str">
        <v>Road Block</v>
      </c>
      <c r="S401" s="1837" t="str">
        <v>Route Info</v>
      </c>
      <c r="T401" s="1837" t="str">
        <v>Detour</v>
      </c>
      <c r="U401" s="1837" t="str">
        <v>Route Info</v>
      </c>
      <c r="V401" s="1837" t="str">
        <v/>
      </c>
      <c r="W401" s="1837" t="str">
        <v/>
      </c>
      <c r="X401" s="1837" t="str">
        <v/>
      </c>
      <c r="Y401" s="1837" t="str">
        <v/>
      </c>
      <c r="Z401" s="1837" t="str">
        <v/>
      </c>
      <c r="AA401" s="1837" t="str">
        <v/>
      </c>
      <c r="AB401" s="1837" t="str">
        <v/>
      </c>
      <c r="AC401" s="1837" t="str">
        <v/>
      </c>
      <c r="AD401" s="1837" t="str">
        <v/>
      </c>
      <c r="AE401" s="1837" t="str">
        <v>Switzerland</v>
      </c>
      <c r="AF401" s="1837" t="str">
        <v>Central Europe</v>
      </c>
      <c r="AG401" s="1837" t="str">
        <v>No</v>
      </c>
      <c r="AH401" s="1837" t="str">
        <v/>
      </c>
      <c r="AI401" s="1837" t="str">
        <v/>
      </c>
      <c r="AJ401" s="1110" t="str">
        <v>Ryan &amp; Dusty</v>
      </c>
    </row>
    <row r="402" spans="1:36" ht="16.5" thickBot="1">
      <c r="A402">
        <v>34</v>
      </c>
      <c r="B402">
        <v>1</v>
      </c>
      <c r="C402" s="823" t="s">
        <v>12</v>
      </c>
      <c r="D402" s="789" t="s">
        <v>12</v>
      </c>
      <c r="E402" s="826" t="s">
        <v>12</v>
      </c>
      <c r="F402" s="825" t="s">
        <v>14</v>
      </c>
      <c r="G402" s="824" t="s">
        <v>12</v>
      </c>
      <c r="I402" s="376"/>
      <c r="P402" s="1329">
        <v>33</v>
      </c>
      <c r="Q402" s="1837">
        <v>6</v>
      </c>
      <c r="R402" s="1837" t="str">
        <v>Route Info</v>
      </c>
      <c r="S402" s="1837" t="str">
        <v>Detour</v>
      </c>
      <c r="T402" s="1837" t="str">
        <v>Route Info</v>
      </c>
      <c r="U402" s="1837" t="str">
        <v>Road Block</v>
      </c>
      <c r="V402" s="1837" t="str">
        <v>Route Info</v>
      </c>
      <c r="W402" s="1837" t="str">
        <v/>
      </c>
      <c r="X402" s="1837" t="str">
        <v/>
      </c>
      <c r="Y402" s="1837" t="str">
        <v/>
      </c>
      <c r="Z402" s="1837" t="str">
        <v/>
      </c>
      <c r="AA402" s="1837" t="str">
        <v/>
      </c>
      <c r="AB402" s="1837" t="str">
        <v/>
      </c>
      <c r="AC402" s="1837" t="str">
        <v/>
      </c>
      <c r="AD402" s="1837" t="str">
        <v/>
      </c>
      <c r="AE402" s="1837" t="str">
        <v>France</v>
      </c>
      <c r="AF402" s="1837" t="str">
        <v>Western Europe</v>
      </c>
      <c r="AG402" s="1837" t="str">
        <v>Yes</v>
      </c>
      <c r="AH402" s="1837" t="str">
        <v/>
      </c>
      <c r="AI402" s="1837" t="str">
        <v/>
      </c>
      <c r="AJ402" s="1110" t="str">
        <v>Kim &amp; Penn</v>
      </c>
    </row>
    <row r="403" spans="1:36">
      <c r="A403">
        <v>34</v>
      </c>
      <c r="B403">
        <v>2</v>
      </c>
      <c r="C403" s="3" t="s">
        <v>12</v>
      </c>
      <c r="D403" s="5" t="s">
        <v>14</v>
      </c>
      <c r="E403" s="3" t="s">
        <v>12</v>
      </c>
      <c r="F403" s="4" t="s">
        <v>13</v>
      </c>
      <c r="G403" s="3" t="s">
        <v>12</v>
      </c>
      <c r="P403" s="1329">
        <v>33</v>
      </c>
      <c r="Q403" s="1837">
        <v>7</v>
      </c>
      <c r="R403" s="1837" t="str">
        <v>Route Info</v>
      </c>
      <c r="S403" s="1837" t="str">
        <v>Detour</v>
      </c>
      <c r="T403" s="1837" t="str">
        <v>Route Info</v>
      </c>
      <c r="U403" s="1837" t="str">
        <v>Road Block</v>
      </c>
      <c r="V403" s="1837" t="str">
        <v>Route Info</v>
      </c>
      <c r="W403" s="1837" t="str">
        <v/>
      </c>
      <c r="X403" s="1837" t="str">
        <v/>
      </c>
      <c r="Y403" s="1837" t="str">
        <v/>
      </c>
      <c r="Z403" s="1837" t="str">
        <v/>
      </c>
      <c r="AA403" s="1837" t="str">
        <v/>
      </c>
      <c r="AB403" s="1837" t="str">
        <v/>
      </c>
      <c r="AC403" s="1837" t="str">
        <v/>
      </c>
      <c r="AD403" s="1837" t="str">
        <v/>
      </c>
      <c r="AE403" s="1837" t="str">
        <v>France</v>
      </c>
      <c r="AF403" s="1837" t="str">
        <v>Western Europe</v>
      </c>
      <c r="AG403" s="1837" t="str">
        <v>No</v>
      </c>
      <c r="AH403" s="1837" t="str">
        <v/>
      </c>
      <c r="AI403" s="1837" t="str">
        <v/>
      </c>
      <c r="AJ403" s="1110" t="str">
        <v>Kim &amp; Penn</v>
      </c>
    </row>
    <row r="404" spans="1:36">
      <c r="A404">
        <v>34</v>
      </c>
      <c r="B404" s="35">
        <v>3</v>
      </c>
      <c r="C404" s="3" t="s">
        <v>12</v>
      </c>
      <c r="D404" s="4" t="s">
        <v>13</v>
      </c>
      <c r="E404" s="3" t="s">
        <v>12</v>
      </c>
      <c r="F404" s="5" t="s">
        <v>14</v>
      </c>
      <c r="G404" s="3" t="s">
        <v>12</v>
      </c>
      <c r="H404" s="5" t="s">
        <v>14</v>
      </c>
      <c r="I404" s="4" t="s">
        <v>13</v>
      </c>
      <c r="J404" s="3" t="s">
        <v>12</v>
      </c>
      <c r="P404" s="1329">
        <v>33</v>
      </c>
      <c r="Q404" s="1837">
        <v>8</v>
      </c>
      <c r="R404" s="1837" t="str">
        <v>Route Info</v>
      </c>
      <c r="S404" s="1837" t="str">
        <v>Route Info</v>
      </c>
      <c r="T404" s="1837" t="str">
        <v>Road Block</v>
      </c>
      <c r="U404" s="1837" t="str">
        <v>Route Info</v>
      </c>
      <c r="V404" s="1837" t="str">
        <v>Road Block</v>
      </c>
      <c r="W404" s="1837" t="str">
        <v>Route Info</v>
      </c>
      <c r="X404" s="1837" t="str">
        <v/>
      </c>
      <c r="Y404" s="1837" t="str">
        <v/>
      </c>
      <c r="Z404" s="1837" t="str">
        <v/>
      </c>
      <c r="AA404" s="1837" t="str">
        <v/>
      </c>
      <c r="AB404" s="1837" t="str">
        <v/>
      </c>
      <c r="AC404" s="1837" t="str">
        <v/>
      </c>
      <c r="AD404" s="1837" t="str">
        <v/>
      </c>
      <c r="AE404" s="1837" t="str">
        <v>Greece</v>
      </c>
      <c r="AF404" s="1837" t="str">
        <v>Southern Europe</v>
      </c>
      <c r="AG404" s="1837" t="str">
        <v>Yes</v>
      </c>
      <c r="AH404" s="1837" t="str">
        <v/>
      </c>
      <c r="AI404" s="1837" t="str">
        <v/>
      </c>
      <c r="AJ404" s="1110" t="str">
        <v>Kim &amp; Penn</v>
      </c>
    </row>
    <row r="405" spans="1:36">
      <c r="A405">
        <v>34</v>
      </c>
      <c r="B405">
        <v>4</v>
      </c>
      <c r="C405" s="3" t="s">
        <v>12</v>
      </c>
      <c r="D405" s="5" t="s">
        <v>14</v>
      </c>
      <c r="E405" s="3" t="s">
        <v>12</v>
      </c>
      <c r="F405" s="4" t="s">
        <v>13</v>
      </c>
      <c r="G405" s="3" t="s">
        <v>12</v>
      </c>
      <c r="H405" s="12"/>
      <c r="P405" s="1329">
        <v>33</v>
      </c>
      <c r="Q405" s="1837">
        <v>9</v>
      </c>
      <c r="R405" s="1837" t="str">
        <v>Route Info</v>
      </c>
      <c r="S405" s="1837" t="str">
        <v>Road Block</v>
      </c>
      <c r="T405" s="1837" t="str">
        <v>Route Info</v>
      </c>
      <c r="U405" s="1837" t="str">
        <v>Detour</v>
      </c>
      <c r="V405" s="1837" t="str">
        <v>Route Info</v>
      </c>
      <c r="W405" s="1837" t="str">
        <v/>
      </c>
      <c r="X405" s="1837" t="str">
        <v/>
      </c>
      <c r="Y405" s="1837" t="str">
        <v/>
      </c>
      <c r="Z405" s="1837" t="str">
        <v/>
      </c>
      <c r="AA405" s="1837" t="str">
        <v/>
      </c>
      <c r="AB405" s="1837" t="str">
        <v/>
      </c>
      <c r="AC405" s="1837" t="str">
        <v/>
      </c>
      <c r="AD405" s="1837" t="str">
        <v/>
      </c>
      <c r="AE405" s="1837" t="str">
        <v>Greece</v>
      </c>
      <c r="AF405" s="1837" t="str">
        <v>Southern Europe</v>
      </c>
      <c r="AG405" s="1837" t="str">
        <v>No</v>
      </c>
      <c r="AH405" s="1837" t="str">
        <v/>
      </c>
      <c r="AI405" s="1837" t="str">
        <v/>
      </c>
      <c r="AJ405" s="1110" t="str">
        <v>Raquel &amp; Cayla</v>
      </c>
    </row>
    <row r="406" spans="1:36">
      <c r="A406">
        <v>34</v>
      </c>
      <c r="B406">
        <v>5</v>
      </c>
      <c r="C406" s="3" t="s">
        <v>12</v>
      </c>
      <c r="D406" s="4" t="s">
        <v>13</v>
      </c>
      <c r="E406" s="5" t="s">
        <v>14</v>
      </c>
      <c r="F406" s="3" t="s">
        <v>12</v>
      </c>
      <c r="P406" s="1329">
        <v>33</v>
      </c>
      <c r="Q406" s="1837">
        <v>10</v>
      </c>
      <c r="R406" s="1837" t="str">
        <v>Route Info</v>
      </c>
      <c r="S406" s="1837" t="str">
        <v>Road Block</v>
      </c>
      <c r="T406" s="1837" t="str">
        <v>Route Info</v>
      </c>
      <c r="U406" s="1837" t="str">
        <v>Route Info</v>
      </c>
      <c r="V406" s="1837" t="str">
        <v>Route Info</v>
      </c>
      <c r="W406" s="1837" t="str">
        <v>Road Block</v>
      </c>
      <c r="X406" s="1837" t="str">
        <v>Route Info</v>
      </c>
      <c r="Y406" s="1837" t="str">
        <v/>
      </c>
      <c r="Z406" s="1837" t="str">
        <v/>
      </c>
      <c r="AA406" s="1837" t="str">
        <v/>
      </c>
      <c r="AB406" s="1837" t="str">
        <v/>
      </c>
      <c r="AC406" s="1837" t="str">
        <v/>
      </c>
      <c r="AD406" s="1837" t="str">
        <v/>
      </c>
      <c r="AE406" s="1837" t="str">
        <v>Portugal</v>
      </c>
      <c r="AF406" s="1837" t="str">
        <v>Western Europe</v>
      </c>
      <c r="AG406" s="1837" t="str">
        <v>Yes</v>
      </c>
      <c r="AH406" s="1837" t="str">
        <v/>
      </c>
      <c r="AI406" s="1837" t="str">
        <v/>
      </c>
      <c r="AJ406" s="1110" t="str">
        <v>Raquel &amp; Cayla</v>
      </c>
    </row>
    <row r="407" spans="1:36">
      <c r="A407">
        <v>34</v>
      </c>
      <c r="B407">
        <v>6</v>
      </c>
      <c r="C407" s="3" t="s">
        <v>12</v>
      </c>
      <c r="D407" s="5" t="s">
        <v>14</v>
      </c>
      <c r="E407" s="3" t="s">
        <v>12</v>
      </c>
      <c r="F407" s="4" t="s">
        <v>13</v>
      </c>
      <c r="G407" s="3" t="s">
        <v>12</v>
      </c>
      <c r="P407" s="1329">
        <v>33</v>
      </c>
      <c r="Q407" s="1837" t="str">
        <v>Final</v>
      </c>
      <c r="R407" s="1837" t="str">
        <v>Route Info</v>
      </c>
      <c r="S407" s="1837" t="str">
        <v>Route Info</v>
      </c>
      <c r="T407" s="1837" t="str">
        <v>Route Info</v>
      </c>
      <c r="U407" s="1837" t="str">
        <v>Route Info</v>
      </c>
      <c r="V407" s="1837" t="str">
        <v>Route Info</v>
      </c>
      <c r="W407" s="1837" t="str">
        <v>Route Info</v>
      </c>
      <c r="X407" s="1837" t="str">
        <v>Route Info</v>
      </c>
      <c r="Y407" s="1837" t="str">
        <v>Route Info</v>
      </c>
      <c r="Z407" s="1837" t="str">
        <v/>
      </c>
      <c r="AA407" s="1837" t="str">
        <v/>
      </c>
      <c r="AB407" s="1837" t="str">
        <v/>
      </c>
      <c r="AC407" s="1837" t="str">
        <v/>
      </c>
      <c r="AD407" s="1837" t="str">
        <v/>
      </c>
      <c r="AE407" s="1837" t="str">
        <v>USA</v>
      </c>
      <c r="AF407" s="1837" t="str">
        <v>North America</v>
      </c>
      <c r="AG407" s="1837" t="str">
        <v>Final Leg</v>
      </c>
      <c r="AH407" s="1837" t="str">
        <v/>
      </c>
      <c r="AI407" s="1837" t="str">
        <v/>
      </c>
      <c r="AJ407" s="1110" t="str">
        <v>Kim &amp; Penn</v>
      </c>
    </row>
    <row r="408" spans="1:36">
      <c r="A408">
        <v>34</v>
      </c>
      <c r="B408">
        <v>7</v>
      </c>
      <c r="C408" s="3" t="s">
        <v>12</v>
      </c>
      <c r="D408" s="5" t="s">
        <v>14</v>
      </c>
      <c r="E408" s="3" t="s">
        <v>12</v>
      </c>
      <c r="F408" s="4" t="s">
        <v>13</v>
      </c>
      <c r="G408" s="3" t="s">
        <v>12</v>
      </c>
      <c r="P408" s="1329">
        <v>34</v>
      </c>
      <c r="Q408" s="1837">
        <v>1</v>
      </c>
      <c r="R408" s="1837" t="str">
        <v>Route Info</v>
      </c>
      <c r="S408" s="1837" t="str">
        <v>Route Info</v>
      </c>
      <c r="T408" s="1837" t="str">
        <v>Route Info</v>
      </c>
      <c r="U408" s="1837" t="str">
        <v>Road Block</v>
      </c>
      <c r="V408" s="1837" t="str">
        <v>Route Info</v>
      </c>
      <c r="W408" s="1837" t="str">
        <v/>
      </c>
      <c r="X408" s="1837" t="str">
        <v/>
      </c>
      <c r="Y408" s="1837" t="str">
        <v/>
      </c>
      <c r="Z408" s="1837" t="str">
        <v/>
      </c>
      <c r="AA408" s="1837" t="str">
        <v/>
      </c>
      <c r="AB408" s="1837" t="str">
        <v/>
      </c>
      <c r="AC408" s="1837" t="str">
        <v/>
      </c>
      <c r="AD408" s="1837" t="str">
        <v/>
      </c>
      <c r="AE408" s="1837" t="str">
        <v>Germany</v>
      </c>
      <c r="AF408" s="1837" t="str">
        <v>Central Europe</v>
      </c>
      <c r="AG408" s="1837" t="str">
        <v>Yes</v>
      </c>
      <c r="AH408" s="1837" t="str">
        <v>Scramble</v>
      </c>
      <c r="AI408" s="1837" t="str">
        <v>2 thru 4</v>
      </c>
      <c r="AJ408" s="1110" t="str">
        <v>Derek &amp; Claire</v>
      </c>
    </row>
    <row r="409" spans="1:36">
      <c r="A409">
        <v>34</v>
      </c>
      <c r="B409" s="35">
        <v>8</v>
      </c>
      <c r="C409" s="3" t="s">
        <v>12</v>
      </c>
      <c r="D409" s="5" t="s">
        <v>14</v>
      </c>
      <c r="E409" s="3" t="s">
        <v>12</v>
      </c>
      <c r="F409" s="4" t="s">
        <v>13</v>
      </c>
      <c r="G409" s="3" t="s">
        <v>12</v>
      </c>
      <c r="H409" s="4" t="s">
        <v>13</v>
      </c>
      <c r="I409" s="3" t="s">
        <v>12</v>
      </c>
      <c r="J409" s="5" t="s">
        <v>14</v>
      </c>
      <c r="K409" s="3" t="s">
        <v>12</v>
      </c>
      <c r="P409" s="1329">
        <v>34</v>
      </c>
      <c r="Q409" s="1837">
        <v>2</v>
      </c>
      <c r="R409" s="1837" t="str">
        <v>Route Info</v>
      </c>
      <c r="S409" s="1837" t="str">
        <v>Road Block</v>
      </c>
      <c r="T409" s="1837" t="str">
        <v>Route Info</v>
      </c>
      <c r="U409" s="1837" t="str">
        <v>Detour</v>
      </c>
      <c r="V409" s="1837" t="str">
        <v>Route Info</v>
      </c>
      <c r="W409" s="1837" t="str">
        <v/>
      </c>
      <c r="X409" s="1837" t="str">
        <v/>
      </c>
      <c r="Y409" s="1837" t="str">
        <v/>
      </c>
      <c r="Z409" s="1837" t="str">
        <v/>
      </c>
      <c r="AA409" s="1837" t="str">
        <v/>
      </c>
      <c r="AB409" s="1837" t="str">
        <v/>
      </c>
      <c r="AC409" s="1837" t="str">
        <v/>
      </c>
      <c r="AD409" s="1837" t="str">
        <v/>
      </c>
      <c r="AE409" s="1837" t="str">
        <v>Austria</v>
      </c>
      <c r="AF409" s="1837" t="str">
        <v>Central Europe</v>
      </c>
      <c r="AG409" s="1837" t="str">
        <v>Yes</v>
      </c>
      <c r="AH409" s="1837" t="str">
        <v/>
      </c>
      <c r="AI409" s="1837" t="str">
        <v/>
      </c>
      <c r="AJ409" s="1110" t="str">
        <v>Marcus &amp; Michael</v>
      </c>
    </row>
    <row r="410" spans="1:36">
      <c r="A410">
        <v>34</v>
      </c>
      <c r="B410">
        <v>9</v>
      </c>
      <c r="C410" s="3" t="s">
        <v>12</v>
      </c>
      <c r="D410" s="3" t="s">
        <v>12</v>
      </c>
      <c r="E410" s="5" t="s">
        <v>14</v>
      </c>
      <c r="F410" s="3" t="s">
        <v>12</v>
      </c>
      <c r="G410" s="3" t="s">
        <v>12</v>
      </c>
      <c r="H410" s="3" t="s">
        <v>12</v>
      </c>
      <c r="P410" s="1329">
        <v>34</v>
      </c>
      <c r="Q410" s="1837">
        <v>3</v>
      </c>
      <c r="R410" s="1837" t="str">
        <v>Route Info</v>
      </c>
      <c r="S410" s="1837" t="str">
        <v>Detour</v>
      </c>
      <c r="T410" s="1837" t="str">
        <v>Route Info</v>
      </c>
      <c r="U410" s="1837" t="str">
        <v>Road Block</v>
      </c>
      <c r="V410" s="1837" t="str">
        <v>Route Info</v>
      </c>
      <c r="W410" s="1837" t="str">
        <v>Road Block</v>
      </c>
      <c r="X410" s="1837" t="str">
        <v>Detour</v>
      </c>
      <c r="Y410" s="1837" t="str">
        <v>Route Info</v>
      </c>
      <c r="Z410" s="1837" t="str">
        <v/>
      </c>
      <c r="AA410" s="1837" t="str">
        <v/>
      </c>
      <c r="AB410" s="1837" t="str">
        <v/>
      </c>
      <c r="AC410" s="1837" t="str">
        <v/>
      </c>
      <c r="AD410" s="1837" t="str">
        <v/>
      </c>
      <c r="AE410" s="1837" t="str">
        <v>Italy</v>
      </c>
      <c r="AF410" s="1837" t="str">
        <v>Southern Europe</v>
      </c>
      <c r="AG410" s="1837" t="str">
        <v>Yes</v>
      </c>
      <c r="AH410" s="1837" t="str">
        <v/>
      </c>
      <c r="AI410" s="1837" t="str">
        <v/>
      </c>
      <c r="AJ410" s="1110" t="str">
        <v>Emily &amp; Molly</v>
      </c>
    </row>
    <row r="411" spans="1:36">
      <c r="A411">
        <v>34</v>
      </c>
      <c r="B411" t="s">
        <v>2810</v>
      </c>
      <c r="C411" s="3" t="s">
        <v>12</v>
      </c>
      <c r="D411" s="3" t="s">
        <v>12</v>
      </c>
      <c r="E411" s="5" t="s">
        <v>14</v>
      </c>
      <c r="F411" s="3" t="s">
        <v>12</v>
      </c>
      <c r="G411" s="3" t="s">
        <v>12</v>
      </c>
      <c r="H411" s="3" t="s">
        <v>12</v>
      </c>
      <c r="I411" s="3" t="s">
        <v>12</v>
      </c>
      <c r="J411" s="3" t="s">
        <v>12</v>
      </c>
      <c r="P411" s="1329">
        <v>34</v>
      </c>
      <c r="Q411" s="1837">
        <v>4</v>
      </c>
      <c r="R411" s="1837" t="str">
        <v>Route Info</v>
      </c>
      <c r="S411" s="1837" t="str">
        <v>Road Block</v>
      </c>
      <c r="T411" s="1837" t="str">
        <v>Route Info</v>
      </c>
      <c r="U411" s="1837" t="str">
        <v>Detour</v>
      </c>
      <c r="V411" s="1837" t="str">
        <v>Route Info</v>
      </c>
      <c r="W411" s="1837" t="str">
        <v/>
      </c>
      <c r="X411" s="1837" t="str">
        <v/>
      </c>
      <c r="Y411" s="1837" t="str">
        <v/>
      </c>
      <c r="Z411" s="1837" t="str">
        <v/>
      </c>
      <c r="AA411" s="1837" t="str">
        <v/>
      </c>
      <c r="AB411" s="1837" t="str">
        <v/>
      </c>
      <c r="AC411" s="1837" t="str">
        <v/>
      </c>
      <c r="AD411" s="1837" t="str">
        <v/>
      </c>
      <c r="AE411" s="1837" t="str">
        <v>Jordan</v>
      </c>
      <c r="AF411" s="1837" t="str">
        <v>Middle East</v>
      </c>
      <c r="AG411" s="1837" t="str">
        <v>Yes</v>
      </c>
      <c r="AH411" s="1837" t="str">
        <v/>
      </c>
      <c r="AI411" s="1837" t="str">
        <v/>
      </c>
      <c r="AJ411" s="1110" t="str">
        <v>Luis &amp; Michelle</v>
      </c>
    </row>
    <row r="412" spans="1:36">
      <c r="A412">
        <v>35</v>
      </c>
      <c r="B412">
        <v>1</v>
      </c>
      <c r="C412" s="3" t="s">
        <v>12</v>
      </c>
      <c r="D412" s="5" t="s">
        <v>14</v>
      </c>
      <c r="E412" s="3" t="s">
        <v>12</v>
      </c>
      <c r="F412" s="187" t="s">
        <v>87</v>
      </c>
      <c r="G412" s="3" t="s">
        <v>12</v>
      </c>
      <c r="H412" s="4" t="s">
        <v>13</v>
      </c>
      <c r="I412" s="3" t="s">
        <v>12</v>
      </c>
      <c r="P412" s="1329">
        <v>34</v>
      </c>
      <c r="Q412" s="1837">
        <v>5</v>
      </c>
      <c r="R412" s="1837" t="str">
        <v>Route Info</v>
      </c>
      <c r="S412" s="1837" t="str">
        <v>Detour</v>
      </c>
      <c r="T412" s="1837" t="str">
        <v>Road Block</v>
      </c>
      <c r="U412" s="1837" t="str">
        <v>Route Info</v>
      </c>
      <c r="V412" s="1837" t="str">
        <v/>
      </c>
      <c r="W412" s="1837" t="str">
        <v/>
      </c>
      <c r="X412" s="1837" t="str">
        <v/>
      </c>
      <c r="Y412" s="1837" t="str">
        <v/>
      </c>
      <c r="Z412" s="1837" t="str">
        <v/>
      </c>
      <c r="AA412" s="1837" t="str">
        <v/>
      </c>
      <c r="AB412" s="1837" t="str">
        <v/>
      </c>
      <c r="AC412" s="1837" t="str">
        <v/>
      </c>
      <c r="AD412" s="1837" t="str">
        <v/>
      </c>
      <c r="AE412" s="1837" t="str">
        <v>Jordan</v>
      </c>
      <c r="AF412" s="1837" t="str">
        <v>Middle East</v>
      </c>
      <c r="AG412" s="1837" t="str">
        <v>Yes</v>
      </c>
      <c r="AH412" s="1837" t="str">
        <v/>
      </c>
      <c r="AI412" s="1837" t="str">
        <v/>
      </c>
      <c r="AJ412" s="1110" t="str">
        <v>Luis &amp; Michelle</v>
      </c>
    </row>
    <row r="413" spans="1:36">
      <c r="A413">
        <v>35</v>
      </c>
      <c r="B413">
        <v>2</v>
      </c>
      <c r="C413" s="3" t="s">
        <v>12</v>
      </c>
      <c r="D413" s="5" t="s">
        <v>14</v>
      </c>
      <c r="E413" s="3" t="s">
        <v>12</v>
      </c>
      <c r="F413" s="4" t="s">
        <v>13</v>
      </c>
      <c r="G413" s="3" t="s">
        <v>12</v>
      </c>
      <c r="P413" s="1329">
        <v>34</v>
      </c>
      <c r="Q413" s="1837">
        <v>6</v>
      </c>
      <c r="R413" s="1837" t="str">
        <v>Route Info</v>
      </c>
      <c r="S413" s="1837" t="str">
        <v>Road Block</v>
      </c>
      <c r="T413" s="1837" t="str">
        <v>Route Info</v>
      </c>
      <c r="U413" s="1837" t="str">
        <v>Detour</v>
      </c>
      <c r="V413" s="1837" t="str">
        <v>Route Info</v>
      </c>
      <c r="W413" s="1837" t="str">
        <v/>
      </c>
      <c r="X413" s="1837" t="str">
        <v/>
      </c>
      <c r="Y413" s="1837" t="str">
        <v/>
      </c>
      <c r="Z413" s="1837" t="str">
        <v/>
      </c>
      <c r="AA413" s="1837" t="str">
        <v/>
      </c>
      <c r="AB413" s="1837" t="str">
        <v/>
      </c>
      <c r="AC413" s="1837" t="str">
        <v/>
      </c>
      <c r="AD413" s="1837" t="str">
        <v/>
      </c>
      <c r="AE413" s="1837" t="str">
        <v>France</v>
      </c>
      <c r="AF413" s="1837" t="str">
        <v>Western Europe</v>
      </c>
      <c r="AG413" s="1837" t="str">
        <v>Yes</v>
      </c>
      <c r="AH413" s="1837" t="str">
        <v/>
      </c>
      <c r="AI413" s="1837" t="str">
        <v/>
      </c>
      <c r="AJ413" s="1110" t="str">
        <v>Marcus &amp; Michael</v>
      </c>
    </row>
    <row r="414" spans="1:36">
      <c r="A414">
        <v>35</v>
      </c>
      <c r="B414">
        <v>3</v>
      </c>
      <c r="C414" s="3" t="s">
        <v>12</v>
      </c>
      <c r="D414" s="3" t="s">
        <v>12</v>
      </c>
      <c r="E414" s="3" t="s">
        <v>12</v>
      </c>
      <c r="F414" s="4" t="s">
        <v>13</v>
      </c>
      <c r="G414" s="3" t="s">
        <v>12</v>
      </c>
      <c r="H414" s="12"/>
      <c r="P414" s="1329">
        <v>34</v>
      </c>
      <c r="Q414" s="1837">
        <v>7</v>
      </c>
      <c r="R414" s="1837" t="str">
        <v>Route Info</v>
      </c>
      <c r="S414" s="1837" t="str">
        <v>Road Block</v>
      </c>
      <c r="T414" s="1837" t="str">
        <v>Route Info</v>
      </c>
      <c r="U414" s="1837" t="str">
        <v>Detour</v>
      </c>
      <c r="V414" s="1837" t="str">
        <v>Route Info</v>
      </c>
      <c r="W414" s="1837" t="str">
        <v/>
      </c>
      <c r="X414" s="1837" t="str">
        <v/>
      </c>
      <c r="Y414" s="1837" t="str">
        <v/>
      </c>
      <c r="Z414" s="1837" t="str">
        <v/>
      </c>
      <c r="AA414" s="1837" t="str">
        <v/>
      </c>
      <c r="AB414" s="1837" t="str">
        <v/>
      </c>
      <c r="AC414" s="1837" t="str">
        <v/>
      </c>
      <c r="AD414" s="1837" t="str">
        <v/>
      </c>
      <c r="AE414" s="1837" t="str">
        <v>France</v>
      </c>
      <c r="AF414" s="1837" t="str">
        <v>Western Europe</v>
      </c>
      <c r="AG414" s="1837" t="str">
        <v>Yes</v>
      </c>
      <c r="AH414" s="1837" t="str">
        <v/>
      </c>
      <c r="AI414" s="1837" t="str">
        <v/>
      </c>
      <c r="AJ414" s="1110" t="str">
        <v>Derek &amp; Claire</v>
      </c>
    </row>
    <row r="415" spans="1:36">
      <c r="A415">
        <v>35</v>
      </c>
      <c r="B415">
        <v>4</v>
      </c>
      <c r="C415" s="3" t="s">
        <v>12</v>
      </c>
      <c r="D415" s="4" t="s">
        <v>13</v>
      </c>
      <c r="E415" s="3" t="s">
        <v>12</v>
      </c>
      <c r="F415" s="3" t="s">
        <v>12</v>
      </c>
      <c r="G415" s="5" t="s">
        <v>14</v>
      </c>
      <c r="H415" s="12"/>
      <c r="P415" s="1329">
        <v>34</v>
      </c>
      <c r="Q415" s="1837">
        <v>8</v>
      </c>
      <c r="R415" s="1837" t="str">
        <v>Route Info</v>
      </c>
      <c r="S415" s="1837" t="str">
        <v>Road Block</v>
      </c>
      <c r="T415" s="1837" t="str">
        <v>Route Info</v>
      </c>
      <c r="U415" s="1837" t="str">
        <v>Detour</v>
      </c>
      <c r="V415" s="1837" t="str">
        <v>Route Info</v>
      </c>
      <c r="W415" s="1837" t="str">
        <v>Detour</v>
      </c>
      <c r="X415" s="1837" t="str">
        <v>Route Info</v>
      </c>
      <c r="Y415" s="1837" t="str">
        <v>Road Block</v>
      </c>
      <c r="Z415" s="1837" t="str">
        <v>Route Info</v>
      </c>
      <c r="AA415" s="1837" t="str">
        <v/>
      </c>
      <c r="AB415" s="1837" t="str">
        <v/>
      </c>
      <c r="AC415" s="1837" t="str">
        <v/>
      </c>
      <c r="AD415" s="1837" t="str">
        <v/>
      </c>
      <c r="AE415" s="1837" t="str">
        <v>Spain</v>
      </c>
      <c r="AF415" s="1837" t="str">
        <v>Western Europe</v>
      </c>
      <c r="AG415" s="1837" t="str">
        <v>Yes</v>
      </c>
      <c r="AH415" s="1837" t="str">
        <v/>
      </c>
      <c r="AI415" s="1837" t="str">
        <v/>
      </c>
      <c r="AJ415" s="1110" t="str">
        <v>Luis &amp; Michelle</v>
      </c>
    </row>
    <row r="416" spans="1:36" ht="16.5" thickBot="1">
      <c r="A416">
        <v>35</v>
      </c>
      <c r="B416">
        <v>5</v>
      </c>
      <c r="C416" s="3" t="s">
        <v>12</v>
      </c>
      <c r="D416" s="5" t="s">
        <v>14</v>
      </c>
      <c r="E416" s="3" t="s">
        <v>12</v>
      </c>
      <c r="F416" s="4" t="s">
        <v>13</v>
      </c>
      <c r="G416" s="3" t="s">
        <v>12</v>
      </c>
      <c r="P416" s="1329">
        <v>34</v>
      </c>
      <c r="Q416" s="1837">
        <v>9</v>
      </c>
      <c r="R416" s="1837" t="str">
        <v>Route Info</v>
      </c>
      <c r="S416" s="1837" t="str">
        <v>Route Info</v>
      </c>
      <c r="T416" s="1837" t="str">
        <v>Road Block</v>
      </c>
      <c r="U416" s="1837" t="str">
        <v>Route Info</v>
      </c>
      <c r="V416" s="1837" t="str">
        <v>Route Info</v>
      </c>
      <c r="W416" s="1837" t="str">
        <v>Route Info</v>
      </c>
      <c r="X416" s="1837" t="str">
        <v/>
      </c>
      <c r="Y416" s="1837" t="str">
        <v/>
      </c>
      <c r="Z416" s="1837" t="str">
        <v/>
      </c>
      <c r="AA416" s="1837" t="str">
        <v/>
      </c>
      <c r="AB416" s="1837" t="str">
        <v/>
      </c>
      <c r="AC416" s="1837" t="str">
        <v/>
      </c>
      <c r="AD416" s="1837" t="str">
        <v/>
      </c>
      <c r="AE416" s="1837" t="str">
        <v>Iceland</v>
      </c>
      <c r="AF416" s="1837" t="str">
        <v>Western Europe</v>
      </c>
      <c r="AG416" s="1837" t="str">
        <v>Yes</v>
      </c>
      <c r="AH416" s="1837" t="str">
        <v/>
      </c>
      <c r="AI416" s="1837" t="str">
        <v/>
      </c>
      <c r="AJ416" s="1110" t="str">
        <v>Derek &amp; Claire</v>
      </c>
    </row>
    <row r="417" spans="1:36" ht="16.5" thickBot="1">
      <c r="A417">
        <v>35</v>
      </c>
      <c r="B417">
        <v>6</v>
      </c>
      <c r="C417" s="3" t="s">
        <v>12</v>
      </c>
      <c r="D417" s="3" t="s">
        <v>12</v>
      </c>
      <c r="E417" s="3" t="s">
        <v>12</v>
      </c>
      <c r="F417" s="781" t="s">
        <v>13</v>
      </c>
      <c r="G417" s="3" t="s">
        <v>12</v>
      </c>
      <c r="H417" s="5" t="s">
        <v>14</v>
      </c>
      <c r="I417" s="3" t="s">
        <v>12</v>
      </c>
      <c r="P417" s="1329">
        <v>34</v>
      </c>
      <c r="Q417" s="1837" t="str">
        <v>Final</v>
      </c>
      <c r="R417" s="1837" t="str">
        <v>Route Info</v>
      </c>
      <c r="S417" s="1837" t="str">
        <v>Route Info</v>
      </c>
      <c r="T417" s="1837" t="str">
        <v>Road Block</v>
      </c>
      <c r="U417" s="1837" t="str">
        <v>Route Info</v>
      </c>
      <c r="V417" s="1837" t="str">
        <v>Route Info</v>
      </c>
      <c r="W417" s="1837" t="str">
        <v>Route Info</v>
      </c>
      <c r="X417" s="1837" t="str">
        <v>Route Info</v>
      </c>
      <c r="Y417" s="1837" t="str">
        <v>Route Info</v>
      </c>
      <c r="Z417" s="1837" t="str">
        <v/>
      </c>
      <c r="AA417" s="1837" t="str">
        <v/>
      </c>
      <c r="AB417" s="1837" t="str">
        <v/>
      </c>
      <c r="AC417" s="1837" t="str">
        <v/>
      </c>
      <c r="AD417" s="1837" t="str">
        <v/>
      </c>
      <c r="AE417" s="1837" t="str">
        <v>USA</v>
      </c>
      <c r="AF417" s="1837" t="str">
        <v>North America</v>
      </c>
      <c r="AG417" s="1837" t="str">
        <v>Final Leg</v>
      </c>
      <c r="AH417" s="1837" t="str">
        <v/>
      </c>
      <c r="AI417" s="1837" t="str">
        <v/>
      </c>
      <c r="AJ417" s="1110" t="str">
        <v>Derek &amp; Claire</v>
      </c>
    </row>
    <row r="418" spans="1:36">
      <c r="A418">
        <v>35</v>
      </c>
      <c r="B418">
        <v>7</v>
      </c>
      <c r="C418" s="3" t="s">
        <v>12</v>
      </c>
      <c r="D418" s="5" t="s">
        <v>14</v>
      </c>
      <c r="E418" s="3" t="s">
        <v>12</v>
      </c>
      <c r="F418" s="3" t="s">
        <v>12</v>
      </c>
      <c r="G418" s="3" t="s">
        <v>12</v>
      </c>
      <c r="H418" s="4" t="s">
        <v>13</v>
      </c>
      <c r="I418" s="5" t="s">
        <v>14</v>
      </c>
      <c r="J418" s="3" t="s">
        <v>12</v>
      </c>
      <c r="P418" s="1329">
        <v>35</v>
      </c>
      <c r="Q418" s="1837">
        <v>1</v>
      </c>
      <c r="R418" s="1837" t="str">
        <v>Route Info</v>
      </c>
      <c r="S418" s="1837" t="str">
        <v>Road Block</v>
      </c>
      <c r="T418" s="1837" t="str">
        <v>Route Info</v>
      </c>
      <c r="U418" s="1837" t="str">
        <v>Express Pass</v>
      </c>
      <c r="V418" s="1837" t="str">
        <v>Route Info</v>
      </c>
      <c r="W418" s="1837" t="str">
        <v>Detour</v>
      </c>
      <c r="X418" s="1837" t="str">
        <v>Route Info</v>
      </c>
      <c r="Y418" s="1837" t="str">
        <v/>
      </c>
      <c r="Z418" s="1837" t="str">
        <v/>
      </c>
      <c r="AA418" s="1837" t="str">
        <v/>
      </c>
      <c r="AB418" s="1837" t="str">
        <v/>
      </c>
      <c r="AC418" s="1837" t="str">
        <v/>
      </c>
      <c r="AD418" s="1837" t="str">
        <v/>
      </c>
      <c r="AE418" s="1837" t="str">
        <v>Thailand</v>
      </c>
      <c r="AF418" s="1837" t="str">
        <v>South East Asia</v>
      </c>
      <c r="AG418" s="1837" t="str">
        <v>Yes</v>
      </c>
      <c r="AH418" s="1837" t="str">
        <v>Express Pass</v>
      </c>
      <c r="AI418" s="1837">
        <v>4</v>
      </c>
      <c r="AJ418" s="1110" t="str">
        <v>Jocelyn &amp; Victor</v>
      </c>
    </row>
    <row r="419" spans="1:36">
      <c r="A419">
        <v>35</v>
      </c>
      <c r="B419">
        <v>8</v>
      </c>
      <c r="C419" s="3" t="s">
        <v>12</v>
      </c>
      <c r="D419" s="5" t="s">
        <v>14</v>
      </c>
      <c r="E419" s="3" t="s">
        <v>12</v>
      </c>
      <c r="F419" s="187" t="s">
        <v>87</v>
      </c>
      <c r="G419" s="3" t="s">
        <v>12</v>
      </c>
      <c r="H419" s="4" t="s">
        <v>13</v>
      </c>
      <c r="I419" s="3" t="s">
        <v>12</v>
      </c>
      <c r="J419" s="3" t="s">
        <v>12</v>
      </c>
      <c r="P419" s="1329">
        <v>35</v>
      </c>
      <c r="Q419" s="1837">
        <v>2</v>
      </c>
      <c r="R419" s="1837" t="str">
        <v>Route Info</v>
      </c>
      <c r="S419" s="1837" t="str">
        <v>Road Block</v>
      </c>
      <c r="T419" s="1837" t="str">
        <v>Route Info</v>
      </c>
      <c r="U419" s="1837" t="str">
        <v>Detour</v>
      </c>
      <c r="V419" s="1837" t="str">
        <v>Route Info</v>
      </c>
      <c r="W419" s="1837" t="str">
        <v/>
      </c>
      <c r="X419" s="1837" t="str">
        <v/>
      </c>
      <c r="Y419" s="1837" t="str">
        <v/>
      </c>
      <c r="Z419" s="1837" t="str">
        <v/>
      </c>
      <c r="AA419" s="1837" t="str">
        <v/>
      </c>
      <c r="AB419" s="1837" t="str">
        <v/>
      </c>
      <c r="AC419" s="1837" t="str">
        <v/>
      </c>
      <c r="AD419" s="1837" t="str">
        <v/>
      </c>
      <c r="AE419" s="1837" t="str">
        <v>Thailand</v>
      </c>
      <c r="AF419" s="1837" t="str">
        <v>South East Asia</v>
      </c>
      <c r="AG419" s="1837" t="str">
        <v>Yes</v>
      </c>
      <c r="AH419" s="1837" t="str">
        <v/>
      </c>
      <c r="AI419" s="1837" t="str">
        <v/>
      </c>
      <c r="AJ419" s="1110" t="str">
        <v>Jocelyn &amp; Victor</v>
      </c>
    </row>
    <row r="420" spans="1:36">
      <c r="A420">
        <v>35</v>
      </c>
      <c r="B420">
        <v>9</v>
      </c>
      <c r="C420" s="3" t="s">
        <v>12</v>
      </c>
      <c r="D420" s="5" t="s">
        <v>14</v>
      </c>
      <c r="E420" s="3" t="s">
        <v>12</v>
      </c>
      <c r="F420" s="3" t="s">
        <v>12</v>
      </c>
      <c r="G420" s="3" t="s">
        <v>12</v>
      </c>
      <c r="H420" s="4" t="s">
        <v>13</v>
      </c>
      <c r="I420" s="3" t="s">
        <v>12</v>
      </c>
      <c r="P420" s="1329">
        <v>35</v>
      </c>
      <c r="Q420" s="1837">
        <v>3</v>
      </c>
      <c r="R420" s="1837" t="str">
        <v>Route Info</v>
      </c>
      <c r="S420" s="1837" t="str">
        <v>Route Info</v>
      </c>
      <c r="T420" s="1837" t="str">
        <v>Route Info</v>
      </c>
      <c r="U420" s="1837" t="str">
        <v>Detour</v>
      </c>
      <c r="V420" s="1837" t="str">
        <v>Route Info</v>
      </c>
      <c r="W420" s="1837" t="str">
        <v/>
      </c>
      <c r="X420" s="1837" t="str">
        <v/>
      </c>
      <c r="Y420" s="1837" t="str">
        <v/>
      </c>
      <c r="Z420" s="1837" t="str">
        <v/>
      </c>
      <c r="AA420" s="1837" t="str">
        <v/>
      </c>
      <c r="AB420" s="1837" t="str">
        <v/>
      </c>
      <c r="AC420" s="1837" t="str">
        <v/>
      </c>
      <c r="AD420" s="1837" t="str">
        <v/>
      </c>
      <c r="AE420" s="1837" t="str">
        <v>Vietnam</v>
      </c>
      <c r="AF420" s="1837" t="str">
        <v>South East Asia</v>
      </c>
      <c r="AG420" s="1837" t="str">
        <v>No</v>
      </c>
      <c r="AH420" s="1837" t="str">
        <v/>
      </c>
      <c r="AI420" s="1837" t="str">
        <v/>
      </c>
      <c r="AJ420" s="1110" t="str">
        <v>Steve &amp; Anna Leigh</v>
      </c>
    </row>
    <row r="421" spans="1:36">
      <c r="A421">
        <v>35</v>
      </c>
      <c r="B421">
        <v>10</v>
      </c>
      <c r="C421" s="3" t="s">
        <v>12</v>
      </c>
      <c r="D421" s="3" t="s">
        <v>12</v>
      </c>
      <c r="E421" s="3" t="s">
        <v>12</v>
      </c>
      <c r="F421" s="5" t="s">
        <v>14</v>
      </c>
      <c r="G421" s="3" t="s">
        <v>12</v>
      </c>
      <c r="H421" s="3" t="s">
        <v>12</v>
      </c>
      <c r="I421" s="4" t="s">
        <v>13</v>
      </c>
      <c r="J421" s="3" t="s">
        <v>12</v>
      </c>
      <c r="K421" s="3" t="s">
        <v>12</v>
      </c>
      <c r="P421" s="1329">
        <v>35</v>
      </c>
      <c r="Q421" s="1837">
        <v>4</v>
      </c>
      <c r="R421" s="1837" t="str">
        <v>Route Info</v>
      </c>
      <c r="S421" s="1837" t="str">
        <v>Detour</v>
      </c>
      <c r="T421" s="1837" t="str">
        <v>Route Info</v>
      </c>
      <c r="U421" s="1837" t="str">
        <v>Route Info</v>
      </c>
      <c r="V421" s="1837" t="str">
        <v>Road Block</v>
      </c>
      <c r="W421" s="1837" t="str">
        <v/>
      </c>
      <c r="X421" s="1837" t="str">
        <v/>
      </c>
      <c r="Y421" s="1837" t="str">
        <v/>
      </c>
      <c r="Z421" s="1837" t="str">
        <v/>
      </c>
      <c r="AA421" s="1837" t="str">
        <v/>
      </c>
      <c r="AB421" s="1837" t="str">
        <v/>
      </c>
      <c r="AC421" s="1837" t="str">
        <v/>
      </c>
      <c r="AD421" s="1837" t="str">
        <v/>
      </c>
      <c r="AE421" s="1837" t="str">
        <v>Vietnam</v>
      </c>
      <c r="AF421" s="1837" t="str">
        <v>South East Asia</v>
      </c>
      <c r="AG421" s="1837" t="str">
        <v>Yes</v>
      </c>
      <c r="AH421" s="1837" t="str">
        <v/>
      </c>
      <c r="AI421" s="1837" t="str">
        <v/>
      </c>
      <c r="AJ421" s="1110" t="str">
        <v>Robbin &amp; Chelsea</v>
      </c>
    </row>
    <row r="422" spans="1:36" ht="16.5" thickBot="1">
      <c r="A422">
        <v>35</v>
      </c>
      <c r="B422">
        <v>11</v>
      </c>
      <c r="C422" s="3" t="s">
        <v>12</v>
      </c>
      <c r="D422" s="3" t="s">
        <v>12</v>
      </c>
      <c r="E422" s="5" t="s">
        <v>14</v>
      </c>
      <c r="F422" s="3" t="s">
        <v>12</v>
      </c>
      <c r="G422" s="5" t="s">
        <v>14</v>
      </c>
      <c r="H422" s="3" t="s">
        <v>12</v>
      </c>
      <c r="I422" s="3" t="s">
        <v>12</v>
      </c>
      <c r="P422" s="1329">
        <v>35</v>
      </c>
      <c r="Q422" s="1837">
        <v>5</v>
      </c>
      <c r="R422" s="1837" t="str">
        <v>Route Info</v>
      </c>
      <c r="S422" s="1837" t="str">
        <v>Road Block</v>
      </c>
      <c r="T422" s="1837" t="str">
        <v>Route Info</v>
      </c>
      <c r="U422" s="1837" t="str">
        <v>Detour</v>
      </c>
      <c r="V422" s="1837" t="str">
        <v>Route Info</v>
      </c>
      <c r="W422" s="1837" t="str">
        <v/>
      </c>
      <c r="X422" s="1837" t="str">
        <v/>
      </c>
      <c r="Y422" s="1837" t="str">
        <v/>
      </c>
      <c r="Z422" s="1837" t="str">
        <v/>
      </c>
      <c r="AA422" s="1837" t="str">
        <v/>
      </c>
      <c r="AB422" s="1837" t="str">
        <v/>
      </c>
      <c r="AC422" s="1837" t="str">
        <v/>
      </c>
      <c r="AD422" s="1837" t="str">
        <v/>
      </c>
      <c r="AE422" s="1837" t="str">
        <v>India</v>
      </c>
      <c r="AF422" s="1837" t="str">
        <v>South Asia</v>
      </c>
      <c r="AG422" s="1837" t="str">
        <v>Yes</v>
      </c>
      <c r="AH422" s="1837" t="str">
        <v/>
      </c>
      <c r="AI422" s="1837" t="str">
        <v/>
      </c>
      <c r="AJ422" s="1110" t="str">
        <v>Steve &amp; Anna Leigh</v>
      </c>
    </row>
    <row r="423" spans="1:36" ht="16.5" thickBot="1">
      <c r="A423">
        <v>35</v>
      </c>
      <c r="B423" t="s">
        <v>2810</v>
      </c>
      <c r="C423" s="3" t="s">
        <v>12</v>
      </c>
      <c r="D423" s="3" t="s">
        <v>12</v>
      </c>
      <c r="E423" s="782" t="s">
        <v>12</v>
      </c>
      <c r="F423" s="3" t="s">
        <v>12</v>
      </c>
      <c r="G423" s="3" t="s">
        <v>12</v>
      </c>
      <c r="H423" s="3" t="s">
        <v>12</v>
      </c>
      <c r="I423" s="3" t="s">
        <v>12</v>
      </c>
      <c r="J423" s="3" t="s">
        <v>12</v>
      </c>
      <c r="P423" s="1329">
        <v>35</v>
      </c>
      <c r="Q423" s="1837">
        <v>6</v>
      </c>
      <c r="R423" s="1837" t="str">
        <v>Route Info</v>
      </c>
      <c r="S423" s="1837" t="str">
        <v>Route Info</v>
      </c>
      <c r="T423" s="1837" t="str">
        <v>Route Info</v>
      </c>
      <c r="U423" s="1837" t="str">
        <v>Detour</v>
      </c>
      <c r="V423" s="1837" t="str">
        <v>Route Info</v>
      </c>
      <c r="W423" s="1837" t="str">
        <v>Road Block</v>
      </c>
      <c r="X423" s="1837" t="str">
        <v>Route Info</v>
      </c>
      <c r="Y423" s="1837" t="str">
        <v/>
      </c>
      <c r="Z423" s="1837" t="str">
        <v/>
      </c>
      <c r="AA423" s="1837" t="str">
        <v/>
      </c>
      <c r="AB423" s="1837" t="str">
        <v/>
      </c>
      <c r="AC423" s="1837" t="str">
        <v/>
      </c>
      <c r="AD423" s="1837" t="str">
        <v/>
      </c>
      <c r="AE423" s="1837" t="str">
        <v>India</v>
      </c>
      <c r="AF423" s="1837" t="str">
        <v>South Asia</v>
      </c>
      <c r="AG423" s="1837" t="str">
        <v>Yes</v>
      </c>
      <c r="AH423" s="1837" t="str">
        <v>U-Turn</v>
      </c>
      <c r="AI423" s="1837">
        <v>4</v>
      </c>
      <c r="AJ423" s="1110" t="str">
        <v>Greg &amp; John</v>
      </c>
    </row>
    <row r="424" spans="1:36">
      <c r="A424">
        <v>36</v>
      </c>
      <c r="B424">
        <v>1</v>
      </c>
      <c r="C424" s="3" t="s">
        <v>12</v>
      </c>
      <c r="D424" s="4" t="s">
        <v>13</v>
      </c>
      <c r="E424" s="3" t="s">
        <v>12</v>
      </c>
      <c r="F424" s="5" t="s">
        <v>14</v>
      </c>
      <c r="G424" s="3" t="s">
        <v>12</v>
      </c>
      <c r="P424" s="1329">
        <v>35</v>
      </c>
      <c r="Q424" s="1837">
        <v>7</v>
      </c>
      <c r="R424" s="1837" t="str">
        <v>Route Info</v>
      </c>
      <c r="S424" s="1837" t="str">
        <v>Road Block</v>
      </c>
      <c r="T424" s="1837" t="str">
        <v>Route Info</v>
      </c>
      <c r="U424" s="1837" t="str">
        <v>Route Info</v>
      </c>
      <c r="V424" s="1837" t="str">
        <v>Route Info</v>
      </c>
      <c r="W424" s="1837" t="str">
        <v>Detour</v>
      </c>
      <c r="X424" s="1837" t="str">
        <v>Road Block</v>
      </c>
      <c r="Y424" s="1837" t="str">
        <v>Route Info</v>
      </c>
      <c r="Z424" s="1837" t="str">
        <v/>
      </c>
      <c r="AA424" s="1837" t="str">
        <v/>
      </c>
      <c r="AB424" s="1837" t="str">
        <v/>
      </c>
      <c r="AC424" s="1837" t="str">
        <v/>
      </c>
      <c r="AD424" s="1837" t="str">
        <v/>
      </c>
      <c r="AE424" s="1837" t="str">
        <v>Germany</v>
      </c>
      <c r="AF424" s="1837" t="str">
        <v>Central Europe</v>
      </c>
      <c r="AG424" s="1837" t="str">
        <v>Yes</v>
      </c>
      <c r="AH424" s="1837" t="str">
        <v/>
      </c>
      <c r="AI424" s="1837" t="str">
        <v/>
      </c>
      <c r="AJ424" s="1110" t="str">
        <v>Greg &amp; John</v>
      </c>
    </row>
    <row r="425" spans="1:36">
      <c r="A425">
        <v>36</v>
      </c>
      <c r="B425">
        <v>2</v>
      </c>
      <c r="C425" s="3" t="s">
        <v>12</v>
      </c>
      <c r="D425" s="4" t="s">
        <v>13</v>
      </c>
      <c r="E425" s="3" t="s">
        <v>12</v>
      </c>
      <c r="F425" s="5" t="s">
        <v>14</v>
      </c>
      <c r="G425" s="3" t="s">
        <v>12</v>
      </c>
      <c r="P425" s="1329">
        <v>35</v>
      </c>
      <c r="Q425" s="1837">
        <v>8</v>
      </c>
      <c r="R425" s="1837" t="str">
        <v>Route Info</v>
      </c>
      <c r="S425" s="1837" t="str">
        <v>Road Block</v>
      </c>
      <c r="T425" s="1837" t="str">
        <v>Route Info</v>
      </c>
      <c r="U425" s="1837" t="str">
        <v>Express Pass</v>
      </c>
      <c r="V425" s="1837" t="str">
        <v>Route Info</v>
      </c>
      <c r="W425" s="1837" t="str">
        <v>Detour</v>
      </c>
      <c r="X425" s="1837" t="str">
        <v>Route Info</v>
      </c>
      <c r="Y425" s="1837" t="str">
        <v>Route Info</v>
      </c>
      <c r="Z425" s="1837" t="str">
        <v/>
      </c>
      <c r="AA425" s="1837" t="str">
        <v/>
      </c>
      <c r="AB425" s="1837" t="str">
        <v/>
      </c>
      <c r="AC425" s="1837" t="str">
        <v/>
      </c>
      <c r="AD425" s="1837" t="str">
        <v/>
      </c>
      <c r="AE425" s="1837" t="str">
        <v>Slovenia</v>
      </c>
      <c r="AF425" s="1837" t="str">
        <v>Central Europe</v>
      </c>
      <c r="AG425" s="1837" t="str">
        <v>Yes</v>
      </c>
      <c r="AH425" s="1837" t="str">
        <v>Express Pass</v>
      </c>
      <c r="AI425" s="1837">
        <v>4</v>
      </c>
      <c r="AJ425" s="1110" t="str">
        <v>Greg &amp; John</v>
      </c>
    </row>
    <row r="426" spans="1:36">
      <c r="A426">
        <v>36</v>
      </c>
      <c r="B426">
        <v>3</v>
      </c>
      <c r="C426" s="3" t="s">
        <v>12</v>
      </c>
      <c r="D426" s="4" t="s">
        <v>13</v>
      </c>
      <c r="E426" s="3" t="s">
        <v>12</v>
      </c>
      <c r="F426" s="5" t="s">
        <v>14</v>
      </c>
      <c r="G426" s="3" t="s">
        <v>12</v>
      </c>
      <c r="H426" s="12"/>
      <c r="P426" s="1329">
        <v>35</v>
      </c>
      <c r="Q426" s="1837">
        <v>9</v>
      </c>
      <c r="R426" s="1837" t="str">
        <v>Route Info</v>
      </c>
      <c r="S426" s="1837" t="str">
        <v>Road Block</v>
      </c>
      <c r="T426" s="1837" t="str">
        <v>Route Info</v>
      </c>
      <c r="U426" s="1837" t="str">
        <v>Route Info</v>
      </c>
      <c r="V426" s="1837" t="str">
        <v>Route Info</v>
      </c>
      <c r="W426" s="1837" t="str">
        <v>Detour</v>
      </c>
      <c r="X426" s="1837" t="str">
        <v>Route Info</v>
      </c>
      <c r="Y426" s="1837" t="str">
        <v/>
      </c>
      <c r="Z426" s="1837" t="str">
        <v/>
      </c>
      <c r="AA426" s="1837" t="str">
        <v/>
      </c>
      <c r="AB426" s="1837" t="str">
        <v/>
      </c>
      <c r="AC426" s="1837" t="str">
        <v/>
      </c>
      <c r="AD426" s="1837" t="str">
        <v/>
      </c>
      <c r="AE426" s="1837" t="str">
        <v>Slovenia</v>
      </c>
      <c r="AF426" s="1837" t="str">
        <v>Central Europe</v>
      </c>
      <c r="AG426" s="1837" t="str">
        <v>Yes</v>
      </c>
      <c r="AH426" s="1837" t="str">
        <v/>
      </c>
      <c r="AI426" s="1837" t="str">
        <v/>
      </c>
      <c r="AJ426" s="1110" t="str">
        <v>Greg &amp; John</v>
      </c>
    </row>
    <row r="427" spans="1:36">
      <c r="A427">
        <v>36</v>
      </c>
      <c r="B427">
        <v>4</v>
      </c>
      <c r="C427" s="3" t="s">
        <v>12</v>
      </c>
      <c r="D427" s="4" t="s">
        <v>13</v>
      </c>
      <c r="E427" s="3" t="s">
        <v>12</v>
      </c>
      <c r="F427" s="5" t="s">
        <v>14</v>
      </c>
      <c r="G427" s="3" t="s">
        <v>12</v>
      </c>
      <c r="H427" s="12"/>
      <c r="P427" s="1329">
        <v>35</v>
      </c>
      <c r="Q427" s="1837">
        <v>10</v>
      </c>
      <c r="R427" s="1837" t="str">
        <v>Route Info</v>
      </c>
      <c r="S427" s="1837" t="str">
        <v>Route Info</v>
      </c>
      <c r="T427" s="1837" t="str">
        <v>Route Info</v>
      </c>
      <c r="U427" s="1837" t="str">
        <v>Road Block</v>
      </c>
      <c r="V427" s="1837" t="str">
        <v>Route Info</v>
      </c>
      <c r="W427" s="1837" t="str">
        <v>Route Info</v>
      </c>
      <c r="X427" s="1837" t="str">
        <v>Detour</v>
      </c>
      <c r="Y427" s="1837" t="str">
        <v>Route Info</v>
      </c>
      <c r="Z427" s="1837" t="str">
        <v>Route Info</v>
      </c>
      <c r="AA427" s="1837" t="str">
        <v/>
      </c>
      <c r="AB427" s="1837" t="str">
        <v/>
      </c>
      <c r="AC427" s="1837" t="str">
        <v/>
      </c>
      <c r="AD427" s="1837" t="str">
        <v/>
      </c>
      <c r="AE427" s="1837" t="str">
        <v>Sweden</v>
      </c>
      <c r="AF427" s="1837" t="str">
        <v>Northern Europe</v>
      </c>
      <c r="AG427" s="1837" t="str">
        <v>Yes</v>
      </c>
      <c r="AH427" s="1837" t="str">
        <v/>
      </c>
      <c r="AI427" s="1837" t="str">
        <v/>
      </c>
      <c r="AJ427" s="1110" t="str">
        <v>Joel &amp; Garrett</v>
      </c>
    </row>
    <row r="428" spans="1:36">
      <c r="A428">
        <v>36</v>
      </c>
      <c r="B428">
        <v>5</v>
      </c>
      <c r="C428" s="3" t="s">
        <v>12</v>
      </c>
      <c r="D428" s="3" t="s">
        <v>12</v>
      </c>
      <c r="E428" s="5" t="s">
        <v>14</v>
      </c>
      <c r="F428" s="4" t="s">
        <v>13</v>
      </c>
      <c r="G428" s="3" t="s">
        <v>12</v>
      </c>
      <c r="P428" s="1329">
        <v>35</v>
      </c>
      <c r="Q428" s="1837">
        <v>11</v>
      </c>
      <c r="R428" s="1837" t="str">
        <v>Route Info</v>
      </c>
      <c r="S428" s="1837" t="str">
        <v>Route Info</v>
      </c>
      <c r="T428" s="1837" t="str">
        <v>Road Block</v>
      </c>
      <c r="U428" s="1837" t="str">
        <v>Route Info</v>
      </c>
      <c r="V428" s="1837" t="str">
        <v>Road Block</v>
      </c>
      <c r="W428" s="1837" t="str">
        <v>Route Info</v>
      </c>
      <c r="X428" s="1837" t="str">
        <v>Route Info</v>
      </c>
      <c r="Y428" s="1837" t="str">
        <v/>
      </c>
      <c r="Z428" s="1837" t="str">
        <v/>
      </c>
      <c r="AA428" s="1837" t="str">
        <v/>
      </c>
      <c r="AB428" s="1837" t="str">
        <v/>
      </c>
      <c r="AC428" s="1837" t="str">
        <v/>
      </c>
      <c r="AD428" s="1837" t="str">
        <v/>
      </c>
      <c r="AE428" s="1837" t="str">
        <v>Ireland</v>
      </c>
      <c r="AF428" s="1837" t="str">
        <v>Western Europe</v>
      </c>
      <c r="AG428" s="1837" t="str">
        <v>Yes</v>
      </c>
      <c r="AH428" s="1837" t="str">
        <v/>
      </c>
      <c r="AI428" s="1837" t="str">
        <v/>
      </c>
      <c r="AJ428" s="1110" t="str">
        <v>Rob &amp; Corey</v>
      </c>
    </row>
    <row r="429" spans="1:36">
      <c r="A429">
        <v>36</v>
      </c>
      <c r="B429" s="35">
        <v>6</v>
      </c>
      <c r="C429" s="3" t="s">
        <v>12</v>
      </c>
      <c r="D429" s="4" t="s">
        <v>13</v>
      </c>
      <c r="E429" s="3" t="s">
        <v>12</v>
      </c>
      <c r="F429" s="5" t="s">
        <v>14</v>
      </c>
      <c r="G429" s="3" t="s">
        <v>12</v>
      </c>
      <c r="H429" s="5" t="s">
        <v>14</v>
      </c>
      <c r="I429" s="3" t="s">
        <v>12</v>
      </c>
      <c r="J429" s="4" t="s">
        <v>13</v>
      </c>
      <c r="K429" s="3" t="s">
        <v>12</v>
      </c>
      <c r="P429" s="1329">
        <v>35</v>
      </c>
      <c r="Q429" s="1837" t="str">
        <v>Final</v>
      </c>
      <c r="R429" s="1837" t="str">
        <v>Route Info</v>
      </c>
      <c r="S429" s="1837" t="str">
        <v>Route Info</v>
      </c>
      <c r="T429" s="1837" t="str">
        <v>Route Info</v>
      </c>
      <c r="U429" s="1837" t="str">
        <v>Route Info</v>
      </c>
      <c r="V429" s="1837" t="str">
        <v>Route Info</v>
      </c>
      <c r="W429" s="1837" t="str">
        <v>Route Info</v>
      </c>
      <c r="X429" s="1837" t="str">
        <v>Route Info</v>
      </c>
      <c r="Y429" s="1837" t="str">
        <v>Route Info</v>
      </c>
      <c r="Z429" s="1837" t="str">
        <v/>
      </c>
      <c r="AA429" s="1837" t="str">
        <v/>
      </c>
      <c r="AB429" s="1837" t="str">
        <v/>
      </c>
      <c r="AC429" s="1837" t="str">
        <v/>
      </c>
      <c r="AD429" s="1837" t="str">
        <v/>
      </c>
      <c r="AE429" s="1837" t="str">
        <v>USA</v>
      </c>
      <c r="AF429" s="1837" t="str">
        <v>North America</v>
      </c>
      <c r="AG429" s="1837" t="str">
        <v>Final Leg</v>
      </c>
      <c r="AH429" s="1837" t="str">
        <v>Scramble</v>
      </c>
      <c r="AI429" s="1837">
        <v>3</v>
      </c>
      <c r="AJ429" s="1110" t="str">
        <v>Greg &amp; John</v>
      </c>
    </row>
    <row r="430" spans="1:36">
      <c r="A430">
        <v>36</v>
      </c>
      <c r="B430">
        <v>7</v>
      </c>
      <c r="C430" s="3" t="s">
        <v>12</v>
      </c>
      <c r="D430" s="5" t="s">
        <v>14</v>
      </c>
      <c r="E430" s="3" t="s">
        <v>12</v>
      </c>
      <c r="F430" s="4" t="s">
        <v>13</v>
      </c>
      <c r="G430" s="3" t="s">
        <v>12</v>
      </c>
      <c r="P430" s="1329">
        <v>36</v>
      </c>
      <c r="Q430" s="1837">
        <v>1</v>
      </c>
      <c r="R430" s="1837" t="str">
        <v>Route Info</v>
      </c>
      <c r="S430" s="1837" t="str">
        <v>Detour</v>
      </c>
      <c r="T430" s="1837" t="str">
        <v>Route Info</v>
      </c>
      <c r="U430" s="1837" t="str">
        <v>Road Block</v>
      </c>
      <c r="V430" s="1837" t="str">
        <v>Route Info</v>
      </c>
      <c r="W430" s="1837" t="str">
        <v/>
      </c>
      <c r="X430" s="1837" t="str">
        <v/>
      </c>
      <c r="Y430" s="1837" t="str">
        <v/>
      </c>
      <c r="Z430" s="1837" t="str">
        <v/>
      </c>
      <c r="AA430" s="1837" t="str">
        <v/>
      </c>
      <c r="AB430" s="1837" t="str">
        <v/>
      </c>
      <c r="AC430" s="1837" t="str">
        <v/>
      </c>
      <c r="AD430" s="1837" t="str">
        <v/>
      </c>
      <c r="AE430" s="1837" t="str">
        <v>Mexico</v>
      </c>
      <c r="AF430" s="1837" t="str">
        <v>North America</v>
      </c>
      <c r="AG430" s="1837" t="str">
        <v>Yes</v>
      </c>
      <c r="AH430" s="1837" t="str">
        <v/>
      </c>
      <c r="AI430" s="1837" t="str">
        <v/>
      </c>
      <c r="AJ430" s="1110" t="str">
        <v>Rod &amp; Leticia</v>
      </c>
    </row>
    <row r="431" spans="1:36">
      <c r="A431">
        <v>36</v>
      </c>
      <c r="B431">
        <v>8</v>
      </c>
      <c r="C431" s="3" t="s">
        <v>12</v>
      </c>
      <c r="D431" s="5" t="s">
        <v>14</v>
      </c>
      <c r="E431" s="3" t="s">
        <v>12</v>
      </c>
      <c r="F431" s="3" t="s">
        <v>12</v>
      </c>
      <c r="G431" s="4" t="s">
        <v>13</v>
      </c>
      <c r="H431" s="3" t="s">
        <v>12</v>
      </c>
      <c r="P431" s="1329">
        <v>36</v>
      </c>
      <c r="Q431" s="1837">
        <v>2</v>
      </c>
      <c r="R431" s="1837" t="str">
        <v>Route Info</v>
      </c>
      <c r="S431" s="1837" t="str">
        <v>Detour</v>
      </c>
      <c r="T431" s="1837" t="str">
        <v>Route Info</v>
      </c>
      <c r="U431" s="1837" t="str">
        <v>Road Block</v>
      </c>
      <c r="V431" s="1837" t="str">
        <v>Route Info</v>
      </c>
      <c r="W431" s="1837" t="str">
        <v/>
      </c>
      <c r="X431" s="1837" t="str">
        <v/>
      </c>
      <c r="Y431" s="1837" t="str">
        <v/>
      </c>
      <c r="Z431" s="1837" t="str">
        <v/>
      </c>
      <c r="AA431" s="1837" t="str">
        <v/>
      </c>
      <c r="AB431" s="1837" t="str">
        <v/>
      </c>
      <c r="AC431" s="1837" t="str">
        <v/>
      </c>
      <c r="AD431" s="1837" t="str">
        <v/>
      </c>
      <c r="AE431" s="1837" t="str">
        <v>Mexico</v>
      </c>
      <c r="AF431" s="1837" t="str">
        <v>North America</v>
      </c>
      <c r="AG431" s="1837" t="str">
        <v>Yes</v>
      </c>
      <c r="AH431" s="1837" t="str">
        <v/>
      </c>
      <c r="AI431" s="1837" t="str">
        <v/>
      </c>
      <c r="AJ431" s="1110" t="str">
        <v>Rod &amp; Leticia</v>
      </c>
    </row>
    <row r="432" spans="1:36">
      <c r="A432">
        <v>36</v>
      </c>
      <c r="B432">
        <v>9</v>
      </c>
      <c r="C432" s="3" t="s">
        <v>12</v>
      </c>
      <c r="D432" s="5" t="s">
        <v>14</v>
      </c>
      <c r="E432" s="3" t="s">
        <v>12</v>
      </c>
      <c r="F432" s="3" t="s">
        <v>12</v>
      </c>
      <c r="G432" s="3" t="s">
        <v>12</v>
      </c>
      <c r="H432" s="5" t="s">
        <v>14</v>
      </c>
      <c r="I432" s="3" t="s">
        <v>12</v>
      </c>
      <c r="J432" s="3" t="s">
        <v>12</v>
      </c>
      <c r="P432" s="1329">
        <v>36</v>
      </c>
      <c r="Q432" s="1837">
        <v>3</v>
      </c>
      <c r="R432" s="1837" t="str">
        <v>Route Info</v>
      </c>
      <c r="S432" s="1837" t="str">
        <v>Detour</v>
      </c>
      <c r="T432" s="1837" t="str">
        <v>Route Info</v>
      </c>
      <c r="U432" s="1837" t="str">
        <v>Road Block</v>
      </c>
      <c r="V432" s="1837" t="str">
        <v>Route Info</v>
      </c>
      <c r="W432" s="1837" t="str">
        <v/>
      </c>
      <c r="X432" s="1837" t="str">
        <v/>
      </c>
      <c r="Y432" s="1837" t="str">
        <v/>
      </c>
      <c r="Z432" s="1837" t="str">
        <v/>
      </c>
      <c r="AA432" s="1837" t="str">
        <v/>
      </c>
      <c r="AB432" s="1837" t="str">
        <v/>
      </c>
      <c r="AC432" s="1837" t="str">
        <v/>
      </c>
      <c r="AD432" s="1837" t="str">
        <v/>
      </c>
      <c r="AE432" s="1837" t="str">
        <v>Colombia</v>
      </c>
      <c r="AF432" s="1837" t="str">
        <v>South America</v>
      </c>
      <c r="AG432" s="1837" t="str">
        <v>Yes</v>
      </c>
      <c r="AH432" s="1837" t="str">
        <v/>
      </c>
      <c r="AI432" s="1837" t="str">
        <v/>
      </c>
      <c r="AJ432" s="1110" t="str">
        <v>Ricky &amp; Cesar</v>
      </c>
    </row>
    <row r="433" spans="1:36">
      <c r="A433">
        <v>36</v>
      </c>
      <c r="B433">
        <v>10</v>
      </c>
      <c r="C433" s="3" t="s">
        <v>12</v>
      </c>
      <c r="D433" s="4" t="s">
        <v>13</v>
      </c>
      <c r="E433" s="3" t="s">
        <v>12</v>
      </c>
      <c r="F433" s="5" t="s">
        <v>14</v>
      </c>
      <c r="G433" s="3" t="s">
        <v>12</v>
      </c>
      <c r="H433" s="3" t="s">
        <v>12</v>
      </c>
      <c r="P433" s="1329">
        <v>36</v>
      </c>
      <c r="Q433" s="1837">
        <v>4</v>
      </c>
      <c r="R433" s="1837" t="str">
        <v>Route Info</v>
      </c>
      <c r="S433" s="1837" t="str">
        <v>Detour</v>
      </c>
      <c r="T433" s="1837" t="str">
        <v>Route Info</v>
      </c>
      <c r="U433" s="1837" t="str">
        <v>Road Block</v>
      </c>
      <c r="V433" s="1837" t="str">
        <v>Route Info</v>
      </c>
      <c r="W433" s="1837" t="str">
        <v/>
      </c>
      <c r="X433" s="1837" t="str">
        <v/>
      </c>
      <c r="Y433" s="1837" t="str">
        <v/>
      </c>
      <c r="Z433" s="1837" t="str">
        <v/>
      </c>
      <c r="AA433" s="1837" t="str">
        <v/>
      </c>
      <c r="AB433" s="1837" t="str">
        <v/>
      </c>
      <c r="AC433" s="1837" t="str">
        <v/>
      </c>
      <c r="AD433" s="1837" t="str">
        <v/>
      </c>
      <c r="AE433" s="1837" t="str">
        <v>Colombia</v>
      </c>
      <c r="AF433" s="1837" t="str">
        <v>South America</v>
      </c>
      <c r="AG433" s="1837" t="str">
        <v>Yes</v>
      </c>
      <c r="AH433" s="1837" t="str">
        <v/>
      </c>
      <c r="AI433" s="1837" t="str">
        <v/>
      </c>
      <c r="AJ433" s="1110" t="str">
        <v>Ricky &amp; Cesar</v>
      </c>
    </row>
    <row r="434" spans="1:36">
      <c r="A434">
        <v>36</v>
      </c>
      <c r="B434" t="s">
        <v>2810</v>
      </c>
      <c r="C434" s="3" t="s">
        <v>12</v>
      </c>
      <c r="D434" s="5" t="s">
        <v>14</v>
      </c>
      <c r="E434" s="3" t="s">
        <v>12</v>
      </c>
      <c r="F434" s="3" t="s">
        <v>12</v>
      </c>
      <c r="G434" s="3" t="s">
        <v>12</v>
      </c>
      <c r="H434" s="3" t="s">
        <v>12</v>
      </c>
      <c r="I434" s="5" t="s">
        <v>14</v>
      </c>
      <c r="J434" s="3" t="s">
        <v>12</v>
      </c>
      <c r="K434" s="3" t="s">
        <v>12</v>
      </c>
      <c r="L434" s="3" t="s">
        <v>12</v>
      </c>
      <c r="P434" s="1329">
        <v>36</v>
      </c>
      <c r="Q434" s="1837">
        <v>5</v>
      </c>
      <c r="R434" s="1837" t="str">
        <v>Route Info</v>
      </c>
      <c r="S434" s="1837" t="str">
        <v>Route Info</v>
      </c>
      <c r="T434" s="1837" t="str">
        <v>Road Block</v>
      </c>
      <c r="U434" s="1837" t="str">
        <v>Detour</v>
      </c>
      <c r="V434" s="1837" t="str">
        <v>Route Info</v>
      </c>
      <c r="W434" s="1837" t="str">
        <v/>
      </c>
      <c r="X434" s="1837" t="str">
        <v/>
      </c>
      <c r="Y434" s="1837" t="str">
        <v/>
      </c>
      <c r="Z434" s="1837" t="str">
        <v/>
      </c>
      <c r="AA434" s="1837" t="str">
        <v/>
      </c>
      <c r="AB434" s="1837" t="str">
        <v/>
      </c>
      <c r="AC434" s="1837" t="str">
        <v/>
      </c>
      <c r="AD434" s="1837" t="str">
        <v/>
      </c>
      <c r="AE434" s="1837" t="str">
        <v>Chile</v>
      </c>
      <c r="AF434" s="1837" t="str">
        <v>South America</v>
      </c>
      <c r="AG434" s="1837" t="str">
        <v>Yes</v>
      </c>
      <c r="AH434" s="1837" t="str">
        <v/>
      </c>
      <c r="AI434" s="1837" t="str">
        <v/>
      </c>
      <c r="AJ434" s="1110" t="str">
        <v>Ricky &amp; Cesar</v>
      </c>
    </row>
    <row r="435" spans="1:36" ht="16.5" thickBot="1">
      <c r="A435">
        <v>37</v>
      </c>
      <c r="B435">
        <v>1</v>
      </c>
      <c r="C435" s="3" t="s">
        <v>12</v>
      </c>
      <c r="D435" s="3" t="s">
        <v>12</v>
      </c>
      <c r="E435" s="5" t="s">
        <v>14</v>
      </c>
      <c r="F435" s="3" t="s">
        <v>12</v>
      </c>
      <c r="G435" s="529" t="s">
        <v>1966</v>
      </c>
      <c r="H435" s="3" t="s">
        <v>12</v>
      </c>
      <c r="P435" s="1329">
        <v>36</v>
      </c>
      <c r="Q435" s="1837">
        <v>6</v>
      </c>
      <c r="R435" s="1837" t="str">
        <v>Route Info</v>
      </c>
      <c r="S435" s="1837" t="str">
        <v>Detour</v>
      </c>
      <c r="T435" s="1837" t="str">
        <v>Route Info</v>
      </c>
      <c r="U435" s="1837" t="str">
        <v>Road Block</v>
      </c>
      <c r="V435" s="1837" t="str">
        <v>Route Info</v>
      </c>
      <c r="W435" s="1837" t="str">
        <v>Road Block</v>
      </c>
      <c r="X435" s="1837" t="str">
        <v>Route Info</v>
      </c>
      <c r="Y435" s="1837" t="str">
        <v>Detour</v>
      </c>
      <c r="Z435" s="1837" t="str">
        <v>Route Info</v>
      </c>
      <c r="AA435" s="1837" t="str">
        <v/>
      </c>
      <c r="AB435" s="1837" t="str">
        <v/>
      </c>
      <c r="AC435" s="1837" t="str">
        <v/>
      </c>
      <c r="AD435" s="1837" t="str">
        <v/>
      </c>
      <c r="AE435" s="1837" t="str">
        <v>Argentina</v>
      </c>
      <c r="AF435" s="1837" t="str">
        <v>South America</v>
      </c>
      <c r="AG435" s="1837" t="str">
        <v>Yes</v>
      </c>
      <c r="AH435" s="1837" t="str">
        <v/>
      </c>
      <c r="AI435" s="1837" t="str">
        <v/>
      </c>
      <c r="AJ435" s="1110" t="str">
        <v>Juan &amp; Shane</v>
      </c>
    </row>
    <row r="436" spans="1:36" ht="16.5" thickBot="1">
      <c r="A436">
        <v>37</v>
      </c>
      <c r="B436">
        <v>2</v>
      </c>
      <c r="C436" s="3" t="s">
        <v>12</v>
      </c>
      <c r="D436" s="3" t="s">
        <v>12</v>
      </c>
      <c r="E436" s="784" t="s">
        <v>14</v>
      </c>
      <c r="F436" s="3" t="s">
        <v>12</v>
      </c>
      <c r="G436" s="4" t="s">
        <v>13</v>
      </c>
      <c r="H436" s="3" t="s">
        <v>12</v>
      </c>
      <c r="P436" s="1329">
        <v>36</v>
      </c>
      <c r="Q436" s="1837">
        <v>7</v>
      </c>
      <c r="R436" s="1837" t="str">
        <v>Route Info</v>
      </c>
      <c r="S436" s="1837" t="str">
        <v>Road Block</v>
      </c>
      <c r="T436" s="1837" t="str">
        <v>Route Info</v>
      </c>
      <c r="U436" s="1837" t="str">
        <v>Detour</v>
      </c>
      <c r="V436" s="1837" t="str">
        <v>Route Info</v>
      </c>
      <c r="W436" s="1837" t="str">
        <v/>
      </c>
      <c r="X436" s="1837" t="str">
        <v/>
      </c>
      <c r="Y436" s="1837" t="str">
        <v/>
      </c>
      <c r="Z436" s="1837" t="str">
        <v/>
      </c>
      <c r="AA436" s="1837" t="str">
        <v/>
      </c>
      <c r="AB436" s="1837" t="str">
        <v/>
      </c>
      <c r="AC436" s="1837" t="str">
        <v/>
      </c>
      <c r="AD436" s="1837" t="str">
        <v/>
      </c>
      <c r="AE436" s="1837" t="str">
        <v>Uruguay</v>
      </c>
      <c r="AF436" s="1837" t="str">
        <v>South America</v>
      </c>
      <c r="AG436" s="1837" t="str">
        <v>Yes</v>
      </c>
      <c r="AH436" s="1837" t="str">
        <v/>
      </c>
      <c r="AI436" s="1837" t="str">
        <v/>
      </c>
      <c r="AJ436" s="1110" t="str">
        <v>Ricky &amp; Cesar</v>
      </c>
    </row>
    <row r="437" spans="1:36" ht="16.5" thickBot="1">
      <c r="A437">
        <v>37</v>
      </c>
      <c r="B437">
        <v>3</v>
      </c>
      <c r="C437" s="3" t="s">
        <v>12</v>
      </c>
      <c r="D437" s="3" t="s">
        <v>12</v>
      </c>
      <c r="E437" s="785" t="s">
        <v>14</v>
      </c>
      <c r="F437" s="3" t="s">
        <v>12</v>
      </c>
      <c r="G437" s="4" t="s">
        <v>13</v>
      </c>
      <c r="H437" s="3" t="s">
        <v>12</v>
      </c>
      <c r="P437" s="1329">
        <v>36</v>
      </c>
      <c r="Q437" s="1837">
        <v>8</v>
      </c>
      <c r="R437" s="1837" t="str">
        <v>Route Info</v>
      </c>
      <c r="S437" s="1837" t="str">
        <v>Road Block</v>
      </c>
      <c r="T437" s="1837" t="str">
        <v>Route Info</v>
      </c>
      <c r="U437" s="1837" t="str">
        <v>Route Info</v>
      </c>
      <c r="V437" s="1837" t="str">
        <v>Detour</v>
      </c>
      <c r="W437" s="1837" t="str">
        <v>Route Info</v>
      </c>
      <c r="X437" s="1837" t="str">
        <v/>
      </c>
      <c r="Y437" s="1837" t="str">
        <v/>
      </c>
      <c r="Z437" s="1837" t="str">
        <v/>
      </c>
      <c r="AA437" s="1837" t="str">
        <v/>
      </c>
      <c r="AB437" s="1837" t="str">
        <v/>
      </c>
      <c r="AC437" s="1837" t="str">
        <v/>
      </c>
      <c r="AD437" s="1837" t="str">
        <v/>
      </c>
      <c r="AE437" s="1837" t="str">
        <v>Barbados</v>
      </c>
      <c r="AF437" s="1837" t="str">
        <v>Caribbean</v>
      </c>
      <c r="AG437" s="1837" t="str">
        <v>Yes</v>
      </c>
      <c r="AH437" s="1837" t="str">
        <v/>
      </c>
      <c r="AI437" s="1837" t="str">
        <v/>
      </c>
      <c r="AJ437" s="1110" t="str">
        <v>Ricky &amp; Cesar</v>
      </c>
    </row>
    <row r="438" spans="1:36" ht="16.5" thickBot="1">
      <c r="A438">
        <v>37</v>
      </c>
      <c r="B438">
        <v>4</v>
      </c>
      <c r="C438" s="3" t="s">
        <v>12</v>
      </c>
      <c r="D438" s="3" t="s">
        <v>12</v>
      </c>
      <c r="E438" s="786" t="s">
        <v>12</v>
      </c>
      <c r="F438" s="617" t="s">
        <v>14</v>
      </c>
      <c r="G438" s="3" t="s">
        <v>12</v>
      </c>
      <c r="H438" s="4" t="s">
        <v>13</v>
      </c>
      <c r="I438" s="3" t="s">
        <v>12</v>
      </c>
      <c r="P438" s="1329">
        <v>36</v>
      </c>
      <c r="Q438" s="1837">
        <v>9</v>
      </c>
      <c r="R438" s="1837" t="str">
        <v>Route Info</v>
      </c>
      <c r="S438" s="1837" t="str">
        <v>Road Block</v>
      </c>
      <c r="T438" s="1837" t="str">
        <v>Route Info</v>
      </c>
      <c r="U438" s="1837" t="str">
        <v>Route Info</v>
      </c>
      <c r="V438" s="1837" t="str">
        <v>Route Info</v>
      </c>
      <c r="W438" s="1837" t="str">
        <v>Road Block</v>
      </c>
      <c r="X438" s="1837" t="str">
        <v>Route Info</v>
      </c>
      <c r="Y438" s="1837" t="str">
        <v>Route Info</v>
      </c>
      <c r="Z438" s="1837" t="str">
        <v/>
      </c>
      <c r="AA438" s="1837" t="str">
        <v/>
      </c>
      <c r="AB438" s="1837" t="str">
        <v/>
      </c>
      <c r="AC438" s="1837" t="str">
        <v/>
      </c>
      <c r="AD438" s="1837" t="str">
        <v/>
      </c>
      <c r="AE438" s="1837" t="str">
        <v>Dominican Republic</v>
      </c>
      <c r="AF438" s="1837" t="str">
        <v>Caribbean</v>
      </c>
      <c r="AG438" s="1837" t="str">
        <v>Yes</v>
      </c>
      <c r="AH438" s="1837" t="str">
        <v/>
      </c>
      <c r="AI438" s="1837" t="str">
        <v/>
      </c>
      <c r="AJ438" s="1110" t="str">
        <v>Ricky &amp; Cesar</v>
      </c>
    </row>
    <row r="439" spans="1:36" ht="16.5" thickBot="1">
      <c r="A439">
        <v>37</v>
      </c>
      <c r="B439">
        <v>5</v>
      </c>
      <c r="C439" s="1584" t="s">
        <v>12</v>
      </c>
      <c r="D439" s="3" t="s">
        <v>12</v>
      </c>
      <c r="E439" s="4" t="s">
        <v>13</v>
      </c>
      <c r="F439" s="3" t="s">
        <v>12</v>
      </c>
      <c r="G439" s="5" t="s">
        <v>14</v>
      </c>
      <c r="H439" s="3" t="s">
        <v>12</v>
      </c>
      <c r="P439" s="1329">
        <v>36</v>
      </c>
      <c r="Q439" s="1837">
        <v>10</v>
      </c>
      <c r="R439" s="1837" t="str">
        <v>Route Info</v>
      </c>
      <c r="S439" s="1837" t="str">
        <v>Detour</v>
      </c>
      <c r="T439" s="1837" t="str">
        <v>Route Info</v>
      </c>
      <c r="U439" s="1837" t="str">
        <v>Road Block</v>
      </c>
      <c r="V439" s="1837" t="str">
        <v>Route Info</v>
      </c>
      <c r="W439" s="1837" t="str">
        <v>Route Info</v>
      </c>
      <c r="X439" s="1837" t="str">
        <v/>
      </c>
      <c r="Y439" s="1837" t="str">
        <v/>
      </c>
      <c r="Z439" s="1837" t="str">
        <v/>
      </c>
      <c r="AA439" s="1837" t="str">
        <v/>
      </c>
      <c r="AB439" s="1837" t="str">
        <v/>
      </c>
      <c r="AC439" s="1837" t="str">
        <v/>
      </c>
      <c r="AD439" s="1837" t="str">
        <v/>
      </c>
      <c r="AE439" s="1837" t="str">
        <v>Dominican Republic</v>
      </c>
      <c r="AF439" s="1837" t="str">
        <v>Caribbean</v>
      </c>
      <c r="AG439" s="1837" t="str">
        <v>Yes</v>
      </c>
      <c r="AH439" s="1837" t="str">
        <v/>
      </c>
      <c r="AI439" s="1837" t="str">
        <v/>
      </c>
      <c r="AJ439" s="1110" t="str">
        <v>Rod &amp; Leticia</v>
      </c>
    </row>
    <row r="440" spans="1:36" ht="16.5" thickBot="1">
      <c r="A440">
        <v>37</v>
      </c>
      <c r="B440">
        <v>6</v>
      </c>
      <c r="C440" s="3" t="s">
        <v>12</v>
      </c>
      <c r="D440" s="5" t="s">
        <v>14</v>
      </c>
      <c r="E440" s="19" t="s">
        <v>71</v>
      </c>
      <c r="F440" s="3" t="s">
        <v>12</v>
      </c>
      <c r="G440" s="3" t="s">
        <v>12</v>
      </c>
      <c r="H440" s="3" t="s">
        <v>12</v>
      </c>
      <c r="I440" s="5" t="s">
        <v>14</v>
      </c>
      <c r="J440" s="3" t="s">
        <v>12</v>
      </c>
      <c r="P440" s="1329">
        <v>36</v>
      </c>
      <c r="Q440" s="1837" t="str">
        <v>Final</v>
      </c>
      <c r="R440" s="1837" t="str">
        <v>Route Info</v>
      </c>
      <c r="S440" s="1837" t="str">
        <v>Road Block</v>
      </c>
      <c r="T440" s="1837" t="str">
        <v>Route Info</v>
      </c>
      <c r="U440" s="1837" t="str">
        <v>Route Info</v>
      </c>
      <c r="V440" s="1837" t="str">
        <v>Route Info</v>
      </c>
      <c r="W440" s="1837" t="str">
        <v>Route Info</v>
      </c>
      <c r="X440" s="1837" t="str">
        <v>Road Block</v>
      </c>
      <c r="Y440" s="1837" t="str">
        <v>Route Info</v>
      </c>
      <c r="Z440" s="1837" t="str">
        <v>Route Info</v>
      </c>
      <c r="AA440" s="1837" t="str">
        <v>Route Info</v>
      </c>
      <c r="AB440" s="1837" t="str">
        <v/>
      </c>
      <c r="AC440" s="1837" t="str">
        <v/>
      </c>
      <c r="AD440" s="1837" t="str">
        <v/>
      </c>
      <c r="AE440" s="1837" t="str">
        <v>USA</v>
      </c>
      <c r="AF440" s="1837" t="str">
        <v>North America</v>
      </c>
      <c r="AG440" s="1837" t="str">
        <v>Final Leg</v>
      </c>
      <c r="AH440" s="1837" t="str">
        <v/>
      </c>
      <c r="AI440" s="1837" t="str">
        <v/>
      </c>
      <c r="AJ440" s="1110" t="str">
        <v>Ricky &amp; Cesar</v>
      </c>
    </row>
    <row r="441" spans="1:36" ht="16.5" thickBot="1">
      <c r="A441">
        <v>37</v>
      </c>
      <c r="B441">
        <v>7</v>
      </c>
      <c r="C441" s="3" t="s">
        <v>12</v>
      </c>
      <c r="D441" s="3" t="s">
        <v>12</v>
      </c>
      <c r="E441" s="3" t="s">
        <v>12</v>
      </c>
      <c r="F441" s="3" t="s">
        <v>12</v>
      </c>
      <c r="G441" s="4" t="s">
        <v>13</v>
      </c>
      <c r="H441" s="3" t="s">
        <v>12</v>
      </c>
      <c r="I441" s="787" t="s">
        <v>12</v>
      </c>
      <c r="J441" s="5" t="s">
        <v>14</v>
      </c>
      <c r="K441" s="3" t="s">
        <v>12</v>
      </c>
      <c r="P441" s="1329">
        <v>37</v>
      </c>
      <c r="Q441" s="1837">
        <v>1</v>
      </c>
      <c r="R441" s="1837" t="str">
        <v>Route Info</v>
      </c>
      <c r="S441" s="1837" t="str">
        <v>Route Info</v>
      </c>
      <c r="T441" s="1837" t="str">
        <v>Road Block</v>
      </c>
      <c r="U441" s="1837" t="str">
        <v>Route Info</v>
      </c>
      <c r="V441" s="1837" t="str">
        <v>Fork-in-Road</v>
      </c>
      <c r="W441" s="1837" t="str">
        <v>Route Info</v>
      </c>
      <c r="X441" s="1837" t="str">
        <v/>
      </c>
      <c r="Y441" s="1837" t="str">
        <v/>
      </c>
      <c r="Z441" s="1837" t="str">
        <v/>
      </c>
      <c r="AA441" s="1837" t="str">
        <v/>
      </c>
      <c r="AB441" s="1837" t="str">
        <v/>
      </c>
      <c r="AC441" s="1837" t="str">
        <v/>
      </c>
      <c r="AD441" s="1837" t="str">
        <v/>
      </c>
      <c r="AE441" s="1837" t="str">
        <v>China</v>
      </c>
      <c r="AF441" s="1837" t="str">
        <v>East Asia</v>
      </c>
      <c r="AG441" s="1837" t="str">
        <v>Yes x2</v>
      </c>
      <c r="AH441" s="1837" t="str">
        <v/>
      </c>
      <c r="AI441" s="1837" t="str">
        <v/>
      </c>
      <c r="AJ441" s="1110" t="str">
        <v>Carson &amp; Jack\nAlyssa &amp; Josiah</v>
      </c>
    </row>
    <row r="442" spans="1:36">
      <c r="A442">
        <v>37</v>
      </c>
      <c r="B442">
        <v>8</v>
      </c>
      <c r="C442" s="187" t="s">
        <v>87</v>
      </c>
      <c r="D442" s="3" t="s">
        <v>12</v>
      </c>
      <c r="E442" s="3" t="s">
        <v>12</v>
      </c>
      <c r="F442" s="3" t="s">
        <v>12</v>
      </c>
      <c r="G442" s="3" t="s">
        <v>12</v>
      </c>
      <c r="H442" s="3" t="s">
        <v>12</v>
      </c>
      <c r="I442" s="3" t="s">
        <v>12</v>
      </c>
      <c r="J442" s="3" t="s">
        <v>12</v>
      </c>
      <c r="K442" s="5" t="s">
        <v>14</v>
      </c>
      <c r="L442" s="3" t="s">
        <v>12</v>
      </c>
      <c r="P442" s="1329">
        <v>37</v>
      </c>
      <c r="Q442" s="1837">
        <v>2</v>
      </c>
      <c r="R442" s="1837" t="str">
        <v>Route Info</v>
      </c>
      <c r="S442" s="1837" t="str">
        <v>Route Info</v>
      </c>
      <c r="T442" s="1837" t="str">
        <v>Road Block</v>
      </c>
      <c r="U442" s="1837" t="str">
        <v>Route Info</v>
      </c>
      <c r="V442" s="1837" t="str">
        <v>Detour</v>
      </c>
      <c r="W442" s="1837" t="str">
        <v>Route Info</v>
      </c>
      <c r="X442" s="1837" t="str">
        <v/>
      </c>
      <c r="Y442" s="1837" t="str">
        <v/>
      </c>
      <c r="Z442" s="1837" t="str">
        <v/>
      </c>
      <c r="AA442" s="1837" t="str">
        <v/>
      </c>
      <c r="AB442" s="1837" t="str">
        <v/>
      </c>
      <c r="AC442" s="1837" t="str">
        <v/>
      </c>
      <c r="AD442" s="1837" t="str">
        <v/>
      </c>
      <c r="AE442" s="1837" t="str">
        <v>Japan</v>
      </c>
      <c r="AF442" s="1837" t="str">
        <v>East Asia</v>
      </c>
      <c r="AG442" s="1837" t="str">
        <v>Yes</v>
      </c>
      <c r="AH442" s="1837" t="str">
        <v>Intersection</v>
      </c>
      <c r="AI442" s="1837">
        <v>3</v>
      </c>
      <c r="AJ442" s="1110" t="str">
        <v>Jonathan &amp; Ana</v>
      </c>
    </row>
    <row r="443" spans="1:36" ht="16.5" thickBot="1">
      <c r="A443">
        <v>37</v>
      </c>
      <c r="B443">
        <v>9</v>
      </c>
      <c r="C443" s="3" t="s">
        <v>12</v>
      </c>
      <c r="D443" s="3" t="s">
        <v>12</v>
      </c>
      <c r="E443" s="4" t="s">
        <v>13</v>
      </c>
      <c r="F443" s="3" t="s">
        <v>12</v>
      </c>
      <c r="G443" s="3" t="s">
        <v>12</v>
      </c>
      <c r="H443" s="3" t="s">
        <v>12</v>
      </c>
      <c r="I443" s="5" t="s">
        <v>14</v>
      </c>
      <c r="J443" s="3" t="s">
        <v>12</v>
      </c>
      <c r="P443" s="1329">
        <v>37</v>
      </c>
      <c r="Q443" s="1837">
        <v>3</v>
      </c>
      <c r="R443" s="1837" t="str">
        <v>Route Info</v>
      </c>
      <c r="S443" s="1837" t="str">
        <v>Route Info</v>
      </c>
      <c r="T443" s="1837" t="str">
        <v>Road Block</v>
      </c>
      <c r="U443" s="1837" t="str">
        <v>Route Info</v>
      </c>
      <c r="V443" s="1837" t="str">
        <v>Detour</v>
      </c>
      <c r="W443" s="1837" t="str">
        <v>Route Info</v>
      </c>
      <c r="X443" s="1837" t="str">
        <v/>
      </c>
      <c r="Y443" s="1837" t="str">
        <v/>
      </c>
      <c r="Z443" s="1837" t="str">
        <v/>
      </c>
      <c r="AA443" s="1837" t="str">
        <v/>
      </c>
      <c r="AB443" s="1837" t="str">
        <v/>
      </c>
      <c r="AC443" s="1837" t="str">
        <v/>
      </c>
      <c r="AD443" s="1837" t="str">
        <v/>
      </c>
      <c r="AE443" s="1837" t="str">
        <v>Japan</v>
      </c>
      <c r="AF443" s="1837" t="str">
        <v>East Asia</v>
      </c>
      <c r="AG443" s="1837" t="str">
        <v>Yes</v>
      </c>
      <c r="AH443" s="1837" t="str">
        <v>Express Pass</v>
      </c>
      <c r="AI443" s="1837">
        <v>3</v>
      </c>
      <c r="AJ443" s="1110" t="str">
        <v>Scott &amp; Lori</v>
      </c>
    </row>
    <row r="444" spans="1:36" ht="16.5" thickBot="1">
      <c r="A444">
        <v>37</v>
      </c>
      <c r="B444">
        <v>10</v>
      </c>
      <c r="C444" s="3" t="s">
        <v>12</v>
      </c>
      <c r="D444" s="3" t="s">
        <v>12</v>
      </c>
      <c r="E444" s="785" t="s">
        <v>14</v>
      </c>
      <c r="F444" s="3" t="s">
        <v>12</v>
      </c>
      <c r="G444" s="3" t="s">
        <v>12</v>
      </c>
      <c r="H444" s="3" t="s">
        <v>12</v>
      </c>
      <c r="I444" s="4" t="s">
        <v>13</v>
      </c>
      <c r="J444" s="3" t="s">
        <v>12</v>
      </c>
      <c r="K444" s="384"/>
      <c r="L444" s="384"/>
      <c r="P444" s="1329">
        <v>37</v>
      </c>
      <c r="Q444" s="1837">
        <v>4</v>
      </c>
      <c r="R444" s="1837" t="str">
        <v>Route Info</v>
      </c>
      <c r="S444" s="1837" t="str">
        <v>Route Info</v>
      </c>
      <c r="T444" s="1837" t="str">
        <v>Route Info</v>
      </c>
      <c r="U444" s="1837" t="str">
        <v>Road Block</v>
      </c>
      <c r="V444" s="1837" t="str">
        <v>Route Info</v>
      </c>
      <c r="W444" s="1837" t="str">
        <v>Detour</v>
      </c>
      <c r="X444" s="1837" t="str">
        <v>Route Info</v>
      </c>
      <c r="Y444" s="1837" t="str">
        <v/>
      </c>
      <c r="Z444" s="1837" t="str">
        <v/>
      </c>
      <c r="AA444" s="1837" t="str">
        <v/>
      </c>
      <c r="AB444" s="1837" t="str">
        <v/>
      </c>
      <c r="AC444" s="1837" t="str">
        <v/>
      </c>
      <c r="AD444" s="1837" t="str">
        <v/>
      </c>
      <c r="AE444" s="1837" t="str">
        <v>Indonesia</v>
      </c>
      <c r="AF444" s="1837" t="str">
        <v>South East Asia</v>
      </c>
      <c r="AG444" s="1837" t="str">
        <v>Yes</v>
      </c>
      <c r="AH444" s="1837" t="str">
        <v>Driver's Seat</v>
      </c>
      <c r="AI444" s="1837">
        <v>4</v>
      </c>
      <c r="AJ444" s="1110" t="str">
        <v>Jonathan &amp; Ana</v>
      </c>
    </row>
    <row r="445" spans="1:36" ht="16.5" thickBot="1">
      <c r="A445">
        <v>37</v>
      </c>
      <c r="B445">
        <v>11</v>
      </c>
      <c r="C445" s="3" t="s">
        <v>12</v>
      </c>
      <c r="D445" s="3" t="s">
        <v>12</v>
      </c>
      <c r="E445" s="3" t="s">
        <v>12</v>
      </c>
      <c r="F445" s="3" t="s">
        <v>12</v>
      </c>
      <c r="G445" s="5" t="s">
        <v>14</v>
      </c>
      <c r="H445" s="3" t="s">
        <v>12</v>
      </c>
      <c r="I445" s="3" t="s">
        <v>12</v>
      </c>
      <c r="J445" s="3" t="s">
        <v>12</v>
      </c>
      <c r="P445" s="1329">
        <v>37</v>
      </c>
      <c r="Q445" s="1837">
        <v>5</v>
      </c>
      <c r="R445" s="1837" t="str">
        <v>Route Info</v>
      </c>
      <c r="S445" s="1837" t="str">
        <v>Route Info</v>
      </c>
      <c r="T445" s="1837" t="str">
        <v>Detour</v>
      </c>
      <c r="U445" s="1837" t="str">
        <v>Route Info</v>
      </c>
      <c r="V445" s="1837" t="str">
        <v>Road Block</v>
      </c>
      <c r="W445" s="1837" t="str">
        <v>Route Info</v>
      </c>
      <c r="X445" s="1837" t="str">
        <v/>
      </c>
      <c r="Y445" s="1837" t="str">
        <v/>
      </c>
      <c r="Z445" s="1837" t="str">
        <v/>
      </c>
      <c r="AA445" s="1837" t="str">
        <v/>
      </c>
      <c r="AB445" s="1837" t="str">
        <v/>
      </c>
      <c r="AC445" s="1837" t="str">
        <v/>
      </c>
      <c r="AD445" s="1837" t="str">
        <v/>
      </c>
      <c r="AE445" s="1837" t="str">
        <v>Indonesia</v>
      </c>
      <c r="AF445" s="1837" t="str">
        <v>South East Asia</v>
      </c>
      <c r="AG445" s="1837" t="str">
        <v>Yes</v>
      </c>
      <c r="AH445" s="1837" t="str">
        <v>Double U-Turn</v>
      </c>
      <c r="AI445" s="1837">
        <v>1</v>
      </c>
      <c r="AJ445" s="1110" t="str">
        <v>Brett &amp; Mark</v>
      </c>
    </row>
    <row r="446" spans="1:36" ht="16.5" thickBot="1">
      <c r="A446">
        <v>37</v>
      </c>
      <c r="B446" t="s">
        <v>2810</v>
      </c>
      <c r="C446" s="788" t="s">
        <v>12</v>
      </c>
      <c r="D446" s="789" t="s">
        <v>12</v>
      </c>
      <c r="E446" s="790" t="s">
        <v>14</v>
      </c>
      <c r="F446" s="791" t="s">
        <v>12</v>
      </c>
      <c r="G446" s="3" t="s">
        <v>12</v>
      </c>
      <c r="H446" s="3" t="s">
        <v>12</v>
      </c>
      <c r="I446" s="3" t="s">
        <v>12</v>
      </c>
      <c r="J446" s="3" t="s">
        <v>12</v>
      </c>
      <c r="P446" s="1329">
        <v>37</v>
      </c>
      <c r="Q446" s="1837">
        <v>6</v>
      </c>
      <c r="R446" s="1837" t="str">
        <v>Route Info</v>
      </c>
      <c r="S446" s="1837" t="str">
        <v>Road Block</v>
      </c>
      <c r="T446" s="1837" t="str">
        <v>Fast Forward</v>
      </c>
      <c r="U446" s="1837" t="str">
        <v>Route Info</v>
      </c>
      <c r="V446" s="1837" t="str">
        <v>Route Info</v>
      </c>
      <c r="W446" s="1837" t="str">
        <v>Route Info</v>
      </c>
      <c r="X446" s="1837" t="str">
        <v>Road Block</v>
      </c>
      <c r="Y446" s="1837" t="str">
        <v>Route Info</v>
      </c>
      <c r="Z446" s="1837" t="str">
        <v/>
      </c>
      <c r="AA446" s="1837" t="str">
        <v/>
      </c>
      <c r="AB446" s="1837" t="str">
        <v/>
      </c>
      <c r="AC446" s="1837" t="str">
        <v/>
      </c>
      <c r="AD446" s="1837" t="str">
        <v/>
      </c>
      <c r="AE446" s="1837" t="str">
        <v>UAE</v>
      </c>
      <c r="AF446" s="1837" t="str">
        <v>Middle East</v>
      </c>
      <c r="AG446" s="1837" t="str">
        <v>Yes</v>
      </c>
      <c r="AH446" s="1837" t="str">
        <v/>
      </c>
      <c r="AI446" s="1837" t="str">
        <v/>
      </c>
      <c r="AJ446" s="1110" t="str">
        <v>Carson &amp; Jack</v>
      </c>
    </row>
    <row r="447" spans="1:36" ht="16.5" thickBot="1">
      <c r="A447">
        <v>38</v>
      </c>
      <c r="B447">
        <v>1</v>
      </c>
      <c r="C447" s="3" t="s">
        <v>12</v>
      </c>
      <c r="D447" s="613" t="s">
        <v>12</v>
      </c>
      <c r="E447" s="3" t="s">
        <v>12</v>
      </c>
      <c r="F447" s="3" t="s">
        <v>12</v>
      </c>
      <c r="G447" s="38" t="s">
        <v>231</v>
      </c>
      <c r="H447" s="3" t="s">
        <v>12</v>
      </c>
      <c r="I447" s="3" t="s">
        <v>12</v>
      </c>
      <c r="J447" s="3" t="s">
        <v>12</v>
      </c>
      <c r="K447" s="5" t="s">
        <v>14</v>
      </c>
      <c r="L447" s="3" t="s">
        <v>12</v>
      </c>
      <c r="P447" s="1329">
        <v>37</v>
      </c>
      <c r="Q447" s="1837">
        <v>7</v>
      </c>
      <c r="R447" s="1837" t="str">
        <v>Route Info</v>
      </c>
      <c r="S447" s="1837" t="str">
        <v>Route Info</v>
      </c>
      <c r="T447" s="1837" t="str">
        <v>Route Info</v>
      </c>
      <c r="U447" s="1837" t="str">
        <v>Route Info</v>
      </c>
      <c r="V447" s="1837" t="str">
        <v>Detour</v>
      </c>
      <c r="W447" s="1837" t="str">
        <v>Route Info</v>
      </c>
      <c r="X447" s="1837" t="str">
        <v>Route Info</v>
      </c>
      <c r="Y447" s="1837" t="str">
        <v>Road Block</v>
      </c>
      <c r="Z447" s="1837" t="str">
        <v>Route Info</v>
      </c>
      <c r="AA447" s="1837" t="str">
        <v/>
      </c>
      <c r="AB447" s="1837" t="str">
        <v/>
      </c>
      <c r="AC447" s="1837" t="str">
        <v/>
      </c>
      <c r="AD447" s="1837" t="str">
        <v/>
      </c>
      <c r="AE447" s="1837" t="str">
        <v>Bulgaria</v>
      </c>
      <c r="AF447" s="1837" t="str">
        <v>Southern Europe</v>
      </c>
      <c r="AG447" s="1837" t="str">
        <v>Yes</v>
      </c>
      <c r="AH447" s="1837" t="str">
        <v>Double U-Turn</v>
      </c>
      <c r="AI447" s="1837">
        <v>7</v>
      </c>
      <c r="AJ447" s="1110" t="str">
        <v>Alyssa &amp; Josiah</v>
      </c>
    </row>
    <row r="448" spans="1:36" ht="16.5" thickBot="1">
      <c r="A448">
        <v>38</v>
      </c>
      <c r="B448">
        <v>2</v>
      </c>
      <c r="C448" s="3" t="s">
        <v>12</v>
      </c>
      <c r="D448" s="5" t="s">
        <v>14</v>
      </c>
      <c r="E448" s="3" t="s">
        <v>12</v>
      </c>
      <c r="F448" s="4" t="s">
        <v>13</v>
      </c>
      <c r="G448" s="3" t="s">
        <v>12</v>
      </c>
      <c r="H448" s="3" t="s">
        <v>12</v>
      </c>
      <c r="P448" s="1329">
        <v>37</v>
      </c>
      <c r="Q448" s="1837">
        <v>8</v>
      </c>
      <c r="R448" s="1837" t="str">
        <v>Express Pass</v>
      </c>
      <c r="S448" s="1837" t="str">
        <v>Route Info</v>
      </c>
      <c r="T448" s="1837" t="str">
        <v>Route Info</v>
      </c>
      <c r="U448" s="1837" t="str">
        <v>Route Info</v>
      </c>
      <c r="V448" s="1837" t="str">
        <v>Route Info</v>
      </c>
      <c r="W448" s="1837" t="str">
        <v>Route Info</v>
      </c>
      <c r="X448" s="1837" t="str">
        <v>Route Info</v>
      </c>
      <c r="Y448" s="1837" t="str">
        <v>Route Info</v>
      </c>
      <c r="Z448" s="1837" t="str">
        <v>Road Block</v>
      </c>
      <c r="AA448" s="1837" t="str">
        <v>Route Info</v>
      </c>
      <c r="AB448" s="1837" t="str">
        <v/>
      </c>
      <c r="AC448" s="1837" t="str">
        <v/>
      </c>
      <c r="AD448" s="1837" t="str">
        <v/>
      </c>
      <c r="AE448" s="1837" t="str">
        <v>Bulgaria</v>
      </c>
      <c r="AF448" s="1837" t="str">
        <v>Southern Europe</v>
      </c>
      <c r="AG448" s="1837" t="str">
        <v>Yes</v>
      </c>
      <c r="AH448" s="1837" t="str">
        <v>Express Pass</v>
      </c>
      <c r="AI448" s="1837">
        <v>1</v>
      </c>
      <c r="AJ448" s="1110" t="str">
        <v>Brett &amp; Mark</v>
      </c>
    </row>
    <row r="449" spans="1:36" ht="16.5" thickBot="1">
      <c r="A449">
        <v>38</v>
      </c>
      <c r="B449">
        <v>3</v>
      </c>
      <c r="C449" s="3" t="s">
        <v>12</v>
      </c>
      <c r="D449" s="617" t="s">
        <v>14</v>
      </c>
      <c r="E449" s="3" t="s">
        <v>12</v>
      </c>
      <c r="F449" s="3" t="s">
        <v>12</v>
      </c>
      <c r="G449" s="3" t="s">
        <v>12</v>
      </c>
      <c r="H449" s="5" t="s">
        <v>14</v>
      </c>
      <c r="I449" s="3" t="s">
        <v>12</v>
      </c>
      <c r="P449" s="1329">
        <v>37</v>
      </c>
      <c r="Q449" s="1837">
        <v>9</v>
      </c>
      <c r="R449" s="1837" t="str">
        <v>Route Info</v>
      </c>
      <c r="S449" s="1837" t="str">
        <v>Route Info</v>
      </c>
      <c r="T449" s="1837" t="str">
        <v>Detour</v>
      </c>
      <c r="U449" s="1837" t="str">
        <v>Route Info</v>
      </c>
      <c r="V449" s="1837" t="str">
        <v>Route Info</v>
      </c>
      <c r="W449" s="1837" t="str">
        <v>Route Info</v>
      </c>
      <c r="X449" s="1837" t="str">
        <v>Road Block</v>
      </c>
      <c r="Y449" s="1837" t="str">
        <v>Route Info</v>
      </c>
      <c r="Z449" s="1837" t="str">
        <v/>
      </c>
      <c r="AA449" s="1837" t="str">
        <v/>
      </c>
      <c r="AB449" s="1837" t="str">
        <v/>
      </c>
      <c r="AC449" s="1837" t="str">
        <v/>
      </c>
      <c r="AD449" s="1837" t="str">
        <v/>
      </c>
      <c r="AE449" s="1837" t="str">
        <v>Italy</v>
      </c>
      <c r="AF449" s="1837" t="str">
        <v>Southern Europe</v>
      </c>
      <c r="AG449" s="1837" t="str">
        <v>No</v>
      </c>
      <c r="AH449" s="1837" t="str">
        <v/>
      </c>
      <c r="AI449" s="1837" t="str">
        <v/>
      </c>
      <c r="AJ449" s="1110" t="str">
        <v>Jonathan &amp; Ana</v>
      </c>
    </row>
    <row r="450" spans="1:36" ht="16.5" thickBot="1">
      <c r="A450">
        <v>38</v>
      </c>
      <c r="B450">
        <v>4</v>
      </c>
      <c r="C450" s="3" t="s">
        <v>12</v>
      </c>
      <c r="D450" s="3" t="s">
        <v>12</v>
      </c>
      <c r="E450" s="3" t="s">
        <v>12</v>
      </c>
      <c r="F450" s="19" t="s">
        <v>71</v>
      </c>
      <c r="G450" s="3" t="s">
        <v>12</v>
      </c>
      <c r="H450" s="5" t="s">
        <v>14</v>
      </c>
      <c r="I450" s="3" t="s">
        <v>12</v>
      </c>
      <c r="J450" s="4" t="s">
        <v>13</v>
      </c>
      <c r="K450" s="3" t="s">
        <v>12</v>
      </c>
      <c r="P450" s="1329">
        <v>37</v>
      </c>
      <c r="Q450" s="1837">
        <v>10</v>
      </c>
      <c r="R450" s="1837" t="str">
        <v>Route Info</v>
      </c>
      <c r="S450" s="1837" t="str">
        <v>Route Info</v>
      </c>
      <c r="T450" s="1837" t="str">
        <v>Road Block</v>
      </c>
      <c r="U450" s="1837" t="str">
        <v>Route Info</v>
      </c>
      <c r="V450" s="1837" t="str">
        <v>Route Info</v>
      </c>
      <c r="W450" s="1837" t="str">
        <v>Route Info</v>
      </c>
      <c r="X450" s="1837" t="str">
        <v>Detour</v>
      </c>
      <c r="Y450" s="1837" t="str">
        <v>Route Info</v>
      </c>
      <c r="Z450" s="1837" t="str">
        <v/>
      </c>
      <c r="AA450" s="1837" t="str">
        <v/>
      </c>
      <c r="AB450" s="1837" t="str">
        <v/>
      </c>
      <c r="AC450" s="1837" t="str">
        <v/>
      </c>
      <c r="AD450" s="1837" t="str">
        <v/>
      </c>
      <c r="AE450" s="1837" t="str">
        <v>France</v>
      </c>
      <c r="AF450" s="1837" t="str">
        <v>Western Europe</v>
      </c>
      <c r="AG450" s="1837" t="str">
        <v>Yes</v>
      </c>
      <c r="AH450" s="1837" t="str">
        <v>Head-to-Head</v>
      </c>
      <c r="AI450" s="1837">
        <v>3</v>
      </c>
      <c r="AJ450" s="1110" t="str">
        <v>Carson &amp; Jack</v>
      </c>
    </row>
    <row r="451" spans="1:36" ht="16.5" thickBot="1">
      <c r="A451">
        <v>38</v>
      </c>
      <c r="B451">
        <v>5</v>
      </c>
      <c r="C451" s="3" t="s">
        <v>12</v>
      </c>
      <c r="D451" s="4" t="s">
        <v>13</v>
      </c>
      <c r="E451" s="3" t="s">
        <v>12</v>
      </c>
      <c r="F451" s="614" t="s">
        <v>12</v>
      </c>
      <c r="G451" s="5" t="s">
        <v>14</v>
      </c>
      <c r="H451" s="3" t="s">
        <v>12</v>
      </c>
      <c r="P451" s="1329">
        <v>37</v>
      </c>
      <c r="Q451" s="1837">
        <v>11</v>
      </c>
      <c r="R451" s="1837" t="str">
        <v>Route Info</v>
      </c>
      <c r="S451" s="1837" t="str">
        <v>Route Info</v>
      </c>
      <c r="T451" s="1837" t="str">
        <v>Route Info</v>
      </c>
      <c r="U451" s="1837" t="str">
        <v>Route Info</v>
      </c>
      <c r="V451" s="1837" t="str">
        <v>Road Block</v>
      </c>
      <c r="W451" s="1837" t="str">
        <v>Route Info</v>
      </c>
      <c r="X451" s="1837" t="str">
        <v>Route Info</v>
      </c>
      <c r="Y451" s="1837" t="str">
        <v>Route Info</v>
      </c>
      <c r="Z451" s="1837" t="str">
        <v/>
      </c>
      <c r="AA451" s="1837" t="str">
        <v/>
      </c>
      <c r="AB451" s="1837" t="str">
        <v/>
      </c>
      <c r="AC451" s="1837" t="str">
        <v/>
      </c>
      <c r="AD451" s="1837" t="str">
        <v/>
      </c>
      <c r="AE451" s="1837" t="str">
        <v>Portugal</v>
      </c>
      <c r="AF451" s="1837" t="str">
        <v>Western Europe</v>
      </c>
      <c r="AG451" s="1837" t="str">
        <v>Yes</v>
      </c>
      <c r="AH451" s="1837" t="str">
        <v>Scramble</v>
      </c>
      <c r="AI451" s="1837">
        <v>6</v>
      </c>
      <c r="AJ451" s="1110" t="str">
        <v>Carson &amp; Jack</v>
      </c>
    </row>
    <row r="452" spans="1:36">
      <c r="A452">
        <v>38</v>
      </c>
      <c r="B452">
        <v>6</v>
      </c>
      <c r="C452" s="3" t="s">
        <v>12</v>
      </c>
      <c r="D452" s="4" t="s">
        <v>13</v>
      </c>
      <c r="E452" s="3" t="s">
        <v>12</v>
      </c>
      <c r="F452" s="5" t="s">
        <v>14</v>
      </c>
      <c r="G452" s="3" t="s">
        <v>12</v>
      </c>
      <c r="P452" s="1329">
        <v>37</v>
      </c>
      <c r="Q452" s="1837" t="str">
        <v>Final</v>
      </c>
      <c r="R452" s="1837" t="str">
        <v>Route Info</v>
      </c>
      <c r="S452" s="1837" t="str">
        <v>Route Info</v>
      </c>
      <c r="T452" s="1837" t="str">
        <v>Road Block</v>
      </c>
      <c r="U452" s="1837" t="str">
        <v>Route Info</v>
      </c>
      <c r="V452" s="1837" t="str">
        <v>Route Info</v>
      </c>
      <c r="W452" s="1837" t="str">
        <v>Route Info</v>
      </c>
      <c r="X452" s="1837" t="str">
        <v>Route Info</v>
      </c>
      <c r="Y452" s="1837" t="str">
        <v>Route Info</v>
      </c>
      <c r="Z452" s="1837" t="str">
        <v/>
      </c>
      <c r="AA452" s="1837" t="str">
        <v/>
      </c>
      <c r="AB452" s="1837" t="str">
        <v/>
      </c>
      <c r="AC452" s="1837" t="str">
        <v/>
      </c>
      <c r="AD452" s="1837" t="str">
        <v/>
      </c>
      <c r="AE452" s="1837" t="str">
        <v>USA</v>
      </c>
      <c r="AF452" s="1837" t="str">
        <v>North America</v>
      </c>
      <c r="AG452" s="1837" t="str">
        <v>Final Leg</v>
      </c>
      <c r="AH452" s="1837" t="str">
        <v>Scramble</v>
      </c>
      <c r="AI452" s="1837" t="str">
        <v>2 thru 4</v>
      </c>
      <c r="AJ452" s="1110" t="str">
        <v>Carson &amp; Jack</v>
      </c>
    </row>
    <row r="453" spans="1:36">
      <c r="A453">
        <v>38</v>
      </c>
      <c r="B453">
        <v>7</v>
      </c>
      <c r="C453" s="3" t="s">
        <v>12</v>
      </c>
      <c r="D453" s="5" t="s">
        <v>14</v>
      </c>
      <c r="E453" s="3" t="s">
        <v>12</v>
      </c>
      <c r="F453" s="3" t="s">
        <v>12</v>
      </c>
      <c r="G453" s="3" t="s">
        <v>12</v>
      </c>
      <c r="H453" s="4" t="s">
        <v>13</v>
      </c>
      <c r="I453" s="3" t="s">
        <v>12</v>
      </c>
      <c r="P453" s="1329">
        <v>38</v>
      </c>
      <c r="Q453" s="1837">
        <v>1</v>
      </c>
      <c r="R453" s="1837" t="str">
        <v>Route Info</v>
      </c>
      <c r="S453" s="1837" t="str">
        <v>Route Info</v>
      </c>
      <c r="T453" s="1837" t="str">
        <v>Route Info</v>
      </c>
      <c r="U453" s="1837" t="str">
        <v>Route Info</v>
      </c>
      <c r="V453" s="1837" t="str">
        <v>Hazard</v>
      </c>
      <c r="W453" s="1837" t="str">
        <v>Route Info</v>
      </c>
      <c r="X453" s="1837" t="str">
        <v>Route Info</v>
      </c>
      <c r="Y453" s="1837" t="str">
        <v>Route Info</v>
      </c>
      <c r="Z453" s="1837" t="str">
        <v>Road Block</v>
      </c>
      <c r="AA453" s="1837" t="str">
        <v>Route Info</v>
      </c>
      <c r="AB453" s="1837" t="str">
        <v/>
      </c>
      <c r="AC453" s="1837" t="str">
        <v/>
      </c>
      <c r="AD453" s="1837" t="str">
        <v/>
      </c>
      <c r="AE453" s="1837" t="str">
        <v>Netherlands</v>
      </c>
      <c r="AF453" s="1837" t="str">
        <v>Central Europe</v>
      </c>
      <c r="AG453" s="1837" t="str">
        <v>Yes</v>
      </c>
      <c r="AH453" s="1837" t="str">
        <v>Express Pass</v>
      </c>
      <c r="AI453" s="1837">
        <v>2</v>
      </c>
      <c r="AJ453" s="1110" t="str">
        <v>Jas &amp; Jag</v>
      </c>
    </row>
    <row r="454" spans="1:36" ht="16.5" thickBot="1">
      <c r="A454">
        <v>38</v>
      </c>
      <c r="B454">
        <v>8</v>
      </c>
      <c r="C454" s="3" t="s">
        <v>12</v>
      </c>
      <c r="D454" s="5" t="s">
        <v>14</v>
      </c>
      <c r="E454" s="3" t="s">
        <v>12</v>
      </c>
      <c r="F454" s="4" t="s">
        <v>13</v>
      </c>
      <c r="G454" s="3" t="s">
        <v>12</v>
      </c>
      <c r="H454" s="3" t="s">
        <v>12</v>
      </c>
      <c r="I454" s="3" t="s">
        <v>12</v>
      </c>
      <c r="P454" s="1329">
        <v>38</v>
      </c>
      <c r="Q454" s="1837">
        <v>2</v>
      </c>
      <c r="R454" s="1837" t="str">
        <v>Route Info</v>
      </c>
      <c r="S454" s="1837" t="str">
        <v>Road Block</v>
      </c>
      <c r="T454" s="1837" t="str">
        <v>Route Info</v>
      </c>
      <c r="U454" s="1837" t="str">
        <v>Detour</v>
      </c>
      <c r="V454" s="1837" t="str">
        <v>Route Info</v>
      </c>
      <c r="W454" s="1837" t="str">
        <v>Route Info</v>
      </c>
      <c r="X454" s="1837" t="str">
        <v/>
      </c>
      <c r="Y454" s="1837" t="str">
        <v/>
      </c>
      <c r="Z454" s="1837" t="str">
        <v/>
      </c>
      <c r="AA454" s="1837" t="str">
        <v/>
      </c>
      <c r="AB454" s="1837" t="str">
        <v/>
      </c>
      <c r="AC454" s="1837" t="str">
        <v/>
      </c>
      <c r="AD454" s="1837" t="str">
        <v/>
      </c>
      <c r="AE454" s="1837" t="str">
        <v xml:space="preserve">Czech Republic </v>
      </c>
      <c r="AF454" s="1837" t="str">
        <v>Eastern Europe</v>
      </c>
      <c r="AG454" s="1837" t="str">
        <v>Yes</v>
      </c>
      <c r="AH454" s="1837" t="str">
        <v/>
      </c>
      <c r="AI454" s="1837" t="str">
        <v/>
      </c>
      <c r="AJ454" s="1110" t="str">
        <v>Jas &amp; Jag</v>
      </c>
    </row>
    <row r="455" spans="1:36" ht="16.5" thickBot="1">
      <c r="A455">
        <v>38</v>
      </c>
      <c r="B455">
        <v>9</v>
      </c>
      <c r="C455" s="3" t="s">
        <v>12</v>
      </c>
      <c r="D455" s="614" t="s">
        <v>12</v>
      </c>
      <c r="E455" s="4" t="s">
        <v>13</v>
      </c>
      <c r="F455" s="3" t="s">
        <v>12</v>
      </c>
      <c r="G455" s="3" t="s">
        <v>12</v>
      </c>
      <c r="H455" s="5" t="s">
        <v>14</v>
      </c>
      <c r="I455" s="3" t="s">
        <v>12</v>
      </c>
      <c r="P455" s="1329">
        <v>38</v>
      </c>
      <c r="Q455" s="1837">
        <v>3</v>
      </c>
      <c r="R455" s="1837" t="str">
        <v>Route Info</v>
      </c>
      <c r="S455" s="1837" t="str">
        <v>Road Block</v>
      </c>
      <c r="T455" s="1837" t="str">
        <v>Route Info</v>
      </c>
      <c r="U455" s="1837" t="str">
        <v>Route Info</v>
      </c>
      <c r="V455" s="1837" t="str">
        <v>Route Info</v>
      </c>
      <c r="W455" s="1837" t="str">
        <v>Road Block</v>
      </c>
      <c r="X455" s="1837" t="str">
        <v>Route Info</v>
      </c>
      <c r="Y455" s="1837" t="str">
        <v/>
      </c>
      <c r="Z455" s="1837" t="str">
        <v/>
      </c>
      <c r="AA455" s="1837" t="str">
        <v/>
      </c>
      <c r="AB455" s="1837" t="str">
        <v/>
      </c>
      <c r="AC455" s="1837" t="str">
        <v/>
      </c>
      <c r="AD455" s="1837" t="str">
        <v/>
      </c>
      <c r="AE455" s="1837" t="str">
        <v xml:space="preserve">Czech Republic </v>
      </c>
      <c r="AF455" s="1837" t="str">
        <v>Eastern Europe</v>
      </c>
      <c r="AG455" s="1837" t="str">
        <v>Yes</v>
      </c>
      <c r="AH455" s="1837" t="str">
        <v>Driver's Seat</v>
      </c>
      <c r="AI455" s="1837">
        <v>2</v>
      </c>
      <c r="AJ455" s="1110" t="str">
        <v>Natalie &amp; Stephanie</v>
      </c>
    </row>
    <row r="456" spans="1:36" ht="16.5" thickBot="1">
      <c r="A456">
        <v>38</v>
      </c>
      <c r="B456">
        <v>10</v>
      </c>
      <c r="C456" s="3" t="s">
        <v>12</v>
      </c>
      <c r="D456" s="3" t="s">
        <v>12</v>
      </c>
      <c r="E456" s="5" t="s">
        <v>14</v>
      </c>
      <c r="F456" s="3" t="s">
        <v>12</v>
      </c>
      <c r="G456" s="5" t="s">
        <v>14</v>
      </c>
      <c r="H456" s="3" t="s">
        <v>12</v>
      </c>
      <c r="I456" s="3" t="s">
        <v>12</v>
      </c>
      <c r="J456" s="3" t="s">
        <v>12</v>
      </c>
      <c r="P456" s="1329">
        <v>38</v>
      </c>
      <c r="Q456" s="1837">
        <v>4</v>
      </c>
      <c r="R456" s="1837" t="str">
        <v>Route Info</v>
      </c>
      <c r="S456" s="1837" t="str">
        <v>Route Info</v>
      </c>
      <c r="T456" s="1837" t="str">
        <v>Route Info</v>
      </c>
      <c r="U456" s="1837" t="str">
        <v>Fast Forward</v>
      </c>
      <c r="V456" s="1837" t="str">
        <v>Route Info</v>
      </c>
      <c r="W456" s="1837" t="str">
        <v>Road Block</v>
      </c>
      <c r="X456" s="1837" t="str">
        <v>Route Info</v>
      </c>
      <c r="Y456" s="1837" t="str">
        <v>Detour</v>
      </c>
      <c r="Z456" s="1837" t="str">
        <v>Route Info</v>
      </c>
      <c r="AA456" s="1837" t="str">
        <v/>
      </c>
      <c r="AB456" s="1837" t="str">
        <v/>
      </c>
      <c r="AC456" s="1837" t="str">
        <v/>
      </c>
      <c r="AD456" s="1837" t="str">
        <v/>
      </c>
      <c r="AE456" s="1837" t="str">
        <v>Hungary</v>
      </c>
      <c r="AF456" s="1837" t="str">
        <v>Central Europe</v>
      </c>
      <c r="AG456" s="1837" t="str">
        <v>Yes</v>
      </c>
      <c r="AH456" s="1837" t="str">
        <v/>
      </c>
      <c r="AI456" s="1837" t="str">
        <v/>
      </c>
      <c r="AJ456" s="1110" t="str">
        <v>Tucker &amp; Eric</v>
      </c>
    </row>
    <row r="457" spans="1:36" ht="16.5" thickBot="1">
      <c r="A457">
        <v>38</v>
      </c>
      <c r="B457">
        <v>11</v>
      </c>
      <c r="C457" s="3" t="s">
        <v>12</v>
      </c>
      <c r="D457" s="3" t="s">
        <v>12</v>
      </c>
      <c r="E457" s="3" t="s">
        <v>12</v>
      </c>
      <c r="F457" s="3" t="s">
        <v>12</v>
      </c>
      <c r="G457" s="5" t="s">
        <v>14</v>
      </c>
      <c r="H457" s="729" t="s">
        <v>12</v>
      </c>
      <c r="P457" s="1329">
        <v>38</v>
      </c>
      <c r="Q457" s="1837">
        <v>5</v>
      </c>
      <c r="R457" s="1837" t="str">
        <v>Route Info</v>
      </c>
      <c r="S457" s="1837" t="str">
        <v>Detour</v>
      </c>
      <c r="T457" s="1837" t="str">
        <v>Route Info</v>
      </c>
      <c r="U457" s="1837" t="str">
        <v>Route Info</v>
      </c>
      <c r="V457" s="1837" t="str">
        <v>Road Block</v>
      </c>
      <c r="W457" s="1837" t="str">
        <v>Route Info</v>
      </c>
      <c r="X457" s="1837" t="str">
        <v/>
      </c>
      <c r="Y457" s="1837" t="str">
        <v/>
      </c>
      <c r="Z457" s="1837" t="str">
        <v/>
      </c>
      <c r="AA457" s="1837" t="str">
        <v/>
      </c>
      <c r="AB457" s="1837" t="str">
        <v/>
      </c>
      <c r="AC457" s="1837" t="str">
        <v/>
      </c>
      <c r="AD457" s="1837" t="str">
        <v/>
      </c>
      <c r="AE457" s="1837" t="str">
        <v>Croatia</v>
      </c>
      <c r="AF457" s="1837" t="str">
        <v>Southern Europe</v>
      </c>
      <c r="AG457" s="1837" t="str">
        <v>Yes</v>
      </c>
      <c r="AH457" s="1837" t="str">
        <v>Double U-Turn</v>
      </c>
      <c r="AI457" s="1837">
        <v>4</v>
      </c>
      <c r="AJ457" s="1110" t="str">
        <v>Tucker &amp; Eric</v>
      </c>
    </row>
    <row r="458" spans="1:36">
      <c r="A458">
        <v>38</v>
      </c>
      <c r="B458" t="s">
        <v>2810</v>
      </c>
      <c r="C458" s="3" t="s">
        <v>12</v>
      </c>
      <c r="D458" s="3" t="s">
        <v>12</v>
      </c>
      <c r="E458" s="3" t="s">
        <v>12</v>
      </c>
      <c r="F458" s="3" t="s">
        <v>12</v>
      </c>
      <c r="G458" s="3" t="s">
        <v>12</v>
      </c>
      <c r="H458" s="3" t="s">
        <v>12</v>
      </c>
      <c r="I458" s="3" t="s">
        <v>12</v>
      </c>
      <c r="J458" s="3" t="s">
        <v>12</v>
      </c>
      <c r="P458" s="1329">
        <v>38</v>
      </c>
      <c r="Q458" s="1837">
        <v>6</v>
      </c>
      <c r="R458" s="1837" t="str">
        <v>Route Info</v>
      </c>
      <c r="S458" s="1837" t="str">
        <v>Detour</v>
      </c>
      <c r="T458" s="1837" t="str">
        <v>Route Info</v>
      </c>
      <c r="U458" s="1837" t="str">
        <v>Road Block</v>
      </c>
      <c r="V458" s="1837" t="str">
        <v>Route Info</v>
      </c>
      <c r="W458" s="1837" t="str">
        <v/>
      </c>
      <c r="X458" s="1837" t="str">
        <v/>
      </c>
      <c r="Y458" s="1837" t="str">
        <v/>
      </c>
      <c r="Z458" s="1837" t="str">
        <v/>
      </c>
      <c r="AA458" s="1837" t="str">
        <v/>
      </c>
      <c r="AB458" s="1837" t="str">
        <v/>
      </c>
      <c r="AC458" s="1837" t="str">
        <v/>
      </c>
      <c r="AD458" s="1837" t="str">
        <v/>
      </c>
      <c r="AE458" s="1837" t="str">
        <v>Croatia</v>
      </c>
      <c r="AF458" s="1837" t="str">
        <v>Southern Europe</v>
      </c>
      <c r="AG458" s="1837" t="str">
        <v>Yes</v>
      </c>
      <c r="AH458" s="1837" t="str">
        <v/>
      </c>
      <c r="AI458" s="1837" t="str">
        <v/>
      </c>
      <c r="AJ458" s="1110" t="str">
        <v>Tucker &amp; Eric</v>
      </c>
    </row>
    <row r="459" spans="1:36">
      <c r="P459" s="1329">
        <v>38</v>
      </c>
      <c r="Q459" s="1837">
        <v>7</v>
      </c>
      <c r="R459" s="1837" t="str">
        <v>Route Info</v>
      </c>
      <c r="S459" s="1837" t="str">
        <v>Road Block</v>
      </c>
      <c r="T459" s="1837" t="str">
        <v>Route Info</v>
      </c>
      <c r="U459" s="1837" t="str">
        <v>Route Info</v>
      </c>
      <c r="V459" s="1837" t="str">
        <v>Route Info</v>
      </c>
      <c r="W459" s="1837" t="str">
        <v>Detour</v>
      </c>
      <c r="X459" s="1837" t="str">
        <v>Route Info</v>
      </c>
      <c r="Y459" s="1837" t="str">
        <v/>
      </c>
      <c r="Z459" s="1837" t="str">
        <v/>
      </c>
      <c r="AA459" s="1837" t="str">
        <v/>
      </c>
      <c r="AB459" s="1837" t="str">
        <v/>
      </c>
      <c r="AC459" s="1837" t="str">
        <v/>
      </c>
      <c r="AD459" s="1837" t="str">
        <v/>
      </c>
      <c r="AE459" s="1837" t="str">
        <v>Romania</v>
      </c>
      <c r="AF459" s="1837" t="str">
        <v>Eastern Europe</v>
      </c>
      <c r="AG459" s="1837" t="str">
        <v>Yes</v>
      </c>
      <c r="AH459" s="1837" t="str">
        <v/>
      </c>
      <c r="AI459" s="1837" t="str">
        <v/>
      </c>
      <c r="AJ459" s="1110" t="str">
        <v>Tucker &amp; Eric</v>
      </c>
    </row>
    <row r="460" spans="1:36">
      <c r="A460" t="s">
        <v>2860</v>
      </c>
      <c r="B460" t="s">
        <v>2861</v>
      </c>
      <c r="C460" t="s">
        <v>1215</v>
      </c>
      <c r="D460" t="s">
        <v>2865</v>
      </c>
      <c r="P460" s="1329">
        <v>38</v>
      </c>
      <c r="Q460" s="1837">
        <v>8</v>
      </c>
      <c r="R460" s="1837" t="str">
        <v>Route Info</v>
      </c>
      <c r="S460" s="1837" t="str">
        <v>Road Block</v>
      </c>
      <c r="T460" s="1837" t="str">
        <v>Route Info</v>
      </c>
      <c r="U460" s="1837" t="str">
        <v>Detour</v>
      </c>
      <c r="V460" s="1837" t="str">
        <v>Route Info</v>
      </c>
      <c r="W460" s="1837" t="str">
        <v>Route Info</v>
      </c>
      <c r="X460" s="1837" t="str">
        <v>Route Info</v>
      </c>
      <c r="Y460" s="1837" t="str">
        <v/>
      </c>
      <c r="Z460" s="1837" t="str">
        <v/>
      </c>
      <c r="AA460" s="1837" t="str">
        <v/>
      </c>
      <c r="AB460" s="1837" t="str">
        <v/>
      </c>
      <c r="AC460" s="1837" t="str">
        <v/>
      </c>
      <c r="AD460" s="1837" t="str">
        <v/>
      </c>
      <c r="AE460" s="1837" t="str">
        <v>Romania</v>
      </c>
      <c r="AF460" s="1837" t="str">
        <v>Eastern Europe</v>
      </c>
      <c r="AG460" s="1837" t="str">
        <v>No</v>
      </c>
      <c r="AH460" s="1837" t="str">
        <v/>
      </c>
      <c r="AI460" s="1837" t="str">
        <v/>
      </c>
      <c r="AJ460" s="1110" t="str">
        <v>Jas &amp; Jag</v>
      </c>
    </row>
    <row r="461" spans="1:36">
      <c r="A461">
        <v>1</v>
      </c>
      <c r="B461">
        <v>1</v>
      </c>
      <c r="C461" s="52" t="s">
        <v>296</v>
      </c>
      <c r="D461" s="1586" t="s">
        <v>1114</v>
      </c>
      <c r="P461" s="1329">
        <v>38</v>
      </c>
      <c r="Q461" s="1837">
        <v>9</v>
      </c>
      <c r="R461" s="1837" t="str">
        <v>Route Info</v>
      </c>
      <c r="S461" s="1837" t="str">
        <v>Route Info</v>
      </c>
      <c r="T461" s="1837" t="str">
        <v>Detour</v>
      </c>
      <c r="U461" s="1837" t="str">
        <v>Route Info</v>
      </c>
      <c r="V461" s="1837" t="str">
        <v>Route Info</v>
      </c>
      <c r="W461" s="1837" t="str">
        <v>Road Block</v>
      </c>
      <c r="X461" s="1837" t="str">
        <v>Route Info</v>
      </c>
      <c r="Y461" s="1837" t="str">
        <v/>
      </c>
      <c r="Z461" s="1837" t="str">
        <v/>
      </c>
      <c r="AA461" s="1837" t="str">
        <v/>
      </c>
      <c r="AB461" s="1837" t="str">
        <v/>
      </c>
      <c r="AC461" s="1837" t="str">
        <v/>
      </c>
      <c r="AD461" s="1837" t="str">
        <v/>
      </c>
      <c r="AE461" s="1837" t="str">
        <v>Greece</v>
      </c>
      <c r="AF461" s="1837" t="str">
        <v>Southern Europe</v>
      </c>
      <c r="AG461" s="1837" t="str">
        <v>Yes</v>
      </c>
      <c r="AH461" s="1837" t="str">
        <v>Double U-Turn</v>
      </c>
      <c r="AI461" s="1837">
        <v>2</v>
      </c>
      <c r="AJ461" s="1110" t="str">
        <v>Jas &amp; Jag</v>
      </c>
    </row>
    <row r="462" spans="1:36">
      <c r="A462">
        <v>1</v>
      </c>
      <c r="B462">
        <v>2</v>
      </c>
      <c r="C462" s="52" t="s">
        <v>270</v>
      </c>
      <c r="D462" s="1586" t="s">
        <v>1115</v>
      </c>
      <c r="P462" s="1329">
        <v>38</v>
      </c>
      <c r="Q462" s="1837">
        <v>10</v>
      </c>
      <c r="R462" s="1837" t="str">
        <v>Route Info</v>
      </c>
      <c r="S462" s="1837" t="str">
        <v>Route Info</v>
      </c>
      <c r="T462" s="1837" t="str">
        <v>Road Block</v>
      </c>
      <c r="U462" s="1837" t="str">
        <v>Route Info</v>
      </c>
      <c r="V462" s="1837" t="str">
        <v>Road Block</v>
      </c>
      <c r="W462" s="1837" t="str">
        <v>Route Info</v>
      </c>
      <c r="X462" s="1837" t="str">
        <v>Route Info</v>
      </c>
      <c r="Y462" s="1837" t="str">
        <v>Route Info</v>
      </c>
      <c r="Z462" s="1837" t="str">
        <v/>
      </c>
      <c r="AA462" s="1837" t="str">
        <v/>
      </c>
      <c r="AB462" s="1837" t="str">
        <v/>
      </c>
      <c r="AC462" s="1837" t="str">
        <v/>
      </c>
      <c r="AD462" s="1837" t="str">
        <v/>
      </c>
      <c r="AE462" s="1837" t="str">
        <v>Italy</v>
      </c>
      <c r="AF462" s="1837" t="str">
        <v>Southern Europe</v>
      </c>
      <c r="AG462" s="1837" t="str">
        <v>Yes</v>
      </c>
      <c r="AH462" s="1837" t="str">
        <v/>
      </c>
      <c r="AI462" s="1837" t="str">
        <v/>
      </c>
      <c r="AJ462" s="1110" t="str">
        <v>Jas &amp; Jag</v>
      </c>
    </row>
    <row r="463" spans="1:36">
      <c r="A463">
        <v>1</v>
      </c>
      <c r="B463">
        <v>3</v>
      </c>
      <c r="C463" s="52" t="s">
        <v>270</v>
      </c>
      <c r="D463" s="1586" t="s">
        <v>1115</v>
      </c>
      <c r="P463" s="1329">
        <v>38</v>
      </c>
      <c r="Q463" s="1837">
        <v>11</v>
      </c>
      <c r="R463" s="1837" t="str">
        <v>Route Info</v>
      </c>
      <c r="S463" s="1837" t="str">
        <v>Route Info</v>
      </c>
      <c r="T463" s="1837" t="str">
        <v>Route Info</v>
      </c>
      <c r="U463" s="1837" t="str">
        <v>Route Info</v>
      </c>
      <c r="V463" s="1837" t="str">
        <v>Road Block</v>
      </c>
      <c r="W463" s="1837" t="str">
        <v>Route Info</v>
      </c>
      <c r="X463" s="1837" t="str">
        <v/>
      </c>
      <c r="Y463" s="1837" t="str">
        <v/>
      </c>
      <c r="Z463" s="1837" t="str">
        <v/>
      </c>
      <c r="AA463" s="1837" t="str">
        <v/>
      </c>
      <c r="AB463" s="1837" t="str">
        <v/>
      </c>
      <c r="AC463" s="1837" t="str">
        <v/>
      </c>
      <c r="AD463" s="1837" t="str">
        <v/>
      </c>
      <c r="AE463" s="1837" t="str">
        <v>France</v>
      </c>
      <c r="AF463" s="1837" t="str">
        <v>Western Europe</v>
      </c>
      <c r="AG463" s="1837" t="str">
        <v>Yes</v>
      </c>
      <c r="AH463" s="1837" t="str">
        <v/>
      </c>
      <c r="AI463" s="1837" t="str">
        <v/>
      </c>
      <c r="AJ463" s="1110" t="str">
        <v>Jas &amp; Jag</v>
      </c>
    </row>
    <row r="464" spans="1:36" ht="16.5" thickBot="1">
      <c r="A464">
        <v>1</v>
      </c>
      <c r="B464">
        <v>4</v>
      </c>
      <c r="C464" s="52" t="s">
        <v>1116</v>
      </c>
      <c r="D464" s="1586" t="s">
        <v>1117</v>
      </c>
      <c r="P464" s="1585">
        <v>38</v>
      </c>
      <c r="Q464" s="1108" t="str">
        <v>Final</v>
      </c>
      <c r="R464" s="1108" t="str">
        <v>Route Info</v>
      </c>
      <c r="S464" s="1108" t="str">
        <v>Route Info</v>
      </c>
      <c r="T464" s="1108" t="str">
        <v>Route Info</v>
      </c>
      <c r="U464" s="1108" t="str">
        <v>Route Info</v>
      </c>
      <c r="V464" s="1108" t="str">
        <v>Route Info</v>
      </c>
      <c r="W464" s="1108" t="str">
        <v>Route Info</v>
      </c>
      <c r="X464" s="1108" t="str">
        <v>Route Info</v>
      </c>
      <c r="Y464" s="1108" t="str">
        <v>Route Info</v>
      </c>
      <c r="Z464" s="1108" t="str">
        <v/>
      </c>
      <c r="AA464" s="1108" t="str">
        <v/>
      </c>
      <c r="AB464" s="1108" t="str">
        <v/>
      </c>
      <c r="AC464" s="1108" t="str">
        <v/>
      </c>
      <c r="AD464" s="1108" t="str">
        <v/>
      </c>
      <c r="AE464" s="1108" t="str">
        <v>USA</v>
      </c>
      <c r="AF464" s="1108" t="str">
        <v>North America</v>
      </c>
      <c r="AG464" s="1108" t="str">
        <v>Final Leg</v>
      </c>
      <c r="AH464" s="1108" t="str">
        <v/>
      </c>
      <c r="AI464" s="1108" t="str">
        <v/>
      </c>
      <c r="AJ464" s="1109" t="str">
        <v>Jas &amp; Jag</v>
      </c>
    </row>
    <row r="465" spans="1:4">
      <c r="A465">
        <v>1</v>
      </c>
      <c r="B465">
        <v>5</v>
      </c>
      <c r="C465" s="52" t="s">
        <v>1116</v>
      </c>
      <c r="D465" s="1586" t="s">
        <v>1117</v>
      </c>
    </row>
    <row r="466" spans="1:4">
      <c r="A466">
        <v>1</v>
      </c>
      <c r="B466">
        <v>6</v>
      </c>
      <c r="C466" s="52" t="s">
        <v>304</v>
      </c>
      <c r="D466" s="1586" t="s">
        <v>1143</v>
      </c>
    </row>
    <row r="467" spans="1:4">
      <c r="A467">
        <v>1</v>
      </c>
      <c r="B467">
        <v>7</v>
      </c>
      <c r="C467" s="52" t="s">
        <v>278</v>
      </c>
      <c r="D467" s="1586" t="s">
        <v>1118</v>
      </c>
    </row>
    <row r="468" spans="1:4">
      <c r="A468">
        <v>1</v>
      </c>
      <c r="B468">
        <v>8</v>
      </c>
      <c r="C468" s="52" t="s">
        <v>278</v>
      </c>
      <c r="D468" s="1586" t="s">
        <v>1118</v>
      </c>
    </row>
    <row r="469" spans="1:4">
      <c r="A469">
        <v>1</v>
      </c>
      <c r="B469">
        <v>9</v>
      </c>
      <c r="C469" s="52" t="s">
        <v>290</v>
      </c>
      <c r="D469" s="1589" t="s">
        <v>1973</v>
      </c>
    </row>
    <row r="470" spans="1:4">
      <c r="A470">
        <v>1</v>
      </c>
      <c r="B470">
        <v>10</v>
      </c>
      <c r="C470" s="52" t="s">
        <v>290</v>
      </c>
      <c r="D470" s="1589" t="s">
        <v>1973</v>
      </c>
    </row>
    <row r="471" spans="1:4">
      <c r="A471">
        <v>1</v>
      </c>
      <c r="B471">
        <v>11</v>
      </c>
      <c r="C471" s="52" t="s">
        <v>295</v>
      </c>
      <c r="D471" s="1586" t="s">
        <v>1119</v>
      </c>
    </row>
    <row r="472" spans="1:4">
      <c r="A472">
        <v>1</v>
      </c>
      <c r="B472">
        <v>12</v>
      </c>
      <c r="C472" t="s">
        <v>266</v>
      </c>
      <c r="D472" s="1586" t="s">
        <v>1120</v>
      </c>
    </row>
    <row r="473" spans="1:4">
      <c r="A473">
        <v>1</v>
      </c>
      <c r="B473" t="s">
        <v>2862</v>
      </c>
      <c r="C473" t="s">
        <v>266</v>
      </c>
      <c r="D473" s="1586" t="s">
        <v>1120</v>
      </c>
    </row>
    <row r="474" spans="1:4">
      <c r="A474">
        <v>2</v>
      </c>
      <c r="B474">
        <v>1</v>
      </c>
      <c r="C474" s="52" t="s">
        <v>275</v>
      </c>
      <c r="D474" s="1586" t="s">
        <v>1121</v>
      </c>
    </row>
    <row r="475" spans="1:4">
      <c r="A475">
        <v>2</v>
      </c>
      <c r="B475">
        <v>2</v>
      </c>
      <c r="C475" s="52" t="s">
        <v>275</v>
      </c>
      <c r="D475" s="1586" t="s">
        <v>1121</v>
      </c>
    </row>
    <row r="476" spans="1:4">
      <c r="A476">
        <v>2</v>
      </c>
      <c r="B476">
        <v>3</v>
      </c>
      <c r="C476" s="52" t="s">
        <v>1122</v>
      </c>
      <c r="D476" s="1586" t="s">
        <v>1114</v>
      </c>
    </row>
    <row r="477" spans="1:4">
      <c r="A477">
        <v>2</v>
      </c>
      <c r="B477">
        <v>4</v>
      </c>
      <c r="C477" s="52" t="s">
        <v>299</v>
      </c>
      <c r="D477" s="1586" t="s">
        <v>1114</v>
      </c>
    </row>
    <row r="478" spans="1:4">
      <c r="A478">
        <v>2</v>
      </c>
      <c r="B478">
        <v>5</v>
      </c>
      <c r="C478" s="52" t="s">
        <v>290</v>
      </c>
      <c r="D478" s="1589" t="s">
        <v>1973</v>
      </c>
    </row>
    <row r="479" spans="1:4">
      <c r="A479">
        <v>2</v>
      </c>
      <c r="B479">
        <v>6</v>
      </c>
      <c r="C479" s="52" t="s">
        <v>290</v>
      </c>
      <c r="D479" s="1589" t="s">
        <v>1973</v>
      </c>
    </row>
    <row r="480" spans="1:4">
      <c r="A480">
        <v>2</v>
      </c>
      <c r="B480">
        <v>7</v>
      </c>
      <c r="C480" s="52" t="s">
        <v>295</v>
      </c>
      <c r="D480" s="1586" t="s">
        <v>1119</v>
      </c>
    </row>
    <row r="481" spans="1:4">
      <c r="A481">
        <v>2</v>
      </c>
      <c r="B481">
        <v>8</v>
      </c>
      <c r="C481" s="52" t="s">
        <v>310</v>
      </c>
      <c r="D481" s="1586" t="s">
        <v>1123</v>
      </c>
    </row>
    <row r="482" spans="1:4">
      <c r="A482">
        <v>2</v>
      </c>
      <c r="B482">
        <v>9</v>
      </c>
      <c r="C482" s="52" t="s">
        <v>310</v>
      </c>
      <c r="D482" s="1586" t="s">
        <v>1123</v>
      </c>
    </row>
    <row r="483" spans="1:4">
      <c r="A483">
        <v>2</v>
      </c>
      <c r="B483">
        <v>10</v>
      </c>
      <c r="C483" s="52" t="s">
        <v>309</v>
      </c>
      <c r="D483" s="1586" t="s">
        <v>1123</v>
      </c>
    </row>
    <row r="484" spans="1:4">
      <c r="A484">
        <v>2</v>
      </c>
      <c r="B484">
        <v>11</v>
      </c>
      <c r="C484" s="52" t="s">
        <v>309</v>
      </c>
      <c r="D484" s="1586" t="s">
        <v>1123</v>
      </c>
    </row>
    <row r="485" spans="1:4">
      <c r="A485">
        <v>2</v>
      </c>
      <c r="B485">
        <v>12</v>
      </c>
      <c r="C485" t="s">
        <v>266</v>
      </c>
      <c r="D485" s="1586" t="s">
        <v>1120</v>
      </c>
    </row>
    <row r="486" spans="1:4">
      <c r="A486">
        <v>2</v>
      </c>
      <c r="B486" t="s">
        <v>2862</v>
      </c>
      <c r="C486" t="s">
        <v>266</v>
      </c>
      <c r="D486" s="1586" t="s">
        <v>1120</v>
      </c>
    </row>
    <row r="487" spans="1:4">
      <c r="A487">
        <v>3</v>
      </c>
      <c r="B487">
        <v>1</v>
      </c>
      <c r="C487" s="52" t="s">
        <v>291</v>
      </c>
      <c r="D487" s="1586" t="s">
        <v>1120</v>
      </c>
    </row>
    <row r="488" spans="1:4">
      <c r="A488">
        <v>3</v>
      </c>
      <c r="B488">
        <v>2</v>
      </c>
      <c r="C488" s="52" t="s">
        <v>291</v>
      </c>
      <c r="D488" s="1586" t="s">
        <v>1120</v>
      </c>
    </row>
    <row r="489" spans="1:4" ht="31.5">
      <c r="A489">
        <v>3</v>
      </c>
      <c r="B489">
        <v>3</v>
      </c>
      <c r="C489" s="67" t="s">
        <v>1193</v>
      </c>
      <c r="D489" s="1588" t="s">
        <v>1211</v>
      </c>
    </row>
    <row r="490" spans="1:4">
      <c r="A490">
        <v>3</v>
      </c>
      <c r="B490">
        <v>4</v>
      </c>
      <c r="C490" s="52" t="s">
        <v>272</v>
      </c>
      <c r="D490" s="1586" t="s">
        <v>1115</v>
      </c>
    </row>
    <row r="491" spans="1:4">
      <c r="A491">
        <v>3</v>
      </c>
      <c r="B491">
        <v>5</v>
      </c>
      <c r="C491" s="52" t="s">
        <v>1124</v>
      </c>
      <c r="D491" s="1586" t="s">
        <v>1117</v>
      </c>
    </row>
    <row r="492" spans="1:4">
      <c r="A492">
        <v>3</v>
      </c>
      <c r="B492">
        <v>6</v>
      </c>
      <c r="C492" s="52" t="s">
        <v>1124</v>
      </c>
      <c r="D492" s="1586" t="s">
        <v>1117</v>
      </c>
    </row>
    <row r="493" spans="1:4" ht="31.5">
      <c r="A493">
        <v>3</v>
      </c>
      <c r="B493">
        <v>7</v>
      </c>
      <c r="C493" s="67" t="s">
        <v>1173</v>
      </c>
      <c r="D493" s="1588" t="s">
        <v>1210</v>
      </c>
    </row>
    <row r="494" spans="1:4">
      <c r="A494">
        <v>3</v>
      </c>
      <c r="B494">
        <v>8</v>
      </c>
      <c r="C494" s="52" t="s">
        <v>269</v>
      </c>
      <c r="D494" s="1586" t="s">
        <v>1126</v>
      </c>
    </row>
    <row r="495" spans="1:4">
      <c r="A495">
        <v>3</v>
      </c>
      <c r="B495">
        <v>9</v>
      </c>
      <c r="C495" s="52" t="s">
        <v>269</v>
      </c>
      <c r="D495" s="1586" t="s">
        <v>1126</v>
      </c>
    </row>
    <row r="496" spans="1:4" ht="31.5">
      <c r="A496">
        <v>3</v>
      </c>
      <c r="B496">
        <v>10</v>
      </c>
      <c r="C496" s="67" t="s">
        <v>1197</v>
      </c>
      <c r="D496" s="1588" t="s">
        <v>1974</v>
      </c>
    </row>
    <row r="497" spans="1:4">
      <c r="A497">
        <v>3</v>
      </c>
      <c r="B497">
        <v>11</v>
      </c>
      <c r="C497" s="52" t="s">
        <v>281</v>
      </c>
      <c r="D497" s="1586" t="s">
        <v>1973</v>
      </c>
    </row>
    <row r="498" spans="1:4">
      <c r="A498">
        <v>3</v>
      </c>
      <c r="B498">
        <v>12</v>
      </c>
      <c r="C498" t="s">
        <v>281</v>
      </c>
      <c r="D498" s="1586" t="s">
        <v>1973</v>
      </c>
    </row>
    <row r="499" spans="1:4">
      <c r="A499">
        <v>3</v>
      </c>
      <c r="B499" t="s">
        <v>2810</v>
      </c>
      <c r="C499" t="s">
        <v>266</v>
      </c>
      <c r="D499" s="1586" t="s">
        <v>1120</v>
      </c>
    </row>
    <row r="500" spans="1:4">
      <c r="A500">
        <v>4</v>
      </c>
      <c r="B500">
        <v>1</v>
      </c>
      <c r="C500" s="52" t="s">
        <v>304</v>
      </c>
      <c r="D500" s="1586" t="s">
        <v>1115</v>
      </c>
    </row>
    <row r="501" spans="1:4">
      <c r="A501">
        <v>4</v>
      </c>
      <c r="B501">
        <v>2</v>
      </c>
      <c r="C501" s="52" t="s">
        <v>304</v>
      </c>
      <c r="D501" s="1586" t="s">
        <v>1143</v>
      </c>
    </row>
    <row r="502" spans="1:4">
      <c r="A502">
        <v>4</v>
      </c>
      <c r="B502">
        <v>3</v>
      </c>
      <c r="C502" s="52" t="s">
        <v>315</v>
      </c>
      <c r="D502" s="1586" t="s">
        <v>1127</v>
      </c>
    </row>
    <row r="503" spans="1:4">
      <c r="A503">
        <v>4</v>
      </c>
      <c r="B503">
        <v>4</v>
      </c>
      <c r="C503" s="52" t="s">
        <v>270</v>
      </c>
      <c r="D503" s="1586" t="s">
        <v>1115</v>
      </c>
    </row>
    <row r="504" spans="1:4">
      <c r="A504">
        <v>4</v>
      </c>
      <c r="B504">
        <v>5</v>
      </c>
      <c r="C504" s="52" t="s">
        <v>286</v>
      </c>
      <c r="D504" s="1586" t="s">
        <v>1126</v>
      </c>
    </row>
    <row r="505" spans="1:4">
      <c r="A505">
        <v>4</v>
      </c>
      <c r="B505">
        <v>6</v>
      </c>
      <c r="C505" s="52" t="s">
        <v>278</v>
      </c>
      <c r="D505" s="1586" t="s">
        <v>1118</v>
      </c>
    </row>
    <row r="506" spans="1:4">
      <c r="A506">
        <v>4</v>
      </c>
      <c r="B506">
        <v>7</v>
      </c>
      <c r="C506" s="52" t="s">
        <v>278</v>
      </c>
      <c r="D506" s="1586" t="s">
        <v>1118</v>
      </c>
    </row>
    <row r="507" spans="1:4">
      <c r="A507">
        <v>4</v>
      </c>
      <c r="B507">
        <v>8</v>
      </c>
      <c r="C507" s="52" t="s">
        <v>1128</v>
      </c>
      <c r="D507" s="1586" t="s">
        <v>1973</v>
      </c>
    </row>
    <row r="508" spans="1:4">
      <c r="A508">
        <v>4</v>
      </c>
      <c r="B508">
        <v>9</v>
      </c>
      <c r="C508" s="52" t="s">
        <v>1128</v>
      </c>
      <c r="D508" s="1586" t="s">
        <v>1973</v>
      </c>
    </row>
    <row r="509" spans="1:4">
      <c r="A509">
        <v>4</v>
      </c>
      <c r="B509">
        <v>10</v>
      </c>
      <c r="C509" s="52" t="s">
        <v>320</v>
      </c>
      <c r="D509" s="1586" t="s">
        <v>1119</v>
      </c>
    </row>
    <row r="510" spans="1:4">
      <c r="A510">
        <v>4</v>
      </c>
      <c r="B510">
        <v>11</v>
      </c>
      <c r="C510" s="52" t="s">
        <v>310</v>
      </c>
      <c r="D510" s="1586" t="s">
        <v>1123</v>
      </c>
    </row>
    <row r="511" spans="1:4">
      <c r="A511">
        <v>4</v>
      </c>
      <c r="B511">
        <v>12</v>
      </c>
      <c r="C511" t="s">
        <v>310</v>
      </c>
      <c r="D511" s="1586" t="s">
        <v>1123</v>
      </c>
    </row>
    <row r="512" spans="1:4">
      <c r="A512">
        <v>4</v>
      </c>
      <c r="B512" t="s">
        <v>2810</v>
      </c>
      <c r="C512" t="s">
        <v>266</v>
      </c>
      <c r="D512" s="1586" t="s">
        <v>1120</v>
      </c>
    </row>
    <row r="513" spans="1:4">
      <c r="A513">
        <v>5</v>
      </c>
      <c r="B513">
        <v>1</v>
      </c>
      <c r="C513" s="52" t="s">
        <v>1129</v>
      </c>
      <c r="D513" s="1586" t="s">
        <v>1121</v>
      </c>
    </row>
    <row r="514" spans="1:4">
      <c r="A514">
        <v>5</v>
      </c>
      <c r="B514">
        <v>2</v>
      </c>
      <c r="C514" s="52" t="s">
        <v>99</v>
      </c>
      <c r="D514" s="1586" t="s">
        <v>1121</v>
      </c>
    </row>
    <row r="515" spans="1:4">
      <c r="A515">
        <v>5</v>
      </c>
      <c r="B515">
        <v>3</v>
      </c>
      <c r="C515" s="52" t="s">
        <v>99</v>
      </c>
      <c r="D515" s="1586" t="s">
        <v>1121</v>
      </c>
    </row>
    <row r="516" spans="1:4">
      <c r="A516">
        <v>5</v>
      </c>
      <c r="B516">
        <v>4</v>
      </c>
      <c r="C516" s="52" t="s">
        <v>265</v>
      </c>
      <c r="D516" s="1586" t="s">
        <v>1125</v>
      </c>
    </row>
    <row r="517" spans="1:4">
      <c r="A517">
        <v>5</v>
      </c>
      <c r="B517">
        <v>5</v>
      </c>
      <c r="C517" s="52" t="s">
        <v>1130</v>
      </c>
      <c r="D517" s="1586" t="s">
        <v>1117</v>
      </c>
    </row>
    <row r="518" spans="1:4">
      <c r="A518">
        <v>5</v>
      </c>
      <c r="B518">
        <v>6</v>
      </c>
      <c r="C518" s="52" t="s">
        <v>1130</v>
      </c>
      <c r="D518" s="1586" t="s">
        <v>1117</v>
      </c>
    </row>
    <row r="519" spans="1:4">
      <c r="A519">
        <v>5</v>
      </c>
      <c r="B519">
        <v>7</v>
      </c>
      <c r="C519" s="52" t="s">
        <v>314</v>
      </c>
      <c r="D519" s="1586" t="s">
        <v>1131</v>
      </c>
    </row>
    <row r="520" spans="1:4">
      <c r="A520">
        <v>5</v>
      </c>
      <c r="B520">
        <v>8</v>
      </c>
      <c r="C520" s="52" t="s">
        <v>283</v>
      </c>
      <c r="D520" s="1586" t="s">
        <v>1132</v>
      </c>
    </row>
    <row r="521" spans="1:4">
      <c r="A521">
        <v>5</v>
      </c>
      <c r="B521">
        <v>9</v>
      </c>
      <c r="C521" s="52" t="s">
        <v>278</v>
      </c>
      <c r="D521" s="1586" t="s">
        <v>1118</v>
      </c>
    </row>
    <row r="522" spans="1:4">
      <c r="A522">
        <v>5</v>
      </c>
      <c r="B522">
        <v>10</v>
      </c>
      <c r="C522" s="52" t="s">
        <v>309</v>
      </c>
      <c r="D522" s="1586" t="s">
        <v>1123</v>
      </c>
    </row>
    <row r="523" spans="1:4">
      <c r="A523">
        <v>5</v>
      </c>
      <c r="B523">
        <v>11</v>
      </c>
      <c r="C523" s="52" t="s">
        <v>1133</v>
      </c>
      <c r="D523" s="1586" t="s">
        <v>1973</v>
      </c>
    </row>
    <row r="524" spans="1:4">
      <c r="A524">
        <v>5</v>
      </c>
      <c r="B524">
        <v>12</v>
      </c>
      <c r="C524" t="s">
        <v>1133</v>
      </c>
      <c r="D524" s="1586" t="s">
        <v>1973</v>
      </c>
    </row>
    <row r="525" spans="1:4" ht="31.5">
      <c r="A525">
        <v>5</v>
      </c>
      <c r="B525" t="s">
        <v>2810</v>
      </c>
      <c r="C525" s="422" t="s">
        <v>1196</v>
      </c>
      <c r="D525" s="1586" t="s">
        <v>1120</v>
      </c>
    </row>
    <row r="526" spans="1:4">
      <c r="A526">
        <v>6</v>
      </c>
      <c r="B526">
        <v>1</v>
      </c>
      <c r="C526" s="52" t="s">
        <v>162</v>
      </c>
      <c r="D526" s="1586" t="s">
        <v>1134</v>
      </c>
    </row>
    <row r="527" spans="1:4">
      <c r="A527">
        <v>6</v>
      </c>
      <c r="B527">
        <v>2</v>
      </c>
      <c r="C527" s="52" t="s">
        <v>306</v>
      </c>
      <c r="D527" s="1586" t="s">
        <v>1134</v>
      </c>
    </row>
    <row r="528" spans="1:4">
      <c r="A528">
        <v>6</v>
      </c>
      <c r="B528">
        <v>3</v>
      </c>
      <c r="C528" s="52" t="s">
        <v>1135</v>
      </c>
      <c r="D528" s="1586" t="s">
        <v>1134</v>
      </c>
    </row>
    <row r="529" spans="1:4">
      <c r="A529">
        <v>6</v>
      </c>
      <c r="B529">
        <v>4</v>
      </c>
      <c r="C529" s="52" t="s">
        <v>1136</v>
      </c>
      <c r="D529" s="1586" t="s">
        <v>1153</v>
      </c>
    </row>
    <row r="530" spans="1:4">
      <c r="A530">
        <v>6</v>
      </c>
      <c r="B530">
        <v>5</v>
      </c>
      <c r="C530" s="52" t="s">
        <v>277</v>
      </c>
      <c r="D530" s="1586" t="s">
        <v>1126</v>
      </c>
    </row>
    <row r="531" spans="1:4">
      <c r="A531">
        <v>6</v>
      </c>
      <c r="B531" s="35">
        <v>6</v>
      </c>
      <c r="C531" s="52" t="s">
        <v>1137</v>
      </c>
      <c r="D531" s="1586" t="s">
        <v>1126</v>
      </c>
    </row>
    <row r="532" spans="1:4">
      <c r="A532">
        <v>6</v>
      </c>
      <c r="B532">
        <v>7</v>
      </c>
      <c r="C532" s="52" t="s">
        <v>270</v>
      </c>
      <c r="D532" s="1586" t="s">
        <v>1115</v>
      </c>
    </row>
    <row r="533" spans="1:4" ht="31.5">
      <c r="A533">
        <v>6</v>
      </c>
      <c r="B533">
        <v>8</v>
      </c>
      <c r="C533" s="67" t="s">
        <v>1194</v>
      </c>
      <c r="D533" s="1588" t="s">
        <v>1195</v>
      </c>
    </row>
    <row r="534" spans="1:4">
      <c r="A534">
        <v>6</v>
      </c>
      <c r="B534">
        <v>9</v>
      </c>
      <c r="C534" s="52" t="s">
        <v>303</v>
      </c>
      <c r="D534" s="1586" t="s">
        <v>1118</v>
      </c>
    </row>
    <row r="535" spans="1:4">
      <c r="A535">
        <v>6</v>
      </c>
      <c r="B535">
        <v>10</v>
      </c>
      <c r="C535" s="52" t="s">
        <v>295</v>
      </c>
      <c r="D535" s="1586" t="s">
        <v>1119</v>
      </c>
    </row>
    <row r="536" spans="1:4">
      <c r="A536">
        <v>6</v>
      </c>
      <c r="B536">
        <v>11</v>
      </c>
      <c r="C536" s="52" t="s">
        <v>295</v>
      </c>
      <c r="D536" s="1586" t="s">
        <v>1119</v>
      </c>
    </row>
    <row r="537" spans="1:4">
      <c r="A537">
        <v>6</v>
      </c>
      <c r="B537" t="s">
        <v>2810</v>
      </c>
      <c r="C537" t="s">
        <v>266</v>
      </c>
      <c r="D537" s="1586" t="s">
        <v>1120</v>
      </c>
    </row>
    <row r="538" spans="1:4">
      <c r="A538">
        <v>7</v>
      </c>
      <c r="B538">
        <v>1</v>
      </c>
      <c r="C538" s="52" t="s">
        <v>300</v>
      </c>
      <c r="D538" s="1586" t="s">
        <v>1121</v>
      </c>
    </row>
    <row r="539" spans="1:4">
      <c r="A539">
        <v>7</v>
      </c>
      <c r="B539">
        <v>2</v>
      </c>
      <c r="C539" s="52" t="s">
        <v>305</v>
      </c>
      <c r="D539" s="1586" t="s">
        <v>1121</v>
      </c>
    </row>
    <row r="540" spans="1:4">
      <c r="A540">
        <v>7</v>
      </c>
      <c r="B540">
        <v>3</v>
      </c>
      <c r="C540" s="52" t="s">
        <v>99</v>
      </c>
      <c r="D540" s="1586" t="s">
        <v>1121</v>
      </c>
    </row>
    <row r="541" spans="1:4">
      <c r="A541">
        <v>7</v>
      </c>
      <c r="B541">
        <v>4</v>
      </c>
      <c r="C541" s="52" t="s">
        <v>99</v>
      </c>
      <c r="D541" s="1586" t="s">
        <v>1121</v>
      </c>
    </row>
    <row r="542" spans="1:4">
      <c r="A542">
        <v>7</v>
      </c>
      <c r="B542">
        <v>5</v>
      </c>
      <c r="C542" s="52" t="s">
        <v>1122</v>
      </c>
      <c r="D542" s="1586" t="s">
        <v>1114</v>
      </c>
    </row>
    <row r="543" spans="1:4">
      <c r="A543">
        <v>7</v>
      </c>
      <c r="B543">
        <v>6</v>
      </c>
      <c r="C543" s="52" t="s">
        <v>312</v>
      </c>
      <c r="D543" s="1586" t="s">
        <v>1114</v>
      </c>
    </row>
    <row r="544" spans="1:4">
      <c r="A544">
        <v>7</v>
      </c>
      <c r="B544">
        <v>7</v>
      </c>
      <c r="C544" s="52" t="s">
        <v>312</v>
      </c>
      <c r="D544" s="1586" t="s">
        <v>1114</v>
      </c>
    </row>
    <row r="545" spans="1:4">
      <c r="A545">
        <v>7</v>
      </c>
      <c r="B545">
        <v>8</v>
      </c>
      <c r="C545" s="52" t="s">
        <v>278</v>
      </c>
      <c r="D545" s="1586" t="s">
        <v>1118</v>
      </c>
    </row>
    <row r="546" spans="1:4">
      <c r="A546">
        <v>7</v>
      </c>
      <c r="B546">
        <v>9</v>
      </c>
      <c r="C546" s="52" t="s">
        <v>278</v>
      </c>
      <c r="D546" s="1586" t="s">
        <v>1118</v>
      </c>
    </row>
    <row r="547" spans="1:4">
      <c r="A547">
        <v>7</v>
      </c>
      <c r="B547">
        <v>10</v>
      </c>
      <c r="C547" s="52" t="s">
        <v>1138</v>
      </c>
      <c r="D547" s="1586" t="s">
        <v>1132</v>
      </c>
    </row>
    <row r="548" spans="1:4">
      <c r="A548">
        <v>7</v>
      </c>
      <c r="B548">
        <v>11</v>
      </c>
      <c r="C548" s="52" t="s">
        <v>267</v>
      </c>
      <c r="D548" s="1586" t="s">
        <v>1115</v>
      </c>
    </row>
    <row r="549" spans="1:4">
      <c r="A549">
        <v>7</v>
      </c>
      <c r="B549">
        <v>12</v>
      </c>
      <c r="C549" t="s">
        <v>1139</v>
      </c>
      <c r="D549" s="1586" t="s">
        <v>1166</v>
      </c>
    </row>
    <row r="550" spans="1:4" ht="31.5">
      <c r="A550">
        <v>7</v>
      </c>
      <c r="B550" t="s">
        <v>2810</v>
      </c>
      <c r="C550" s="422" t="s">
        <v>1183</v>
      </c>
      <c r="D550" s="1588" t="s">
        <v>2866</v>
      </c>
    </row>
    <row r="551" spans="1:4">
      <c r="A551">
        <v>8</v>
      </c>
      <c r="B551">
        <v>1</v>
      </c>
      <c r="C551" s="52" t="s">
        <v>266</v>
      </c>
      <c r="D551" s="1586" t="s">
        <v>1120</v>
      </c>
    </row>
    <row r="552" spans="1:4">
      <c r="A552">
        <v>8</v>
      </c>
      <c r="B552">
        <v>2</v>
      </c>
      <c r="C552" s="52" t="s">
        <v>266</v>
      </c>
      <c r="D552" s="1586" t="s">
        <v>1120</v>
      </c>
    </row>
    <row r="553" spans="1:4">
      <c r="A553">
        <v>8</v>
      </c>
      <c r="B553">
        <v>3</v>
      </c>
      <c r="C553" s="52" t="s">
        <v>266</v>
      </c>
      <c r="D553" s="1586" t="s">
        <v>1120</v>
      </c>
    </row>
    <row r="554" spans="1:4">
      <c r="A554">
        <v>8</v>
      </c>
      <c r="B554">
        <v>4</v>
      </c>
      <c r="C554" s="52" t="s">
        <v>266</v>
      </c>
      <c r="D554" s="1586" t="s">
        <v>1120</v>
      </c>
    </row>
    <row r="555" spans="1:4">
      <c r="A555">
        <v>8</v>
      </c>
      <c r="B555">
        <v>5</v>
      </c>
      <c r="C555" s="52" t="s">
        <v>1140</v>
      </c>
      <c r="D555" s="1586" t="s">
        <v>1141</v>
      </c>
    </row>
    <row r="556" spans="1:4">
      <c r="A556">
        <v>8</v>
      </c>
      <c r="B556">
        <v>6</v>
      </c>
      <c r="C556" s="52" t="s">
        <v>1142</v>
      </c>
      <c r="D556" s="1586" t="s">
        <v>1141</v>
      </c>
    </row>
    <row r="557" spans="1:4">
      <c r="A557">
        <v>8</v>
      </c>
      <c r="B557">
        <v>7</v>
      </c>
      <c r="C557" s="52" t="s">
        <v>266</v>
      </c>
      <c r="D557" s="1586" t="s">
        <v>1120</v>
      </c>
    </row>
    <row r="558" spans="1:4">
      <c r="A558">
        <v>8</v>
      </c>
      <c r="B558">
        <v>8</v>
      </c>
      <c r="C558" s="52" t="s">
        <v>266</v>
      </c>
      <c r="D558" s="1586" t="s">
        <v>1120</v>
      </c>
    </row>
    <row r="559" spans="1:4">
      <c r="A559">
        <v>8</v>
      </c>
      <c r="B559">
        <v>9</v>
      </c>
      <c r="C559" s="52" t="s">
        <v>266</v>
      </c>
      <c r="D559" s="1586" t="s">
        <v>1120</v>
      </c>
    </row>
    <row r="560" spans="1:4">
      <c r="A560">
        <v>8</v>
      </c>
      <c r="B560">
        <v>10</v>
      </c>
      <c r="C560" s="52" t="s">
        <v>266</v>
      </c>
      <c r="D560" s="1586" t="s">
        <v>1120</v>
      </c>
    </row>
    <row r="561" spans="1:19">
      <c r="A561">
        <v>8</v>
      </c>
      <c r="B561">
        <v>11</v>
      </c>
      <c r="C561" s="52" t="s">
        <v>266</v>
      </c>
      <c r="D561" s="1586" t="s">
        <v>1120</v>
      </c>
    </row>
    <row r="562" spans="1:19" ht="31.5">
      <c r="A562">
        <v>8</v>
      </c>
      <c r="B562" t="s">
        <v>2810</v>
      </c>
      <c r="C562" s="422" t="s">
        <v>1196</v>
      </c>
      <c r="D562" s="1586" t="s">
        <v>1120</v>
      </c>
    </row>
    <row r="563" spans="1:19">
      <c r="A563">
        <v>9</v>
      </c>
      <c r="B563">
        <v>1</v>
      </c>
      <c r="C563" s="52" t="s">
        <v>275</v>
      </c>
      <c r="D563" s="1586" t="s">
        <v>1121</v>
      </c>
    </row>
    <row r="564" spans="1:19">
      <c r="A564">
        <v>9</v>
      </c>
      <c r="B564">
        <v>2</v>
      </c>
      <c r="C564" s="52" t="s">
        <v>275</v>
      </c>
      <c r="D564" s="1586" t="s">
        <v>1121</v>
      </c>
    </row>
    <row r="565" spans="1:19">
      <c r="A565">
        <v>9</v>
      </c>
      <c r="B565">
        <v>3</v>
      </c>
      <c r="C565" s="52" t="s">
        <v>265</v>
      </c>
      <c r="D565" s="1586" t="s">
        <v>1125</v>
      </c>
      <c r="S565" s="61"/>
    </row>
    <row r="566" spans="1:19">
      <c r="A566">
        <v>9</v>
      </c>
      <c r="B566">
        <v>4</v>
      </c>
      <c r="C566" s="52" t="s">
        <v>277</v>
      </c>
      <c r="D566" s="1586" t="s">
        <v>1126</v>
      </c>
      <c r="S566" s="61"/>
    </row>
    <row r="567" spans="1:19">
      <c r="A567">
        <v>9</v>
      </c>
      <c r="B567">
        <v>5</v>
      </c>
      <c r="C567" s="52" t="s">
        <v>304</v>
      </c>
      <c r="D567" s="1586" t="s">
        <v>1143</v>
      </c>
      <c r="S567" s="61"/>
    </row>
    <row r="568" spans="1:19">
      <c r="A568">
        <v>9</v>
      </c>
      <c r="B568">
        <v>6</v>
      </c>
      <c r="C568" s="52" t="s">
        <v>304</v>
      </c>
      <c r="D568" s="1586" t="s">
        <v>1143</v>
      </c>
      <c r="S568" s="61"/>
    </row>
    <row r="569" spans="1:19">
      <c r="A569">
        <v>9</v>
      </c>
      <c r="B569">
        <v>7</v>
      </c>
      <c r="C569" s="52" t="s">
        <v>271</v>
      </c>
      <c r="D569" s="1586" t="s">
        <v>1143</v>
      </c>
      <c r="S569" s="61"/>
    </row>
    <row r="570" spans="1:19">
      <c r="A570">
        <v>9</v>
      </c>
      <c r="B570">
        <v>8</v>
      </c>
      <c r="C570" s="52" t="s">
        <v>319</v>
      </c>
      <c r="D570" s="1586" t="s">
        <v>1132</v>
      </c>
    </row>
    <row r="571" spans="1:19">
      <c r="A571">
        <v>9</v>
      </c>
      <c r="B571">
        <v>9</v>
      </c>
      <c r="C571" s="52" t="s">
        <v>310</v>
      </c>
      <c r="D571" s="1586" t="s">
        <v>1123</v>
      </c>
      <c r="S571" s="61"/>
    </row>
    <row r="572" spans="1:19">
      <c r="A572">
        <v>9</v>
      </c>
      <c r="B572">
        <v>10</v>
      </c>
      <c r="C572" s="52" t="s">
        <v>310</v>
      </c>
      <c r="D572" s="1586" t="s">
        <v>1123</v>
      </c>
    </row>
    <row r="573" spans="1:19">
      <c r="A573">
        <v>9</v>
      </c>
      <c r="B573">
        <v>11</v>
      </c>
      <c r="C573" s="52" t="s">
        <v>290</v>
      </c>
      <c r="D573" s="1586" t="s">
        <v>1973</v>
      </c>
      <c r="S573" s="61"/>
    </row>
    <row r="574" spans="1:19">
      <c r="A574">
        <v>9</v>
      </c>
      <c r="B574">
        <v>12</v>
      </c>
      <c r="C574" t="s">
        <v>279</v>
      </c>
      <c r="D574" s="1586" t="s">
        <v>1119</v>
      </c>
      <c r="S574" s="61"/>
    </row>
    <row r="575" spans="1:19">
      <c r="A575">
        <v>9</v>
      </c>
      <c r="B575" t="s">
        <v>2810</v>
      </c>
      <c r="C575" t="s">
        <v>266</v>
      </c>
      <c r="D575" s="1586" t="s">
        <v>1120</v>
      </c>
      <c r="S575" s="61"/>
    </row>
    <row r="576" spans="1:19">
      <c r="A576">
        <v>10</v>
      </c>
      <c r="B576">
        <v>1</v>
      </c>
      <c r="C576" s="52" t="s">
        <v>295</v>
      </c>
      <c r="D576" s="1586" t="s">
        <v>1119</v>
      </c>
    </row>
    <row r="577" spans="1:4">
      <c r="A577">
        <v>10</v>
      </c>
      <c r="B577">
        <v>2</v>
      </c>
      <c r="C577" s="52" t="s">
        <v>1144</v>
      </c>
      <c r="D577" s="1586" t="s">
        <v>1119</v>
      </c>
    </row>
    <row r="578" spans="1:4">
      <c r="A578">
        <v>10</v>
      </c>
      <c r="B578">
        <v>3</v>
      </c>
      <c r="C578" s="52" t="s">
        <v>281</v>
      </c>
      <c r="D578" s="1586" t="s">
        <v>1973</v>
      </c>
    </row>
    <row r="579" spans="1:4">
      <c r="A579">
        <v>10</v>
      </c>
      <c r="B579">
        <v>4</v>
      </c>
      <c r="C579" s="52" t="s">
        <v>281</v>
      </c>
      <c r="D579" s="1586" t="s">
        <v>1973</v>
      </c>
    </row>
    <row r="580" spans="1:4">
      <c r="A580">
        <v>10</v>
      </c>
      <c r="B580">
        <v>5</v>
      </c>
      <c r="C580" s="52" t="s">
        <v>278</v>
      </c>
      <c r="D580" s="1586" t="s">
        <v>1118</v>
      </c>
    </row>
    <row r="581" spans="1:4">
      <c r="A581">
        <v>10</v>
      </c>
      <c r="B581">
        <v>6</v>
      </c>
      <c r="C581" s="52" t="s">
        <v>1145</v>
      </c>
      <c r="D581" s="1586" t="s">
        <v>1132</v>
      </c>
    </row>
    <row r="582" spans="1:4">
      <c r="A582">
        <v>10</v>
      </c>
      <c r="B582">
        <v>7</v>
      </c>
      <c r="C582" s="52" t="s">
        <v>1146</v>
      </c>
      <c r="D582" s="1586" t="s">
        <v>1114</v>
      </c>
    </row>
    <row r="583" spans="1:4">
      <c r="A583">
        <v>10</v>
      </c>
      <c r="B583">
        <v>8</v>
      </c>
      <c r="C583" s="52" t="s">
        <v>1147</v>
      </c>
      <c r="D583" s="1586" t="s">
        <v>1114</v>
      </c>
    </row>
    <row r="584" spans="1:4" ht="31.5">
      <c r="A584">
        <v>10</v>
      </c>
      <c r="B584" s="35">
        <v>9</v>
      </c>
      <c r="C584" s="67" t="s">
        <v>1176</v>
      </c>
      <c r="D584" s="1588" t="s">
        <v>1177</v>
      </c>
    </row>
    <row r="585" spans="1:4">
      <c r="A585">
        <v>10</v>
      </c>
      <c r="B585">
        <v>10</v>
      </c>
      <c r="C585" s="52" t="s">
        <v>1124</v>
      </c>
      <c r="D585" s="1586" t="s">
        <v>1117</v>
      </c>
    </row>
    <row r="586" spans="1:4">
      <c r="A586">
        <v>10</v>
      </c>
      <c r="B586">
        <v>11</v>
      </c>
      <c r="C586" s="52" t="s">
        <v>1148</v>
      </c>
      <c r="D586" s="1586" t="s">
        <v>1115</v>
      </c>
    </row>
    <row r="587" spans="1:4" ht="31.5">
      <c r="A587">
        <v>10</v>
      </c>
      <c r="B587" t="s">
        <v>2810</v>
      </c>
      <c r="C587" s="422" t="s">
        <v>1181</v>
      </c>
      <c r="D587" s="1588" t="s">
        <v>1182</v>
      </c>
    </row>
    <row r="588" spans="1:4">
      <c r="A588">
        <v>11</v>
      </c>
      <c r="B588">
        <v>1</v>
      </c>
      <c r="C588" t="s">
        <v>1149</v>
      </c>
      <c r="D588" s="1586" t="s">
        <v>1121</v>
      </c>
    </row>
    <row r="589" spans="1:4">
      <c r="A589">
        <v>11</v>
      </c>
      <c r="B589">
        <v>2</v>
      </c>
      <c r="C589" t="s">
        <v>305</v>
      </c>
      <c r="D589" s="1586" t="s">
        <v>1121</v>
      </c>
    </row>
    <row r="590" spans="1:4">
      <c r="A590">
        <v>11</v>
      </c>
      <c r="B590">
        <v>3</v>
      </c>
      <c r="C590" t="s">
        <v>305</v>
      </c>
      <c r="D590" s="1586" t="s">
        <v>1121</v>
      </c>
    </row>
    <row r="591" spans="1:4">
      <c r="A591">
        <v>11</v>
      </c>
      <c r="B591">
        <v>4</v>
      </c>
      <c r="C591" t="s">
        <v>99</v>
      </c>
      <c r="D591" s="1586" t="s">
        <v>1121</v>
      </c>
    </row>
    <row r="592" spans="1:4">
      <c r="A592">
        <v>11</v>
      </c>
      <c r="B592">
        <v>5</v>
      </c>
      <c r="C592" t="s">
        <v>302</v>
      </c>
      <c r="D592" s="1586" t="s">
        <v>1131</v>
      </c>
    </row>
    <row r="593" spans="1:4">
      <c r="A593">
        <v>11</v>
      </c>
      <c r="B593">
        <v>6</v>
      </c>
      <c r="C593" t="s">
        <v>314</v>
      </c>
      <c r="D593" s="1586" t="s">
        <v>1131</v>
      </c>
    </row>
    <row r="594" spans="1:4">
      <c r="A594">
        <v>11</v>
      </c>
      <c r="B594">
        <v>7</v>
      </c>
      <c r="C594" t="s">
        <v>297</v>
      </c>
      <c r="D594" s="1586" t="s">
        <v>1125</v>
      </c>
    </row>
    <row r="595" spans="1:4">
      <c r="A595">
        <v>11</v>
      </c>
      <c r="B595">
        <v>8</v>
      </c>
      <c r="C595" t="s">
        <v>297</v>
      </c>
      <c r="D595" s="1586" t="s">
        <v>1125</v>
      </c>
    </row>
    <row r="596" spans="1:4">
      <c r="A596">
        <v>11</v>
      </c>
      <c r="B596">
        <v>9</v>
      </c>
      <c r="C596" t="s">
        <v>1128</v>
      </c>
      <c r="D596" s="1586" t="s">
        <v>1973</v>
      </c>
    </row>
    <row r="597" spans="1:4">
      <c r="A597">
        <v>11</v>
      </c>
      <c r="B597">
        <v>10</v>
      </c>
      <c r="C597" t="s">
        <v>295</v>
      </c>
      <c r="D597" s="1586" t="s">
        <v>1119</v>
      </c>
    </row>
    <row r="598" spans="1:4">
      <c r="A598">
        <v>11</v>
      </c>
      <c r="B598">
        <v>11</v>
      </c>
      <c r="C598" t="s">
        <v>295</v>
      </c>
      <c r="D598" s="1586" t="s">
        <v>1119</v>
      </c>
    </row>
    <row r="599" spans="1:4">
      <c r="A599">
        <v>11</v>
      </c>
      <c r="B599">
        <v>12</v>
      </c>
      <c r="C599" t="s">
        <v>1150</v>
      </c>
      <c r="D599" s="1586" t="s">
        <v>1123</v>
      </c>
    </row>
    <row r="600" spans="1:4">
      <c r="A600">
        <v>11</v>
      </c>
      <c r="B600" t="s">
        <v>2810</v>
      </c>
      <c r="C600" t="s">
        <v>266</v>
      </c>
      <c r="D600" s="1586" t="s">
        <v>1120</v>
      </c>
    </row>
    <row r="601" spans="1:4">
      <c r="A601">
        <v>12</v>
      </c>
      <c r="B601">
        <v>1</v>
      </c>
      <c r="C601" t="s">
        <v>1151</v>
      </c>
      <c r="D601" s="1586" t="s">
        <v>1115</v>
      </c>
    </row>
    <row r="602" spans="1:4">
      <c r="A602">
        <v>12</v>
      </c>
      <c r="B602">
        <v>2</v>
      </c>
      <c r="C602" t="s">
        <v>286</v>
      </c>
      <c r="D602" s="1586" t="s">
        <v>1126</v>
      </c>
    </row>
    <row r="603" spans="1:4">
      <c r="A603">
        <v>12</v>
      </c>
      <c r="B603">
        <v>3</v>
      </c>
      <c r="C603" t="s">
        <v>1152</v>
      </c>
      <c r="D603" s="1586" t="s">
        <v>1153</v>
      </c>
    </row>
    <row r="604" spans="1:4">
      <c r="A604">
        <v>12</v>
      </c>
      <c r="B604">
        <v>4</v>
      </c>
      <c r="C604" t="s">
        <v>1152</v>
      </c>
      <c r="D604" s="1586" t="s">
        <v>1153</v>
      </c>
    </row>
    <row r="605" spans="1:4">
      <c r="A605">
        <v>12</v>
      </c>
      <c r="B605">
        <v>5</v>
      </c>
      <c r="C605" t="s">
        <v>1154</v>
      </c>
      <c r="D605" s="1586" t="s">
        <v>1125</v>
      </c>
    </row>
    <row r="606" spans="1:4">
      <c r="A606">
        <v>12</v>
      </c>
      <c r="B606">
        <v>6</v>
      </c>
      <c r="C606" t="s">
        <v>285</v>
      </c>
      <c r="D606" s="1586" t="s">
        <v>1143</v>
      </c>
    </row>
    <row r="607" spans="1:4">
      <c r="A607">
        <v>12</v>
      </c>
      <c r="B607">
        <v>7</v>
      </c>
      <c r="C607" t="s">
        <v>304</v>
      </c>
      <c r="D607" s="1586" t="s">
        <v>1143</v>
      </c>
    </row>
    <row r="608" spans="1:4">
      <c r="A608">
        <v>12</v>
      </c>
      <c r="B608">
        <v>8</v>
      </c>
      <c r="C608" t="s">
        <v>278</v>
      </c>
      <c r="D608" s="1586" t="s">
        <v>1118</v>
      </c>
    </row>
    <row r="609" spans="1:4">
      <c r="A609">
        <v>12</v>
      </c>
      <c r="B609">
        <v>9</v>
      </c>
      <c r="C609" t="s">
        <v>279</v>
      </c>
      <c r="D609" s="1586" t="s">
        <v>1119</v>
      </c>
    </row>
    <row r="610" spans="1:4">
      <c r="A610">
        <v>12</v>
      </c>
      <c r="B610">
        <v>10</v>
      </c>
      <c r="C610" t="s">
        <v>1155</v>
      </c>
      <c r="D610" s="1586" t="s">
        <v>1119</v>
      </c>
    </row>
    <row r="611" spans="1:4">
      <c r="A611">
        <v>12</v>
      </c>
      <c r="B611" t="s">
        <v>2810</v>
      </c>
      <c r="C611" s="52" t="s">
        <v>266</v>
      </c>
      <c r="D611" s="1586"/>
    </row>
    <row r="612" spans="1:4">
      <c r="A612">
        <v>13</v>
      </c>
      <c r="B612">
        <v>1</v>
      </c>
      <c r="C612" t="s">
        <v>275</v>
      </c>
      <c r="D612" s="1586" t="s">
        <v>1121</v>
      </c>
    </row>
    <row r="613" spans="1:4">
      <c r="A613">
        <v>13</v>
      </c>
      <c r="B613">
        <v>2</v>
      </c>
      <c r="C613" t="s">
        <v>275</v>
      </c>
      <c r="D613" s="1586" t="s">
        <v>1121</v>
      </c>
    </row>
    <row r="614" spans="1:4">
      <c r="A614">
        <v>13</v>
      </c>
      <c r="B614">
        <v>3</v>
      </c>
      <c r="C614" t="s">
        <v>1156</v>
      </c>
      <c r="D614" s="1586" t="s">
        <v>1121</v>
      </c>
    </row>
    <row r="615" spans="1:4">
      <c r="A615">
        <v>13</v>
      </c>
      <c r="B615">
        <v>4</v>
      </c>
      <c r="C615" t="s">
        <v>309</v>
      </c>
      <c r="D615" s="1586" t="s">
        <v>1123</v>
      </c>
    </row>
    <row r="616" spans="1:4">
      <c r="A616">
        <v>13</v>
      </c>
      <c r="B616">
        <v>5</v>
      </c>
      <c r="C616" t="s">
        <v>280</v>
      </c>
      <c r="D616" s="1586" t="s">
        <v>1973</v>
      </c>
    </row>
    <row r="617" spans="1:4">
      <c r="A617">
        <v>13</v>
      </c>
      <c r="B617">
        <v>6</v>
      </c>
      <c r="C617" t="s">
        <v>278</v>
      </c>
      <c r="D617" s="1586" t="s">
        <v>1118</v>
      </c>
    </row>
    <row r="618" spans="1:4">
      <c r="A618">
        <v>13</v>
      </c>
      <c r="B618">
        <v>7</v>
      </c>
      <c r="C618" t="s">
        <v>278</v>
      </c>
      <c r="D618" s="1586" t="s">
        <v>1118</v>
      </c>
    </row>
    <row r="619" spans="1:4">
      <c r="A619">
        <v>13</v>
      </c>
      <c r="B619">
        <v>8</v>
      </c>
      <c r="C619" t="s">
        <v>1157</v>
      </c>
      <c r="D619" s="1586" t="s">
        <v>1158</v>
      </c>
    </row>
    <row r="620" spans="1:4">
      <c r="A620">
        <v>13</v>
      </c>
      <c r="B620">
        <v>9</v>
      </c>
      <c r="C620" t="s">
        <v>265</v>
      </c>
      <c r="D620" s="1586" t="s">
        <v>1125</v>
      </c>
    </row>
    <row r="621" spans="1:4">
      <c r="A621">
        <v>13</v>
      </c>
      <c r="B621">
        <v>10</v>
      </c>
      <c r="C621" t="s">
        <v>265</v>
      </c>
      <c r="D621" s="1586" t="s">
        <v>1125</v>
      </c>
    </row>
    <row r="622" spans="1:4">
      <c r="A622">
        <v>13</v>
      </c>
      <c r="B622" t="s">
        <v>2810</v>
      </c>
      <c r="C622" s="52" t="s">
        <v>266</v>
      </c>
      <c r="D622" s="1586" t="s">
        <v>1120</v>
      </c>
    </row>
    <row r="623" spans="1:4">
      <c r="A623">
        <v>14</v>
      </c>
      <c r="B623">
        <v>1</v>
      </c>
      <c r="C623" t="s">
        <v>269</v>
      </c>
      <c r="D623" s="1586" t="s">
        <v>1126</v>
      </c>
    </row>
    <row r="624" spans="1:4" ht="31.5">
      <c r="A624">
        <v>14</v>
      </c>
      <c r="B624">
        <v>2</v>
      </c>
      <c r="C624" s="422" t="s">
        <v>1173</v>
      </c>
      <c r="D624" s="1588" t="s">
        <v>1210</v>
      </c>
    </row>
    <row r="625" spans="1:4" ht="31.5">
      <c r="A625">
        <v>14</v>
      </c>
      <c r="B625">
        <v>3</v>
      </c>
      <c r="C625" s="422" t="s">
        <v>1174</v>
      </c>
      <c r="D625" s="1588" t="s">
        <v>1175</v>
      </c>
    </row>
    <row r="626" spans="1:4">
      <c r="A626">
        <v>14</v>
      </c>
      <c r="B626">
        <v>4</v>
      </c>
      <c r="C626" t="s">
        <v>265</v>
      </c>
      <c r="D626" s="1586" t="s">
        <v>1125</v>
      </c>
    </row>
    <row r="627" spans="1:4">
      <c r="A627">
        <v>14</v>
      </c>
      <c r="B627">
        <v>5</v>
      </c>
      <c r="C627" t="s">
        <v>265</v>
      </c>
      <c r="D627" s="1586" t="s">
        <v>1125</v>
      </c>
    </row>
    <row r="628" spans="1:4">
      <c r="A628">
        <v>14</v>
      </c>
      <c r="B628">
        <v>6</v>
      </c>
      <c r="C628" t="s">
        <v>278</v>
      </c>
      <c r="D628" s="1586" t="s">
        <v>1118</v>
      </c>
    </row>
    <row r="629" spans="1:4">
      <c r="A629">
        <v>14</v>
      </c>
      <c r="B629">
        <v>7</v>
      </c>
      <c r="C629" t="s">
        <v>290</v>
      </c>
      <c r="D629" s="1586" t="s">
        <v>1973</v>
      </c>
    </row>
    <row r="630" spans="1:4">
      <c r="A630">
        <v>14</v>
      </c>
      <c r="B630">
        <v>8</v>
      </c>
      <c r="C630" t="s">
        <v>290</v>
      </c>
      <c r="D630" s="1586" t="s">
        <v>1973</v>
      </c>
    </row>
    <row r="631" spans="1:4">
      <c r="A631">
        <v>14</v>
      </c>
      <c r="B631">
        <v>9</v>
      </c>
      <c r="C631" t="s">
        <v>295</v>
      </c>
      <c r="D631" s="1586" t="s">
        <v>1119</v>
      </c>
    </row>
    <row r="632" spans="1:4">
      <c r="A632">
        <v>14</v>
      </c>
      <c r="B632">
        <v>10</v>
      </c>
      <c r="C632" t="s">
        <v>295</v>
      </c>
      <c r="D632" s="1586" t="s">
        <v>1119</v>
      </c>
    </row>
    <row r="633" spans="1:4">
      <c r="A633">
        <v>14</v>
      </c>
      <c r="B633">
        <v>11</v>
      </c>
      <c r="C633" t="s">
        <v>295</v>
      </c>
      <c r="D633" s="1586" t="s">
        <v>1119</v>
      </c>
    </row>
    <row r="634" spans="1:4">
      <c r="A634">
        <v>14</v>
      </c>
      <c r="B634" t="s">
        <v>2810</v>
      </c>
      <c r="C634" t="s">
        <v>266</v>
      </c>
      <c r="D634" s="1586" t="s">
        <v>1120</v>
      </c>
    </row>
    <row r="635" spans="1:4">
      <c r="A635">
        <v>15</v>
      </c>
      <c r="B635">
        <v>1</v>
      </c>
      <c r="C635" t="s">
        <v>279</v>
      </c>
      <c r="D635" s="1586" t="s">
        <v>1119</v>
      </c>
    </row>
    <row r="636" spans="1:4">
      <c r="A636">
        <v>15</v>
      </c>
      <c r="B636">
        <v>2</v>
      </c>
      <c r="C636" t="s">
        <v>281</v>
      </c>
      <c r="D636" s="1586" t="s">
        <v>1973</v>
      </c>
    </row>
    <row r="637" spans="1:4">
      <c r="A637">
        <v>15</v>
      </c>
      <c r="B637">
        <v>3</v>
      </c>
      <c r="C637" t="s">
        <v>281</v>
      </c>
      <c r="D637" s="1586" t="s">
        <v>1973</v>
      </c>
    </row>
    <row r="638" spans="1:4">
      <c r="A638">
        <v>15</v>
      </c>
      <c r="B638">
        <v>4</v>
      </c>
      <c r="C638" t="s">
        <v>280</v>
      </c>
      <c r="D638" s="1586" t="s">
        <v>1973</v>
      </c>
    </row>
    <row r="639" spans="1:4">
      <c r="A639">
        <v>15</v>
      </c>
      <c r="B639">
        <v>5</v>
      </c>
      <c r="C639" t="s">
        <v>283</v>
      </c>
      <c r="D639" s="1586" t="s">
        <v>1132</v>
      </c>
    </row>
    <row r="640" spans="1:4">
      <c r="A640">
        <v>15</v>
      </c>
      <c r="B640">
        <v>6</v>
      </c>
      <c r="C640" t="s">
        <v>283</v>
      </c>
      <c r="D640" s="1586" t="s">
        <v>1132</v>
      </c>
    </row>
    <row r="641" spans="1:4">
      <c r="A641">
        <v>15</v>
      </c>
      <c r="B641">
        <v>7</v>
      </c>
      <c r="C641" t="s">
        <v>286</v>
      </c>
      <c r="D641" s="1586" t="s">
        <v>1126</v>
      </c>
    </row>
    <row r="642" spans="1:4">
      <c r="A642">
        <v>15</v>
      </c>
      <c r="B642">
        <v>8</v>
      </c>
      <c r="C642" t="s">
        <v>1135</v>
      </c>
      <c r="D642" s="1586" t="s">
        <v>1134</v>
      </c>
    </row>
    <row r="643" spans="1:4">
      <c r="A643">
        <v>15</v>
      </c>
      <c r="B643">
        <v>9</v>
      </c>
      <c r="C643" t="s">
        <v>343</v>
      </c>
      <c r="D643" s="1586" t="s">
        <v>1125</v>
      </c>
    </row>
    <row r="644" spans="1:4">
      <c r="A644">
        <v>15</v>
      </c>
      <c r="B644">
        <v>10</v>
      </c>
      <c r="C644" t="s">
        <v>288</v>
      </c>
      <c r="D644" s="1586" t="s">
        <v>1126</v>
      </c>
    </row>
    <row r="645" spans="1:4">
      <c r="A645">
        <v>15</v>
      </c>
      <c r="B645">
        <v>11</v>
      </c>
      <c r="C645" t="s">
        <v>288</v>
      </c>
      <c r="D645" s="1586" t="s">
        <v>1126</v>
      </c>
    </row>
    <row r="646" spans="1:4">
      <c r="A646">
        <v>15</v>
      </c>
      <c r="B646" t="s">
        <v>2810</v>
      </c>
      <c r="C646" t="s">
        <v>266</v>
      </c>
      <c r="D646" s="1586" t="s">
        <v>1120</v>
      </c>
    </row>
    <row r="647" spans="1:4">
      <c r="A647">
        <v>16</v>
      </c>
      <c r="B647">
        <v>1</v>
      </c>
      <c r="C647" t="s">
        <v>305</v>
      </c>
      <c r="D647" s="1586" t="s">
        <v>1121</v>
      </c>
    </row>
    <row r="648" spans="1:4">
      <c r="A648">
        <v>16</v>
      </c>
      <c r="B648">
        <v>2</v>
      </c>
      <c r="C648" t="s">
        <v>305</v>
      </c>
      <c r="D648" s="1586" t="s">
        <v>1121</v>
      </c>
    </row>
    <row r="649" spans="1:4">
      <c r="A649">
        <v>16</v>
      </c>
      <c r="B649">
        <v>3</v>
      </c>
      <c r="C649" t="s">
        <v>99</v>
      </c>
      <c r="D649" s="1586" t="s">
        <v>1121</v>
      </c>
    </row>
    <row r="650" spans="1:4">
      <c r="A650">
        <v>16</v>
      </c>
      <c r="B650">
        <v>4</v>
      </c>
      <c r="C650" t="s">
        <v>277</v>
      </c>
      <c r="D650" s="1586" t="s">
        <v>1126</v>
      </c>
    </row>
    <row r="651" spans="1:4">
      <c r="A651">
        <v>16</v>
      </c>
      <c r="B651">
        <v>5</v>
      </c>
      <c r="C651" t="s">
        <v>270</v>
      </c>
      <c r="D651" s="1586" t="s">
        <v>1115</v>
      </c>
    </row>
    <row r="652" spans="1:4">
      <c r="A652">
        <v>16</v>
      </c>
      <c r="B652">
        <v>6</v>
      </c>
      <c r="C652" t="s">
        <v>270</v>
      </c>
      <c r="D652" s="1586" t="s">
        <v>1115</v>
      </c>
    </row>
    <row r="653" spans="1:4">
      <c r="A653">
        <v>16</v>
      </c>
      <c r="B653">
        <v>7</v>
      </c>
      <c r="C653" t="s">
        <v>1159</v>
      </c>
      <c r="D653" s="1586" t="s">
        <v>1131</v>
      </c>
    </row>
    <row r="654" spans="1:4">
      <c r="A654">
        <v>16</v>
      </c>
      <c r="B654">
        <v>8</v>
      </c>
      <c r="C654" t="s">
        <v>1128</v>
      </c>
      <c r="D654" s="1586" t="s">
        <v>1973</v>
      </c>
    </row>
    <row r="655" spans="1:4">
      <c r="A655">
        <v>16</v>
      </c>
      <c r="B655">
        <v>9</v>
      </c>
      <c r="C655" t="s">
        <v>123</v>
      </c>
      <c r="D655" s="1586" t="s">
        <v>1973</v>
      </c>
    </row>
    <row r="656" spans="1:4">
      <c r="A656">
        <v>16</v>
      </c>
      <c r="B656">
        <v>10</v>
      </c>
      <c r="C656" t="s">
        <v>295</v>
      </c>
      <c r="D656" s="1586" t="s">
        <v>1119</v>
      </c>
    </row>
    <row r="657" spans="1:4">
      <c r="A657">
        <v>16</v>
      </c>
      <c r="B657">
        <v>11</v>
      </c>
      <c r="C657" t="s">
        <v>295</v>
      </c>
      <c r="D657" s="1586" t="s">
        <v>1119</v>
      </c>
    </row>
    <row r="658" spans="1:4">
      <c r="A658">
        <v>16</v>
      </c>
      <c r="B658" t="s">
        <v>2810</v>
      </c>
      <c r="C658" t="s">
        <v>266</v>
      </c>
      <c r="D658" s="1586" t="s">
        <v>1120</v>
      </c>
    </row>
    <row r="659" spans="1:4">
      <c r="A659">
        <v>17</v>
      </c>
      <c r="B659">
        <v>1</v>
      </c>
      <c r="C659" t="s">
        <v>267</v>
      </c>
      <c r="D659" s="1586" t="s">
        <v>1115</v>
      </c>
    </row>
    <row r="660" spans="1:4">
      <c r="A660">
        <v>17</v>
      </c>
      <c r="B660">
        <v>2</v>
      </c>
      <c r="C660" t="s">
        <v>318</v>
      </c>
      <c r="D660" s="1586" t="s">
        <v>1153</v>
      </c>
    </row>
    <row r="661" spans="1:4">
      <c r="A661">
        <v>17</v>
      </c>
      <c r="B661">
        <v>3</v>
      </c>
      <c r="C661" t="s">
        <v>318</v>
      </c>
      <c r="D661" s="1586" t="s">
        <v>1153</v>
      </c>
    </row>
    <row r="662" spans="1:4">
      <c r="A662">
        <v>17</v>
      </c>
      <c r="B662">
        <v>4</v>
      </c>
      <c r="C662" t="s">
        <v>1135</v>
      </c>
      <c r="D662" s="1586" t="s">
        <v>1134</v>
      </c>
    </row>
    <row r="663" spans="1:4">
      <c r="A663">
        <v>17</v>
      </c>
      <c r="B663">
        <v>5</v>
      </c>
      <c r="C663" t="s">
        <v>306</v>
      </c>
      <c r="D663" s="1586" t="s">
        <v>1134</v>
      </c>
    </row>
    <row r="664" spans="1:4">
      <c r="A664">
        <v>17</v>
      </c>
      <c r="B664">
        <v>6</v>
      </c>
      <c r="C664" t="s">
        <v>265</v>
      </c>
      <c r="D664" s="1586" t="s">
        <v>1125</v>
      </c>
    </row>
    <row r="665" spans="1:4">
      <c r="A665">
        <v>17</v>
      </c>
      <c r="B665">
        <v>7</v>
      </c>
      <c r="C665" t="s">
        <v>265</v>
      </c>
      <c r="D665" s="1586" t="s">
        <v>1125</v>
      </c>
    </row>
    <row r="666" spans="1:4">
      <c r="A666">
        <v>17</v>
      </c>
      <c r="B666">
        <v>8</v>
      </c>
      <c r="C666" t="s">
        <v>319</v>
      </c>
      <c r="D666" s="1586" t="s">
        <v>1132</v>
      </c>
    </row>
    <row r="667" spans="1:4">
      <c r="A667">
        <v>17</v>
      </c>
      <c r="B667">
        <v>9</v>
      </c>
      <c r="C667" t="s">
        <v>313</v>
      </c>
      <c r="D667" s="1586" t="s">
        <v>1118</v>
      </c>
    </row>
    <row r="668" spans="1:4">
      <c r="A668">
        <v>17</v>
      </c>
      <c r="B668">
        <v>10</v>
      </c>
      <c r="C668" t="s">
        <v>295</v>
      </c>
      <c r="D668" s="1586" t="s">
        <v>1119</v>
      </c>
    </row>
    <row r="669" spans="1:4">
      <c r="A669">
        <v>17</v>
      </c>
      <c r="B669">
        <v>11</v>
      </c>
      <c r="C669" t="s">
        <v>320</v>
      </c>
      <c r="D669" s="1586" t="s">
        <v>1119</v>
      </c>
    </row>
    <row r="670" spans="1:4">
      <c r="A670">
        <v>17</v>
      </c>
      <c r="B670" t="s">
        <v>2810</v>
      </c>
      <c r="C670" t="s">
        <v>266</v>
      </c>
      <c r="D670" s="1586" t="s">
        <v>1120</v>
      </c>
    </row>
    <row r="671" spans="1:4">
      <c r="A671">
        <v>18</v>
      </c>
      <c r="B671">
        <v>1</v>
      </c>
      <c r="C671" t="s">
        <v>310</v>
      </c>
      <c r="D671" s="1586" t="s">
        <v>1123</v>
      </c>
    </row>
    <row r="672" spans="1:4">
      <c r="A672">
        <v>18</v>
      </c>
      <c r="B672">
        <v>2</v>
      </c>
      <c r="C672" t="s">
        <v>310</v>
      </c>
      <c r="D672" s="1586" t="s">
        <v>1123</v>
      </c>
    </row>
    <row r="673" spans="1:4">
      <c r="A673">
        <v>18</v>
      </c>
      <c r="B673">
        <v>3</v>
      </c>
      <c r="C673" t="s">
        <v>279</v>
      </c>
      <c r="D673" s="1586" t="s">
        <v>1119</v>
      </c>
    </row>
    <row r="674" spans="1:4">
      <c r="A674">
        <v>18</v>
      </c>
      <c r="B674">
        <v>4</v>
      </c>
      <c r="C674" t="s">
        <v>295</v>
      </c>
      <c r="D674" s="1586" t="s">
        <v>1119</v>
      </c>
    </row>
    <row r="675" spans="1:4">
      <c r="A675">
        <v>18</v>
      </c>
      <c r="B675">
        <v>5</v>
      </c>
      <c r="C675" t="s">
        <v>295</v>
      </c>
      <c r="D675" s="1586" t="s">
        <v>1119</v>
      </c>
    </row>
    <row r="676" spans="1:4">
      <c r="A676">
        <v>18</v>
      </c>
      <c r="B676">
        <v>6</v>
      </c>
      <c r="C676" t="s">
        <v>278</v>
      </c>
      <c r="D676" s="1586" t="s">
        <v>1118</v>
      </c>
    </row>
    <row r="677" spans="1:4">
      <c r="A677">
        <v>18</v>
      </c>
      <c r="B677">
        <v>7</v>
      </c>
      <c r="C677" t="s">
        <v>278</v>
      </c>
      <c r="D677" s="1586" t="s">
        <v>1118</v>
      </c>
    </row>
    <row r="678" spans="1:4">
      <c r="A678">
        <v>18</v>
      </c>
      <c r="B678">
        <v>8</v>
      </c>
      <c r="C678" t="s">
        <v>315</v>
      </c>
      <c r="D678" s="1586" t="s">
        <v>1126</v>
      </c>
    </row>
    <row r="679" spans="1:4" ht="31.5">
      <c r="A679">
        <v>18</v>
      </c>
      <c r="B679">
        <v>9</v>
      </c>
      <c r="C679" s="422" t="s">
        <v>1178</v>
      </c>
      <c r="D679" s="1588" t="s">
        <v>1210</v>
      </c>
    </row>
    <row r="680" spans="1:4">
      <c r="A680">
        <v>18</v>
      </c>
      <c r="B680">
        <v>10</v>
      </c>
      <c r="C680" t="s">
        <v>269</v>
      </c>
      <c r="D680" s="1586" t="s">
        <v>1126</v>
      </c>
    </row>
    <row r="681" spans="1:4">
      <c r="A681">
        <v>18</v>
      </c>
      <c r="B681">
        <v>11</v>
      </c>
      <c r="C681" t="s">
        <v>275</v>
      </c>
      <c r="D681" s="1586" t="s">
        <v>1121</v>
      </c>
    </row>
    <row r="682" spans="1:4">
      <c r="A682">
        <v>18</v>
      </c>
      <c r="B682" t="s">
        <v>2810</v>
      </c>
      <c r="C682" t="s">
        <v>266</v>
      </c>
      <c r="D682" s="1586" t="s">
        <v>1120</v>
      </c>
    </row>
    <row r="683" spans="1:4">
      <c r="A683">
        <v>19</v>
      </c>
      <c r="B683">
        <v>1</v>
      </c>
      <c r="C683" t="s">
        <v>1155</v>
      </c>
      <c r="D683" s="1586" t="s">
        <v>1119</v>
      </c>
    </row>
    <row r="684" spans="1:4">
      <c r="A684">
        <v>19</v>
      </c>
      <c r="B684">
        <v>2</v>
      </c>
      <c r="C684" t="s">
        <v>294</v>
      </c>
      <c r="D684" s="1586" t="s">
        <v>1973</v>
      </c>
    </row>
    <row r="685" spans="1:4">
      <c r="A685">
        <v>19</v>
      </c>
      <c r="B685">
        <v>3</v>
      </c>
      <c r="C685" t="s">
        <v>294</v>
      </c>
      <c r="D685" s="1586" t="s">
        <v>1973</v>
      </c>
    </row>
    <row r="686" spans="1:4">
      <c r="A686">
        <v>19</v>
      </c>
      <c r="B686">
        <v>4</v>
      </c>
      <c r="C686" t="s">
        <v>290</v>
      </c>
      <c r="D686" s="1586" t="s">
        <v>1973</v>
      </c>
    </row>
    <row r="687" spans="1:4">
      <c r="A687">
        <v>19</v>
      </c>
      <c r="B687">
        <v>5</v>
      </c>
      <c r="C687" t="s">
        <v>290</v>
      </c>
      <c r="D687" s="1586" t="s">
        <v>1973</v>
      </c>
    </row>
    <row r="688" spans="1:4">
      <c r="A688">
        <v>19</v>
      </c>
      <c r="B688">
        <v>6</v>
      </c>
      <c r="C688" t="s">
        <v>1162</v>
      </c>
      <c r="D688" s="1586" t="s">
        <v>1131</v>
      </c>
    </row>
    <row r="689" spans="1:4">
      <c r="A689">
        <v>19</v>
      </c>
      <c r="B689">
        <v>7</v>
      </c>
      <c r="C689" t="s">
        <v>1162</v>
      </c>
      <c r="D689" s="1586" t="s">
        <v>1131</v>
      </c>
    </row>
    <row r="690" spans="1:4">
      <c r="A690">
        <v>19</v>
      </c>
      <c r="B690">
        <v>8</v>
      </c>
      <c r="C690" t="s">
        <v>1163</v>
      </c>
      <c r="D690" s="1586" t="s">
        <v>1134</v>
      </c>
    </row>
    <row r="691" spans="1:4" ht="31.5">
      <c r="A691">
        <v>19</v>
      </c>
      <c r="B691">
        <v>9</v>
      </c>
      <c r="C691" s="422" t="s">
        <v>1185</v>
      </c>
      <c r="D691" s="1588" t="s">
        <v>1210</v>
      </c>
    </row>
    <row r="692" spans="1:4">
      <c r="A692">
        <v>19</v>
      </c>
      <c r="B692">
        <v>10</v>
      </c>
      <c r="C692" t="s">
        <v>287</v>
      </c>
      <c r="D692" s="1586" t="s">
        <v>1126</v>
      </c>
    </row>
    <row r="693" spans="1:4" ht="31.5">
      <c r="A693">
        <v>19</v>
      </c>
      <c r="B693">
        <v>11</v>
      </c>
      <c r="C693" s="422" t="s">
        <v>1179</v>
      </c>
      <c r="D693" s="1588" t="s">
        <v>1180</v>
      </c>
    </row>
    <row r="694" spans="1:4">
      <c r="A694">
        <v>19</v>
      </c>
      <c r="B694" t="s">
        <v>2810</v>
      </c>
      <c r="C694" t="s">
        <v>266</v>
      </c>
      <c r="D694" s="1586" t="s">
        <v>1120</v>
      </c>
    </row>
    <row r="695" spans="1:4">
      <c r="A695">
        <v>20</v>
      </c>
      <c r="B695">
        <v>1</v>
      </c>
      <c r="C695" t="s">
        <v>99</v>
      </c>
      <c r="D695" s="1586" t="s">
        <v>1121</v>
      </c>
    </row>
    <row r="696" spans="1:4">
      <c r="A696">
        <v>20</v>
      </c>
      <c r="B696">
        <v>2</v>
      </c>
      <c r="C696" t="s">
        <v>99</v>
      </c>
      <c r="D696" s="1586" t="s">
        <v>1121</v>
      </c>
    </row>
    <row r="697" spans="1:4">
      <c r="A697">
        <v>20</v>
      </c>
      <c r="B697">
        <v>3</v>
      </c>
      <c r="C697" t="s">
        <v>276</v>
      </c>
      <c r="D697" s="1586" t="s">
        <v>1121</v>
      </c>
    </row>
    <row r="698" spans="1:4">
      <c r="A698">
        <v>20</v>
      </c>
      <c r="B698">
        <v>4</v>
      </c>
      <c r="C698" t="s">
        <v>304</v>
      </c>
      <c r="D698" s="1586" t="s">
        <v>1143</v>
      </c>
    </row>
    <row r="699" spans="1:4" ht="31.5">
      <c r="A699">
        <v>20</v>
      </c>
      <c r="B699">
        <v>5</v>
      </c>
      <c r="C699" s="422" t="s">
        <v>1186</v>
      </c>
      <c r="D699" s="1586" t="s">
        <v>1126</v>
      </c>
    </row>
    <row r="700" spans="1:4">
      <c r="A700">
        <v>20</v>
      </c>
      <c r="B700">
        <v>6</v>
      </c>
      <c r="C700" t="s">
        <v>316</v>
      </c>
      <c r="D700" s="1586" t="s">
        <v>1170</v>
      </c>
    </row>
    <row r="701" spans="1:4">
      <c r="A701">
        <v>20</v>
      </c>
      <c r="B701">
        <v>7</v>
      </c>
      <c r="C701" t="s">
        <v>314</v>
      </c>
      <c r="D701" s="1586" t="s">
        <v>1131</v>
      </c>
    </row>
    <row r="702" spans="1:4">
      <c r="A702">
        <v>20</v>
      </c>
      <c r="B702">
        <v>8</v>
      </c>
      <c r="C702" t="s">
        <v>314</v>
      </c>
      <c r="D702" s="1586" t="s">
        <v>1131</v>
      </c>
    </row>
    <row r="703" spans="1:4">
      <c r="A703">
        <v>20</v>
      </c>
      <c r="B703">
        <v>9</v>
      </c>
      <c r="C703" t="s">
        <v>278</v>
      </c>
      <c r="D703" s="1586" t="s">
        <v>1118</v>
      </c>
    </row>
    <row r="704" spans="1:4">
      <c r="A704">
        <v>20</v>
      </c>
      <c r="B704">
        <v>10</v>
      </c>
      <c r="C704" t="s">
        <v>278</v>
      </c>
      <c r="D704" s="1586" t="s">
        <v>1118</v>
      </c>
    </row>
    <row r="705" spans="1:4">
      <c r="A705">
        <v>20</v>
      </c>
      <c r="B705">
        <v>11</v>
      </c>
      <c r="C705" t="s">
        <v>279</v>
      </c>
      <c r="D705" s="1586" t="s">
        <v>1119</v>
      </c>
    </row>
    <row r="706" spans="1:4">
      <c r="A706">
        <v>20</v>
      </c>
      <c r="B706" t="s">
        <v>2810</v>
      </c>
      <c r="C706" t="s">
        <v>266</v>
      </c>
      <c r="D706" s="1586" t="s">
        <v>1120</v>
      </c>
    </row>
    <row r="707" spans="1:4">
      <c r="A707">
        <v>21</v>
      </c>
      <c r="B707">
        <v>1</v>
      </c>
      <c r="C707" t="s">
        <v>295</v>
      </c>
      <c r="D707" s="1586" t="s">
        <v>1119</v>
      </c>
    </row>
    <row r="708" spans="1:4">
      <c r="A708">
        <v>21</v>
      </c>
      <c r="B708">
        <v>2</v>
      </c>
      <c r="C708" t="s">
        <v>294</v>
      </c>
      <c r="D708" s="1586" t="s">
        <v>1973</v>
      </c>
    </row>
    <row r="709" spans="1:4">
      <c r="A709">
        <v>21</v>
      </c>
      <c r="B709">
        <v>3</v>
      </c>
      <c r="C709" t="s">
        <v>294</v>
      </c>
      <c r="D709" s="1586" t="s">
        <v>1973</v>
      </c>
    </row>
    <row r="710" spans="1:4">
      <c r="A710">
        <v>21</v>
      </c>
      <c r="B710">
        <v>4</v>
      </c>
      <c r="C710" t="s">
        <v>313</v>
      </c>
      <c r="D710" s="1586" t="s">
        <v>1118</v>
      </c>
    </row>
    <row r="711" spans="1:4">
      <c r="A711">
        <v>21</v>
      </c>
      <c r="B711">
        <v>5</v>
      </c>
      <c r="C711" t="s">
        <v>313</v>
      </c>
      <c r="D711" s="1586" t="s">
        <v>1118</v>
      </c>
    </row>
    <row r="712" spans="1:4">
      <c r="A712">
        <v>21</v>
      </c>
      <c r="B712">
        <v>6</v>
      </c>
      <c r="C712" t="s">
        <v>1138</v>
      </c>
      <c r="D712" s="1586" t="s">
        <v>1132</v>
      </c>
    </row>
    <row r="713" spans="1:4">
      <c r="A713">
        <v>21</v>
      </c>
      <c r="B713">
        <v>7</v>
      </c>
      <c r="C713" t="s">
        <v>265</v>
      </c>
      <c r="D713" s="1586" t="s">
        <v>1125</v>
      </c>
    </row>
    <row r="714" spans="1:4">
      <c r="A714">
        <v>21</v>
      </c>
      <c r="B714">
        <v>8</v>
      </c>
      <c r="C714" t="s">
        <v>265</v>
      </c>
      <c r="D714" s="1586" t="s">
        <v>1125</v>
      </c>
    </row>
    <row r="715" spans="1:4">
      <c r="A715">
        <v>21</v>
      </c>
      <c r="B715">
        <v>9</v>
      </c>
      <c r="C715" t="s">
        <v>286</v>
      </c>
      <c r="D715" s="1586" t="s">
        <v>1126</v>
      </c>
    </row>
    <row r="716" spans="1:4">
      <c r="A716">
        <v>21</v>
      </c>
      <c r="B716">
        <v>10</v>
      </c>
      <c r="C716" t="s">
        <v>1148</v>
      </c>
      <c r="D716" s="1586" t="s">
        <v>1115</v>
      </c>
    </row>
    <row r="717" spans="1:4">
      <c r="A717">
        <v>21</v>
      </c>
      <c r="B717">
        <v>11</v>
      </c>
      <c r="C717" t="s">
        <v>270</v>
      </c>
      <c r="D717" s="1586" t="s">
        <v>1115</v>
      </c>
    </row>
    <row r="718" spans="1:4">
      <c r="A718">
        <v>21</v>
      </c>
      <c r="B718" t="s">
        <v>2810</v>
      </c>
      <c r="C718" t="s">
        <v>266</v>
      </c>
      <c r="D718" s="1586" t="s">
        <v>1120</v>
      </c>
    </row>
    <row r="719" spans="1:4">
      <c r="A719">
        <v>22</v>
      </c>
      <c r="B719">
        <v>1</v>
      </c>
      <c r="C719" t="s">
        <v>1164</v>
      </c>
      <c r="D719" s="1586" t="s">
        <v>1123</v>
      </c>
    </row>
    <row r="720" spans="1:4">
      <c r="A720">
        <v>22</v>
      </c>
      <c r="B720">
        <v>2</v>
      </c>
      <c r="C720" t="s">
        <v>1164</v>
      </c>
      <c r="D720" s="1586" t="s">
        <v>1123</v>
      </c>
    </row>
    <row r="721" spans="1:4">
      <c r="A721">
        <v>22</v>
      </c>
      <c r="B721">
        <v>3</v>
      </c>
      <c r="C721" t="s">
        <v>309</v>
      </c>
      <c r="D721" s="1586" t="s">
        <v>1123</v>
      </c>
    </row>
    <row r="722" spans="1:4">
      <c r="A722">
        <v>22</v>
      </c>
      <c r="B722">
        <v>4</v>
      </c>
      <c r="C722" t="s">
        <v>294</v>
      </c>
      <c r="D722" s="1586" t="s">
        <v>1973</v>
      </c>
    </row>
    <row r="723" spans="1:4">
      <c r="A723">
        <v>22</v>
      </c>
      <c r="B723">
        <v>5</v>
      </c>
      <c r="C723" t="s">
        <v>281</v>
      </c>
      <c r="D723" s="1586" t="s">
        <v>1973</v>
      </c>
    </row>
    <row r="724" spans="1:4">
      <c r="A724">
        <v>22</v>
      </c>
      <c r="B724">
        <v>6</v>
      </c>
      <c r="C724" t="s">
        <v>312</v>
      </c>
      <c r="D724" s="1586" t="s">
        <v>1114</v>
      </c>
    </row>
    <row r="725" spans="1:4">
      <c r="A725">
        <v>22</v>
      </c>
      <c r="B725">
        <v>7</v>
      </c>
      <c r="C725" t="s">
        <v>312</v>
      </c>
      <c r="D725" s="1586" t="s">
        <v>1114</v>
      </c>
    </row>
    <row r="726" spans="1:4">
      <c r="A726">
        <v>22</v>
      </c>
      <c r="B726">
        <v>8</v>
      </c>
      <c r="C726" t="s">
        <v>269</v>
      </c>
      <c r="D726" s="1586" t="s">
        <v>1126</v>
      </c>
    </row>
    <row r="727" spans="1:4" ht="31.5">
      <c r="A727">
        <v>22</v>
      </c>
      <c r="B727">
        <v>9</v>
      </c>
      <c r="C727" s="422" t="s">
        <v>1185</v>
      </c>
      <c r="D727" s="1586" t="s">
        <v>1126</v>
      </c>
    </row>
    <row r="728" spans="1:4">
      <c r="A728">
        <v>22</v>
      </c>
      <c r="B728">
        <v>10</v>
      </c>
      <c r="C728" t="s">
        <v>268</v>
      </c>
      <c r="D728" s="1586" t="s">
        <v>1115</v>
      </c>
    </row>
    <row r="729" spans="1:4">
      <c r="A729">
        <v>22</v>
      </c>
      <c r="B729">
        <v>11</v>
      </c>
      <c r="C729" t="s">
        <v>1165</v>
      </c>
      <c r="D729" s="1586" t="s">
        <v>1115</v>
      </c>
    </row>
    <row r="730" spans="1:4" ht="31.5">
      <c r="A730">
        <v>22</v>
      </c>
      <c r="B730" t="s">
        <v>2810</v>
      </c>
      <c r="C730" s="422" t="s">
        <v>1220</v>
      </c>
      <c r="D730" s="1588" t="s">
        <v>1182</v>
      </c>
    </row>
    <row r="731" spans="1:4">
      <c r="A731">
        <v>23</v>
      </c>
      <c r="B731">
        <v>1</v>
      </c>
      <c r="C731" t="s">
        <v>305</v>
      </c>
      <c r="D731" s="1586" t="s">
        <v>1121</v>
      </c>
    </row>
    <row r="732" spans="1:4">
      <c r="A732">
        <v>23</v>
      </c>
      <c r="B732">
        <v>2</v>
      </c>
      <c r="C732" t="s">
        <v>305</v>
      </c>
      <c r="D732" s="1586" t="s">
        <v>1121</v>
      </c>
    </row>
    <row r="733" spans="1:4">
      <c r="A733">
        <v>23</v>
      </c>
      <c r="B733">
        <v>3</v>
      </c>
      <c r="C733" t="s">
        <v>272</v>
      </c>
      <c r="D733" s="1586" t="s">
        <v>1115</v>
      </c>
    </row>
    <row r="734" spans="1:4">
      <c r="A734">
        <v>23</v>
      </c>
      <c r="B734">
        <v>4</v>
      </c>
      <c r="C734" t="s">
        <v>306</v>
      </c>
      <c r="D734" s="1586" t="s">
        <v>1134</v>
      </c>
    </row>
    <row r="735" spans="1:4">
      <c r="A735">
        <v>23</v>
      </c>
      <c r="B735">
        <v>5</v>
      </c>
      <c r="C735" t="s">
        <v>306</v>
      </c>
      <c r="D735" s="1586" t="s">
        <v>1134</v>
      </c>
    </row>
    <row r="736" spans="1:4">
      <c r="A736">
        <v>23</v>
      </c>
      <c r="B736">
        <v>6</v>
      </c>
      <c r="C736" t="s">
        <v>315</v>
      </c>
      <c r="D736" s="1586" t="s">
        <v>1126</v>
      </c>
    </row>
    <row r="737" spans="1:18">
      <c r="A737">
        <v>23</v>
      </c>
      <c r="B737">
        <v>7</v>
      </c>
      <c r="C737" t="s">
        <v>283</v>
      </c>
      <c r="D737" s="1586" t="s">
        <v>1132</v>
      </c>
    </row>
    <row r="738" spans="1:18">
      <c r="A738">
        <v>23</v>
      </c>
      <c r="B738">
        <v>8</v>
      </c>
      <c r="C738" t="s">
        <v>283</v>
      </c>
      <c r="D738" s="1586" t="s">
        <v>1132</v>
      </c>
      <c r="E738" s="52"/>
      <c r="F738" s="52"/>
      <c r="G738" s="52"/>
      <c r="H738" s="52"/>
      <c r="I738" s="52"/>
      <c r="J738" s="52"/>
      <c r="K738" s="52"/>
      <c r="L738" s="52"/>
      <c r="M738" s="52"/>
      <c r="N738" s="52"/>
      <c r="O738" s="52"/>
    </row>
    <row r="739" spans="1:18">
      <c r="A739">
        <v>23</v>
      </c>
      <c r="B739">
        <v>9</v>
      </c>
      <c r="C739" t="s">
        <v>294</v>
      </c>
      <c r="D739" s="1586" t="s">
        <v>1973</v>
      </c>
      <c r="E739" s="52"/>
      <c r="F739" s="52"/>
      <c r="G739" s="52"/>
      <c r="H739" s="52"/>
      <c r="I739" s="52"/>
      <c r="J739" s="52"/>
      <c r="K739" s="52"/>
      <c r="L739" s="52"/>
      <c r="M739" s="52"/>
      <c r="N739" s="52"/>
      <c r="O739" s="52"/>
    </row>
    <row r="740" spans="1:18">
      <c r="A740">
        <v>23</v>
      </c>
      <c r="B740">
        <v>10</v>
      </c>
      <c r="C740" t="s">
        <v>294</v>
      </c>
      <c r="D740" s="1586" t="s">
        <v>1973</v>
      </c>
      <c r="E740" s="52"/>
      <c r="F740" s="52"/>
      <c r="G740" s="67"/>
      <c r="H740" s="52"/>
      <c r="I740" s="52"/>
      <c r="J740" s="52"/>
      <c r="K740" s="67"/>
      <c r="L740" s="52"/>
      <c r="M740" s="52"/>
      <c r="N740" s="67"/>
      <c r="O740" s="52"/>
    </row>
    <row r="741" spans="1:18">
      <c r="A741">
        <v>23</v>
      </c>
      <c r="B741">
        <v>11</v>
      </c>
      <c r="C741" t="s">
        <v>279</v>
      </c>
      <c r="D741" s="1586" t="s">
        <v>1119</v>
      </c>
      <c r="N741" s="52"/>
    </row>
    <row r="742" spans="1:18">
      <c r="A742">
        <v>23</v>
      </c>
      <c r="B742" t="s">
        <v>2810</v>
      </c>
      <c r="C742" t="s">
        <v>266</v>
      </c>
      <c r="D742" s="1586" t="s">
        <v>1120</v>
      </c>
      <c r="E742" s="52"/>
      <c r="F742" s="52"/>
      <c r="H742" s="61"/>
      <c r="I742" s="61"/>
      <c r="J742" s="61"/>
      <c r="K742" s="61"/>
      <c r="L742" s="61"/>
      <c r="M742" s="61"/>
      <c r="N742" s="61"/>
      <c r="O742" s="61"/>
      <c r="P742" s="61"/>
      <c r="Q742" s="61"/>
      <c r="R742" s="61"/>
    </row>
    <row r="743" spans="1:18">
      <c r="A743">
        <v>24</v>
      </c>
      <c r="B743">
        <v>1</v>
      </c>
      <c r="C743" t="s">
        <v>295</v>
      </c>
      <c r="D743" s="1586" t="s">
        <v>1119</v>
      </c>
      <c r="E743" s="52"/>
      <c r="F743" s="52"/>
      <c r="H743" s="61"/>
      <c r="I743" s="61"/>
      <c r="J743" s="61"/>
      <c r="K743" s="61"/>
      <c r="L743" s="61"/>
      <c r="M743" s="61"/>
      <c r="N743" s="61"/>
      <c r="O743" s="61"/>
      <c r="P743" s="61"/>
      <c r="Q743" s="61"/>
      <c r="R743" s="61"/>
    </row>
    <row r="744" spans="1:18">
      <c r="A744">
        <v>24</v>
      </c>
      <c r="B744">
        <v>2</v>
      </c>
      <c r="C744" t="s">
        <v>295</v>
      </c>
      <c r="D744" s="1586" t="s">
        <v>1119</v>
      </c>
      <c r="H744" s="61"/>
      <c r="I744" s="61"/>
      <c r="J744" s="1595"/>
      <c r="K744" s="61"/>
      <c r="L744" s="61"/>
      <c r="M744" s="61"/>
      <c r="N744" s="1595"/>
      <c r="O744" s="61"/>
      <c r="P744" s="61"/>
      <c r="Q744" s="1595"/>
      <c r="R744" s="61"/>
    </row>
    <row r="745" spans="1:18">
      <c r="A745">
        <v>24</v>
      </c>
      <c r="B745">
        <v>3</v>
      </c>
      <c r="C745" t="s">
        <v>1128</v>
      </c>
      <c r="D745" s="1586" t="s">
        <v>1973</v>
      </c>
      <c r="E745" s="52"/>
      <c r="F745" s="52"/>
      <c r="H745" s="61"/>
      <c r="I745" s="61"/>
      <c r="J745" s="61"/>
      <c r="K745" s="61"/>
      <c r="L745" s="61"/>
      <c r="M745" s="61"/>
      <c r="N745" s="61"/>
      <c r="O745" s="61"/>
      <c r="P745" s="61"/>
      <c r="Q745" s="61"/>
      <c r="R745" s="61"/>
    </row>
    <row r="746" spans="1:18">
      <c r="A746">
        <v>24</v>
      </c>
      <c r="B746">
        <v>4</v>
      </c>
      <c r="C746" t="s">
        <v>1128</v>
      </c>
      <c r="D746" s="1586" t="s">
        <v>1973</v>
      </c>
      <c r="H746" s="61"/>
      <c r="I746" s="61"/>
      <c r="J746" s="61"/>
      <c r="K746" s="61"/>
      <c r="L746" s="61"/>
      <c r="M746" s="61"/>
      <c r="N746" s="61"/>
      <c r="O746" s="61"/>
      <c r="P746" s="61"/>
      <c r="Q746" s="61"/>
      <c r="R746" s="61"/>
    </row>
    <row r="747" spans="1:18">
      <c r="A747">
        <v>24</v>
      </c>
      <c r="B747">
        <v>5</v>
      </c>
      <c r="C747" t="s">
        <v>303</v>
      </c>
      <c r="D747" s="1586" t="s">
        <v>1118</v>
      </c>
      <c r="E747" s="52"/>
      <c r="F747" s="52"/>
      <c r="H747" s="61"/>
      <c r="I747" s="61"/>
      <c r="J747" s="61"/>
      <c r="K747" s="61"/>
      <c r="L747" s="61"/>
      <c r="M747" s="61"/>
      <c r="N747" s="61"/>
      <c r="O747" s="1595"/>
      <c r="P747" s="61"/>
      <c r="Q747" s="61"/>
      <c r="R747" s="61"/>
    </row>
    <row r="748" spans="1:18">
      <c r="A748">
        <v>24</v>
      </c>
      <c r="B748">
        <v>6</v>
      </c>
      <c r="C748" t="s">
        <v>303</v>
      </c>
      <c r="D748" s="1586" t="s">
        <v>1118</v>
      </c>
      <c r="H748" s="61"/>
      <c r="I748" s="61"/>
      <c r="J748" s="61"/>
      <c r="K748" s="61"/>
      <c r="L748" s="61"/>
      <c r="M748" s="61"/>
      <c r="N748" s="61"/>
      <c r="O748" s="61"/>
      <c r="P748" s="61"/>
      <c r="Q748" s="61"/>
      <c r="R748" s="61"/>
    </row>
    <row r="749" spans="1:18">
      <c r="A749">
        <v>24</v>
      </c>
      <c r="B749">
        <v>7</v>
      </c>
      <c r="C749" t="s">
        <v>304</v>
      </c>
      <c r="D749" s="1586" t="s">
        <v>1143</v>
      </c>
      <c r="E749" s="52"/>
      <c r="F749" s="52"/>
      <c r="H749" s="61"/>
      <c r="I749" s="61"/>
      <c r="J749" s="61"/>
      <c r="K749" s="61"/>
      <c r="L749" s="61"/>
      <c r="M749" s="61"/>
      <c r="N749" s="61"/>
      <c r="O749" s="61"/>
      <c r="P749" s="61"/>
      <c r="Q749" s="61"/>
      <c r="R749" s="61"/>
    </row>
    <row r="750" spans="1:18">
      <c r="A750">
        <v>24</v>
      </c>
      <c r="B750">
        <v>8</v>
      </c>
      <c r="C750" t="s">
        <v>304</v>
      </c>
      <c r="D750" s="1586" t="s">
        <v>1143</v>
      </c>
      <c r="H750" s="61"/>
      <c r="I750" s="61"/>
      <c r="J750" s="61"/>
      <c r="K750" s="61"/>
      <c r="L750" s="61"/>
      <c r="M750" s="61"/>
      <c r="N750" s="61"/>
      <c r="O750" s="61"/>
      <c r="P750" s="61"/>
      <c r="Q750" s="61"/>
      <c r="R750" s="61"/>
    </row>
    <row r="751" spans="1:18">
      <c r="A751">
        <v>24</v>
      </c>
      <c r="B751">
        <v>9</v>
      </c>
      <c r="C751" t="s">
        <v>269</v>
      </c>
      <c r="D751" s="1586" t="s">
        <v>1126</v>
      </c>
      <c r="E751" s="52"/>
      <c r="F751" s="52"/>
      <c r="H751" s="61"/>
      <c r="I751" s="61"/>
      <c r="J751" s="61"/>
      <c r="K751" s="61"/>
      <c r="L751" s="61"/>
      <c r="M751" s="61"/>
      <c r="N751" s="61"/>
      <c r="O751" s="61"/>
      <c r="P751" s="1595"/>
      <c r="Q751" s="61"/>
      <c r="R751" s="61"/>
    </row>
    <row r="752" spans="1:18">
      <c r="A752">
        <v>24</v>
      </c>
      <c r="B752">
        <v>10</v>
      </c>
      <c r="C752" t="s">
        <v>1148</v>
      </c>
      <c r="D752" s="1586" t="s">
        <v>1115</v>
      </c>
      <c r="E752" s="52"/>
      <c r="F752" s="52"/>
      <c r="H752" s="61"/>
      <c r="I752" s="61"/>
      <c r="J752" s="61"/>
      <c r="K752" s="61"/>
      <c r="L752" s="61"/>
      <c r="M752" s="61"/>
      <c r="N752" s="61"/>
      <c r="O752" s="61"/>
      <c r="P752" s="61"/>
      <c r="Q752" s="61"/>
      <c r="R752" s="61"/>
    </row>
    <row r="753" spans="1:18" ht="31.5">
      <c r="A753">
        <v>24</v>
      </c>
      <c r="B753">
        <v>11</v>
      </c>
      <c r="C753" s="422" t="s">
        <v>1187</v>
      </c>
      <c r="D753" s="1586" t="s">
        <v>1115</v>
      </c>
      <c r="H753" s="61"/>
      <c r="I753" s="61"/>
      <c r="J753" s="61"/>
      <c r="K753" s="61"/>
      <c r="L753" s="61"/>
      <c r="M753" s="61"/>
      <c r="N753" s="61"/>
      <c r="O753" s="61"/>
      <c r="P753" s="61"/>
      <c r="Q753" s="61"/>
      <c r="R753" s="61"/>
    </row>
    <row r="754" spans="1:18">
      <c r="A754">
        <v>24</v>
      </c>
      <c r="B754" t="s">
        <v>2810</v>
      </c>
      <c r="C754" t="s">
        <v>266</v>
      </c>
      <c r="D754" s="1586" t="s">
        <v>1120</v>
      </c>
      <c r="H754" s="61"/>
      <c r="I754" s="61"/>
      <c r="J754" s="61"/>
      <c r="K754" s="61"/>
      <c r="L754" s="61"/>
      <c r="M754" s="61"/>
      <c r="N754" s="61"/>
      <c r="O754" s="61"/>
      <c r="P754" s="61"/>
      <c r="Q754" s="61"/>
      <c r="R754" s="61"/>
    </row>
    <row r="755" spans="1:18">
      <c r="A755">
        <v>25</v>
      </c>
      <c r="B755">
        <v>1</v>
      </c>
      <c r="C755" t="s">
        <v>301</v>
      </c>
      <c r="D755" s="1586" t="s">
        <v>1166</v>
      </c>
      <c r="H755" s="61"/>
      <c r="I755" s="1595"/>
      <c r="J755" s="1595"/>
      <c r="K755" s="61"/>
      <c r="L755" s="61"/>
      <c r="M755" s="61"/>
      <c r="N755" s="61"/>
      <c r="O755" s="61"/>
      <c r="P755" s="61"/>
      <c r="Q755" s="61"/>
      <c r="R755" s="61"/>
    </row>
    <row r="756" spans="1:18">
      <c r="A756">
        <v>25</v>
      </c>
      <c r="B756">
        <v>2</v>
      </c>
      <c r="C756" t="s">
        <v>267</v>
      </c>
      <c r="D756" s="1586" t="s">
        <v>1115</v>
      </c>
      <c r="H756" s="61"/>
      <c r="I756" s="61"/>
      <c r="J756" s="61"/>
      <c r="K756" s="61"/>
      <c r="L756" s="61"/>
      <c r="M756" s="61"/>
      <c r="N756" s="61"/>
      <c r="O756" s="61"/>
      <c r="P756" s="61"/>
      <c r="Q756" s="61"/>
      <c r="R756" s="61"/>
    </row>
    <row r="757" spans="1:18">
      <c r="A757">
        <v>25</v>
      </c>
      <c r="B757">
        <v>3</v>
      </c>
      <c r="C757" t="s">
        <v>268</v>
      </c>
      <c r="D757" s="1586" t="s">
        <v>1115</v>
      </c>
      <c r="H757" s="61"/>
      <c r="I757" s="61"/>
      <c r="J757" s="61"/>
      <c r="K757" s="61"/>
      <c r="L757" s="61"/>
      <c r="M757" s="61"/>
      <c r="N757" s="61"/>
      <c r="O757" s="61"/>
      <c r="P757" s="61"/>
      <c r="Q757" s="61"/>
      <c r="R757" s="61"/>
    </row>
    <row r="758" spans="1:18" ht="31.5">
      <c r="A758">
        <v>25</v>
      </c>
      <c r="B758">
        <v>4</v>
      </c>
      <c r="C758" s="422" t="s">
        <v>1188</v>
      </c>
      <c r="D758" s="1588" t="s">
        <v>1189</v>
      </c>
      <c r="H758" s="61"/>
      <c r="I758" s="61"/>
      <c r="J758" s="61"/>
      <c r="K758" s="61"/>
      <c r="L758" s="61"/>
      <c r="M758" s="61"/>
      <c r="N758" s="61"/>
      <c r="O758" s="61"/>
      <c r="P758" s="61"/>
      <c r="Q758" s="61"/>
      <c r="R758" s="61"/>
    </row>
    <row r="759" spans="1:18">
      <c r="A759">
        <v>25</v>
      </c>
      <c r="B759">
        <v>5</v>
      </c>
      <c r="C759" t="s">
        <v>1124</v>
      </c>
      <c r="D759" s="1586" t="s">
        <v>1117</v>
      </c>
      <c r="H759" s="61"/>
      <c r="I759" s="61"/>
      <c r="J759" s="61"/>
      <c r="K759" s="61"/>
      <c r="L759" s="61"/>
      <c r="M759" s="61"/>
      <c r="N759" s="61"/>
      <c r="O759" s="61"/>
      <c r="P759" s="1595"/>
      <c r="Q759" s="61"/>
      <c r="R759" s="61"/>
    </row>
    <row r="760" spans="1:18">
      <c r="A760">
        <v>25</v>
      </c>
      <c r="B760">
        <v>6</v>
      </c>
      <c r="C760" t="s">
        <v>1124</v>
      </c>
      <c r="D760" s="1586" t="s">
        <v>1117</v>
      </c>
      <c r="H760" s="61"/>
      <c r="I760" s="61"/>
      <c r="J760" s="61"/>
      <c r="K760" s="61"/>
      <c r="L760" s="61"/>
      <c r="M760" s="61"/>
      <c r="N760" s="61"/>
      <c r="O760" s="61"/>
      <c r="P760" s="1595"/>
      <c r="Q760" s="61"/>
      <c r="R760" s="1595"/>
    </row>
    <row r="761" spans="1:18">
      <c r="A761">
        <v>25</v>
      </c>
      <c r="B761">
        <v>7</v>
      </c>
      <c r="C761" t="s">
        <v>304</v>
      </c>
      <c r="D761" s="1586" t="s">
        <v>1143</v>
      </c>
      <c r="H761" s="61"/>
      <c r="I761" s="61"/>
      <c r="J761" s="61"/>
      <c r="K761" s="61"/>
      <c r="L761" s="61"/>
      <c r="M761" s="61"/>
      <c r="N761" s="61"/>
      <c r="O761" s="61"/>
      <c r="P761" s="61"/>
      <c r="Q761" s="61"/>
      <c r="R761" s="61"/>
    </row>
    <row r="762" spans="1:18">
      <c r="A762">
        <v>25</v>
      </c>
      <c r="B762">
        <v>8</v>
      </c>
      <c r="C762" t="s">
        <v>122</v>
      </c>
      <c r="D762" s="1586" t="s">
        <v>1143</v>
      </c>
      <c r="H762" s="61"/>
      <c r="I762" s="61"/>
      <c r="J762" s="61"/>
      <c r="K762" s="61"/>
      <c r="L762" s="61"/>
      <c r="M762" s="61"/>
      <c r="N762" s="61"/>
      <c r="O762" s="61"/>
      <c r="P762" s="61"/>
      <c r="Q762" s="61"/>
      <c r="R762" s="61"/>
    </row>
    <row r="763" spans="1:18">
      <c r="A763">
        <v>25</v>
      </c>
      <c r="B763">
        <v>9</v>
      </c>
      <c r="C763" t="s">
        <v>123</v>
      </c>
      <c r="D763" s="1586" t="s">
        <v>1973</v>
      </c>
      <c r="H763" s="61"/>
      <c r="I763" s="61"/>
      <c r="J763" s="61"/>
      <c r="K763" s="61"/>
      <c r="L763" s="61"/>
      <c r="M763" s="61"/>
      <c r="N763" s="61"/>
      <c r="O763" s="61"/>
      <c r="P763" s="61"/>
      <c r="Q763" s="61"/>
      <c r="R763" s="61"/>
    </row>
    <row r="764" spans="1:18">
      <c r="A764">
        <v>25</v>
      </c>
      <c r="B764">
        <v>10</v>
      </c>
      <c r="C764" t="s">
        <v>1133</v>
      </c>
      <c r="D764" s="1586" t="s">
        <v>1973</v>
      </c>
      <c r="H764" s="61"/>
      <c r="I764" s="61"/>
      <c r="J764" s="61"/>
      <c r="K764" s="61"/>
      <c r="L764" s="61"/>
      <c r="M764" s="61"/>
      <c r="N764" s="61"/>
      <c r="O764" s="61"/>
      <c r="P764" s="61"/>
      <c r="Q764" s="61"/>
      <c r="R764" s="61"/>
    </row>
    <row r="765" spans="1:18">
      <c r="A765">
        <v>25</v>
      </c>
      <c r="B765">
        <v>11</v>
      </c>
      <c r="C765" t="s">
        <v>1133</v>
      </c>
      <c r="D765" s="1586" t="s">
        <v>1973</v>
      </c>
      <c r="H765" s="61"/>
      <c r="I765" s="61"/>
      <c r="J765" s="61"/>
      <c r="K765" s="61"/>
      <c r="L765" s="61"/>
      <c r="M765" s="61"/>
      <c r="N765" s="61"/>
      <c r="O765" s="61"/>
      <c r="P765" s="61"/>
      <c r="Q765" s="61"/>
      <c r="R765" s="61"/>
    </row>
    <row r="766" spans="1:18">
      <c r="A766">
        <v>25</v>
      </c>
      <c r="B766" t="s">
        <v>2810</v>
      </c>
      <c r="C766" t="s">
        <v>266</v>
      </c>
      <c r="D766" s="1586" t="s">
        <v>1120</v>
      </c>
      <c r="H766" s="61"/>
      <c r="I766" s="61"/>
      <c r="J766" s="61"/>
      <c r="K766" s="1595"/>
      <c r="L766" s="61"/>
      <c r="M766" s="61"/>
      <c r="N766" s="61"/>
      <c r="O766" s="61"/>
      <c r="P766" s="61"/>
      <c r="Q766" s="61"/>
      <c r="R766" s="61"/>
    </row>
    <row r="767" spans="1:18">
      <c r="A767">
        <v>26</v>
      </c>
      <c r="B767">
        <v>1</v>
      </c>
      <c r="C767" t="s">
        <v>279</v>
      </c>
      <c r="D767" s="1586" t="s">
        <v>1119</v>
      </c>
      <c r="H767" s="61"/>
      <c r="I767" s="61"/>
      <c r="J767" s="61"/>
      <c r="K767" s="61"/>
      <c r="L767" s="61"/>
      <c r="M767" s="1595"/>
      <c r="N767" s="61"/>
      <c r="O767" s="61"/>
      <c r="P767" s="61"/>
      <c r="Q767" s="61"/>
      <c r="R767" s="61"/>
    </row>
    <row r="768" spans="1:18">
      <c r="A768">
        <v>26</v>
      </c>
      <c r="B768">
        <v>2</v>
      </c>
      <c r="C768" t="s">
        <v>279</v>
      </c>
      <c r="D768" s="1586" t="s">
        <v>1119</v>
      </c>
      <c r="H768" s="61"/>
      <c r="I768" s="61"/>
      <c r="J768" s="61"/>
      <c r="K768" s="61"/>
      <c r="L768" s="61"/>
      <c r="M768" s="61"/>
      <c r="N768" s="61"/>
      <c r="O768" s="61"/>
      <c r="P768" s="61"/>
      <c r="Q768" s="61"/>
      <c r="R768" s="1595"/>
    </row>
    <row r="769" spans="1:18">
      <c r="A769">
        <v>26</v>
      </c>
      <c r="B769">
        <v>3</v>
      </c>
      <c r="C769" t="s">
        <v>290</v>
      </c>
      <c r="D769" s="1586" t="s">
        <v>1973</v>
      </c>
      <c r="H769" s="61"/>
      <c r="I769" s="61"/>
      <c r="J769" s="61"/>
      <c r="K769" s="1595"/>
      <c r="L769" s="61"/>
      <c r="M769" s="61"/>
      <c r="N769" s="61"/>
      <c r="O769" s="61"/>
      <c r="P769" s="61"/>
      <c r="Q769" s="61"/>
      <c r="R769" s="61"/>
    </row>
    <row r="770" spans="1:18">
      <c r="A770">
        <v>26</v>
      </c>
      <c r="B770">
        <v>4</v>
      </c>
      <c r="C770" t="s">
        <v>290</v>
      </c>
      <c r="D770" s="1586" t="s">
        <v>1973</v>
      </c>
      <c r="H770" s="61"/>
      <c r="I770" s="61"/>
      <c r="J770" s="61"/>
      <c r="K770" s="61"/>
      <c r="L770" s="61"/>
      <c r="M770" s="61"/>
      <c r="N770" s="61"/>
      <c r="O770" s="61"/>
      <c r="P770" s="61"/>
      <c r="Q770" s="61"/>
      <c r="R770" s="61"/>
    </row>
    <row r="771" spans="1:18">
      <c r="A771">
        <v>26</v>
      </c>
      <c r="B771">
        <v>5</v>
      </c>
      <c r="C771" t="s">
        <v>277</v>
      </c>
      <c r="D771" s="1586" t="s">
        <v>1126</v>
      </c>
      <c r="H771" s="61"/>
      <c r="I771" s="61"/>
      <c r="J771" s="61"/>
      <c r="K771" s="61"/>
      <c r="L771" s="61"/>
      <c r="M771" s="61"/>
      <c r="N771" s="61"/>
      <c r="O771" s="61"/>
      <c r="P771" s="61"/>
      <c r="Q771" s="61"/>
      <c r="R771" s="61"/>
    </row>
    <row r="772" spans="1:18" ht="31.5">
      <c r="A772">
        <v>26</v>
      </c>
      <c r="B772">
        <v>6</v>
      </c>
      <c r="C772" s="422" t="s">
        <v>1192</v>
      </c>
      <c r="D772" s="1588" t="s">
        <v>1211</v>
      </c>
      <c r="H772" s="61"/>
      <c r="I772" s="61"/>
      <c r="J772" s="61"/>
      <c r="K772" s="61"/>
      <c r="L772" s="61"/>
      <c r="M772" s="61"/>
      <c r="N772" s="61"/>
      <c r="O772" s="61"/>
      <c r="P772" s="61"/>
      <c r="Q772" s="61"/>
      <c r="R772" s="61"/>
    </row>
    <row r="773" spans="1:18">
      <c r="A773">
        <v>26</v>
      </c>
      <c r="B773">
        <v>7</v>
      </c>
      <c r="C773" t="s">
        <v>299</v>
      </c>
      <c r="D773" s="1586" t="s">
        <v>1114</v>
      </c>
      <c r="H773" s="61"/>
      <c r="I773" s="61"/>
      <c r="J773" s="61"/>
      <c r="K773" s="61"/>
      <c r="L773" s="61"/>
      <c r="M773" s="61"/>
      <c r="N773" s="61"/>
      <c r="O773" s="61"/>
      <c r="P773" s="61"/>
      <c r="Q773" s="61"/>
      <c r="R773" s="61"/>
    </row>
    <row r="774" spans="1:18">
      <c r="A774">
        <v>26</v>
      </c>
      <c r="B774">
        <v>8</v>
      </c>
      <c r="C774" t="s">
        <v>299</v>
      </c>
      <c r="D774" s="1586" t="s">
        <v>1114</v>
      </c>
      <c r="H774" s="61"/>
      <c r="I774" s="61"/>
      <c r="J774" s="61"/>
      <c r="K774" s="61"/>
      <c r="L774" s="61"/>
      <c r="M774" s="61"/>
      <c r="N774" s="61"/>
      <c r="O774" s="61"/>
      <c r="P774" s="61"/>
      <c r="Q774" s="61"/>
      <c r="R774" s="61"/>
    </row>
    <row r="775" spans="1:18">
      <c r="A775">
        <v>26</v>
      </c>
      <c r="B775">
        <v>9</v>
      </c>
      <c r="C775" t="s">
        <v>286</v>
      </c>
      <c r="D775" s="1586" t="s">
        <v>1126</v>
      </c>
      <c r="H775" s="61"/>
      <c r="I775" s="61"/>
      <c r="J775" s="61"/>
      <c r="K775" s="61"/>
      <c r="L775" s="61"/>
      <c r="M775" s="61"/>
      <c r="N775" s="61"/>
      <c r="O775" s="61"/>
      <c r="P775" s="61"/>
      <c r="Q775" s="1595"/>
      <c r="R775" s="61"/>
    </row>
    <row r="776" spans="1:18">
      <c r="A776">
        <v>26</v>
      </c>
      <c r="B776">
        <v>10</v>
      </c>
      <c r="C776" t="s">
        <v>300</v>
      </c>
      <c r="D776" s="1586" t="s">
        <v>1121</v>
      </c>
      <c r="H776" s="61"/>
      <c r="I776" s="61"/>
      <c r="J776" s="61"/>
      <c r="K776" s="61"/>
      <c r="L776" s="61"/>
      <c r="M776" s="61"/>
      <c r="N776" s="61"/>
      <c r="O776" s="61"/>
      <c r="P776" s="61"/>
      <c r="Q776" s="61"/>
      <c r="R776" s="61"/>
    </row>
    <row r="777" spans="1:18">
      <c r="A777">
        <v>26</v>
      </c>
      <c r="B777">
        <v>11</v>
      </c>
      <c r="C777" t="s">
        <v>300</v>
      </c>
      <c r="D777" s="1586" t="s">
        <v>1121</v>
      </c>
      <c r="H777" s="61"/>
      <c r="I777" s="61"/>
      <c r="J777" s="61"/>
      <c r="K777" s="61"/>
      <c r="L777" s="61"/>
      <c r="M777" s="61"/>
      <c r="N777" s="61"/>
      <c r="O777" s="61"/>
      <c r="P777" s="61"/>
      <c r="Q777" s="61"/>
      <c r="R777" s="61"/>
    </row>
    <row r="778" spans="1:18">
      <c r="A778">
        <v>26</v>
      </c>
      <c r="B778" t="s">
        <v>2810</v>
      </c>
      <c r="C778" t="s">
        <v>266</v>
      </c>
      <c r="D778" s="1586" t="s">
        <v>1120</v>
      </c>
      <c r="H778" s="61"/>
      <c r="I778" s="61"/>
      <c r="J778" s="61"/>
      <c r="K778" s="61"/>
      <c r="L778" s="61"/>
      <c r="M778" s="61"/>
      <c r="N778" s="61"/>
      <c r="O778" s="61"/>
      <c r="P778" s="61"/>
      <c r="Q778" s="61"/>
      <c r="R778" s="61"/>
    </row>
    <row r="779" spans="1:18">
      <c r="A779">
        <v>27</v>
      </c>
      <c r="B779">
        <v>1</v>
      </c>
      <c r="C779" t="s">
        <v>275</v>
      </c>
      <c r="D779" s="1586" t="s">
        <v>1121</v>
      </c>
      <c r="H779" s="61"/>
      <c r="I779" s="61"/>
      <c r="J779" s="61"/>
      <c r="K779" s="61"/>
      <c r="L779" s="61"/>
      <c r="M779" s="61"/>
      <c r="N779" s="61"/>
      <c r="O779" s="61"/>
      <c r="P779" s="61"/>
      <c r="Q779" s="61"/>
      <c r="R779" s="61"/>
    </row>
    <row r="780" spans="1:18">
      <c r="A780">
        <v>27</v>
      </c>
      <c r="B780">
        <v>2</v>
      </c>
      <c r="C780" t="s">
        <v>99</v>
      </c>
      <c r="D780" s="1586" t="s">
        <v>1121</v>
      </c>
    </row>
    <row r="781" spans="1:18">
      <c r="A781">
        <v>27</v>
      </c>
      <c r="B781">
        <v>3</v>
      </c>
      <c r="C781" t="s">
        <v>99</v>
      </c>
      <c r="D781" s="1586" t="s">
        <v>1121</v>
      </c>
    </row>
    <row r="782" spans="1:18">
      <c r="A782">
        <v>27</v>
      </c>
      <c r="B782">
        <v>4</v>
      </c>
      <c r="C782" t="s">
        <v>296</v>
      </c>
      <c r="D782" s="1586" t="s">
        <v>1114</v>
      </c>
    </row>
    <row r="783" spans="1:18">
      <c r="A783">
        <v>27</v>
      </c>
      <c r="B783">
        <v>5</v>
      </c>
      <c r="C783" t="s">
        <v>296</v>
      </c>
      <c r="D783" s="1586" t="s">
        <v>1114</v>
      </c>
    </row>
    <row r="784" spans="1:18">
      <c r="A784">
        <v>27</v>
      </c>
      <c r="B784">
        <v>6</v>
      </c>
      <c r="C784" t="s">
        <v>270</v>
      </c>
      <c r="D784" s="1586" t="s">
        <v>1115</v>
      </c>
    </row>
    <row r="785" spans="1:4">
      <c r="A785">
        <v>27</v>
      </c>
      <c r="B785">
        <v>7</v>
      </c>
      <c r="C785" t="s">
        <v>286</v>
      </c>
      <c r="D785" s="1586" t="s">
        <v>1126</v>
      </c>
    </row>
    <row r="786" spans="1:4">
      <c r="A786">
        <v>27</v>
      </c>
      <c r="B786">
        <v>8</v>
      </c>
      <c r="C786" t="s">
        <v>297</v>
      </c>
      <c r="D786" s="1586" t="s">
        <v>1125</v>
      </c>
    </row>
    <row r="787" spans="1:4">
      <c r="A787">
        <v>27</v>
      </c>
      <c r="B787">
        <v>9</v>
      </c>
      <c r="C787" t="s">
        <v>278</v>
      </c>
      <c r="D787" s="1586" t="s">
        <v>1118</v>
      </c>
    </row>
    <row r="788" spans="1:4">
      <c r="A788">
        <v>27</v>
      </c>
      <c r="B788">
        <v>10</v>
      </c>
      <c r="C788" t="s">
        <v>278</v>
      </c>
      <c r="D788" s="1586" t="s">
        <v>1118</v>
      </c>
    </row>
    <row r="789" spans="1:4">
      <c r="A789">
        <v>27</v>
      </c>
      <c r="B789">
        <v>11</v>
      </c>
      <c r="C789" t="s">
        <v>295</v>
      </c>
      <c r="D789" s="1588" t="s">
        <v>1119</v>
      </c>
    </row>
    <row r="790" spans="1:4">
      <c r="A790">
        <v>27</v>
      </c>
      <c r="B790" t="s">
        <v>2810</v>
      </c>
      <c r="C790" t="s">
        <v>266</v>
      </c>
      <c r="D790" s="1586" t="s">
        <v>1120</v>
      </c>
    </row>
    <row r="791" spans="1:4">
      <c r="A791">
        <v>28</v>
      </c>
      <c r="B791">
        <v>1</v>
      </c>
      <c r="C791" t="s">
        <v>291</v>
      </c>
      <c r="D791" s="1586" t="s">
        <v>1120</v>
      </c>
    </row>
    <row r="792" spans="1:4">
      <c r="A792">
        <v>28</v>
      </c>
      <c r="B792">
        <v>2</v>
      </c>
      <c r="C792" t="s">
        <v>273</v>
      </c>
      <c r="D792" s="1586" t="s">
        <v>1121</v>
      </c>
    </row>
    <row r="793" spans="1:4">
      <c r="A793">
        <v>28</v>
      </c>
      <c r="B793">
        <v>3</v>
      </c>
      <c r="C793" t="s">
        <v>273</v>
      </c>
      <c r="D793" s="1586" t="s">
        <v>1121</v>
      </c>
    </row>
    <row r="794" spans="1:4" ht="31.5">
      <c r="A794">
        <v>28</v>
      </c>
      <c r="B794">
        <v>4</v>
      </c>
      <c r="C794" s="422" t="s">
        <v>1190</v>
      </c>
      <c r="D794" s="1588" t="s">
        <v>1191</v>
      </c>
    </row>
    <row r="795" spans="1:4">
      <c r="A795">
        <v>28</v>
      </c>
      <c r="B795">
        <v>5</v>
      </c>
      <c r="C795" t="s">
        <v>270</v>
      </c>
      <c r="D795" s="1586" t="s">
        <v>1115</v>
      </c>
    </row>
    <row r="796" spans="1:4">
      <c r="A796">
        <v>28</v>
      </c>
      <c r="B796">
        <v>6</v>
      </c>
      <c r="C796" t="s">
        <v>292</v>
      </c>
      <c r="D796" s="1586" t="s">
        <v>1170</v>
      </c>
    </row>
    <row r="797" spans="1:4">
      <c r="A797">
        <v>28</v>
      </c>
      <c r="B797">
        <v>7</v>
      </c>
      <c r="C797" t="s">
        <v>293</v>
      </c>
      <c r="D797" s="1586" t="s">
        <v>1170</v>
      </c>
    </row>
    <row r="798" spans="1:4">
      <c r="A798">
        <v>28</v>
      </c>
      <c r="B798">
        <v>8</v>
      </c>
      <c r="C798" t="s">
        <v>283</v>
      </c>
      <c r="D798" s="1586" t="s">
        <v>1132</v>
      </c>
    </row>
    <row r="799" spans="1:4">
      <c r="A799">
        <v>28</v>
      </c>
      <c r="B799">
        <v>9</v>
      </c>
      <c r="C799" t="s">
        <v>294</v>
      </c>
      <c r="D799" s="1586" t="s">
        <v>1973</v>
      </c>
    </row>
    <row r="800" spans="1:4">
      <c r="A800">
        <v>28</v>
      </c>
      <c r="B800">
        <v>10</v>
      </c>
      <c r="C800" t="s">
        <v>294</v>
      </c>
      <c r="D800" s="1586" t="s">
        <v>1973</v>
      </c>
    </row>
    <row r="801" spans="1:4">
      <c r="A801">
        <v>28</v>
      </c>
      <c r="B801">
        <v>11</v>
      </c>
      <c r="C801" t="s">
        <v>295</v>
      </c>
      <c r="D801" s="1586" t="s">
        <v>1119</v>
      </c>
    </row>
    <row r="802" spans="1:4">
      <c r="A802">
        <v>28</v>
      </c>
      <c r="B802" t="s">
        <v>2810</v>
      </c>
      <c r="C802" t="s">
        <v>266</v>
      </c>
      <c r="D802" s="1586" t="s">
        <v>1120</v>
      </c>
    </row>
    <row r="803" spans="1:4">
      <c r="A803">
        <v>29</v>
      </c>
      <c r="B803">
        <v>1</v>
      </c>
      <c r="C803" t="s">
        <v>1140</v>
      </c>
      <c r="D803" s="1586" t="s">
        <v>1141</v>
      </c>
    </row>
    <row r="804" spans="1:4">
      <c r="A804">
        <v>29</v>
      </c>
      <c r="B804">
        <v>2</v>
      </c>
      <c r="C804" t="s">
        <v>275</v>
      </c>
      <c r="D804" s="1586" t="s">
        <v>1121</v>
      </c>
    </row>
    <row r="805" spans="1:4">
      <c r="A805">
        <v>29</v>
      </c>
      <c r="B805">
        <v>3</v>
      </c>
      <c r="C805" t="s">
        <v>314</v>
      </c>
      <c r="D805" s="1586" t="s">
        <v>1131</v>
      </c>
    </row>
    <row r="806" spans="1:4">
      <c r="A806">
        <v>29</v>
      </c>
      <c r="B806">
        <v>4</v>
      </c>
      <c r="C806" t="s">
        <v>314</v>
      </c>
      <c r="D806" s="1586" t="s">
        <v>1131</v>
      </c>
    </row>
    <row r="807" spans="1:4">
      <c r="A807">
        <v>29</v>
      </c>
      <c r="B807">
        <v>5</v>
      </c>
      <c r="C807" t="s">
        <v>306</v>
      </c>
      <c r="D807" s="1586" t="s">
        <v>1134</v>
      </c>
    </row>
    <row r="808" spans="1:4">
      <c r="A808">
        <v>29</v>
      </c>
      <c r="B808">
        <v>6</v>
      </c>
      <c r="C808" t="s">
        <v>304</v>
      </c>
      <c r="D808" s="1586" t="s">
        <v>1143</v>
      </c>
    </row>
    <row r="809" spans="1:4">
      <c r="A809">
        <v>29</v>
      </c>
      <c r="B809">
        <v>7</v>
      </c>
      <c r="C809" t="s">
        <v>304</v>
      </c>
      <c r="D809" s="1586" t="s">
        <v>1143</v>
      </c>
    </row>
    <row r="810" spans="1:4">
      <c r="A810">
        <v>29</v>
      </c>
      <c r="B810">
        <v>8</v>
      </c>
      <c r="C810" t="s">
        <v>271</v>
      </c>
      <c r="D810" s="1586" t="s">
        <v>1143</v>
      </c>
    </row>
    <row r="811" spans="1:4">
      <c r="A811">
        <v>29</v>
      </c>
      <c r="B811">
        <v>9</v>
      </c>
      <c r="C811" t="s">
        <v>281</v>
      </c>
      <c r="D811" s="1586" t="s">
        <v>1973</v>
      </c>
    </row>
    <row r="812" spans="1:4">
      <c r="A812">
        <v>29</v>
      </c>
      <c r="B812">
        <v>10</v>
      </c>
      <c r="C812" t="s">
        <v>281</v>
      </c>
      <c r="D812" s="1586" t="s">
        <v>1973</v>
      </c>
    </row>
    <row r="813" spans="1:4">
      <c r="A813">
        <v>29</v>
      </c>
      <c r="B813">
        <v>11</v>
      </c>
      <c r="C813" t="s">
        <v>320</v>
      </c>
      <c r="D813" s="1586" t="s">
        <v>1119</v>
      </c>
    </row>
    <row r="814" spans="1:4">
      <c r="A814">
        <v>29</v>
      </c>
      <c r="B814" t="s">
        <v>2810</v>
      </c>
      <c r="C814" t="s">
        <v>266</v>
      </c>
      <c r="D814" s="1586" t="s">
        <v>1120</v>
      </c>
    </row>
    <row r="815" spans="1:4">
      <c r="A815">
        <v>30</v>
      </c>
      <c r="B815">
        <v>1</v>
      </c>
      <c r="C815" t="s">
        <v>162</v>
      </c>
      <c r="D815" s="1586" t="s">
        <v>1115</v>
      </c>
    </row>
    <row r="816" spans="1:4">
      <c r="A816">
        <v>30</v>
      </c>
      <c r="B816">
        <v>2</v>
      </c>
      <c r="C816" t="s">
        <v>287</v>
      </c>
      <c r="D816" s="1586" t="s">
        <v>1126</v>
      </c>
    </row>
    <row r="817" spans="1:4">
      <c r="A817">
        <v>30</v>
      </c>
      <c r="B817">
        <v>3</v>
      </c>
      <c r="C817" t="s">
        <v>1124</v>
      </c>
      <c r="D817" s="1586" t="s">
        <v>1117</v>
      </c>
    </row>
    <row r="818" spans="1:4">
      <c r="A818">
        <v>30</v>
      </c>
      <c r="B818">
        <v>4</v>
      </c>
      <c r="C818" t="s">
        <v>270</v>
      </c>
      <c r="D818" s="1586" t="s">
        <v>1115</v>
      </c>
    </row>
    <row r="819" spans="1:4">
      <c r="A819">
        <v>30</v>
      </c>
      <c r="B819">
        <v>5</v>
      </c>
      <c r="C819" t="s">
        <v>270</v>
      </c>
      <c r="D819" s="1586" t="s">
        <v>1115</v>
      </c>
    </row>
    <row r="820" spans="1:4">
      <c r="A820">
        <v>30</v>
      </c>
      <c r="B820">
        <v>6</v>
      </c>
      <c r="C820" t="s">
        <v>288</v>
      </c>
      <c r="D820" s="1586" t="s">
        <v>1126</v>
      </c>
    </row>
    <row r="821" spans="1:4">
      <c r="A821">
        <v>30</v>
      </c>
      <c r="B821">
        <v>7</v>
      </c>
      <c r="C821" t="s">
        <v>1171</v>
      </c>
      <c r="D821" s="1586" t="s">
        <v>1114</v>
      </c>
    </row>
    <row r="822" spans="1:4">
      <c r="A822">
        <v>30</v>
      </c>
      <c r="B822">
        <v>8</v>
      </c>
      <c r="C822" t="s">
        <v>1171</v>
      </c>
      <c r="D822" s="1586" t="s">
        <v>1114</v>
      </c>
    </row>
    <row r="823" spans="1:4">
      <c r="A823">
        <v>30</v>
      </c>
      <c r="B823">
        <v>9</v>
      </c>
      <c r="C823" t="s">
        <v>289</v>
      </c>
      <c r="D823" s="1586" t="s">
        <v>1132</v>
      </c>
    </row>
    <row r="824" spans="1:4">
      <c r="A824">
        <v>30</v>
      </c>
      <c r="B824">
        <v>10</v>
      </c>
      <c r="C824" t="s">
        <v>290</v>
      </c>
      <c r="D824" s="1586" t="s">
        <v>1973</v>
      </c>
    </row>
    <row r="825" spans="1:4">
      <c r="A825">
        <v>30</v>
      </c>
      <c r="B825">
        <v>11</v>
      </c>
      <c r="C825" t="s">
        <v>295</v>
      </c>
      <c r="D825" s="1586" t="s">
        <v>1119</v>
      </c>
    </row>
    <row r="826" spans="1:4">
      <c r="A826">
        <v>30</v>
      </c>
      <c r="B826" t="s">
        <v>2810</v>
      </c>
      <c r="C826" t="s">
        <v>266</v>
      </c>
      <c r="D826" s="1586" t="s">
        <v>1120</v>
      </c>
    </row>
    <row r="827" spans="1:4">
      <c r="A827">
        <v>31</v>
      </c>
      <c r="B827">
        <v>1</v>
      </c>
      <c r="C827" t="s">
        <v>279</v>
      </c>
      <c r="D827" s="1586" t="s">
        <v>1119</v>
      </c>
    </row>
    <row r="828" spans="1:4">
      <c r="A828">
        <v>31</v>
      </c>
      <c r="B828">
        <v>2</v>
      </c>
      <c r="C828" t="s">
        <v>282</v>
      </c>
      <c r="D828" s="1586" t="s">
        <v>1973</v>
      </c>
    </row>
    <row r="829" spans="1:4">
      <c r="A829">
        <v>31</v>
      </c>
      <c r="B829">
        <v>3</v>
      </c>
      <c r="C829" t="s">
        <v>281</v>
      </c>
      <c r="D829" s="1586" t="s">
        <v>1973</v>
      </c>
    </row>
    <row r="830" spans="1:4">
      <c r="A830">
        <v>31</v>
      </c>
      <c r="B830">
        <v>4</v>
      </c>
      <c r="C830" t="s">
        <v>281</v>
      </c>
      <c r="D830" s="1586" t="s">
        <v>1973</v>
      </c>
    </row>
    <row r="831" spans="1:4">
      <c r="A831">
        <v>31</v>
      </c>
      <c r="B831">
        <v>5</v>
      </c>
      <c r="C831" t="s">
        <v>283</v>
      </c>
      <c r="D831" s="1586" t="s">
        <v>1132</v>
      </c>
    </row>
    <row r="832" spans="1:4">
      <c r="A832">
        <v>31</v>
      </c>
      <c r="B832">
        <v>6</v>
      </c>
      <c r="C832" t="s">
        <v>284</v>
      </c>
      <c r="D832" s="1586" t="s">
        <v>1131</v>
      </c>
    </row>
    <row r="833" spans="1:4">
      <c r="A833">
        <v>31</v>
      </c>
      <c r="B833">
        <v>7</v>
      </c>
      <c r="C833" t="s">
        <v>269</v>
      </c>
      <c r="D833" s="1586" t="s">
        <v>1126</v>
      </c>
    </row>
    <row r="834" spans="1:4">
      <c r="A834">
        <v>31</v>
      </c>
      <c r="B834">
        <v>8</v>
      </c>
      <c r="C834" t="s">
        <v>269</v>
      </c>
      <c r="D834" s="1586" t="s">
        <v>1126</v>
      </c>
    </row>
    <row r="835" spans="1:4">
      <c r="A835">
        <v>31</v>
      </c>
      <c r="B835">
        <v>9</v>
      </c>
      <c r="C835" t="s">
        <v>285</v>
      </c>
      <c r="D835" s="1586" t="s">
        <v>1143</v>
      </c>
    </row>
    <row r="836" spans="1:4">
      <c r="A836">
        <v>31</v>
      </c>
      <c r="B836">
        <v>10</v>
      </c>
      <c r="C836" t="s">
        <v>286</v>
      </c>
      <c r="D836" s="1586" t="s">
        <v>1126</v>
      </c>
    </row>
    <row r="837" spans="1:4">
      <c r="A837">
        <v>31</v>
      </c>
      <c r="B837">
        <v>11</v>
      </c>
      <c r="C837" t="s">
        <v>267</v>
      </c>
      <c r="D837" s="1586" t="s">
        <v>1115</v>
      </c>
    </row>
    <row r="838" spans="1:4">
      <c r="A838">
        <v>31</v>
      </c>
      <c r="B838" t="s">
        <v>2810</v>
      </c>
      <c r="C838" t="s">
        <v>266</v>
      </c>
      <c r="D838" s="1586" t="s">
        <v>1120</v>
      </c>
    </row>
    <row r="839" spans="1:4">
      <c r="A839">
        <v>32</v>
      </c>
      <c r="B839">
        <v>1</v>
      </c>
      <c r="C839" t="s">
        <v>1172</v>
      </c>
      <c r="D839" s="1586" t="s">
        <v>1166</v>
      </c>
    </row>
    <row r="840" spans="1:4">
      <c r="A840">
        <v>32</v>
      </c>
      <c r="B840">
        <v>2</v>
      </c>
      <c r="C840" t="s">
        <v>273</v>
      </c>
      <c r="D840" s="1586" t="s">
        <v>1121</v>
      </c>
    </row>
    <row r="841" spans="1:4">
      <c r="A841">
        <v>32</v>
      </c>
      <c r="B841">
        <v>3</v>
      </c>
      <c r="C841" t="s">
        <v>275</v>
      </c>
      <c r="D841" s="1586" t="s">
        <v>1121</v>
      </c>
    </row>
    <row r="842" spans="1:4">
      <c r="A842">
        <v>32</v>
      </c>
      <c r="B842">
        <v>4</v>
      </c>
      <c r="C842" t="s">
        <v>276</v>
      </c>
      <c r="D842" s="1586" t="s">
        <v>1121</v>
      </c>
    </row>
    <row r="843" spans="1:4">
      <c r="A843">
        <v>32</v>
      </c>
      <c r="B843">
        <v>5</v>
      </c>
      <c r="C843" t="s">
        <v>270</v>
      </c>
      <c r="D843" s="1586" t="s">
        <v>1115</v>
      </c>
    </row>
    <row r="844" spans="1:4">
      <c r="A844">
        <v>32</v>
      </c>
      <c r="B844">
        <v>6</v>
      </c>
      <c r="C844" t="s">
        <v>277</v>
      </c>
      <c r="D844" s="1586" t="s">
        <v>1126</v>
      </c>
    </row>
    <row r="845" spans="1:4">
      <c r="A845">
        <v>32</v>
      </c>
      <c r="B845">
        <v>7</v>
      </c>
      <c r="C845" t="s">
        <v>1157</v>
      </c>
      <c r="D845" s="1586" t="s">
        <v>1158</v>
      </c>
    </row>
    <row r="846" spans="1:4">
      <c r="A846">
        <v>32</v>
      </c>
      <c r="B846" s="35">
        <v>8</v>
      </c>
      <c r="C846" t="s">
        <v>278</v>
      </c>
      <c r="D846" s="1586" t="s">
        <v>1118</v>
      </c>
    </row>
    <row r="847" spans="1:4">
      <c r="A847">
        <v>32</v>
      </c>
      <c r="B847">
        <v>9</v>
      </c>
      <c r="C847" t="s">
        <v>280</v>
      </c>
      <c r="D847" s="1586" t="s">
        <v>1973</v>
      </c>
    </row>
    <row r="848" spans="1:4">
      <c r="A848">
        <v>32</v>
      </c>
      <c r="B848">
        <v>10</v>
      </c>
      <c r="C848" t="s">
        <v>1133</v>
      </c>
      <c r="D848" s="1586" t="s">
        <v>1973</v>
      </c>
    </row>
    <row r="849" spans="1:4">
      <c r="A849">
        <v>32</v>
      </c>
      <c r="B849" t="s">
        <v>2810</v>
      </c>
      <c r="C849" t="s">
        <v>266</v>
      </c>
      <c r="D849" s="1586" t="s">
        <v>1120</v>
      </c>
    </row>
    <row r="850" spans="1:4">
      <c r="A850">
        <v>33</v>
      </c>
      <c r="B850">
        <v>1</v>
      </c>
      <c r="C850" t="s">
        <v>267</v>
      </c>
      <c r="D850" s="1586" t="s">
        <v>1115</v>
      </c>
    </row>
    <row r="851" spans="1:4">
      <c r="A851">
        <v>33</v>
      </c>
      <c r="B851">
        <v>2</v>
      </c>
      <c r="C851" t="s">
        <v>267</v>
      </c>
      <c r="D851" s="1586" t="s">
        <v>1115</v>
      </c>
    </row>
    <row r="852" spans="1:4">
      <c r="A852">
        <v>33</v>
      </c>
      <c r="B852">
        <v>3</v>
      </c>
      <c r="C852" t="s">
        <v>268</v>
      </c>
      <c r="D852" s="1586" t="s">
        <v>1115</v>
      </c>
    </row>
    <row r="853" spans="1:4">
      <c r="A853">
        <v>33</v>
      </c>
      <c r="B853">
        <v>4</v>
      </c>
      <c r="C853" t="s">
        <v>269</v>
      </c>
      <c r="D853" s="1586" t="s">
        <v>1126</v>
      </c>
    </row>
    <row r="854" spans="1:4">
      <c r="A854">
        <v>33</v>
      </c>
      <c r="B854">
        <v>5</v>
      </c>
      <c r="C854" t="s">
        <v>269</v>
      </c>
      <c r="D854" s="1586" t="s">
        <v>1126</v>
      </c>
    </row>
    <row r="855" spans="1:4">
      <c r="A855">
        <v>33</v>
      </c>
      <c r="B855">
        <v>6</v>
      </c>
      <c r="C855" t="s">
        <v>270</v>
      </c>
      <c r="D855" s="1586" t="s">
        <v>1115</v>
      </c>
    </row>
    <row r="856" spans="1:4">
      <c r="A856">
        <v>33</v>
      </c>
      <c r="B856">
        <v>7</v>
      </c>
      <c r="C856" t="s">
        <v>270</v>
      </c>
      <c r="D856" s="1586" t="s">
        <v>1115</v>
      </c>
    </row>
    <row r="857" spans="1:4">
      <c r="A857">
        <v>33</v>
      </c>
      <c r="B857">
        <v>8</v>
      </c>
      <c r="C857" t="s">
        <v>271</v>
      </c>
      <c r="D857" s="1586" t="s">
        <v>1143</v>
      </c>
    </row>
    <row r="858" spans="1:4">
      <c r="A858">
        <v>33</v>
      </c>
      <c r="B858">
        <v>9</v>
      </c>
      <c r="C858" t="s">
        <v>271</v>
      </c>
      <c r="D858" s="1586" t="s">
        <v>1143</v>
      </c>
    </row>
    <row r="859" spans="1:4">
      <c r="A859">
        <v>33</v>
      </c>
      <c r="B859">
        <v>10</v>
      </c>
      <c r="C859" t="s">
        <v>272</v>
      </c>
      <c r="D859" s="1586" t="s">
        <v>1115</v>
      </c>
    </row>
    <row r="860" spans="1:4">
      <c r="A860">
        <v>33</v>
      </c>
      <c r="B860" t="s">
        <v>2810</v>
      </c>
      <c r="C860" t="s">
        <v>266</v>
      </c>
      <c r="D860" s="1586" t="s">
        <v>1120</v>
      </c>
    </row>
    <row r="861" spans="1:4">
      <c r="A861">
        <v>34</v>
      </c>
      <c r="B861">
        <v>1</v>
      </c>
      <c r="C861" t="s">
        <v>277</v>
      </c>
      <c r="D861" s="1586" t="s">
        <v>1126</v>
      </c>
    </row>
    <row r="862" spans="1:4">
      <c r="A862">
        <v>34</v>
      </c>
      <c r="B862">
        <v>2</v>
      </c>
      <c r="C862" t="s">
        <v>315</v>
      </c>
      <c r="D862" s="1586" t="s">
        <v>1126</v>
      </c>
    </row>
    <row r="863" spans="1:4">
      <c r="A863">
        <v>34</v>
      </c>
      <c r="B863" s="35">
        <v>3</v>
      </c>
      <c r="C863" t="s">
        <v>304</v>
      </c>
      <c r="D863" s="1586" t="s">
        <v>1143</v>
      </c>
    </row>
    <row r="864" spans="1:4">
      <c r="A864">
        <v>34</v>
      </c>
      <c r="B864">
        <v>4</v>
      </c>
      <c r="C864" t="s">
        <v>321</v>
      </c>
      <c r="D864" s="1586" t="s">
        <v>1132</v>
      </c>
    </row>
    <row r="865" spans="1:4">
      <c r="A865">
        <v>34</v>
      </c>
      <c r="B865">
        <v>5</v>
      </c>
      <c r="C865" t="s">
        <v>321</v>
      </c>
      <c r="D865" s="1586" t="s">
        <v>1132</v>
      </c>
    </row>
    <row r="866" spans="1:4">
      <c r="A866">
        <v>34</v>
      </c>
      <c r="B866">
        <v>6</v>
      </c>
      <c r="C866" t="s">
        <v>270</v>
      </c>
      <c r="D866" s="1586" t="s">
        <v>1115</v>
      </c>
    </row>
    <row r="867" spans="1:4">
      <c r="A867">
        <v>34</v>
      </c>
      <c r="B867">
        <v>7</v>
      </c>
      <c r="C867" t="s">
        <v>270</v>
      </c>
      <c r="D867" s="1586" t="s">
        <v>1115</v>
      </c>
    </row>
    <row r="868" spans="1:4">
      <c r="A868">
        <v>34</v>
      </c>
      <c r="B868" s="35">
        <v>8</v>
      </c>
      <c r="C868" t="s">
        <v>1148</v>
      </c>
      <c r="D868" s="1586" t="s">
        <v>1115</v>
      </c>
    </row>
    <row r="869" spans="1:4">
      <c r="A869">
        <v>34</v>
      </c>
      <c r="B869">
        <v>9</v>
      </c>
      <c r="C869" t="s">
        <v>162</v>
      </c>
      <c r="D869" s="1586" t="s">
        <v>1115</v>
      </c>
    </row>
    <row r="870" spans="1:4">
      <c r="A870">
        <v>34</v>
      </c>
      <c r="B870" t="s">
        <v>2810</v>
      </c>
      <c r="C870" t="s">
        <v>266</v>
      </c>
      <c r="D870" s="1586" t="s">
        <v>1120</v>
      </c>
    </row>
    <row r="871" spans="1:4">
      <c r="A871">
        <v>35</v>
      </c>
      <c r="B871">
        <v>1</v>
      </c>
      <c r="C871" t="s">
        <v>290</v>
      </c>
      <c r="D871" s="1586" t="s">
        <v>1973</v>
      </c>
    </row>
    <row r="872" spans="1:4">
      <c r="A872">
        <v>35</v>
      </c>
      <c r="B872">
        <v>2</v>
      </c>
      <c r="C872" t="s">
        <v>290</v>
      </c>
      <c r="D872" s="1586" t="s">
        <v>1973</v>
      </c>
    </row>
    <row r="873" spans="1:4">
      <c r="A873">
        <v>35</v>
      </c>
      <c r="B873">
        <v>3</v>
      </c>
      <c r="C873" t="s">
        <v>281</v>
      </c>
      <c r="D873" s="1586" t="s">
        <v>1973</v>
      </c>
    </row>
    <row r="874" spans="1:4">
      <c r="A874">
        <v>35</v>
      </c>
      <c r="B874">
        <v>4</v>
      </c>
      <c r="C874" t="s">
        <v>281</v>
      </c>
      <c r="D874" s="1586" t="s">
        <v>1973</v>
      </c>
    </row>
    <row r="875" spans="1:4">
      <c r="A875">
        <v>35</v>
      </c>
      <c r="B875">
        <v>5</v>
      </c>
      <c r="C875" t="s">
        <v>278</v>
      </c>
      <c r="D875" s="1586" t="s">
        <v>1118</v>
      </c>
    </row>
    <row r="876" spans="1:4">
      <c r="A876">
        <v>35</v>
      </c>
      <c r="B876">
        <v>6</v>
      </c>
      <c r="C876" t="s">
        <v>278</v>
      </c>
      <c r="D876" s="1586" t="s">
        <v>1118</v>
      </c>
    </row>
    <row r="877" spans="1:4">
      <c r="A877">
        <v>35</v>
      </c>
      <c r="B877">
        <v>7</v>
      </c>
      <c r="C877" t="s">
        <v>277</v>
      </c>
      <c r="D877" s="1586" t="s">
        <v>1126</v>
      </c>
    </row>
    <row r="878" spans="1:4">
      <c r="A878">
        <v>35</v>
      </c>
      <c r="B878">
        <v>8</v>
      </c>
      <c r="C878" t="s">
        <v>1293</v>
      </c>
      <c r="D878" s="1586" t="s">
        <v>1126</v>
      </c>
    </row>
    <row r="879" spans="1:4">
      <c r="A879">
        <v>35</v>
      </c>
      <c r="B879">
        <v>9</v>
      </c>
      <c r="C879" t="s">
        <v>1293</v>
      </c>
      <c r="D879" s="1586" t="s">
        <v>1126</v>
      </c>
    </row>
    <row r="880" spans="1:4">
      <c r="A880">
        <v>35</v>
      </c>
      <c r="B880">
        <v>10</v>
      </c>
      <c r="C880" t="s">
        <v>1135</v>
      </c>
      <c r="D880" s="1586" t="s">
        <v>1134</v>
      </c>
    </row>
    <row r="881" spans="1:4">
      <c r="A881">
        <v>35</v>
      </c>
      <c r="B881">
        <v>11</v>
      </c>
      <c r="C881" t="s">
        <v>1151</v>
      </c>
      <c r="D881" s="1586" t="s">
        <v>1115</v>
      </c>
    </row>
    <row r="882" spans="1:4">
      <c r="A882">
        <v>35</v>
      </c>
      <c r="B882" t="s">
        <v>2810</v>
      </c>
      <c r="C882" t="s">
        <v>266</v>
      </c>
      <c r="D882" s="1586" t="s">
        <v>1120</v>
      </c>
    </row>
    <row r="883" spans="1:4">
      <c r="A883">
        <v>36</v>
      </c>
      <c r="B883">
        <v>1</v>
      </c>
      <c r="C883" t="s">
        <v>291</v>
      </c>
      <c r="D883" s="1586" t="s">
        <v>1120</v>
      </c>
    </row>
    <row r="884" spans="1:4">
      <c r="A884">
        <v>36</v>
      </c>
      <c r="B884">
        <v>2</v>
      </c>
      <c r="C884" t="s">
        <v>291</v>
      </c>
      <c r="D884" s="1586" t="s">
        <v>1120</v>
      </c>
    </row>
    <row r="885" spans="1:4">
      <c r="A885">
        <v>36</v>
      </c>
      <c r="B885">
        <v>3</v>
      </c>
      <c r="C885" t="s">
        <v>273</v>
      </c>
      <c r="D885" s="1586" t="s">
        <v>1121</v>
      </c>
    </row>
    <row r="886" spans="1:4">
      <c r="A886">
        <v>36</v>
      </c>
      <c r="B886">
        <v>4</v>
      </c>
      <c r="C886" t="s">
        <v>273</v>
      </c>
      <c r="D886" s="1586" t="s">
        <v>1121</v>
      </c>
    </row>
    <row r="887" spans="1:4">
      <c r="A887">
        <v>36</v>
      </c>
      <c r="B887">
        <v>5</v>
      </c>
      <c r="C887" t="s">
        <v>305</v>
      </c>
      <c r="D887" s="1586" t="s">
        <v>1121</v>
      </c>
    </row>
    <row r="888" spans="1:4">
      <c r="A888">
        <v>36</v>
      </c>
      <c r="B888" s="35">
        <v>6</v>
      </c>
      <c r="C888" t="s">
        <v>99</v>
      </c>
      <c r="D888" s="1586" t="s">
        <v>1121</v>
      </c>
    </row>
    <row r="889" spans="1:4">
      <c r="A889">
        <v>36</v>
      </c>
      <c r="B889">
        <v>7</v>
      </c>
      <c r="C889" t="s">
        <v>1129</v>
      </c>
      <c r="D889" s="1586" t="s">
        <v>1121</v>
      </c>
    </row>
    <row r="890" spans="1:4">
      <c r="A890">
        <v>36</v>
      </c>
      <c r="B890">
        <v>8</v>
      </c>
      <c r="C890" t="s">
        <v>1235</v>
      </c>
      <c r="D890" s="1586" t="s">
        <v>1166</v>
      </c>
    </row>
    <row r="891" spans="1:4">
      <c r="A891">
        <v>36</v>
      </c>
      <c r="B891">
        <v>9</v>
      </c>
      <c r="C891" t="s">
        <v>1236</v>
      </c>
      <c r="D891" s="1586" t="s">
        <v>1166</v>
      </c>
    </row>
    <row r="892" spans="1:4">
      <c r="A892">
        <v>36</v>
      </c>
      <c r="B892">
        <v>10</v>
      </c>
      <c r="C892" t="s">
        <v>1236</v>
      </c>
      <c r="D892" s="1586" t="s">
        <v>1166</v>
      </c>
    </row>
    <row r="893" spans="1:4">
      <c r="A893">
        <v>36</v>
      </c>
      <c r="B893" t="s">
        <v>2810</v>
      </c>
      <c r="C893" t="s">
        <v>266</v>
      </c>
      <c r="D893" s="1586" t="s">
        <v>1120</v>
      </c>
    </row>
    <row r="894" spans="1:4">
      <c r="A894">
        <v>37</v>
      </c>
      <c r="B894">
        <v>1</v>
      </c>
      <c r="C894" t="s">
        <v>295</v>
      </c>
      <c r="D894" s="1586" t="s">
        <v>1119</v>
      </c>
    </row>
    <row r="895" spans="1:4">
      <c r="A895">
        <v>37</v>
      </c>
      <c r="B895">
        <v>2</v>
      </c>
      <c r="C895" t="s">
        <v>279</v>
      </c>
      <c r="D895" s="1586" t="s">
        <v>1119</v>
      </c>
    </row>
    <row r="896" spans="1:4">
      <c r="A896">
        <v>37</v>
      </c>
      <c r="B896">
        <v>3</v>
      </c>
      <c r="C896" t="s">
        <v>279</v>
      </c>
      <c r="D896" s="1586" t="s">
        <v>1119</v>
      </c>
    </row>
    <row r="897" spans="1:4">
      <c r="A897">
        <v>37</v>
      </c>
      <c r="B897">
        <v>4</v>
      </c>
      <c r="C897" t="s">
        <v>294</v>
      </c>
      <c r="D897" s="1586" t="s">
        <v>1973</v>
      </c>
    </row>
    <row r="898" spans="1:4">
      <c r="A898">
        <v>37</v>
      </c>
      <c r="B898">
        <v>5</v>
      </c>
      <c r="C898" t="s">
        <v>294</v>
      </c>
      <c r="D898" s="1586" t="s">
        <v>1973</v>
      </c>
    </row>
    <row r="899" spans="1:4">
      <c r="A899">
        <v>37</v>
      </c>
      <c r="B899">
        <v>6</v>
      </c>
      <c r="C899" t="s">
        <v>283</v>
      </c>
      <c r="D899" s="1586" t="s">
        <v>1132</v>
      </c>
    </row>
    <row r="900" spans="1:4">
      <c r="A900">
        <v>37</v>
      </c>
      <c r="B900">
        <v>7</v>
      </c>
      <c r="C900" t="s">
        <v>1976</v>
      </c>
      <c r="D900" s="1586" t="s">
        <v>1143</v>
      </c>
    </row>
    <row r="901" spans="1:4">
      <c r="A901">
        <v>37</v>
      </c>
      <c r="B901">
        <v>8</v>
      </c>
      <c r="C901" t="s">
        <v>1976</v>
      </c>
      <c r="D901" s="1586" t="s">
        <v>1143</v>
      </c>
    </row>
    <row r="902" spans="1:4">
      <c r="A902">
        <v>37</v>
      </c>
      <c r="B902">
        <v>9</v>
      </c>
      <c r="C902" t="s">
        <v>304</v>
      </c>
      <c r="D902" s="1586" t="s">
        <v>1143</v>
      </c>
    </row>
    <row r="903" spans="1:4">
      <c r="A903">
        <v>37</v>
      </c>
      <c r="B903">
        <v>10</v>
      </c>
      <c r="C903" t="s">
        <v>270</v>
      </c>
      <c r="D903" s="1586" t="s">
        <v>1115</v>
      </c>
    </row>
    <row r="904" spans="1:4">
      <c r="A904">
        <v>37</v>
      </c>
      <c r="B904">
        <v>11</v>
      </c>
      <c r="C904" t="s">
        <v>272</v>
      </c>
      <c r="D904" s="1586" t="s">
        <v>1115</v>
      </c>
    </row>
    <row r="905" spans="1:4">
      <c r="A905">
        <v>37</v>
      </c>
      <c r="B905" t="s">
        <v>2810</v>
      </c>
      <c r="C905" t="s">
        <v>266</v>
      </c>
      <c r="D905" s="1586" t="s">
        <v>1120</v>
      </c>
    </row>
    <row r="906" spans="1:4" ht="16.5" thickBot="1">
      <c r="A906">
        <v>38</v>
      </c>
      <c r="B906">
        <v>1</v>
      </c>
      <c r="C906" s="1590" t="s">
        <v>286</v>
      </c>
      <c r="D906" s="1587" t="s">
        <v>1126</v>
      </c>
    </row>
    <row r="907" spans="1:4" ht="16.5" thickBot="1">
      <c r="A907">
        <v>38</v>
      </c>
      <c r="B907">
        <v>2</v>
      </c>
      <c r="C907" t="s">
        <v>2061</v>
      </c>
      <c r="D907" s="1587" t="s">
        <v>1125</v>
      </c>
    </row>
    <row r="908" spans="1:4" ht="16.5" thickBot="1">
      <c r="A908">
        <v>38</v>
      </c>
      <c r="B908">
        <v>3</v>
      </c>
      <c r="C908" t="s">
        <v>2061</v>
      </c>
      <c r="D908" s="1587" t="s">
        <v>1125</v>
      </c>
    </row>
    <row r="909" spans="1:4" ht="16.5" thickBot="1">
      <c r="A909">
        <v>38</v>
      </c>
      <c r="B909">
        <v>4</v>
      </c>
      <c r="C909" t="s">
        <v>1137</v>
      </c>
      <c r="D909" s="1587" t="s">
        <v>1126</v>
      </c>
    </row>
    <row r="910" spans="1:4" ht="16.5" thickBot="1">
      <c r="A910">
        <v>38</v>
      </c>
      <c r="B910">
        <v>5</v>
      </c>
      <c r="C910" t="s">
        <v>285</v>
      </c>
      <c r="D910" s="1587" t="s">
        <v>1143</v>
      </c>
    </row>
    <row r="911" spans="1:4" ht="16.5" thickBot="1">
      <c r="A911">
        <v>38</v>
      </c>
      <c r="B911">
        <v>6</v>
      </c>
      <c r="C911" t="s">
        <v>285</v>
      </c>
      <c r="D911" s="1587" t="s">
        <v>1143</v>
      </c>
    </row>
    <row r="912" spans="1:4" ht="16.5" thickBot="1">
      <c r="A912">
        <v>38</v>
      </c>
      <c r="B912">
        <v>7</v>
      </c>
      <c r="C912" t="s">
        <v>1216</v>
      </c>
      <c r="D912" s="1587" t="s">
        <v>1125</v>
      </c>
    </row>
    <row r="913" spans="1:4" ht="16.5" thickBot="1">
      <c r="A913">
        <v>38</v>
      </c>
      <c r="B913">
        <v>8</v>
      </c>
      <c r="C913" t="s">
        <v>1216</v>
      </c>
      <c r="D913" s="1587" t="s">
        <v>1125</v>
      </c>
    </row>
    <row r="914" spans="1:4" ht="16.5" thickBot="1">
      <c r="A914">
        <v>38</v>
      </c>
      <c r="B914">
        <v>9</v>
      </c>
      <c r="C914" t="s">
        <v>271</v>
      </c>
      <c r="D914" s="1587" t="s">
        <v>1143</v>
      </c>
    </row>
    <row r="915" spans="1:4" ht="16.5" thickBot="1">
      <c r="A915">
        <v>38</v>
      </c>
      <c r="B915">
        <v>10</v>
      </c>
      <c r="C915" t="s">
        <v>304</v>
      </c>
      <c r="D915" s="1587" t="s">
        <v>1143</v>
      </c>
    </row>
    <row r="916" spans="1:4" ht="16.5" thickBot="1">
      <c r="A916">
        <v>38</v>
      </c>
      <c r="B916">
        <v>11</v>
      </c>
      <c r="C916" t="s">
        <v>270</v>
      </c>
      <c r="D916" s="1587" t="s">
        <v>1115</v>
      </c>
    </row>
    <row r="917" spans="1:4">
      <c r="A917">
        <v>38</v>
      </c>
      <c r="B917" t="s">
        <v>2810</v>
      </c>
      <c r="C917" t="s">
        <v>266</v>
      </c>
      <c r="D917" s="1586" t="s">
        <v>1120</v>
      </c>
    </row>
    <row r="920" spans="1:4">
      <c r="A920" t="s">
        <v>2860</v>
      </c>
      <c r="B920" t="s">
        <v>2861</v>
      </c>
      <c r="C920" t="s">
        <v>2867</v>
      </c>
    </row>
    <row r="921" spans="1:4">
      <c r="A921">
        <v>1</v>
      </c>
      <c r="B921">
        <v>1</v>
      </c>
      <c r="C921" s="6" t="s">
        <v>16</v>
      </c>
    </row>
    <row r="922" spans="1:4">
      <c r="A922">
        <v>1</v>
      </c>
      <c r="B922">
        <v>2</v>
      </c>
      <c r="C922" s="6" t="s">
        <v>16</v>
      </c>
    </row>
    <row r="923" spans="1:4">
      <c r="A923">
        <v>1</v>
      </c>
      <c r="B923">
        <v>3</v>
      </c>
      <c r="C923" s="6" t="s">
        <v>16</v>
      </c>
    </row>
    <row r="924" spans="1:4">
      <c r="A924">
        <v>1</v>
      </c>
      <c r="B924">
        <v>4</v>
      </c>
      <c r="C924" s="6" t="s">
        <v>16</v>
      </c>
    </row>
    <row r="925" spans="1:4">
      <c r="A925">
        <v>1</v>
      </c>
      <c r="B925">
        <v>5</v>
      </c>
      <c r="C925" s="6" t="s">
        <v>16</v>
      </c>
    </row>
    <row r="926" spans="1:4">
      <c r="A926">
        <v>1</v>
      </c>
      <c r="B926">
        <v>6</v>
      </c>
      <c r="C926" s="7" t="s">
        <v>17</v>
      </c>
    </row>
    <row r="927" spans="1:4">
      <c r="A927">
        <v>1</v>
      </c>
      <c r="B927">
        <v>7</v>
      </c>
      <c r="C927" s="6" t="s">
        <v>16</v>
      </c>
    </row>
    <row r="928" spans="1:4">
      <c r="A928">
        <v>1</v>
      </c>
      <c r="B928">
        <v>8</v>
      </c>
      <c r="C928" s="7" t="s">
        <v>17</v>
      </c>
    </row>
    <row r="929" spans="1:3">
      <c r="A929">
        <v>1</v>
      </c>
      <c r="B929">
        <v>9</v>
      </c>
      <c r="C929" s="6" t="s">
        <v>16</v>
      </c>
    </row>
    <row r="930" spans="1:3">
      <c r="A930">
        <v>1</v>
      </c>
      <c r="B930">
        <v>10</v>
      </c>
      <c r="C930" s="7" t="s">
        <v>17</v>
      </c>
    </row>
    <row r="931" spans="1:3">
      <c r="A931">
        <v>1</v>
      </c>
      <c r="B931">
        <v>11</v>
      </c>
      <c r="C931" s="6" t="s">
        <v>16</v>
      </c>
    </row>
    <row r="932" spans="1:3">
      <c r="A932">
        <v>1</v>
      </c>
      <c r="B932">
        <v>12</v>
      </c>
      <c r="C932" s="7" t="s">
        <v>17</v>
      </c>
    </row>
    <row r="933" spans="1:3">
      <c r="A933">
        <v>1</v>
      </c>
      <c r="B933" t="s">
        <v>2862</v>
      </c>
      <c r="C933" s="13" t="s">
        <v>59</v>
      </c>
    </row>
    <row r="934" spans="1:3">
      <c r="A934">
        <v>2</v>
      </c>
      <c r="B934">
        <v>1</v>
      </c>
      <c r="C934" s="6" t="s">
        <v>16</v>
      </c>
    </row>
    <row r="935" spans="1:3">
      <c r="A935">
        <v>2</v>
      </c>
      <c r="B935">
        <v>2</v>
      </c>
      <c r="C935" s="6" t="s">
        <v>16</v>
      </c>
    </row>
    <row r="936" spans="1:3">
      <c r="A936">
        <v>2</v>
      </c>
      <c r="B936">
        <v>3</v>
      </c>
      <c r="C936" s="6" t="s">
        <v>16</v>
      </c>
    </row>
    <row r="937" spans="1:3">
      <c r="A937">
        <v>2</v>
      </c>
      <c r="B937">
        <v>4</v>
      </c>
      <c r="C937" s="6" t="s">
        <v>16</v>
      </c>
    </row>
    <row r="938" spans="1:3">
      <c r="A938">
        <v>2</v>
      </c>
      <c r="B938">
        <v>5</v>
      </c>
      <c r="C938" s="6" t="s">
        <v>16</v>
      </c>
    </row>
    <row r="939" spans="1:3">
      <c r="A939">
        <v>2</v>
      </c>
      <c r="B939">
        <v>6</v>
      </c>
      <c r="C939" s="7" t="s">
        <v>17</v>
      </c>
    </row>
    <row r="940" spans="1:3">
      <c r="A940">
        <v>2</v>
      </c>
      <c r="B940">
        <v>7</v>
      </c>
      <c r="C940" s="6" t="s">
        <v>16</v>
      </c>
    </row>
    <row r="941" spans="1:3">
      <c r="A941">
        <v>2</v>
      </c>
      <c r="B941">
        <v>8</v>
      </c>
      <c r="C941" s="7" t="s">
        <v>17</v>
      </c>
    </row>
    <row r="942" spans="1:3">
      <c r="A942">
        <v>2</v>
      </c>
      <c r="B942">
        <v>9</v>
      </c>
      <c r="C942" s="6" t="s">
        <v>16</v>
      </c>
    </row>
    <row r="943" spans="1:3">
      <c r="A943">
        <v>2</v>
      </c>
      <c r="B943">
        <v>10</v>
      </c>
      <c r="C943" s="7" t="s">
        <v>17</v>
      </c>
    </row>
    <row r="944" spans="1:3">
      <c r="A944">
        <v>2</v>
      </c>
      <c r="B944">
        <v>11</v>
      </c>
      <c r="C944" s="6" t="s">
        <v>16</v>
      </c>
    </row>
    <row r="945" spans="1:3">
      <c r="A945">
        <v>2</v>
      </c>
      <c r="B945">
        <v>12</v>
      </c>
      <c r="C945" s="7" t="s">
        <v>17</v>
      </c>
    </row>
    <row r="946" spans="1:3">
      <c r="A946">
        <v>2</v>
      </c>
      <c r="B946" t="s">
        <v>2862</v>
      </c>
      <c r="C946" s="13" t="s">
        <v>59</v>
      </c>
    </row>
    <row r="947" spans="1:3">
      <c r="A947">
        <v>3</v>
      </c>
      <c r="B947">
        <v>1</v>
      </c>
      <c r="C947" s="6" t="s">
        <v>16</v>
      </c>
    </row>
    <row r="948" spans="1:3">
      <c r="A948">
        <v>3</v>
      </c>
      <c r="B948">
        <v>2</v>
      </c>
      <c r="C948" s="6" t="s">
        <v>16</v>
      </c>
    </row>
    <row r="949" spans="1:3">
      <c r="A949">
        <v>3</v>
      </c>
      <c r="B949">
        <v>3</v>
      </c>
      <c r="C949" s="6" t="s">
        <v>16</v>
      </c>
    </row>
    <row r="950" spans="1:3">
      <c r="A950">
        <v>3</v>
      </c>
      <c r="B950">
        <v>4</v>
      </c>
      <c r="C950" s="6" t="s">
        <v>16</v>
      </c>
    </row>
    <row r="951" spans="1:3">
      <c r="A951">
        <v>3</v>
      </c>
      <c r="B951">
        <v>5</v>
      </c>
      <c r="C951" s="6" t="s">
        <v>16</v>
      </c>
    </row>
    <row r="952" spans="1:3">
      <c r="A952">
        <v>3</v>
      </c>
      <c r="B952">
        <v>6</v>
      </c>
      <c r="C952" s="6" t="s">
        <v>16</v>
      </c>
    </row>
    <row r="953" spans="1:3">
      <c r="A953">
        <v>3</v>
      </c>
      <c r="B953">
        <v>7</v>
      </c>
      <c r="C953" s="6" t="s">
        <v>16</v>
      </c>
    </row>
    <row r="954" spans="1:3">
      <c r="A954">
        <v>3</v>
      </c>
      <c r="B954">
        <v>8</v>
      </c>
      <c r="C954" s="7" t="s">
        <v>17</v>
      </c>
    </row>
    <row r="955" spans="1:3">
      <c r="A955">
        <v>3</v>
      </c>
      <c r="B955">
        <v>9</v>
      </c>
      <c r="C955" s="7" t="s">
        <v>17</v>
      </c>
    </row>
    <row r="956" spans="1:3">
      <c r="A956">
        <v>3</v>
      </c>
      <c r="B956">
        <v>10</v>
      </c>
      <c r="C956" s="6" t="s">
        <v>16</v>
      </c>
    </row>
    <row r="957" spans="1:3">
      <c r="A957">
        <v>3</v>
      </c>
      <c r="B957">
        <v>11</v>
      </c>
      <c r="C957" s="6" t="s">
        <v>16</v>
      </c>
    </row>
    <row r="958" spans="1:3">
      <c r="A958">
        <v>3</v>
      </c>
      <c r="B958">
        <v>12</v>
      </c>
      <c r="C958" s="7" t="s">
        <v>17</v>
      </c>
    </row>
    <row r="959" spans="1:3">
      <c r="A959">
        <v>3</v>
      </c>
      <c r="B959" t="s">
        <v>2810</v>
      </c>
      <c r="C959" s="13" t="s">
        <v>59</v>
      </c>
    </row>
    <row r="960" spans="1:3">
      <c r="A960">
        <v>4</v>
      </c>
      <c r="B960">
        <v>1</v>
      </c>
      <c r="C960" s="6" t="s">
        <v>16</v>
      </c>
    </row>
    <row r="961" spans="1:3">
      <c r="A961">
        <v>4</v>
      </c>
      <c r="B961">
        <v>2</v>
      </c>
      <c r="C961" s="6" t="s">
        <v>16</v>
      </c>
    </row>
    <row r="962" spans="1:3">
      <c r="A962">
        <v>4</v>
      </c>
      <c r="B962">
        <v>3</v>
      </c>
      <c r="C962" s="6" t="s">
        <v>16</v>
      </c>
    </row>
    <row r="963" spans="1:3">
      <c r="A963">
        <v>4</v>
      </c>
      <c r="B963">
        <v>4</v>
      </c>
      <c r="C963" s="6" t="s">
        <v>16</v>
      </c>
    </row>
    <row r="964" spans="1:3">
      <c r="A964">
        <v>4</v>
      </c>
      <c r="B964">
        <v>5</v>
      </c>
      <c r="C964" s="6" t="s">
        <v>16</v>
      </c>
    </row>
    <row r="965" spans="1:3">
      <c r="A965">
        <v>4</v>
      </c>
      <c r="B965">
        <v>6</v>
      </c>
      <c r="C965" s="6" t="s">
        <v>16</v>
      </c>
    </row>
    <row r="966" spans="1:3">
      <c r="A966">
        <v>4</v>
      </c>
      <c r="B966">
        <v>7</v>
      </c>
      <c r="C966" s="6" t="s">
        <v>16</v>
      </c>
    </row>
    <row r="967" spans="1:3">
      <c r="A967">
        <v>4</v>
      </c>
      <c r="B967">
        <v>8</v>
      </c>
      <c r="C967" s="7" t="s">
        <v>17</v>
      </c>
    </row>
    <row r="968" spans="1:3">
      <c r="A968">
        <v>4</v>
      </c>
      <c r="B968">
        <v>9</v>
      </c>
      <c r="C968" s="6" t="s">
        <v>16</v>
      </c>
    </row>
    <row r="969" spans="1:3">
      <c r="A969">
        <v>4</v>
      </c>
      <c r="B969">
        <v>10</v>
      </c>
      <c r="C969" s="7" t="s">
        <v>17</v>
      </c>
    </row>
    <row r="970" spans="1:3">
      <c r="A970">
        <v>4</v>
      </c>
      <c r="B970">
        <v>11</v>
      </c>
      <c r="C970" s="6" t="s">
        <v>16</v>
      </c>
    </row>
    <row r="971" spans="1:3">
      <c r="A971">
        <v>4</v>
      </c>
      <c r="B971">
        <v>12</v>
      </c>
      <c r="C971" s="7" t="s">
        <v>17</v>
      </c>
    </row>
    <row r="972" spans="1:3">
      <c r="A972">
        <v>4</v>
      </c>
      <c r="B972" t="s">
        <v>2810</v>
      </c>
      <c r="C972" s="13" t="s">
        <v>59</v>
      </c>
    </row>
    <row r="973" spans="1:3">
      <c r="A973">
        <v>5</v>
      </c>
      <c r="B973">
        <v>1</v>
      </c>
      <c r="C973" s="6" t="s">
        <v>16</v>
      </c>
    </row>
    <row r="974" spans="1:3">
      <c r="A974">
        <v>5</v>
      </c>
      <c r="B974">
        <v>2</v>
      </c>
      <c r="C974" s="6" t="s">
        <v>16</v>
      </c>
    </row>
    <row r="975" spans="1:3">
      <c r="A975">
        <v>5</v>
      </c>
      <c r="B975">
        <v>3</v>
      </c>
      <c r="C975" s="6" t="s">
        <v>16</v>
      </c>
    </row>
    <row r="976" spans="1:3">
      <c r="A976">
        <v>5</v>
      </c>
      <c r="B976">
        <v>4</v>
      </c>
      <c r="C976" s="6" t="s">
        <v>16</v>
      </c>
    </row>
    <row r="977" spans="1:3">
      <c r="A977">
        <v>5</v>
      </c>
      <c r="B977">
        <v>5</v>
      </c>
      <c r="C977" s="7" t="s">
        <v>17</v>
      </c>
    </row>
    <row r="978" spans="1:3">
      <c r="A978">
        <v>5</v>
      </c>
      <c r="B978">
        <v>6</v>
      </c>
      <c r="C978" s="6" t="s">
        <v>16</v>
      </c>
    </row>
    <row r="979" spans="1:3">
      <c r="A979">
        <v>5</v>
      </c>
      <c r="B979">
        <v>7</v>
      </c>
      <c r="C979" s="6" t="s">
        <v>16</v>
      </c>
    </row>
    <row r="980" spans="1:3">
      <c r="A980">
        <v>5</v>
      </c>
      <c r="B980">
        <v>8</v>
      </c>
      <c r="C980" s="7" t="s">
        <v>17</v>
      </c>
    </row>
    <row r="981" spans="1:3">
      <c r="A981">
        <v>5</v>
      </c>
      <c r="B981">
        <v>9</v>
      </c>
      <c r="C981" s="7" t="s">
        <v>17</v>
      </c>
    </row>
    <row r="982" spans="1:3">
      <c r="A982">
        <v>5</v>
      </c>
      <c r="B982">
        <v>10</v>
      </c>
      <c r="C982" s="6" t="s">
        <v>16</v>
      </c>
    </row>
    <row r="983" spans="1:3">
      <c r="A983">
        <v>5</v>
      </c>
      <c r="B983">
        <v>11</v>
      </c>
      <c r="C983" s="7" t="s">
        <v>17</v>
      </c>
    </row>
    <row r="984" spans="1:3">
      <c r="A984">
        <v>5</v>
      </c>
      <c r="B984">
        <v>12</v>
      </c>
      <c r="C984" s="6" t="s">
        <v>16</v>
      </c>
    </row>
    <row r="985" spans="1:3">
      <c r="A985">
        <v>5</v>
      </c>
      <c r="B985" t="s">
        <v>2810</v>
      </c>
      <c r="C985" s="13" t="s">
        <v>59</v>
      </c>
    </row>
    <row r="986" spans="1:3">
      <c r="A986">
        <v>6</v>
      </c>
      <c r="B986">
        <v>1</v>
      </c>
      <c r="C986" s="6" t="s">
        <v>16</v>
      </c>
    </row>
    <row r="987" spans="1:3">
      <c r="A987">
        <v>6</v>
      </c>
      <c r="B987">
        <v>2</v>
      </c>
      <c r="C987" s="6" t="s">
        <v>16</v>
      </c>
    </row>
    <row r="988" spans="1:3">
      <c r="A988">
        <v>6</v>
      </c>
      <c r="B988">
        <v>3</v>
      </c>
      <c r="C988" s="6" t="s">
        <v>16</v>
      </c>
    </row>
    <row r="989" spans="1:3">
      <c r="A989">
        <v>6</v>
      </c>
      <c r="B989">
        <v>4</v>
      </c>
      <c r="C989" s="7" t="s">
        <v>17</v>
      </c>
    </row>
    <row r="990" spans="1:3">
      <c r="A990">
        <v>6</v>
      </c>
      <c r="B990">
        <v>5</v>
      </c>
      <c r="C990" s="6" t="s">
        <v>16</v>
      </c>
    </row>
    <row r="991" spans="1:3">
      <c r="A991">
        <v>6</v>
      </c>
      <c r="B991" s="35">
        <v>6</v>
      </c>
      <c r="C991" s="6" t="s">
        <v>16</v>
      </c>
    </row>
    <row r="992" spans="1:3">
      <c r="A992">
        <v>6</v>
      </c>
      <c r="B992">
        <v>7</v>
      </c>
      <c r="C992" s="7" t="s">
        <v>17</v>
      </c>
    </row>
    <row r="993" spans="1:3">
      <c r="A993">
        <v>6</v>
      </c>
      <c r="B993">
        <v>8</v>
      </c>
      <c r="C993" s="6" t="s">
        <v>16</v>
      </c>
    </row>
    <row r="994" spans="1:3">
      <c r="A994">
        <v>6</v>
      </c>
      <c r="B994">
        <v>9</v>
      </c>
      <c r="C994" s="6" t="s">
        <v>16</v>
      </c>
    </row>
    <row r="995" spans="1:3">
      <c r="A995">
        <v>6</v>
      </c>
      <c r="B995">
        <v>10</v>
      </c>
      <c r="C995" s="7" t="s">
        <v>17</v>
      </c>
    </row>
    <row r="996" spans="1:3">
      <c r="A996">
        <v>6</v>
      </c>
      <c r="B996">
        <v>11</v>
      </c>
      <c r="C996" s="6" t="s">
        <v>16</v>
      </c>
    </row>
    <row r="997" spans="1:3">
      <c r="A997">
        <v>6</v>
      </c>
      <c r="B997" t="s">
        <v>2810</v>
      </c>
      <c r="C997" s="13" t="s">
        <v>59</v>
      </c>
    </row>
    <row r="998" spans="1:3">
      <c r="A998">
        <v>7</v>
      </c>
      <c r="B998">
        <v>1</v>
      </c>
      <c r="C998" s="6" t="s">
        <v>16</v>
      </c>
    </row>
    <row r="999" spans="1:3">
      <c r="A999">
        <v>7</v>
      </c>
      <c r="B999">
        <v>2</v>
      </c>
      <c r="C999" s="6" t="s">
        <v>16</v>
      </c>
    </row>
    <row r="1000" spans="1:3">
      <c r="A1000">
        <v>7</v>
      </c>
      <c r="B1000">
        <v>3</v>
      </c>
      <c r="C1000" s="6" t="s">
        <v>16</v>
      </c>
    </row>
    <row r="1001" spans="1:3">
      <c r="A1001">
        <v>7</v>
      </c>
      <c r="B1001">
        <v>4</v>
      </c>
      <c r="C1001" s="6" t="s">
        <v>16</v>
      </c>
    </row>
    <row r="1002" spans="1:3">
      <c r="A1002">
        <v>7</v>
      </c>
      <c r="B1002">
        <v>5</v>
      </c>
      <c r="C1002" s="7" t="s">
        <v>17</v>
      </c>
    </row>
    <row r="1003" spans="1:3">
      <c r="A1003">
        <v>7</v>
      </c>
      <c r="B1003">
        <v>6</v>
      </c>
      <c r="C1003" s="6" t="s">
        <v>16</v>
      </c>
    </row>
    <row r="1004" spans="1:3">
      <c r="A1004">
        <v>7</v>
      </c>
      <c r="B1004">
        <v>7</v>
      </c>
      <c r="C1004" s="6" t="s">
        <v>16</v>
      </c>
    </row>
    <row r="1005" spans="1:3">
      <c r="A1005">
        <v>7</v>
      </c>
      <c r="B1005">
        <v>8</v>
      </c>
      <c r="C1005" s="7" t="s">
        <v>17</v>
      </c>
    </row>
    <row r="1006" spans="1:3">
      <c r="A1006">
        <v>7</v>
      </c>
      <c r="B1006">
        <v>9</v>
      </c>
      <c r="C1006" s="6" t="s">
        <v>16</v>
      </c>
    </row>
    <row r="1007" spans="1:3">
      <c r="A1007">
        <v>7</v>
      </c>
      <c r="B1007">
        <v>10</v>
      </c>
      <c r="C1007" s="7" t="s">
        <v>17</v>
      </c>
    </row>
    <row r="1008" spans="1:3">
      <c r="A1008">
        <v>7</v>
      </c>
      <c r="B1008">
        <v>11</v>
      </c>
      <c r="C1008" s="6" t="s">
        <v>16</v>
      </c>
    </row>
    <row r="1009" spans="1:3">
      <c r="A1009">
        <v>7</v>
      </c>
      <c r="B1009">
        <v>12</v>
      </c>
      <c r="C1009" s="7" t="s">
        <v>17</v>
      </c>
    </row>
    <row r="1010" spans="1:3">
      <c r="A1010">
        <v>7</v>
      </c>
      <c r="B1010" t="s">
        <v>2810</v>
      </c>
      <c r="C1010" s="13" t="s">
        <v>59</v>
      </c>
    </row>
    <row r="1011" spans="1:3">
      <c r="A1011">
        <v>8</v>
      </c>
      <c r="B1011">
        <v>1</v>
      </c>
      <c r="C1011" s="6" t="s">
        <v>16</v>
      </c>
    </row>
    <row r="1012" spans="1:3">
      <c r="A1012">
        <v>8</v>
      </c>
      <c r="B1012">
        <v>2</v>
      </c>
      <c r="C1012" s="6" t="s">
        <v>16</v>
      </c>
    </row>
    <row r="1013" spans="1:3">
      <c r="A1013">
        <v>8</v>
      </c>
      <c r="B1013">
        <v>3</v>
      </c>
      <c r="C1013" s="6" t="s">
        <v>16</v>
      </c>
    </row>
    <row r="1014" spans="1:3">
      <c r="A1014">
        <v>8</v>
      </c>
      <c r="B1014">
        <v>4</v>
      </c>
      <c r="C1014" s="6" t="s">
        <v>16</v>
      </c>
    </row>
    <row r="1015" spans="1:3">
      <c r="A1015">
        <v>8</v>
      </c>
      <c r="B1015">
        <v>5</v>
      </c>
      <c r="C1015" s="7" t="s">
        <v>17</v>
      </c>
    </row>
    <row r="1016" spans="1:3">
      <c r="A1016">
        <v>8</v>
      </c>
      <c r="B1016">
        <v>6</v>
      </c>
      <c r="C1016" s="6" t="s">
        <v>16</v>
      </c>
    </row>
    <row r="1017" spans="1:3">
      <c r="A1017">
        <v>8</v>
      </c>
      <c r="B1017">
        <v>7</v>
      </c>
      <c r="C1017" s="7" t="s">
        <v>17</v>
      </c>
    </row>
    <row r="1018" spans="1:3">
      <c r="A1018">
        <v>8</v>
      </c>
      <c r="B1018">
        <v>8</v>
      </c>
      <c r="C1018" s="6" t="s">
        <v>16</v>
      </c>
    </row>
    <row r="1019" spans="1:3">
      <c r="A1019">
        <v>8</v>
      </c>
      <c r="B1019">
        <v>9</v>
      </c>
      <c r="C1019" s="7" t="s">
        <v>17</v>
      </c>
    </row>
    <row r="1020" spans="1:3">
      <c r="A1020">
        <v>8</v>
      </c>
      <c r="B1020">
        <v>10</v>
      </c>
      <c r="C1020" s="6" t="s">
        <v>16</v>
      </c>
    </row>
    <row r="1021" spans="1:3">
      <c r="A1021">
        <v>8</v>
      </c>
      <c r="B1021">
        <v>11</v>
      </c>
      <c r="C1021" s="6" t="s">
        <v>16</v>
      </c>
    </row>
    <row r="1022" spans="1:3">
      <c r="A1022">
        <v>8</v>
      </c>
      <c r="B1022" t="s">
        <v>2810</v>
      </c>
      <c r="C1022" s="13" t="s">
        <v>59</v>
      </c>
    </row>
    <row r="1023" spans="1:3">
      <c r="A1023">
        <v>9</v>
      </c>
      <c r="B1023">
        <v>1</v>
      </c>
      <c r="C1023" s="6" t="s">
        <v>16</v>
      </c>
    </row>
    <row r="1024" spans="1:3">
      <c r="A1024">
        <v>9</v>
      </c>
      <c r="B1024">
        <v>2</v>
      </c>
      <c r="C1024" s="6" t="s">
        <v>16</v>
      </c>
    </row>
    <row r="1025" spans="1:3">
      <c r="A1025">
        <v>9</v>
      </c>
      <c r="B1025">
        <v>3</v>
      </c>
      <c r="C1025" s="7" t="s">
        <v>17</v>
      </c>
    </row>
    <row r="1026" spans="1:3">
      <c r="A1026">
        <v>9</v>
      </c>
      <c r="B1026">
        <v>4</v>
      </c>
      <c r="C1026" s="6" t="s">
        <v>16</v>
      </c>
    </row>
    <row r="1027" spans="1:3">
      <c r="A1027">
        <v>9</v>
      </c>
      <c r="B1027">
        <v>5</v>
      </c>
      <c r="C1027" s="6" t="s">
        <v>16</v>
      </c>
    </row>
    <row r="1028" spans="1:3">
      <c r="A1028">
        <v>9</v>
      </c>
      <c r="B1028">
        <v>6</v>
      </c>
      <c r="C1028" s="6" t="s">
        <v>16</v>
      </c>
    </row>
    <row r="1029" spans="1:3">
      <c r="A1029">
        <v>9</v>
      </c>
      <c r="B1029">
        <v>7</v>
      </c>
      <c r="C1029" s="6" t="s">
        <v>16</v>
      </c>
    </row>
    <row r="1030" spans="1:3">
      <c r="A1030">
        <v>9</v>
      </c>
      <c r="B1030">
        <v>8</v>
      </c>
      <c r="C1030" s="7" t="s">
        <v>17</v>
      </c>
    </row>
    <row r="1031" spans="1:3">
      <c r="A1031">
        <v>9</v>
      </c>
      <c r="B1031">
        <v>9</v>
      </c>
      <c r="C1031" s="6" t="s">
        <v>16</v>
      </c>
    </row>
    <row r="1032" spans="1:3">
      <c r="A1032">
        <v>9</v>
      </c>
      <c r="B1032">
        <v>10</v>
      </c>
      <c r="C1032" s="7" t="s">
        <v>17</v>
      </c>
    </row>
    <row r="1033" spans="1:3">
      <c r="A1033">
        <v>9</v>
      </c>
      <c r="B1033">
        <v>11</v>
      </c>
      <c r="C1033" s="6" t="s">
        <v>16</v>
      </c>
    </row>
    <row r="1034" spans="1:3">
      <c r="A1034">
        <v>9</v>
      </c>
      <c r="B1034">
        <v>12</v>
      </c>
      <c r="C1034" s="7" t="s">
        <v>17</v>
      </c>
    </row>
    <row r="1035" spans="1:3">
      <c r="A1035">
        <v>9</v>
      </c>
      <c r="B1035" t="s">
        <v>2810</v>
      </c>
      <c r="C1035" s="13" t="s">
        <v>59</v>
      </c>
    </row>
    <row r="1036" spans="1:3">
      <c r="A1036">
        <v>10</v>
      </c>
      <c r="B1036">
        <v>1</v>
      </c>
      <c r="C1036" s="6" t="s">
        <v>16</v>
      </c>
    </row>
    <row r="1037" spans="1:3">
      <c r="A1037">
        <v>10</v>
      </c>
      <c r="B1037">
        <v>2</v>
      </c>
      <c r="C1037" s="6" t="s">
        <v>16</v>
      </c>
    </row>
    <row r="1038" spans="1:3">
      <c r="A1038">
        <v>10</v>
      </c>
      <c r="B1038">
        <v>3</v>
      </c>
      <c r="C1038" s="6" t="s">
        <v>16</v>
      </c>
    </row>
    <row r="1039" spans="1:3">
      <c r="A1039">
        <v>10</v>
      </c>
      <c r="B1039">
        <v>4</v>
      </c>
      <c r="C1039" s="6" t="s">
        <v>16</v>
      </c>
    </row>
    <row r="1040" spans="1:3">
      <c r="A1040">
        <v>10</v>
      </c>
      <c r="B1040">
        <v>5</v>
      </c>
      <c r="C1040" s="7" t="s">
        <v>17</v>
      </c>
    </row>
    <row r="1041" spans="1:3">
      <c r="A1041">
        <v>10</v>
      </c>
      <c r="B1041">
        <v>6</v>
      </c>
      <c r="C1041" s="6" t="s">
        <v>16</v>
      </c>
    </row>
    <row r="1042" spans="1:3">
      <c r="A1042">
        <v>10</v>
      </c>
      <c r="B1042">
        <v>7</v>
      </c>
      <c r="C1042" s="7" t="s">
        <v>17</v>
      </c>
    </row>
    <row r="1043" spans="1:3">
      <c r="A1043">
        <v>10</v>
      </c>
      <c r="B1043">
        <v>8</v>
      </c>
      <c r="C1043" s="6" t="s">
        <v>16</v>
      </c>
    </row>
    <row r="1044" spans="1:3">
      <c r="A1044">
        <v>10</v>
      </c>
      <c r="B1044" s="35">
        <v>9</v>
      </c>
      <c r="C1044" s="6" t="s">
        <v>16</v>
      </c>
    </row>
    <row r="1045" spans="1:3">
      <c r="A1045">
        <v>10</v>
      </c>
      <c r="B1045">
        <v>10</v>
      </c>
      <c r="C1045" s="7" t="s">
        <v>17</v>
      </c>
    </row>
    <row r="1046" spans="1:3">
      <c r="A1046">
        <v>10</v>
      </c>
      <c r="B1046">
        <v>11</v>
      </c>
      <c r="C1046" s="6" t="s">
        <v>16</v>
      </c>
    </row>
    <row r="1047" spans="1:3">
      <c r="A1047">
        <v>10</v>
      </c>
      <c r="B1047" t="s">
        <v>2810</v>
      </c>
      <c r="C1047" s="13" t="s">
        <v>59</v>
      </c>
    </row>
    <row r="1048" spans="1:3">
      <c r="A1048">
        <v>11</v>
      </c>
      <c r="B1048">
        <v>1</v>
      </c>
      <c r="C1048" s="6" t="s">
        <v>16</v>
      </c>
    </row>
    <row r="1049" spans="1:3">
      <c r="A1049">
        <v>11</v>
      </c>
      <c r="B1049">
        <v>2</v>
      </c>
      <c r="C1049" s="6" t="s">
        <v>16</v>
      </c>
    </row>
    <row r="1050" spans="1:3">
      <c r="A1050">
        <v>11</v>
      </c>
      <c r="B1050">
        <v>3</v>
      </c>
      <c r="C1050" s="6" t="s">
        <v>16</v>
      </c>
    </row>
    <row r="1051" spans="1:3">
      <c r="A1051">
        <v>11</v>
      </c>
      <c r="B1051">
        <v>4</v>
      </c>
      <c r="C1051" s="6" t="s">
        <v>16</v>
      </c>
    </row>
    <row r="1052" spans="1:3">
      <c r="A1052">
        <v>11</v>
      </c>
      <c r="B1052">
        <v>5</v>
      </c>
      <c r="C1052" s="7" t="s">
        <v>17</v>
      </c>
    </row>
    <row r="1053" spans="1:3">
      <c r="A1053">
        <v>11</v>
      </c>
      <c r="B1053">
        <v>6</v>
      </c>
      <c r="C1053" s="6" t="s">
        <v>16</v>
      </c>
    </row>
    <row r="1054" spans="1:3">
      <c r="A1054">
        <v>11</v>
      </c>
      <c r="B1054">
        <v>7</v>
      </c>
      <c r="C1054" s="7" t="s">
        <v>17</v>
      </c>
    </row>
    <row r="1055" spans="1:3">
      <c r="A1055">
        <v>11</v>
      </c>
      <c r="B1055">
        <v>8</v>
      </c>
      <c r="C1055" s="6" t="s">
        <v>16</v>
      </c>
    </row>
    <row r="1056" spans="1:3">
      <c r="A1056">
        <v>11</v>
      </c>
      <c r="B1056">
        <v>9</v>
      </c>
      <c r="C1056" s="6" t="s">
        <v>16</v>
      </c>
    </row>
    <row r="1057" spans="1:3">
      <c r="A1057">
        <v>11</v>
      </c>
      <c r="B1057">
        <v>10</v>
      </c>
      <c r="C1057" s="7" t="s">
        <v>17</v>
      </c>
    </row>
    <row r="1058" spans="1:3">
      <c r="A1058">
        <v>11</v>
      </c>
      <c r="B1058">
        <v>11</v>
      </c>
      <c r="C1058" s="7" t="s">
        <v>17</v>
      </c>
    </row>
    <row r="1059" spans="1:3">
      <c r="A1059">
        <v>11</v>
      </c>
      <c r="B1059">
        <v>12</v>
      </c>
      <c r="C1059" s="6" t="s">
        <v>16</v>
      </c>
    </row>
    <row r="1060" spans="1:3">
      <c r="A1060">
        <v>11</v>
      </c>
      <c r="B1060" t="s">
        <v>2810</v>
      </c>
      <c r="C1060" s="13" t="s">
        <v>59</v>
      </c>
    </row>
    <row r="1061" spans="1:3">
      <c r="A1061">
        <v>12</v>
      </c>
      <c r="B1061">
        <v>1</v>
      </c>
      <c r="C1061" s="6" t="s">
        <v>16</v>
      </c>
    </row>
    <row r="1062" spans="1:3">
      <c r="A1062">
        <v>12</v>
      </c>
      <c r="B1062">
        <v>2</v>
      </c>
      <c r="C1062" s="6" t="s">
        <v>16</v>
      </c>
    </row>
    <row r="1063" spans="1:3">
      <c r="A1063">
        <v>12</v>
      </c>
      <c r="B1063">
        <v>3</v>
      </c>
      <c r="C1063" s="6" t="s">
        <v>16</v>
      </c>
    </row>
    <row r="1064" spans="1:3">
      <c r="A1064">
        <v>12</v>
      </c>
      <c r="B1064">
        <v>4</v>
      </c>
      <c r="C1064" s="6" t="s">
        <v>16</v>
      </c>
    </row>
    <row r="1065" spans="1:3">
      <c r="A1065">
        <v>12</v>
      </c>
      <c r="B1065">
        <v>5</v>
      </c>
      <c r="C1065" s="6" t="s">
        <v>16</v>
      </c>
    </row>
    <row r="1066" spans="1:3">
      <c r="A1066">
        <v>12</v>
      </c>
      <c r="B1066">
        <v>6</v>
      </c>
      <c r="C1066" s="6" t="s">
        <v>16</v>
      </c>
    </row>
    <row r="1067" spans="1:3">
      <c r="A1067">
        <v>12</v>
      </c>
      <c r="B1067">
        <v>7</v>
      </c>
      <c r="C1067" s="7" t="s">
        <v>17</v>
      </c>
    </row>
    <row r="1068" spans="1:3">
      <c r="A1068">
        <v>12</v>
      </c>
      <c r="B1068">
        <v>8</v>
      </c>
      <c r="C1068" s="6" t="s">
        <v>16</v>
      </c>
    </row>
    <row r="1069" spans="1:3">
      <c r="A1069">
        <v>12</v>
      </c>
      <c r="B1069">
        <v>9</v>
      </c>
      <c r="C1069" s="7" t="s">
        <v>17</v>
      </c>
    </row>
    <row r="1070" spans="1:3">
      <c r="A1070">
        <v>12</v>
      </c>
      <c r="B1070">
        <v>10</v>
      </c>
      <c r="C1070" s="6" t="s">
        <v>16</v>
      </c>
    </row>
    <row r="1071" spans="1:3">
      <c r="A1071">
        <v>12</v>
      </c>
      <c r="B1071" t="s">
        <v>2810</v>
      </c>
      <c r="C1071" s="13" t="s">
        <v>59</v>
      </c>
    </row>
    <row r="1072" spans="1:3">
      <c r="A1072">
        <v>13</v>
      </c>
      <c r="B1072">
        <v>1</v>
      </c>
      <c r="C1072" s="6" t="s">
        <v>16</v>
      </c>
    </row>
    <row r="1073" spans="1:3">
      <c r="A1073">
        <v>13</v>
      </c>
      <c r="B1073">
        <v>2</v>
      </c>
      <c r="C1073" s="6" t="s">
        <v>16</v>
      </c>
    </row>
    <row r="1074" spans="1:3">
      <c r="A1074">
        <v>13</v>
      </c>
      <c r="B1074">
        <v>3</v>
      </c>
      <c r="C1074" s="6" t="s">
        <v>16</v>
      </c>
    </row>
    <row r="1075" spans="1:3">
      <c r="A1075">
        <v>13</v>
      </c>
      <c r="B1075">
        <v>4</v>
      </c>
      <c r="C1075" s="6" t="s">
        <v>16</v>
      </c>
    </row>
    <row r="1076" spans="1:3">
      <c r="A1076">
        <v>13</v>
      </c>
      <c r="B1076">
        <v>5</v>
      </c>
      <c r="C1076" s="6" t="s">
        <v>16</v>
      </c>
    </row>
    <row r="1077" spans="1:3">
      <c r="A1077">
        <v>13</v>
      </c>
      <c r="B1077">
        <v>6</v>
      </c>
      <c r="C1077" s="7" t="s">
        <v>17</v>
      </c>
    </row>
    <row r="1078" spans="1:3">
      <c r="A1078">
        <v>13</v>
      </c>
      <c r="B1078">
        <v>7</v>
      </c>
      <c r="C1078" s="6" t="s">
        <v>16</v>
      </c>
    </row>
    <row r="1079" spans="1:3">
      <c r="A1079">
        <v>13</v>
      </c>
      <c r="B1079">
        <v>8</v>
      </c>
      <c r="C1079" s="6" t="s">
        <v>16</v>
      </c>
    </row>
    <row r="1080" spans="1:3">
      <c r="A1080">
        <v>13</v>
      </c>
      <c r="B1080">
        <v>9</v>
      </c>
      <c r="C1080" s="7" t="s">
        <v>17</v>
      </c>
    </row>
    <row r="1081" spans="1:3">
      <c r="A1081">
        <v>13</v>
      </c>
      <c r="B1081">
        <v>10</v>
      </c>
      <c r="C1081" s="6" t="s">
        <v>16</v>
      </c>
    </row>
    <row r="1082" spans="1:3">
      <c r="A1082">
        <v>13</v>
      </c>
      <c r="B1082" t="s">
        <v>2810</v>
      </c>
      <c r="C1082" s="13" t="s">
        <v>59</v>
      </c>
    </row>
    <row r="1083" spans="1:3">
      <c r="A1083">
        <v>14</v>
      </c>
      <c r="B1083">
        <v>1</v>
      </c>
      <c r="C1083" s="6" t="s">
        <v>16</v>
      </c>
    </row>
    <row r="1084" spans="1:3">
      <c r="A1084">
        <v>14</v>
      </c>
      <c r="B1084">
        <v>2</v>
      </c>
      <c r="C1084" s="6" t="s">
        <v>16</v>
      </c>
    </row>
    <row r="1085" spans="1:3">
      <c r="A1085">
        <v>14</v>
      </c>
      <c r="B1085">
        <v>3</v>
      </c>
      <c r="C1085" s="6" t="s">
        <v>16</v>
      </c>
    </row>
    <row r="1086" spans="1:3">
      <c r="A1086">
        <v>14</v>
      </c>
      <c r="B1086">
        <v>4</v>
      </c>
      <c r="C1086" s="6" t="s">
        <v>16</v>
      </c>
    </row>
    <row r="1087" spans="1:3">
      <c r="A1087">
        <v>14</v>
      </c>
      <c r="B1087">
        <v>5</v>
      </c>
      <c r="C1087" s="7" t="s">
        <v>17</v>
      </c>
    </row>
    <row r="1088" spans="1:3">
      <c r="A1088">
        <v>14</v>
      </c>
      <c r="B1088">
        <v>6</v>
      </c>
      <c r="C1088" s="6" t="s">
        <v>16</v>
      </c>
    </row>
    <row r="1089" spans="1:3">
      <c r="A1089">
        <v>14</v>
      </c>
      <c r="B1089">
        <v>7</v>
      </c>
      <c r="C1089" s="6" t="s">
        <v>16</v>
      </c>
    </row>
    <row r="1090" spans="1:3">
      <c r="A1090">
        <v>14</v>
      </c>
      <c r="B1090">
        <v>8</v>
      </c>
      <c r="C1090" s="7" t="s">
        <v>17</v>
      </c>
    </row>
    <row r="1091" spans="1:3">
      <c r="A1091">
        <v>14</v>
      </c>
      <c r="B1091">
        <v>9</v>
      </c>
      <c r="C1091" s="6" t="s">
        <v>16</v>
      </c>
    </row>
    <row r="1092" spans="1:3">
      <c r="A1092">
        <v>14</v>
      </c>
      <c r="B1092">
        <v>10</v>
      </c>
      <c r="C1092" s="7" t="s">
        <v>17</v>
      </c>
    </row>
    <row r="1093" spans="1:3">
      <c r="A1093">
        <v>14</v>
      </c>
      <c r="B1093">
        <v>11</v>
      </c>
      <c r="C1093" s="6" t="s">
        <v>16</v>
      </c>
    </row>
    <row r="1094" spans="1:3">
      <c r="A1094">
        <v>14</v>
      </c>
      <c r="B1094" t="s">
        <v>2810</v>
      </c>
      <c r="C1094" s="13" t="s">
        <v>59</v>
      </c>
    </row>
    <row r="1095" spans="1:3">
      <c r="A1095">
        <v>15</v>
      </c>
      <c r="B1095">
        <v>1</v>
      </c>
      <c r="C1095" s="6" t="s">
        <v>16</v>
      </c>
    </row>
    <row r="1096" spans="1:3">
      <c r="A1096">
        <v>15</v>
      </c>
      <c r="B1096">
        <v>2</v>
      </c>
      <c r="C1096" s="6" t="s">
        <v>16</v>
      </c>
    </row>
    <row r="1097" spans="1:3">
      <c r="A1097">
        <v>15</v>
      </c>
      <c r="B1097">
        <v>3</v>
      </c>
      <c r="C1097" s="6" t="s">
        <v>16</v>
      </c>
    </row>
    <row r="1098" spans="1:3">
      <c r="A1098">
        <v>15</v>
      </c>
      <c r="B1098">
        <v>4</v>
      </c>
      <c r="C1098" s="6" t="s">
        <v>16</v>
      </c>
    </row>
    <row r="1099" spans="1:3">
      <c r="A1099">
        <v>15</v>
      </c>
      <c r="B1099">
        <v>5</v>
      </c>
      <c r="C1099" s="6" t="s">
        <v>16</v>
      </c>
    </row>
    <row r="1100" spans="1:3">
      <c r="A1100">
        <v>15</v>
      </c>
      <c r="B1100">
        <v>6</v>
      </c>
      <c r="C1100" s="6" t="s">
        <v>16</v>
      </c>
    </row>
    <row r="1101" spans="1:3">
      <c r="A1101">
        <v>15</v>
      </c>
      <c r="B1101">
        <v>7</v>
      </c>
      <c r="C1101" s="6" t="s">
        <v>16</v>
      </c>
    </row>
    <row r="1102" spans="1:3">
      <c r="A1102">
        <v>15</v>
      </c>
      <c r="B1102">
        <v>8</v>
      </c>
      <c r="C1102" s="7" t="s">
        <v>17</v>
      </c>
    </row>
    <row r="1103" spans="1:3">
      <c r="A1103">
        <v>15</v>
      </c>
      <c r="B1103">
        <v>9</v>
      </c>
      <c r="C1103" s="6" t="s">
        <v>16</v>
      </c>
    </row>
    <row r="1104" spans="1:3">
      <c r="A1104">
        <v>15</v>
      </c>
      <c r="B1104">
        <v>10</v>
      </c>
      <c r="C1104" s="7" t="s">
        <v>17</v>
      </c>
    </row>
    <row r="1105" spans="1:3">
      <c r="A1105">
        <v>15</v>
      </c>
      <c r="B1105">
        <v>11</v>
      </c>
      <c r="C1105" s="6" t="s">
        <v>16</v>
      </c>
    </row>
    <row r="1106" spans="1:3">
      <c r="A1106">
        <v>15</v>
      </c>
      <c r="B1106" t="s">
        <v>2810</v>
      </c>
      <c r="C1106" s="13" t="s">
        <v>59</v>
      </c>
    </row>
    <row r="1107" spans="1:3">
      <c r="A1107">
        <v>16</v>
      </c>
      <c r="B1107">
        <v>1</v>
      </c>
      <c r="C1107" s="6" t="s">
        <v>16</v>
      </c>
    </row>
    <row r="1108" spans="1:3">
      <c r="A1108">
        <v>16</v>
      </c>
      <c r="B1108">
        <v>2</v>
      </c>
      <c r="C1108" s="6" t="s">
        <v>16</v>
      </c>
    </row>
    <row r="1109" spans="1:3">
      <c r="A1109">
        <v>16</v>
      </c>
      <c r="B1109">
        <v>3</v>
      </c>
      <c r="C1109" s="6" t="s">
        <v>16</v>
      </c>
    </row>
    <row r="1110" spans="1:3">
      <c r="A1110">
        <v>16</v>
      </c>
      <c r="B1110">
        <v>4</v>
      </c>
      <c r="C1110" s="7" t="s">
        <v>17</v>
      </c>
    </row>
    <row r="1111" spans="1:3">
      <c r="A1111">
        <v>16</v>
      </c>
      <c r="B1111">
        <v>5</v>
      </c>
      <c r="C1111" s="6" t="s">
        <v>16</v>
      </c>
    </row>
    <row r="1112" spans="1:3">
      <c r="A1112">
        <v>16</v>
      </c>
      <c r="B1112">
        <v>6</v>
      </c>
      <c r="C1112" s="6" t="s">
        <v>16</v>
      </c>
    </row>
    <row r="1113" spans="1:3">
      <c r="A1113">
        <v>16</v>
      </c>
      <c r="B1113">
        <v>7</v>
      </c>
      <c r="C1113" s="7" t="s">
        <v>17</v>
      </c>
    </row>
    <row r="1114" spans="1:3">
      <c r="A1114">
        <v>16</v>
      </c>
      <c r="B1114">
        <v>8</v>
      </c>
      <c r="C1114" s="6" t="s">
        <v>16</v>
      </c>
    </row>
    <row r="1115" spans="1:3">
      <c r="A1115">
        <v>16</v>
      </c>
      <c r="B1115">
        <v>9</v>
      </c>
      <c r="C1115" s="6" t="s">
        <v>16</v>
      </c>
    </row>
    <row r="1116" spans="1:3">
      <c r="A1116">
        <v>16</v>
      </c>
      <c r="B1116">
        <v>10</v>
      </c>
      <c r="C1116" s="7" t="s">
        <v>17</v>
      </c>
    </row>
    <row r="1117" spans="1:3">
      <c r="A1117">
        <v>16</v>
      </c>
      <c r="B1117">
        <v>11</v>
      </c>
      <c r="C1117" s="6" t="s">
        <v>16</v>
      </c>
    </row>
    <row r="1118" spans="1:3">
      <c r="A1118">
        <v>16</v>
      </c>
      <c r="B1118" t="s">
        <v>2810</v>
      </c>
      <c r="C1118" s="13" t="s">
        <v>59</v>
      </c>
    </row>
    <row r="1119" spans="1:3">
      <c r="A1119">
        <v>17</v>
      </c>
      <c r="B1119">
        <v>1</v>
      </c>
      <c r="C1119" s="6" t="s">
        <v>16</v>
      </c>
    </row>
    <row r="1120" spans="1:3">
      <c r="A1120">
        <v>17</v>
      </c>
      <c r="B1120">
        <v>2</v>
      </c>
      <c r="C1120" s="6" t="s">
        <v>16</v>
      </c>
    </row>
    <row r="1121" spans="1:3">
      <c r="A1121">
        <v>17</v>
      </c>
      <c r="B1121">
        <v>3</v>
      </c>
      <c r="C1121" s="7" t="s">
        <v>17</v>
      </c>
    </row>
    <row r="1122" spans="1:3">
      <c r="A1122">
        <v>17</v>
      </c>
      <c r="B1122">
        <v>4</v>
      </c>
      <c r="C1122" s="6" t="s">
        <v>16</v>
      </c>
    </row>
    <row r="1123" spans="1:3">
      <c r="A1123">
        <v>17</v>
      </c>
      <c r="B1123">
        <v>5</v>
      </c>
      <c r="C1123" s="6" t="s">
        <v>16</v>
      </c>
    </row>
    <row r="1124" spans="1:3">
      <c r="A1124">
        <v>17</v>
      </c>
      <c r="B1124">
        <v>6</v>
      </c>
      <c r="C1124" s="7" t="s">
        <v>17</v>
      </c>
    </row>
    <row r="1125" spans="1:3">
      <c r="A1125">
        <v>17</v>
      </c>
      <c r="B1125">
        <v>7</v>
      </c>
      <c r="C1125" s="6" t="s">
        <v>16</v>
      </c>
    </row>
    <row r="1126" spans="1:3">
      <c r="A1126">
        <v>17</v>
      </c>
      <c r="B1126">
        <v>8</v>
      </c>
      <c r="C1126" s="6" t="s">
        <v>16</v>
      </c>
    </row>
    <row r="1127" spans="1:3">
      <c r="A1127">
        <v>17</v>
      </c>
      <c r="B1127">
        <v>9</v>
      </c>
      <c r="C1127" s="6" t="s">
        <v>16</v>
      </c>
    </row>
    <row r="1128" spans="1:3">
      <c r="A1128">
        <v>17</v>
      </c>
      <c r="B1128">
        <v>10</v>
      </c>
      <c r="C1128" s="7" t="s">
        <v>17</v>
      </c>
    </row>
    <row r="1129" spans="1:3">
      <c r="A1129">
        <v>17</v>
      </c>
      <c r="B1129">
        <v>11</v>
      </c>
      <c r="C1129" s="6" t="s">
        <v>16</v>
      </c>
    </row>
    <row r="1130" spans="1:3">
      <c r="A1130">
        <v>17</v>
      </c>
      <c r="B1130" t="s">
        <v>2810</v>
      </c>
      <c r="C1130" s="13" t="s">
        <v>59</v>
      </c>
    </row>
    <row r="1131" spans="1:3">
      <c r="A1131">
        <v>18</v>
      </c>
      <c r="B1131">
        <v>1</v>
      </c>
      <c r="C1131" s="7" t="s">
        <v>17</v>
      </c>
    </row>
    <row r="1132" spans="1:3">
      <c r="A1132">
        <v>18</v>
      </c>
      <c r="B1132">
        <v>2</v>
      </c>
      <c r="C1132" s="6" t="s">
        <v>16</v>
      </c>
    </row>
    <row r="1133" spans="1:3">
      <c r="A1133">
        <v>18</v>
      </c>
      <c r="B1133">
        <v>3</v>
      </c>
      <c r="C1133" s="6" t="s">
        <v>16</v>
      </c>
    </row>
    <row r="1134" spans="1:3">
      <c r="A1134">
        <v>18</v>
      </c>
      <c r="B1134">
        <v>4</v>
      </c>
      <c r="C1134" s="7" t="s">
        <v>17</v>
      </c>
    </row>
    <row r="1135" spans="1:3">
      <c r="A1135">
        <v>18</v>
      </c>
      <c r="B1135">
        <v>5</v>
      </c>
      <c r="C1135" s="6" t="s">
        <v>16</v>
      </c>
    </row>
    <row r="1136" spans="1:3">
      <c r="A1136">
        <v>18</v>
      </c>
      <c r="B1136">
        <v>6</v>
      </c>
      <c r="C1136" s="6" t="s">
        <v>16</v>
      </c>
    </row>
    <row r="1137" spans="1:3">
      <c r="A1137">
        <v>18</v>
      </c>
      <c r="B1137">
        <v>7</v>
      </c>
      <c r="C1137" s="6" t="s">
        <v>16</v>
      </c>
    </row>
    <row r="1138" spans="1:3">
      <c r="A1138">
        <v>18</v>
      </c>
      <c r="B1138">
        <v>8</v>
      </c>
      <c r="C1138" s="7" t="s">
        <v>17</v>
      </c>
    </row>
    <row r="1139" spans="1:3">
      <c r="A1139">
        <v>18</v>
      </c>
      <c r="B1139">
        <v>9</v>
      </c>
      <c r="C1139" s="6" t="s">
        <v>16</v>
      </c>
    </row>
    <row r="1140" spans="1:3">
      <c r="A1140">
        <v>18</v>
      </c>
      <c r="B1140">
        <v>10</v>
      </c>
      <c r="C1140" s="6" t="s">
        <v>16</v>
      </c>
    </row>
    <row r="1141" spans="1:3">
      <c r="A1141">
        <v>18</v>
      </c>
      <c r="B1141">
        <v>11</v>
      </c>
      <c r="C1141" s="6" t="s">
        <v>16</v>
      </c>
    </row>
    <row r="1142" spans="1:3">
      <c r="A1142">
        <v>18</v>
      </c>
      <c r="B1142" t="s">
        <v>2810</v>
      </c>
      <c r="C1142" s="13" t="s">
        <v>59</v>
      </c>
    </row>
    <row r="1143" spans="1:3">
      <c r="A1143">
        <v>19</v>
      </c>
      <c r="B1143">
        <v>1</v>
      </c>
      <c r="C1143" s="7" t="s">
        <v>17</v>
      </c>
    </row>
    <row r="1144" spans="1:3">
      <c r="A1144">
        <v>19</v>
      </c>
      <c r="B1144">
        <v>2</v>
      </c>
      <c r="C1144" s="6" t="s">
        <v>16</v>
      </c>
    </row>
    <row r="1145" spans="1:3">
      <c r="A1145">
        <v>19</v>
      </c>
      <c r="B1145">
        <v>3</v>
      </c>
      <c r="C1145" s="6" t="s">
        <v>16</v>
      </c>
    </row>
    <row r="1146" spans="1:3">
      <c r="A1146">
        <v>19</v>
      </c>
      <c r="B1146">
        <v>4</v>
      </c>
      <c r="C1146" s="7" t="s">
        <v>17</v>
      </c>
    </row>
    <row r="1147" spans="1:3">
      <c r="A1147">
        <v>19</v>
      </c>
      <c r="B1147">
        <v>5</v>
      </c>
      <c r="C1147" s="6" t="s">
        <v>16</v>
      </c>
    </row>
    <row r="1148" spans="1:3">
      <c r="A1148">
        <v>19</v>
      </c>
      <c r="B1148">
        <v>6</v>
      </c>
      <c r="C1148" s="7" t="s">
        <v>17</v>
      </c>
    </row>
    <row r="1149" spans="1:3">
      <c r="A1149">
        <v>19</v>
      </c>
      <c r="B1149">
        <v>7</v>
      </c>
      <c r="C1149" s="6" t="s">
        <v>16</v>
      </c>
    </row>
    <row r="1150" spans="1:3">
      <c r="A1150">
        <v>19</v>
      </c>
      <c r="B1150">
        <v>8</v>
      </c>
      <c r="C1150" s="6" t="s">
        <v>16</v>
      </c>
    </row>
    <row r="1151" spans="1:3">
      <c r="A1151">
        <v>19</v>
      </c>
      <c r="B1151">
        <v>9</v>
      </c>
      <c r="C1151" s="7" t="s">
        <v>17</v>
      </c>
    </row>
    <row r="1152" spans="1:3">
      <c r="A1152">
        <v>19</v>
      </c>
      <c r="B1152">
        <v>10</v>
      </c>
      <c r="C1152" s="6" t="s">
        <v>16</v>
      </c>
    </row>
    <row r="1153" spans="1:3">
      <c r="A1153">
        <v>19</v>
      </c>
      <c r="B1153">
        <v>11</v>
      </c>
      <c r="C1153" s="6" t="s">
        <v>16</v>
      </c>
    </row>
    <row r="1154" spans="1:3">
      <c r="A1154">
        <v>19</v>
      </c>
      <c r="B1154" t="s">
        <v>2810</v>
      </c>
      <c r="C1154" s="13" t="s">
        <v>59</v>
      </c>
    </row>
    <row r="1155" spans="1:3">
      <c r="A1155">
        <v>20</v>
      </c>
      <c r="B1155">
        <v>1</v>
      </c>
      <c r="C1155" s="6" t="s">
        <v>16</v>
      </c>
    </row>
    <row r="1156" spans="1:3">
      <c r="A1156">
        <v>20</v>
      </c>
      <c r="B1156">
        <v>2</v>
      </c>
      <c r="C1156" s="6" t="s">
        <v>16</v>
      </c>
    </row>
    <row r="1157" spans="1:3">
      <c r="A1157">
        <v>20</v>
      </c>
      <c r="B1157">
        <v>3</v>
      </c>
      <c r="C1157" s="6" t="s">
        <v>16</v>
      </c>
    </row>
    <row r="1158" spans="1:3">
      <c r="A1158">
        <v>20</v>
      </c>
      <c r="B1158">
        <v>4</v>
      </c>
      <c r="C1158" s="7" t="s">
        <v>17</v>
      </c>
    </row>
    <row r="1159" spans="1:3">
      <c r="A1159">
        <v>20</v>
      </c>
      <c r="B1159">
        <v>5</v>
      </c>
      <c r="C1159" s="6" t="s">
        <v>16</v>
      </c>
    </row>
    <row r="1160" spans="1:3">
      <c r="A1160">
        <v>20</v>
      </c>
      <c r="B1160">
        <v>6</v>
      </c>
      <c r="C1160" s="6" t="s">
        <v>16</v>
      </c>
    </row>
    <row r="1161" spans="1:3">
      <c r="A1161">
        <v>20</v>
      </c>
      <c r="B1161">
        <v>7</v>
      </c>
      <c r="C1161" s="7" t="s">
        <v>17</v>
      </c>
    </row>
    <row r="1162" spans="1:3">
      <c r="A1162">
        <v>20</v>
      </c>
      <c r="B1162">
        <v>8</v>
      </c>
      <c r="C1162" s="6" t="s">
        <v>16</v>
      </c>
    </row>
    <row r="1163" spans="1:3">
      <c r="A1163">
        <v>20</v>
      </c>
      <c r="B1163">
        <v>9</v>
      </c>
      <c r="C1163" s="7" t="s">
        <v>17</v>
      </c>
    </row>
    <row r="1164" spans="1:3">
      <c r="A1164">
        <v>20</v>
      </c>
      <c r="B1164">
        <v>10</v>
      </c>
      <c r="C1164" s="6" t="s">
        <v>16</v>
      </c>
    </row>
    <row r="1165" spans="1:3">
      <c r="A1165">
        <v>20</v>
      </c>
      <c r="B1165">
        <v>11</v>
      </c>
      <c r="C1165" s="6" t="s">
        <v>16</v>
      </c>
    </row>
    <row r="1166" spans="1:3">
      <c r="A1166">
        <v>20</v>
      </c>
      <c r="B1166" t="s">
        <v>2810</v>
      </c>
      <c r="C1166" s="13" t="s">
        <v>59</v>
      </c>
    </row>
    <row r="1167" spans="1:3">
      <c r="A1167">
        <v>21</v>
      </c>
      <c r="B1167">
        <v>1</v>
      </c>
      <c r="C1167" s="6" t="s">
        <v>16</v>
      </c>
    </row>
    <row r="1168" spans="1:3">
      <c r="A1168">
        <v>21</v>
      </c>
      <c r="B1168">
        <v>2</v>
      </c>
      <c r="C1168" s="6" t="s">
        <v>16</v>
      </c>
    </row>
    <row r="1169" spans="1:3">
      <c r="A1169">
        <v>21</v>
      </c>
      <c r="B1169">
        <v>3</v>
      </c>
      <c r="C1169" s="6" t="s">
        <v>16</v>
      </c>
    </row>
    <row r="1170" spans="1:3">
      <c r="A1170">
        <v>21</v>
      </c>
      <c r="B1170">
        <v>4</v>
      </c>
      <c r="C1170" s="6" t="s">
        <v>16</v>
      </c>
    </row>
    <row r="1171" spans="1:3">
      <c r="A1171">
        <v>21</v>
      </c>
      <c r="B1171">
        <v>5</v>
      </c>
      <c r="C1171" s="7" t="s">
        <v>17</v>
      </c>
    </row>
    <row r="1172" spans="1:3">
      <c r="A1172">
        <v>21</v>
      </c>
      <c r="B1172">
        <v>6</v>
      </c>
      <c r="C1172" s="6" t="s">
        <v>16</v>
      </c>
    </row>
    <row r="1173" spans="1:3">
      <c r="A1173">
        <v>21</v>
      </c>
      <c r="B1173">
        <v>7</v>
      </c>
      <c r="C1173" s="7" t="s">
        <v>17</v>
      </c>
    </row>
    <row r="1174" spans="1:3">
      <c r="A1174">
        <v>21</v>
      </c>
      <c r="B1174">
        <v>8</v>
      </c>
      <c r="C1174" s="6" t="s">
        <v>16</v>
      </c>
    </row>
    <row r="1175" spans="1:3">
      <c r="A1175">
        <v>21</v>
      </c>
      <c r="B1175">
        <v>9</v>
      </c>
      <c r="C1175" s="6" t="s">
        <v>16</v>
      </c>
    </row>
    <row r="1176" spans="1:3">
      <c r="A1176">
        <v>21</v>
      </c>
      <c r="B1176">
        <v>10</v>
      </c>
      <c r="C1176" s="7" t="s">
        <v>17</v>
      </c>
    </row>
    <row r="1177" spans="1:3">
      <c r="A1177">
        <v>21</v>
      </c>
      <c r="B1177">
        <v>11</v>
      </c>
      <c r="C1177" s="6" t="s">
        <v>16</v>
      </c>
    </row>
    <row r="1178" spans="1:3">
      <c r="A1178">
        <v>21</v>
      </c>
      <c r="B1178" t="s">
        <v>2810</v>
      </c>
      <c r="C1178" s="13" t="s">
        <v>59</v>
      </c>
    </row>
    <row r="1179" spans="1:3">
      <c r="A1179">
        <v>22</v>
      </c>
      <c r="B1179">
        <v>1</v>
      </c>
      <c r="C1179" s="6" t="s">
        <v>16</v>
      </c>
    </row>
    <row r="1180" spans="1:3">
      <c r="A1180">
        <v>22</v>
      </c>
      <c r="B1180">
        <v>2</v>
      </c>
      <c r="C1180" s="6" t="s">
        <v>16</v>
      </c>
    </row>
    <row r="1181" spans="1:3">
      <c r="A1181">
        <v>22</v>
      </c>
      <c r="B1181">
        <v>3</v>
      </c>
      <c r="C1181" s="7" t="s">
        <v>17</v>
      </c>
    </row>
    <row r="1182" spans="1:3">
      <c r="A1182">
        <v>22</v>
      </c>
      <c r="B1182">
        <v>4</v>
      </c>
      <c r="C1182" s="6" t="s">
        <v>16</v>
      </c>
    </row>
    <row r="1183" spans="1:3">
      <c r="A1183">
        <v>22</v>
      </c>
      <c r="B1183">
        <v>5</v>
      </c>
      <c r="C1183" s="6" t="s">
        <v>16</v>
      </c>
    </row>
    <row r="1184" spans="1:3">
      <c r="A1184">
        <v>22</v>
      </c>
      <c r="B1184">
        <v>6</v>
      </c>
      <c r="C1184" s="7" t="s">
        <v>17</v>
      </c>
    </row>
    <row r="1185" spans="1:3">
      <c r="A1185">
        <v>22</v>
      </c>
      <c r="B1185">
        <v>7</v>
      </c>
      <c r="C1185" s="6" t="s">
        <v>16</v>
      </c>
    </row>
    <row r="1186" spans="1:3">
      <c r="A1186">
        <v>22</v>
      </c>
      <c r="B1186">
        <v>8</v>
      </c>
      <c r="C1186" s="6" t="s">
        <v>16</v>
      </c>
    </row>
    <row r="1187" spans="1:3">
      <c r="A1187">
        <v>22</v>
      </c>
      <c r="B1187">
        <v>9</v>
      </c>
      <c r="C1187" s="7" t="s">
        <v>17</v>
      </c>
    </row>
    <row r="1188" spans="1:3">
      <c r="A1188">
        <v>22</v>
      </c>
      <c r="B1188">
        <v>10</v>
      </c>
      <c r="C1188" s="6" t="s">
        <v>16</v>
      </c>
    </row>
    <row r="1189" spans="1:3">
      <c r="A1189">
        <v>22</v>
      </c>
      <c r="B1189">
        <v>11</v>
      </c>
      <c r="C1189" s="6" t="s">
        <v>16</v>
      </c>
    </row>
    <row r="1190" spans="1:3">
      <c r="A1190">
        <v>22</v>
      </c>
      <c r="B1190" t="s">
        <v>2810</v>
      </c>
      <c r="C1190" s="13" t="s">
        <v>59</v>
      </c>
    </row>
    <row r="1191" spans="1:3">
      <c r="A1191">
        <v>23</v>
      </c>
      <c r="B1191">
        <v>1</v>
      </c>
      <c r="C1191" s="6" t="s">
        <v>16</v>
      </c>
    </row>
    <row r="1192" spans="1:3">
      <c r="A1192">
        <v>23</v>
      </c>
      <c r="B1192">
        <v>2</v>
      </c>
      <c r="C1192" s="6" t="s">
        <v>16</v>
      </c>
    </row>
    <row r="1193" spans="1:3">
      <c r="A1193">
        <v>23</v>
      </c>
      <c r="B1193">
        <v>3</v>
      </c>
      <c r="C1193" s="6" t="s">
        <v>16</v>
      </c>
    </row>
    <row r="1194" spans="1:3">
      <c r="A1194">
        <v>23</v>
      </c>
      <c r="B1194">
        <v>4</v>
      </c>
      <c r="C1194" s="7" t="s">
        <v>17</v>
      </c>
    </row>
    <row r="1195" spans="1:3">
      <c r="A1195">
        <v>23</v>
      </c>
      <c r="B1195">
        <v>5</v>
      </c>
      <c r="C1195" s="6" t="s">
        <v>16</v>
      </c>
    </row>
    <row r="1196" spans="1:3">
      <c r="A1196">
        <v>23</v>
      </c>
      <c r="B1196">
        <v>6</v>
      </c>
      <c r="C1196" s="6" t="s">
        <v>16</v>
      </c>
    </row>
    <row r="1197" spans="1:3">
      <c r="A1197">
        <v>23</v>
      </c>
      <c r="B1197">
        <v>7</v>
      </c>
      <c r="C1197" s="7" t="s">
        <v>17</v>
      </c>
    </row>
    <row r="1198" spans="1:3">
      <c r="A1198">
        <v>23</v>
      </c>
      <c r="B1198">
        <v>8</v>
      </c>
      <c r="C1198" s="6" t="s">
        <v>16</v>
      </c>
    </row>
    <row r="1199" spans="1:3">
      <c r="A1199">
        <v>23</v>
      </c>
      <c r="B1199">
        <v>9</v>
      </c>
      <c r="C1199" s="6" t="s">
        <v>16</v>
      </c>
    </row>
    <row r="1200" spans="1:3">
      <c r="A1200">
        <v>23</v>
      </c>
      <c r="B1200">
        <v>10</v>
      </c>
      <c r="C1200" s="7" t="s">
        <v>17</v>
      </c>
    </row>
    <row r="1201" spans="1:3">
      <c r="A1201">
        <v>23</v>
      </c>
      <c r="B1201">
        <v>11</v>
      </c>
      <c r="C1201" s="6" t="s">
        <v>16</v>
      </c>
    </row>
    <row r="1202" spans="1:3">
      <c r="A1202">
        <v>23</v>
      </c>
      <c r="B1202" t="s">
        <v>2810</v>
      </c>
      <c r="C1202" s="13" t="s">
        <v>59</v>
      </c>
    </row>
    <row r="1203" spans="1:3">
      <c r="A1203">
        <v>24</v>
      </c>
      <c r="B1203">
        <v>1</v>
      </c>
      <c r="C1203" s="6" t="s">
        <v>16</v>
      </c>
    </row>
    <row r="1204" spans="1:3">
      <c r="A1204">
        <v>24</v>
      </c>
      <c r="B1204">
        <v>2</v>
      </c>
      <c r="C1204" s="6" t="s">
        <v>16</v>
      </c>
    </row>
    <row r="1205" spans="1:3">
      <c r="A1205">
        <v>24</v>
      </c>
      <c r="B1205">
        <v>3</v>
      </c>
      <c r="C1205" s="6" t="s">
        <v>16</v>
      </c>
    </row>
    <row r="1206" spans="1:3">
      <c r="A1206">
        <v>24</v>
      </c>
      <c r="B1206">
        <v>4</v>
      </c>
      <c r="C1206" s="7" t="s">
        <v>17</v>
      </c>
    </row>
    <row r="1207" spans="1:3">
      <c r="A1207">
        <v>24</v>
      </c>
      <c r="B1207">
        <v>5</v>
      </c>
      <c r="C1207" s="6" t="s">
        <v>16</v>
      </c>
    </row>
    <row r="1208" spans="1:3">
      <c r="A1208">
        <v>24</v>
      </c>
      <c r="B1208">
        <v>6</v>
      </c>
      <c r="C1208" s="7" t="s">
        <v>17</v>
      </c>
    </row>
    <row r="1209" spans="1:3">
      <c r="A1209">
        <v>24</v>
      </c>
      <c r="B1209">
        <v>7</v>
      </c>
      <c r="C1209" s="6" t="s">
        <v>16</v>
      </c>
    </row>
    <row r="1210" spans="1:3">
      <c r="A1210">
        <v>24</v>
      </c>
      <c r="B1210">
        <v>8</v>
      </c>
      <c r="C1210" s="6" t="s">
        <v>16</v>
      </c>
    </row>
    <row r="1211" spans="1:3">
      <c r="A1211">
        <v>24</v>
      </c>
      <c r="B1211">
        <v>9</v>
      </c>
      <c r="C1211" s="7" t="s">
        <v>17</v>
      </c>
    </row>
    <row r="1212" spans="1:3">
      <c r="A1212">
        <v>24</v>
      </c>
      <c r="B1212">
        <v>10</v>
      </c>
      <c r="C1212" s="6" t="s">
        <v>16</v>
      </c>
    </row>
    <row r="1213" spans="1:3">
      <c r="A1213">
        <v>24</v>
      </c>
      <c r="B1213">
        <v>11</v>
      </c>
      <c r="C1213" s="6" t="s">
        <v>16</v>
      </c>
    </row>
    <row r="1214" spans="1:3">
      <c r="A1214">
        <v>24</v>
      </c>
      <c r="B1214" t="s">
        <v>2810</v>
      </c>
      <c r="C1214" s="13" t="s">
        <v>59</v>
      </c>
    </row>
    <row r="1215" spans="1:3">
      <c r="A1215">
        <v>25</v>
      </c>
      <c r="B1215">
        <v>1</v>
      </c>
      <c r="C1215" s="6" t="s">
        <v>16</v>
      </c>
    </row>
    <row r="1216" spans="1:3">
      <c r="A1216">
        <v>25</v>
      </c>
      <c r="B1216">
        <v>2</v>
      </c>
      <c r="C1216" s="6" t="s">
        <v>16</v>
      </c>
    </row>
    <row r="1217" spans="1:3">
      <c r="A1217">
        <v>25</v>
      </c>
      <c r="B1217">
        <v>3</v>
      </c>
      <c r="C1217" s="6" t="s">
        <v>16</v>
      </c>
    </row>
    <row r="1218" spans="1:3">
      <c r="A1218">
        <v>25</v>
      </c>
      <c r="B1218">
        <v>4</v>
      </c>
      <c r="C1218" s="7" t="s">
        <v>17</v>
      </c>
    </row>
    <row r="1219" spans="1:3">
      <c r="A1219">
        <v>25</v>
      </c>
      <c r="B1219">
        <v>5</v>
      </c>
      <c r="C1219" s="6" t="s">
        <v>16</v>
      </c>
    </row>
    <row r="1220" spans="1:3">
      <c r="A1220">
        <v>25</v>
      </c>
      <c r="B1220">
        <v>6</v>
      </c>
      <c r="C1220" s="6" t="s">
        <v>16</v>
      </c>
    </row>
    <row r="1221" spans="1:3">
      <c r="A1221">
        <v>25</v>
      </c>
      <c r="B1221">
        <v>7</v>
      </c>
      <c r="C1221" s="7" t="s">
        <v>17</v>
      </c>
    </row>
    <row r="1222" spans="1:3">
      <c r="A1222">
        <v>25</v>
      </c>
      <c r="B1222">
        <v>8</v>
      </c>
      <c r="C1222" s="6" t="s">
        <v>16</v>
      </c>
    </row>
    <row r="1223" spans="1:3">
      <c r="A1223">
        <v>25</v>
      </c>
      <c r="B1223">
        <v>9</v>
      </c>
      <c r="C1223" s="6" t="s">
        <v>16</v>
      </c>
    </row>
    <row r="1224" spans="1:3">
      <c r="A1224">
        <v>25</v>
      </c>
      <c r="B1224">
        <v>10</v>
      </c>
      <c r="C1224" s="7" t="s">
        <v>17</v>
      </c>
    </row>
    <row r="1225" spans="1:3">
      <c r="A1225">
        <v>25</v>
      </c>
      <c r="B1225">
        <v>11</v>
      </c>
      <c r="C1225" s="7" t="s">
        <v>17</v>
      </c>
    </row>
    <row r="1226" spans="1:3">
      <c r="A1226">
        <v>25</v>
      </c>
      <c r="B1226" t="s">
        <v>2810</v>
      </c>
      <c r="C1226" s="13" t="s">
        <v>59</v>
      </c>
    </row>
    <row r="1227" spans="1:3">
      <c r="A1227">
        <v>26</v>
      </c>
      <c r="B1227">
        <v>1</v>
      </c>
      <c r="C1227" s="6" t="s">
        <v>16</v>
      </c>
    </row>
    <row r="1228" spans="1:3">
      <c r="A1228">
        <v>26</v>
      </c>
      <c r="B1228">
        <v>2</v>
      </c>
      <c r="C1228" s="6" t="s">
        <v>16</v>
      </c>
    </row>
    <row r="1229" spans="1:3">
      <c r="A1229">
        <v>26</v>
      </c>
      <c r="B1229">
        <v>3</v>
      </c>
      <c r="C1229" s="7" t="s">
        <v>17</v>
      </c>
    </row>
    <row r="1230" spans="1:3">
      <c r="A1230">
        <v>26</v>
      </c>
      <c r="B1230">
        <v>4</v>
      </c>
      <c r="C1230" s="6" t="s">
        <v>16</v>
      </c>
    </row>
    <row r="1231" spans="1:3">
      <c r="A1231">
        <v>26</v>
      </c>
      <c r="B1231">
        <v>5</v>
      </c>
      <c r="C1231" s="6" t="s">
        <v>16</v>
      </c>
    </row>
    <row r="1232" spans="1:3">
      <c r="A1232">
        <v>26</v>
      </c>
      <c r="B1232">
        <v>6</v>
      </c>
      <c r="C1232" s="6" t="s">
        <v>16</v>
      </c>
    </row>
    <row r="1233" spans="1:3">
      <c r="A1233">
        <v>26</v>
      </c>
      <c r="B1233">
        <v>7</v>
      </c>
      <c r="C1233" s="7" t="s">
        <v>17</v>
      </c>
    </row>
    <row r="1234" spans="1:3">
      <c r="A1234">
        <v>26</v>
      </c>
      <c r="B1234">
        <v>8</v>
      </c>
      <c r="C1234" s="6" t="s">
        <v>16</v>
      </c>
    </row>
    <row r="1235" spans="1:3">
      <c r="A1235">
        <v>26</v>
      </c>
      <c r="B1235">
        <v>9</v>
      </c>
      <c r="C1235" s="7" t="s">
        <v>17</v>
      </c>
    </row>
    <row r="1236" spans="1:3">
      <c r="A1236">
        <v>26</v>
      </c>
      <c r="B1236">
        <v>10</v>
      </c>
      <c r="C1236" s="6" t="s">
        <v>16</v>
      </c>
    </row>
    <row r="1237" spans="1:3">
      <c r="A1237">
        <v>26</v>
      </c>
      <c r="B1237">
        <v>11</v>
      </c>
      <c r="C1237" s="7" t="s">
        <v>17</v>
      </c>
    </row>
    <row r="1238" spans="1:3">
      <c r="A1238">
        <v>26</v>
      </c>
      <c r="B1238" t="s">
        <v>2810</v>
      </c>
      <c r="C1238" s="13" t="s">
        <v>59</v>
      </c>
    </row>
    <row r="1239" spans="1:3">
      <c r="A1239">
        <v>27</v>
      </c>
      <c r="B1239">
        <v>1</v>
      </c>
      <c r="C1239" s="6" t="s">
        <v>16</v>
      </c>
    </row>
    <row r="1240" spans="1:3">
      <c r="A1240">
        <v>27</v>
      </c>
      <c r="B1240">
        <v>2</v>
      </c>
      <c r="C1240" s="6" t="s">
        <v>16</v>
      </c>
    </row>
    <row r="1241" spans="1:3">
      <c r="A1241">
        <v>27</v>
      </c>
      <c r="B1241">
        <v>3</v>
      </c>
      <c r="C1241" s="6" t="s">
        <v>16</v>
      </c>
    </row>
    <row r="1242" spans="1:3">
      <c r="A1242">
        <v>27</v>
      </c>
      <c r="B1242">
        <v>4</v>
      </c>
      <c r="C1242" s="7" t="s">
        <v>17</v>
      </c>
    </row>
    <row r="1243" spans="1:3">
      <c r="A1243">
        <v>27</v>
      </c>
      <c r="B1243">
        <v>5</v>
      </c>
      <c r="C1243" s="6" t="s">
        <v>16</v>
      </c>
    </row>
    <row r="1244" spans="1:3">
      <c r="A1244">
        <v>27</v>
      </c>
      <c r="B1244">
        <v>6</v>
      </c>
      <c r="C1244" s="7" t="s">
        <v>17</v>
      </c>
    </row>
    <row r="1245" spans="1:3">
      <c r="A1245">
        <v>27</v>
      </c>
      <c r="B1245">
        <v>7</v>
      </c>
      <c r="C1245" s="6" t="s">
        <v>16</v>
      </c>
    </row>
    <row r="1246" spans="1:3">
      <c r="A1246">
        <v>27</v>
      </c>
      <c r="B1246">
        <v>8</v>
      </c>
      <c r="C1246" s="7" t="s">
        <v>17</v>
      </c>
    </row>
    <row r="1247" spans="1:3">
      <c r="A1247">
        <v>27</v>
      </c>
      <c r="B1247">
        <v>9</v>
      </c>
      <c r="C1247" s="6" t="s">
        <v>16</v>
      </c>
    </row>
    <row r="1248" spans="1:3">
      <c r="A1248">
        <v>27</v>
      </c>
      <c r="B1248">
        <v>10</v>
      </c>
      <c r="C1248" s="6" t="s">
        <v>16</v>
      </c>
    </row>
    <row r="1249" spans="1:3">
      <c r="A1249">
        <v>27</v>
      </c>
      <c r="B1249">
        <v>11</v>
      </c>
      <c r="C1249" s="6" t="s">
        <v>16</v>
      </c>
    </row>
    <row r="1250" spans="1:3">
      <c r="A1250">
        <v>27</v>
      </c>
      <c r="B1250" t="s">
        <v>2810</v>
      </c>
      <c r="C1250" s="13" t="s">
        <v>59</v>
      </c>
    </row>
    <row r="1251" spans="1:3">
      <c r="A1251">
        <v>28</v>
      </c>
      <c r="B1251">
        <v>1</v>
      </c>
      <c r="C1251" s="7" t="s">
        <v>17</v>
      </c>
    </row>
    <row r="1252" spans="1:3">
      <c r="A1252">
        <v>28</v>
      </c>
      <c r="B1252">
        <v>2</v>
      </c>
      <c r="C1252" s="6" t="s">
        <v>16</v>
      </c>
    </row>
    <row r="1253" spans="1:3">
      <c r="A1253">
        <v>28</v>
      </c>
      <c r="B1253">
        <v>3</v>
      </c>
      <c r="C1253" s="6" t="s">
        <v>16</v>
      </c>
    </row>
    <row r="1254" spans="1:3">
      <c r="A1254">
        <v>28</v>
      </c>
      <c r="B1254">
        <v>4</v>
      </c>
      <c r="C1254" s="6" t="s">
        <v>16</v>
      </c>
    </row>
    <row r="1255" spans="1:3">
      <c r="A1255">
        <v>28</v>
      </c>
      <c r="B1255">
        <v>5</v>
      </c>
      <c r="C1255" s="6" t="s">
        <v>16</v>
      </c>
    </row>
    <row r="1256" spans="1:3">
      <c r="A1256">
        <v>28</v>
      </c>
      <c r="B1256">
        <v>6</v>
      </c>
      <c r="C1256" s="7" t="s">
        <v>17</v>
      </c>
    </row>
    <row r="1257" spans="1:3">
      <c r="A1257">
        <v>28</v>
      </c>
      <c r="B1257">
        <v>7</v>
      </c>
      <c r="C1257" s="6" t="s">
        <v>16</v>
      </c>
    </row>
    <row r="1258" spans="1:3">
      <c r="A1258">
        <v>28</v>
      </c>
      <c r="B1258">
        <v>8</v>
      </c>
      <c r="C1258" s="7" t="s">
        <v>17</v>
      </c>
    </row>
    <row r="1259" spans="1:3">
      <c r="A1259">
        <v>28</v>
      </c>
      <c r="B1259">
        <v>9</v>
      </c>
      <c r="C1259" s="6" t="s">
        <v>16</v>
      </c>
    </row>
    <row r="1260" spans="1:3">
      <c r="A1260">
        <v>28</v>
      </c>
      <c r="B1260">
        <v>10</v>
      </c>
      <c r="C1260" s="6" t="s">
        <v>16</v>
      </c>
    </row>
    <row r="1261" spans="1:3">
      <c r="A1261">
        <v>28</v>
      </c>
      <c r="B1261">
        <v>11</v>
      </c>
      <c r="C1261" s="6" t="s">
        <v>16</v>
      </c>
    </row>
    <row r="1262" spans="1:3">
      <c r="A1262">
        <v>28</v>
      </c>
      <c r="B1262" t="s">
        <v>2810</v>
      </c>
      <c r="C1262" s="13" t="s">
        <v>59</v>
      </c>
    </row>
    <row r="1263" spans="1:3">
      <c r="A1263">
        <v>29</v>
      </c>
      <c r="B1263">
        <v>1</v>
      </c>
      <c r="C1263" s="6" t="s">
        <v>16</v>
      </c>
    </row>
    <row r="1264" spans="1:3">
      <c r="A1264">
        <v>29</v>
      </c>
      <c r="B1264">
        <v>2</v>
      </c>
      <c r="C1264" s="6" t="s">
        <v>16</v>
      </c>
    </row>
    <row r="1265" spans="1:3">
      <c r="A1265">
        <v>29</v>
      </c>
      <c r="B1265">
        <v>3</v>
      </c>
      <c r="C1265" s="6" t="s">
        <v>16</v>
      </c>
    </row>
    <row r="1266" spans="1:3">
      <c r="A1266">
        <v>29</v>
      </c>
      <c r="B1266">
        <v>4</v>
      </c>
      <c r="C1266" s="6" t="s">
        <v>16</v>
      </c>
    </row>
    <row r="1267" spans="1:3">
      <c r="A1267">
        <v>29</v>
      </c>
      <c r="B1267">
        <v>5</v>
      </c>
      <c r="C1267" s="7" t="s">
        <v>17</v>
      </c>
    </row>
    <row r="1268" spans="1:3">
      <c r="A1268">
        <v>29</v>
      </c>
      <c r="B1268">
        <v>6</v>
      </c>
      <c r="C1268" s="6" t="s">
        <v>16</v>
      </c>
    </row>
    <row r="1269" spans="1:3">
      <c r="A1269">
        <v>29</v>
      </c>
      <c r="B1269">
        <v>7</v>
      </c>
      <c r="C1269" s="7" t="s">
        <v>17</v>
      </c>
    </row>
    <row r="1270" spans="1:3">
      <c r="A1270">
        <v>29</v>
      </c>
      <c r="B1270">
        <v>8</v>
      </c>
      <c r="C1270" s="6" t="s">
        <v>16</v>
      </c>
    </row>
    <row r="1271" spans="1:3">
      <c r="A1271">
        <v>29</v>
      </c>
      <c r="B1271">
        <v>9</v>
      </c>
      <c r="C1271" s="7" t="s">
        <v>17</v>
      </c>
    </row>
    <row r="1272" spans="1:3">
      <c r="A1272">
        <v>29</v>
      </c>
      <c r="B1272">
        <v>10</v>
      </c>
      <c r="C1272" s="6" t="s">
        <v>16</v>
      </c>
    </row>
    <row r="1273" spans="1:3">
      <c r="A1273">
        <v>29</v>
      </c>
      <c r="B1273">
        <v>11</v>
      </c>
      <c r="C1273" s="6" t="s">
        <v>16</v>
      </c>
    </row>
    <row r="1274" spans="1:3">
      <c r="A1274">
        <v>29</v>
      </c>
      <c r="B1274" t="s">
        <v>2810</v>
      </c>
      <c r="C1274" s="13" t="s">
        <v>59</v>
      </c>
    </row>
    <row r="1275" spans="1:3">
      <c r="A1275">
        <v>30</v>
      </c>
      <c r="B1275">
        <v>1</v>
      </c>
      <c r="C1275" s="6" t="s">
        <v>16</v>
      </c>
    </row>
    <row r="1276" spans="1:3">
      <c r="A1276">
        <v>30</v>
      </c>
      <c r="B1276">
        <v>2</v>
      </c>
      <c r="C1276" s="6" t="s">
        <v>16</v>
      </c>
    </row>
    <row r="1277" spans="1:3">
      <c r="A1277">
        <v>30</v>
      </c>
      <c r="B1277">
        <v>3</v>
      </c>
      <c r="C1277" s="7" t="s">
        <v>17</v>
      </c>
    </row>
    <row r="1278" spans="1:3">
      <c r="A1278">
        <v>30</v>
      </c>
      <c r="B1278">
        <v>4</v>
      </c>
      <c r="C1278" s="6" t="s">
        <v>16</v>
      </c>
    </row>
    <row r="1279" spans="1:3">
      <c r="A1279">
        <v>30</v>
      </c>
      <c r="B1279">
        <v>5</v>
      </c>
      <c r="C1279" s="6" t="s">
        <v>16</v>
      </c>
    </row>
    <row r="1280" spans="1:3">
      <c r="A1280">
        <v>30</v>
      </c>
      <c r="B1280">
        <v>6</v>
      </c>
      <c r="C1280" s="6" t="s">
        <v>16</v>
      </c>
    </row>
    <row r="1281" spans="1:3">
      <c r="A1281">
        <v>30</v>
      </c>
      <c r="B1281">
        <v>7</v>
      </c>
      <c r="C1281" s="7" t="s">
        <v>17</v>
      </c>
    </row>
    <row r="1282" spans="1:3">
      <c r="A1282">
        <v>30</v>
      </c>
      <c r="B1282">
        <v>8</v>
      </c>
      <c r="C1282" s="6" t="s">
        <v>16</v>
      </c>
    </row>
    <row r="1283" spans="1:3">
      <c r="A1283">
        <v>30</v>
      </c>
      <c r="B1283">
        <v>9</v>
      </c>
      <c r="C1283" s="6" t="s">
        <v>16</v>
      </c>
    </row>
    <row r="1284" spans="1:3">
      <c r="A1284">
        <v>30</v>
      </c>
      <c r="B1284">
        <v>10</v>
      </c>
      <c r="C1284" s="7" t="s">
        <v>17</v>
      </c>
    </row>
    <row r="1285" spans="1:3">
      <c r="A1285">
        <v>30</v>
      </c>
      <c r="B1285">
        <v>11</v>
      </c>
      <c r="C1285" s="6" t="s">
        <v>16</v>
      </c>
    </row>
    <row r="1286" spans="1:3">
      <c r="A1286">
        <v>30</v>
      </c>
      <c r="B1286" t="s">
        <v>2810</v>
      </c>
      <c r="C1286" s="13" t="s">
        <v>59</v>
      </c>
    </row>
    <row r="1287" spans="1:3">
      <c r="A1287">
        <v>31</v>
      </c>
      <c r="B1287">
        <v>1</v>
      </c>
      <c r="C1287" s="6" t="s">
        <v>16</v>
      </c>
    </row>
    <row r="1288" spans="1:3">
      <c r="A1288">
        <v>31</v>
      </c>
      <c r="B1288">
        <v>2</v>
      </c>
      <c r="C1288" s="6" t="s">
        <v>16</v>
      </c>
    </row>
    <row r="1289" spans="1:3">
      <c r="A1289">
        <v>31</v>
      </c>
      <c r="B1289">
        <v>3</v>
      </c>
      <c r="C1289" s="7" t="s">
        <v>17</v>
      </c>
    </row>
    <row r="1290" spans="1:3">
      <c r="A1290">
        <v>31</v>
      </c>
      <c r="B1290">
        <v>4</v>
      </c>
      <c r="C1290" s="6" t="s">
        <v>16</v>
      </c>
    </row>
    <row r="1291" spans="1:3">
      <c r="A1291">
        <v>31</v>
      </c>
      <c r="B1291">
        <v>5</v>
      </c>
      <c r="C1291" s="7" t="s">
        <v>17</v>
      </c>
    </row>
    <row r="1292" spans="1:3">
      <c r="A1292">
        <v>31</v>
      </c>
      <c r="B1292">
        <v>6</v>
      </c>
      <c r="C1292" s="6" t="s">
        <v>16</v>
      </c>
    </row>
    <row r="1293" spans="1:3">
      <c r="A1293">
        <v>31</v>
      </c>
      <c r="B1293">
        <v>7</v>
      </c>
      <c r="C1293" s="7" t="s">
        <v>17</v>
      </c>
    </row>
    <row r="1294" spans="1:3">
      <c r="A1294">
        <v>31</v>
      </c>
      <c r="B1294">
        <v>8</v>
      </c>
      <c r="C1294" s="6" t="s">
        <v>16</v>
      </c>
    </row>
    <row r="1295" spans="1:3">
      <c r="A1295">
        <v>31</v>
      </c>
      <c r="B1295">
        <v>9</v>
      </c>
      <c r="C1295" s="6" t="s">
        <v>16</v>
      </c>
    </row>
    <row r="1296" spans="1:3">
      <c r="A1296">
        <v>31</v>
      </c>
      <c r="B1296">
        <v>10</v>
      </c>
      <c r="C1296" s="6" t="s">
        <v>16</v>
      </c>
    </row>
    <row r="1297" spans="1:3">
      <c r="A1297">
        <v>31</v>
      </c>
      <c r="B1297">
        <v>11</v>
      </c>
      <c r="C1297" s="6" t="s">
        <v>16</v>
      </c>
    </row>
    <row r="1298" spans="1:3">
      <c r="A1298">
        <v>31</v>
      </c>
      <c r="B1298" t="s">
        <v>2810</v>
      </c>
      <c r="C1298" s="13" t="s">
        <v>59</v>
      </c>
    </row>
    <row r="1299" spans="1:3">
      <c r="A1299">
        <v>32</v>
      </c>
      <c r="B1299">
        <v>1</v>
      </c>
      <c r="C1299" s="6" t="s">
        <v>16</v>
      </c>
    </row>
    <row r="1300" spans="1:3">
      <c r="A1300">
        <v>32</v>
      </c>
      <c r="B1300">
        <v>2</v>
      </c>
      <c r="C1300" s="6" t="s">
        <v>16</v>
      </c>
    </row>
    <row r="1301" spans="1:3">
      <c r="A1301">
        <v>32</v>
      </c>
      <c r="B1301">
        <v>3</v>
      </c>
      <c r="C1301" s="6" t="s">
        <v>16</v>
      </c>
    </row>
    <row r="1302" spans="1:3">
      <c r="A1302">
        <v>32</v>
      </c>
      <c r="B1302">
        <v>4</v>
      </c>
      <c r="C1302" s="7" t="s">
        <v>17</v>
      </c>
    </row>
    <row r="1303" spans="1:3">
      <c r="A1303">
        <v>32</v>
      </c>
      <c r="B1303">
        <v>5</v>
      </c>
      <c r="C1303" s="6" t="s">
        <v>16</v>
      </c>
    </row>
    <row r="1304" spans="1:3">
      <c r="A1304">
        <v>32</v>
      </c>
      <c r="B1304">
        <v>6</v>
      </c>
      <c r="C1304" s="7" t="s">
        <v>17</v>
      </c>
    </row>
    <row r="1305" spans="1:3">
      <c r="A1305">
        <v>32</v>
      </c>
      <c r="B1305">
        <v>7</v>
      </c>
      <c r="C1305" s="6" t="s">
        <v>16</v>
      </c>
    </row>
    <row r="1306" spans="1:3">
      <c r="A1306">
        <v>32</v>
      </c>
      <c r="B1306" s="35">
        <v>8</v>
      </c>
      <c r="C1306" s="6" t="s">
        <v>16</v>
      </c>
    </row>
    <row r="1307" spans="1:3">
      <c r="A1307">
        <v>32</v>
      </c>
      <c r="B1307">
        <v>9</v>
      </c>
      <c r="C1307" s="6" t="s">
        <v>16</v>
      </c>
    </row>
    <row r="1308" spans="1:3">
      <c r="A1308">
        <v>32</v>
      </c>
      <c r="B1308">
        <v>10</v>
      </c>
      <c r="C1308" s="6" t="s">
        <v>16</v>
      </c>
    </row>
    <row r="1309" spans="1:3">
      <c r="A1309">
        <v>32</v>
      </c>
      <c r="B1309" t="s">
        <v>2810</v>
      </c>
      <c r="C1309" s="13" t="s">
        <v>59</v>
      </c>
    </row>
    <row r="1310" spans="1:3">
      <c r="A1310">
        <v>33</v>
      </c>
      <c r="B1310">
        <v>1</v>
      </c>
      <c r="C1310" s="6" t="s">
        <v>16</v>
      </c>
    </row>
    <row r="1311" spans="1:3">
      <c r="A1311">
        <v>33</v>
      </c>
      <c r="B1311">
        <v>2</v>
      </c>
      <c r="C1311" s="7" t="s">
        <v>17</v>
      </c>
    </row>
    <row r="1312" spans="1:3">
      <c r="A1312">
        <v>33</v>
      </c>
      <c r="B1312">
        <v>3</v>
      </c>
      <c r="C1312" s="6" t="s">
        <v>16</v>
      </c>
    </row>
    <row r="1313" spans="1:3">
      <c r="A1313">
        <v>33</v>
      </c>
      <c r="B1313">
        <v>4</v>
      </c>
      <c r="C1313" s="6" t="s">
        <v>16</v>
      </c>
    </row>
    <row r="1314" spans="1:3">
      <c r="A1314">
        <v>33</v>
      </c>
      <c r="B1314">
        <v>5</v>
      </c>
      <c r="C1314" s="7" t="s">
        <v>17</v>
      </c>
    </row>
    <row r="1315" spans="1:3">
      <c r="A1315">
        <v>33</v>
      </c>
      <c r="B1315">
        <v>6</v>
      </c>
      <c r="C1315" s="6" t="s">
        <v>16</v>
      </c>
    </row>
    <row r="1316" spans="1:3">
      <c r="A1316">
        <v>33</v>
      </c>
      <c r="B1316">
        <v>7</v>
      </c>
      <c r="C1316" s="7" t="s">
        <v>17</v>
      </c>
    </row>
    <row r="1317" spans="1:3">
      <c r="A1317">
        <v>33</v>
      </c>
      <c r="B1317">
        <v>8</v>
      </c>
      <c r="C1317" s="6" t="s">
        <v>16</v>
      </c>
    </row>
    <row r="1318" spans="1:3">
      <c r="A1318">
        <v>33</v>
      </c>
      <c r="B1318">
        <v>9</v>
      </c>
      <c r="C1318" s="7" t="s">
        <v>17</v>
      </c>
    </row>
    <row r="1319" spans="1:3">
      <c r="A1319">
        <v>33</v>
      </c>
      <c r="B1319">
        <v>10</v>
      </c>
      <c r="C1319" s="6" t="s">
        <v>16</v>
      </c>
    </row>
    <row r="1320" spans="1:3">
      <c r="A1320">
        <v>33</v>
      </c>
      <c r="B1320" t="s">
        <v>2810</v>
      </c>
      <c r="C1320" s="13" t="s">
        <v>59</v>
      </c>
    </row>
    <row r="1321" spans="1:3">
      <c r="A1321">
        <v>34</v>
      </c>
      <c r="B1321">
        <v>1</v>
      </c>
      <c r="C1321" s="6" t="s">
        <v>16</v>
      </c>
    </row>
    <row r="1322" spans="1:3">
      <c r="A1322">
        <v>34</v>
      </c>
      <c r="B1322">
        <v>2</v>
      </c>
      <c r="C1322" s="6" t="s">
        <v>16</v>
      </c>
    </row>
    <row r="1323" spans="1:3">
      <c r="A1323">
        <v>34</v>
      </c>
      <c r="B1323" s="35">
        <v>3</v>
      </c>
      <c r="C1323" s="6" t="s">
        <v>16</v>
      </c>
    </row>
    <row r="1324" spans="1:3">
      <c r="A1324">
        <v>34</v>
      </c>
      <c r="B1324">
        <v>4</v>
      </c>
      <c r="C1324" s="6" t="s">
        <v>16</v>
      </c>
    </row>
    <row r="1325" spans="1:3">
      <c r="A1325">
        <v>34</v>
      </c>
      <c r="B1325">
        <v>5</v>
      </c>
      <c r="C1325" s="6" t="s">
        <v>16</v>
      </c>
    </row>
    <row r="1326" spans="1:3">
      <c r="A1326">
        <v>34</v>
      </c>
      <c r="B1326">
        <v>6</v>
      </c>
      <c r="C1326" s="6" t="s">
        <v>16</v>
      </c>
    </row>
    <row r="1327" spans="1:3">
      <c r="A1327">
        <v>34</v>
      </c>
      <c r="B1327">
        <v>7</v>
      </c>
      <c r="C1327" s="6" t="s">
        <v>16</v>
      </c>
    </row>
    <row r="1328" spans="1:3">
      <c r="A1328">
        <v>34</v>
      </c>
      <c r="B1328" s="35">
        <v>8</v>
      </c>
      <c r="C1328" s="6" t="s">
        <v>16</v>
      </c>
    </row>
    <row r="1329" spans="1:3">
      <c r="A1329">
        <v>34</v>
      </c>
      <c r="B1329">
        <v>9</v>
      </c>
      <c r="C1329" s="6" t="s">
        <v>16</v>
      </c>
    </row>
    <row r="1330" spans="1:3">
      <c r="A1330">
        <v>34</v>
      </c>
      <c r="B1330" t="s">
        <v>2810</v>
      </c>
      <c r="C1330" s="13" t="s">
        <v>59</v>
      </c>
    </row>
    <row r="1331" spans="1:3">
      <c r="A1331">
        <v>35</v>
      </c>
      <c r="B1331">
        <v>1</v>
      </c>
      <c r="C1331" s="6" t="s">
        <v>16</v>
      </c>
    </row>
    <row r="1332" spans="1:3">
      <c r="A1332">
        <v>35</v>
      </c>
      <c r="B1332">
        <v>2</v>
      </c>
      <c r="C1332" s="6" t="s">
        <v>16</v>
      </c>
    </row>
    <row r="1333" spans="1:3">
      <c r="A1333">
        <v>35</v>
      </c>
      <c r="B1333">
        <v>3</v>
      </c>
      <c r="C1333" s="7" t="s">
        <v>17</v>
      </c>
    </row>
    <row r="1334" spans="1:3">
      <c r="A1334">
        <v>35</v>
      </c>
      <c r="B1334">
        <v>4</v>
      </c>
      <c r="C1334" s="6" t="s">
        <v>16</v>
      </c>
    </row>
    <row r="1335" spans="1:3">
      <c r="A1335">
        <v>35</v>
      </c>
      <c r="B1335">
        <v>5</v>
      </c>
      <c r="C1335" s="6" t="s">
        <v>16</v>
      </c>
    </row>
    <row r="1336" spans="1:3">
      <c r="A1336">
        <v>35</v>
      </c>
      <c r="B1336">
        <v>6</v>
      </c>
      <c r="C1336" s="6" t="s">
        <v>16</v>
      </c>
    </row>
    <row r="1337" spans="1:3">
      <c r="A1337">
        <v>35</v>
      </c>
      <c r="B1337">
        <v>7</v>
      </c>
      <c r="C1337" s="6" t="s">
        <v>16</v>
      </c>
    </row>
    <row r="1338" spans="1:3">
      <c r="A1338">
        <v>35</v>
      </c>
      <c r="B1338">
        <v>8</v>
      </c>
      <c r="C1338" s="6" t="s">
        <v>16</v>
      </c>
    </row>
    <row r="1339" spans="1:3">
      <c r="A1339">
        <v>35</v>
      </c>
      <c r="B1339">
        <v>9</v>
      </c>
      <c r="C1339" s="6" t="s">
        <v>16</v>
      </c>
    </row>
    <row r="1340" spans="1:3">
      <c r="A1340">
        <v>35</v>
      </c>
      <c r="B1340">
        <v>10</v>
      </c>
      <c r="C1340" s="6" t="s">
        <v>16</v>
      </c>
    </row>
    <row r="1341" spans="1:3">
      <c r="A1341">
        <v>35</v>
      </c>
      <c r="B1341">
        <v>11</v>
      </c>
      <c r="C1341" s="6" t="s">
        <v>16</v>
      </c>
    </row>
    <row r="1342" spans="1:3">
      <c r="A1342">
        <v>35</v>
      </c>
      <c r="B1342" t="s">
        <v>2810</v>
      </c>
      <c r="C1342" s="13" t="s">
        <v>59</v>
      </c>
    </row>
    <row r="1343" spans="1:3">
      <c r="A1343">
        <v>36</v>
      </c>
      <c r="B1343">
        <v>1</v>
      </c>
      <c r="C1343" s="6" t="s">
        <v>16</v>
      </c>
    </row>
    <row r="1344" spans="1:3">
      <c r="A1344">
        <v>36</v>
      </c>
      <c r="B1344">
        <v>2</v>
      </c>
      <c r="C1344" s="6" t="s">
        <v>16</v>
      </c>
    </row>
    <row r="1345" spans="1:3">
      <c r="A1345">
        <v>36</v>
      </c>
      <c r="B1345">
        <v>3</v>
      </c>
      <c r="C1345" s="6" t="s">
        <v>16</v>
      </c>
    </row>
    <row r="1346" spans="1:3">
      <c r="A1346">
        <v>36</v>
      </c>
      <c r="B1346">
        <v>4</v>
      </c>
      <c r="C1346" s="6" t="s">
        <v>16</v>
      </c>
    </row>
    <row r="1347" spans="1:3">
      <c r="A1347">
        <v>36</v>
      </c>
      <c r="B1347">
        <v>5</v>
      </c>
      <c r="C1347" s="6" t="s">
        <v>16</v>
      </c>
    </row>
    <row r="1348" spans="1:3">
      <c r="A1348">
        <v>36</v>
      </c>
      <c r="B1348" s="35">
        <v>6</v>
      </c>
      <c r="C1348" s="6" t="s">
        <v>16</v>
      </c>
    </row>
    <row r="1349" spans="1:3">
      <c r="A1349">
        <v>36</v>
      </c>
      <c r="B1349">
        <v>7</v>
      </c>
      <c r="C1349" s="6" t="s">
        <v>16</v>
      </c>
    </row>
    <row r="1350" spans="1:3">
      <c r="A1350">
        <v>36</v>
      </c>
      <c r="B1350">
        <v>8</v>
      </c>
      <c r="C1350" s="6" t="s">
        <v>16</v>
      </c>
    </row>
    <row r="1351" spans="1:3">
      <c r="A1351">
        <v>36</v>
      </c>
      <c r="B1351">
        <v>9</v>
      </c>
      <c r="C1351" s="6" t="s">
        <v>16</v>
      </c>
    </row>
    <row r="1352" spans="1:3">
      <c r="A1352">
        <v>36</v>
      </c>
      <c r="B1352">
        <v>10</v>
      </c>
      <c r="C1352" s="6" t="s">
        <v>16</v>
      </c>
    </row>
    <row r="1353" spans="1:3">
      <c r="A1353">
        <v>36</v>
      </c>
      <c r="B1353" t="s">
        <v>2810</v>
      </c>
      <c r="C1353" s="13" t="s">
        <v>59</v>
      </c>
    </row>
    <row r="1354" spans="1:3">
      <c r="A1354">
        <v>37</v>
      </c>
      <c r="B1354">
        <v>1</v>
      </c>
      <c r="C1354" s="6" t="s">
        <v>1965</v>
      </c>
    </row>
    <row r="1355" spans="1:3">
      <c r="A1355">
        <v>37</v>
      </c>
      <c r="B1355">
        <v>2</v>
      </c>
      <c r="C1355" s="6" t="s">
        <v>16</v>
      </c>
    </row>
    <row r="1356" spans="1:3">
      <c r="A1356">
        <v>37</v>
      </c>
      <c r="B1356">
        <v>3</v>
      </c>
      <c r="C1356" s="6" t="s">
        <v>16</v>
      </c>
    </row>
    <row r="1357" spans="1:3">
      <c r="A1357">
        <v>37</v>
      </c>
      <c r="B1357">
        <v>4</v>
      </c>
      <c r="C1357" s="6" t="s">
        <v>16</v>
      </c>
    </row>
    <row r="1358" spans="1:3">
      <c r="A1358">
        <v>37</v>
      </c>
      <c r="B1358">
        <v>5</v>
      </c>
      <c r="C1358" s="6" t="s">
        <v>16</v>
      </c>
    </row>
    <row r="1359" spans="1:3">
      <c r="A1359">
        <v>37</v>
      </c>
      <c r="B1359">
        <v>6</v>
      </c>
      <c r="C1359" s="6" t="s">
        <v>16</v>
      </c>
    </row>
    <row r="1360" spans="1:3">
      <c r="A1360">
        <v>37</v>
      </c>
      <c r="B1360">
        <v>7</v>
      </c>
      <c r="C1360" s="6" t="s">
        <v>16</v>
      </c>
    </row>
    <row r="1361" spans="1:3">
      <c r="A1361">
        <v>37</v>
      </c>
      <c r="B1361">
        <v>8</v>
      </c>
      <c r="C1361" s="6" t="s">
        <v>16</v>
      </c>
    </row>
    <row r="1362" spans="1:3">
      <c r="A1362">
        <v>37</v>
      </c>
      <c r="B1362">
        <v>9</v>
      </c>
      <c r="C1362" s="7" t="s">
        <v>17</v>
      </c>
    </row>
    <row r="1363" spans="1:3">
      <c r="A1363">
        <v>37</v>
      </c>
      <c r="B1363">
        <v>10</v>
      </c>
      <c r="C1363" s="6" t="s">
        <v>16</v>
      </c>
    </row>
    <row r="1364" spans="1:3">
      <c r="A1364">
        <v>37</v>
      </c>
      <c r="B1364">
        <v>11</v>
      </c>
      <c r="C1364" s="6" t="s">
        <v>16</v>
      </c>
    </row>
    <row r="1365" spans="1:3">
      <c r="A1365">
        <v>37</v>
      </c>
      <c r="B1365" t="s">
        <v>2810</v>
      </c>
      <c r="C1365" s="13" t="s">
        <v>59</v>
      </c>
    </row>
    <row r="1366" spans="1:3">
      <c r="A1366">
        <v>38</v>
      </c>
      <c r="B1366">
        <v>1</v>
      </c>
      <c r="C1366" s="6" t="s">
        <v>16</v>
      </c>
    </row>
    <row r="1367" spans="1:3">
      <c r="A1367">
        <v>38</v>
      </c>
      <c r="B1367">
        <v>2</v>
      </c>
      <c r="C1367" s="6" t="s">
        <v>16</v>
      </c>
    </row>
    <row r="1368" spans="1:3">
      <c r="A1368">
        <v>38</v>
      </c>
      <c r="B1368">
        <v>3</v>
      </c>
      <c r="C1368" s="6" t="s">
        <v>16</v>
      </c>
    </row>
    <row r="1369" spans="1:3">
      <c r="A1369">
        <v>38</v>
      </c>
      <c r="B1369">
        <v>4</v>
      </c>
      <c r="C1369" s="6" t="s">
        <v>16</v>
      </c>
    </row>
    <row r="1370" spans="1:3">
      <c r="A1370">
        <v>38</v>
      </c>
      <c r="B1370">
        <v>5</v>
      </c>
      <c r="C1370" s="6" t="s">
        <v>16</v>
      </c>
    </row>
    <row r="1371" spans="1:3">
      <c r="A1371">
        <v>38</v>
      </c>
      <c r="B1371">
        <v>6</v>
      </c>
      <c r="C1371" s="6" t="s">
        <v>16</v>
      </c>
    </row>
    <row r="1372" spans="1:3">
      <c r="A1372">
        <v>38</v>
      </c>
      <c r="B1372">
        <v>7</v>
      </c>
      <c r="C1372" s="6" t="s">
        <v>16</v>
      </c>
    </row>
    <row r="1373" spans="1:3">
      <c r="A1373">
        <v>38</v>
      </c>
      <c r="B1373">
        <v>8</v>
      </c>
      <c r="C1373" s="7" t="s">
        <v>17</v>
      </c>
    </row>
    <row r="1374" spans="1:3">
      <c r="A1374">
        <v>38</v>
      </c>
      <c r="B1374">
        <v>9</v>
      </c>
      <c r="C1374" s="6" t="s">
        <v>16</v>
      </c>
    </row>
    <row r="1375" spans="1:3">
      <c r="A1375">
        <v>38</v>
      </c>
      <c r="B1375">
        <v>10</v>
      </c>
      <c r="C1375" s="6" t="s">
        <v>16</v>
      </c>
    </row>
    <row r="1376" spans="1:3">
      <c r="A1376">
        <v>38</v>
      </c>
      <c r="B1376">
        <v>11</v>
      </c>
      <c r="C1376" s="6" t="s">
        <v>16</v>
      </c>
    </row>
    <row r="1377" spans="1:9">
      <c r="A1377">
        <v>38</v>
      </c>
      <c r="B1377" t="s">
        <v>2810</v>
      </c>
      <c r="C1377" s="13" t="s">
        <v>59</v>
      </c>
    </row>
    <row r="1379" spans="1:9">
      <c r="E1379" s="281"/>
    </row>
    <row r="1380" spans="1:9">
      <c r="A1380" t="s">
        <v>2860</v>
      </c>
      <c r="B1380" t="s">
        <v>2861</v>
      </c>
      <c r="C1380" t="s">
        <v>1564</v>
      </c>
      <c r="D1380" t="s">
        <v>2868</v>
      </c>
      <c r="E1380" s="242"/>
    </row>
    <row r="1381" spans="1:9">
      <c r="A1381">
        <v>1</v>
      </c>
      <c r="B1381">
        <v>1</v>
      </c>
      <c r="F1381" s="52" t="str" cm="1">
        <f t="array" ref="F1381:I1398">_xldudf_SQLOOKUP("SELECT * FROM a WHERE Challenge_Num = 3", A1380:D1837)</f>
        <v>Season_Num</v>
      </c>
      <c r="G1381" t="str">
        <v>Leg_Num</v>
      </c>
      <c r="H1381" t="str">
        <v>Twist</v>
      </c>
      <c r="I1381" t="str">
        <v>Challenge_Num</v>
      </c>
    </row>
    <row r="1382" spans="1:9">
      <c r="A1382">
        <v>1</v>
      </c>
      <c r="B1382">
        <v>2</v>
      </c>
      <c r="E1382" s="52"/>
      <c r="F1382">
        <v>5</v>
      </c>
      <c r="G1382">
        <v>2</v>
      </c>
      <c r="H1382" t="str">
        <v>Yield</v>
      </c>
      <c r="I1382">
        <v>3</v>
      </c>
    </row>
    <row r="1383" spans="1:9">
      <c r="A1383">
        <v>1</v>
      </c>
      <c r="B1383">
        <v>3</v>
      </c>
      <c r="E1383" s="52"/>
      <c r="F1383">
        <v>5</v>
      </c>
      <c r="G1383">
        <v>3</v>
      </c>
      <c r="H1383" t="str">
        <v>Yield</v>
      </c>
      <c r="I1383">
        <v>3</v>
      </c>
    </row>
    <row r="1384" spans="1:9">
      <c r="A1384">
        <v>1</v>
      </c>
      <c r="B1384">
        <v>4</v>
      </c>
      <c r="E1384" s="52"/>
      <c r="F1384">
        <v>5</v>
      </c>
      <c r="G1384">
        <v>6</v>
      </c>
      <c r="H1384" t="str">
        <v>Yield</v>
      </c>
      <c r="I1384">
        <v>3</v>
      </c>
    </row>
    <row r="1385" spans="1:9">
      <c r="A1385">
        <v>1</v>
      </c>
      <c r="B1385">
        <v>5</v>
      </c>
      <c r="E1385" s="52"/>
      <c r="F1385">
        <v>5</v>
      </c>
      <c r="G1385">
        <v>7</v>
      </c>
      <c r="H1385" t="str">
        <v>Yield</v>
      </c>
      <c r="I1385">
        <v>3</v>
      </c>
    </row>
    <row r="1386" spans="1:9">
      <c r="A1386">
        <v>1</v>
      </c>
      <c r="B1386">
        <v>6</v>
      </c>
      <c r="E1386" s="52"/>
      <c r="F1386">
        <v>5</v>
      </c>
      <c r="G1386">
        <v>8</v>
      </c>
      <c r="H1386" t="str">
        <v>Yield</v>
      </c>
      <c r="I1386">
        <v>3</v>
      </c>
    </row>
    <row r="1387" spans="1:9">
      <c r="A1387">
        <v>1</v>
      </c>
      <c r="B1387">
        <v>7</v>
      </c>
      <c r="E1387" s="52"/>
      <c r="F1387">
        <v>6</v>
      </c>
      <c r="G1387">
        <v>10</v>
      </c>
      <c r="H1387" t="str">
        <v xml:space="preserve">Yield </v>
      </c>
      <c r="I1387">
        <v>3</v>
      </c>
    </row>
    <row r="1388" spans="1:9">
      <c r="A1388">
        <v>1</v>
      </c>
      <c r="B1388">
        <v>8</v>
      </c>
      <c r="E1388" s="52"/>
      <c r="F1388">
        <v>8</v>
      </c>
      <c r="G1388">
        <v>6</v>
      </c>
      <c r="H1388" t="str">
        <v xml:space="preserve">Yield </v>
      </c>
      <c r="I1388">
        <v>3</v>
      </c>
    </row>
    <row r="1389" spans="1:9">
      <c r="A1389">
        <v>1</v>
      </c>
      <c r="B1389">
        <v>9</v>
      </c>
      <c r="E1389" s="52"/>
      <c r="F1389">
        <v>11</v>
      </c>
      <c r="G1389">
        <v>9</v>
      </c>
      <c r="H1389" t="str">
        <v>Yield</v>
      </c>
      <c r="I1389">
        <v>3</v>
      </c>
    </row>
    <row r="1390" spans="1:9">
      <c r="A1390">
        <v>1</v>
      </c>
      <c r="B1390">
        <v>10</v>
      </c>
      <c r="E1390" s="52"/>
      <c r="F1390">
        <v>11</v>
      </c>
      <c r="G1390">
        <v>11</v>
      </c>
      <c r="H1390" t="str">
        <v>Yield</v>
      </c>
      <c r="I1390">
        <v>3</v>
      </c>
    </row>
    <row r="1391" spans="1:9">
      <c r="A1391">
        <v>1</v>
      </c>
      <c r="B1391">
        <v>11</v>
      </c>
      <c r="E1391" s="52"/>
      <c r="F1391">
        <v>26</v>
      </c>
      <c r="G1391">
        <v>3</v>
      </c>
      <c r="H1391" t="str">
        <v>Save</v>
      </c>
      <c r="I1391">
        <v>3</v>
      </c>
    </row>
    <row r="1392" spans="1:9">
      <c r="A1392">
        <v>1</v>
      </c>
      <c r="B1392">
        <v>12</v>
      </c>
      <c r="E1392" s="52"/>
      <c r="F1392">
        <v>29</v>
      </c>
      <c r="G1392">
        <v>3</v>
      </c>
      <c r="H1392" t="str">
        <v>Double U-Turn</v>
      </c>
      <c r="I1392">
        <v>3</v>
      </c>
    </row>
    <row r="1393" spans="1:17">
      <c r="A1393">
        <v>1</v>
      </c>
      <c r="B1393" t="s">
        <v>2862</v>
      </c>
      <c r="E1393" s="52"/>
      <c r="F1393">
        <v>31</v>
      </c>
      <c r="G1393">
        <v>8</v>
      </c>
      <c r="H1393" t="str">
        <v>Double U-Turn</v>
      </c>
      <c r="I1393">
        <v>3</v>
      </c>
    </row>
    <row r="1394" spans="1:17">
      <c r="A1394">
        <v>2</v>
      </c>
      <c r="B1394">
        <v>1</v>
      </c>
      <c r="E1394" s="52"/>
      <c r="F1394">
        <v>32</v>
      </c>
      <c r="G1394">
        <v>4</v>
      </c>
      <c r="H1394" t="str">
        <v xml:space="preserve">Yield </v>
      </c>
      <c r="I1394">
        <v>3</v>
      </c>
    </row>
    <row r="1395" spans="1:17">
      <c r="A1395">
        <v>2</v>
      </c>
      <c r="B1395">
        <v>2</v>
      </c>
      <c r="E1395" s="52"/>
      <c r="F1395">
        <v>35</v>
      </c>
      <c r="G1395" t="str">
        <v>Final</v>
      </c>
      <c r="H1395" t="str">
        <v>Scramble</v>
      </c>
      <c r="I1395">
        <v>3</v>
      </c>
      <c r="M1395" s="45"/>
    </row>
    <row r="1396" spans="1:17">
      <c r="A1396">
        <v>2</v>
      </c>
      <c r="B1396">
        <v>3</v>
      </c>
      <c r="E1396" s="52"/>
      <c r="F1396">
        <v>37</v>
      </c>
      <c r="G1396">
        <v>2</v>
      </c>
      <c r="H1396" t="str">
        <v>Intersection</v>
      </c>
      <c r="I1396">
        <v>3</v>
      </c>
    </row>
    <row r="1397" spans="1:17">
      <c r="A1397">
        <v>2</v>
      </c>
      <c r="B1397">
        <v>4</v>
      </c>
      <c r="E1397" s="52"/>
      <c r="F1397">
        <v>37</v>
      </c>
      <c r="G1397">
        <v>3</v>
      </c>
      <c r="H1397" t="str">
        <v>Express Pass</v>
      </c>
      <c r="I1397">
        <v>3</v>
      </c>
      <c r="J1397" s="855"/>
    </row>
    <row r="1398" spans="1:17">
      <c r="A1398">
        <v>2</v>
      </c>
      <c r="B1398">
        <v>5</v>
      </c>
      <c r="E1398" s="52"/>
      <c r="F1398">
        <v>37</v>
      </c>
      <c r="G1398">
        <v>10</v>
      </c>
      <c r="H1398" t="str">
        <v>Head-to-Head</v>
      </c>
      <c r="I1398">
        <v>3</v>
      </c>
      <c r="N1398" s="673"/>
    </row>
    <row r="1399" spans="1:17">
      <c r="A1399">
        <v>2</v>
      </c>
      <c r="B1399">
        <v>6</v>
      </c>
      <c r="E1399" s="53"/>
      <c r="J1399" s="776"/>
      <c r="K1399" s="776"/>
      <c r="L1399" s="776"/>
      <c r="M1399" s="776"/>
      <c r="N1399" s="776"/>
      <c r="O1399" s="776"/>
      <c r="P1399" s="776"/>
      <c r="Q1399" s="776"/>
    </row>
    <row r="1400" spans="1:17">
      <c r="A1400">
        <v>2</v>
      </c>
      <c r="B1400">
        <v>7</v>
      </c>
      <c r="E1400" s="53"/>
    </row>
    <row r="1401" spans="1:17">
      <c r="A1401">
        <v>2</v>
      </c>
      <c r="B1401">
        <v>8</v>
      </c>
      <c r="E1401" s="1591"/>
    </row>
    <row r="1402" spans="1:17">
      <c r="A1402">
        <v>2</v>
      </c>
      <c r="B1402">
        <v>9</v>
      </c>
      <c r="E1402" s="1591"/>
    </row>
    <row r="1403" spans="1:17">
      <c r="A1403">
        <v>2</v>
      </c>
      <c r="B1403">
        <v>10</v>
      </c>
      <c r="E1403" s="1591"/>
    </row>
    <row r="1404" spans="1:17">
      <c r="A1404">
        <v>2</v>
      </c>
      <c r="B1404">
        <v>11</v>
      </c>
    </row>
    <row r="1405" spans="1:17">
      <c r="A1405">
        <v>2</v>
      </c>
      <c r="B1405">
        <v>12</v>
      </c>
    </row>
    <row r="1406" spans="1:17">
      <c r="A1406">
        <v>2</v>
      </c>
      <c r="B1406" t="s">
        <v>2862</v>
      </c>
    </row>
    <row r="1407" spans="1:17">
      <c r="A1407">
        <v>3</v>
      </c>
      <c r="B1407">
        <v>1</v>
      </c>
    </row>
    <row r="1408" spans="1:17">
      <c r="A1408">
        <v>3</v>
      </c>
      <c r="B1408">
        <v>2</v>
      </c>
    </row>
    <row r="1409" spans="1:5">
      <c r="A1409">
        <v>3</v>
      </c>
      <c r="B1409">
        <v>3</v>
      </c>
    </row>
    <row r="1410" spans="1:5">
      <c r="A1410">
        <v>3</v>
      </c>
      <c r="B1410">
        <v>4</v>
      </c>
    </row>
    <row r="1411" spans="1:5">
      <c r="A1411">
        <v>3</v>
      </c>
      <c r="B1411">
        <v>5</v>
      </c>
    </row>
    <row r="1412" spans="1:5">
      <c r="A1412">
        <v>3</v>
      </c>
      <c r="B1412">
        <v>6</v>
      </c>
    </row>
    <row r="1413" spans="1:5">
      <c r="A1413">
        <v>3</v>
      </c>
      <c r="B1413">
        <v>7</v>
      </c>
    </row>
    <row r="1414" spans="1:5">
      <c r="A1414">
        <v>3</v>
      </c>
      <c r="B1414">
        <v>8</v>
      </c>
    </row>
    <row r="1415" spans="1:5">
      <c r="A1415">
        <v>3</v>
      </c>
      <c r="B1415">
        <v>9</v>
      </c>
    </row>
    <row r="1416" spans="1:5">
      <c r="A1416">
        <v>3</v>
      </c>
      <c r="B1416">
        <v>10</v>
      </c>
    </row>
    <row r="1417" spans="1:5">
      <c r="A1417">
        <v>3</v>
      </c>
      <c r="B1417">
        <v>11</v>
      </c>
    </row>
    <row r="1418" spans="1:5">
      <c r="A1418">
        <v>3</v>
      </c>
      <c r="B1418">
        <v>12</v>
      </c>
    </row>
    <row r="1419" spans="1:5">
      <c r="A1419">
        <v>3</v>
      </c>
      <c r="B1419" t="s">
        <v>2810</v>
      </c>
    </row>
    <row r="1420" spans="1:5">
      <c r="A1420">
        <v>4</v>
      </c>
      <c r="B1420">
        <v>1</v>
      </c>
    </row>
    <row r="1421" spans="1:5">
      <c r="A1421">
        <v>4</v>
      </c>
      <c r="B1421">
        <v>2</v>
      </c>
      <c r="E1421" s="1591"/>
    </row>
    <row r="1422" spans="1:5">
      <c r="A1422">
        <v>4</v>
      </c>
      <c r="B1422">
        <v>3</v>
      </c>
    </row>
    <row r="1423" spans="1:5">
      <c r="A1423">
        <v>4</v>
      </c>
      <c r="B1423">
        <v>4</v>
      </c>
      <c r="E1423" s="56"/>
    </row>
    <row r="1424" spans="1:5">
      <c r="A1424">
        <v>4</v>
      </c>
      <c r="B1424">
        <v>5</v>
      </c>
      <c r="E1424" s="242"/>
    </row>
    <row r="1425" spans="1:18">
      <c r="A1425">
        <v>4</v>
      </c>
      <c r="B1425">
        <v>6</v>
      </c>
      <c r="E1425" s="52"/>
    </row>
    <row r="1426" spans="1:18">
      <c r="A1426">
        <v>4</v>
      </c>
      <c r="B1426">
        <v>7</v>
      </c>
      <c r="E1426" s="52"/>
    </row>
    <row r="1427" spans="1:18">
      <c r="A1427">
        <v>4</v>
      </c>
      <c r="B1427">
        <v>8</v>
      </c>
      <c r="E1427" s="52"/>
    </row>
    <row r="1428" spans="1:18">
      <c r="A1428">
        <v>4</v>
      </c>
      <c r="B1428">
        <v>9</v>
      </c>
      <c r="E1428" s="52"/>
    </row>
    <row r="1429" spans="1:18">
      <c r="A1429">
        <v>4</v>
      </c>
      <c r="B1429">
        <v>10</v>
      </c>
      <c r="E1429" s="52"/>
    </row>
    <row r="1430" spans="1:18">
      <c r="A1430">
        <v>4</v>
      </c>
      <c r="B1430">
        <v>11</v>
      </c>
      <c r="E1430" s="52"/>
    </row>
    <row r="1431" spans="1:18">
      <c r="A1431">
        <v>4</v>
      </c>
      <c r="B1431">
        <v>12</v>
      </c>
      <c r="E1431" s="1599"/>
      <c r="M1431" s="90"/>
    </row>
    <row r="1432" spans="1:18">
      <c r="A1432">
        <v>4</v>
      </c>
      <c r="B1432" t="s">
        <v>2810</v>
      </c>
      <c r="E1432" s="1599"/>
      <c r="M1432" s="90"/>
    </row>
    <row r="1433" spans="1:18">
      <c r="A1433">
        <v>5</v>
      </c>
      <c r="B1433">
        <v>1</v>
      </c>
      <c r="C1433" t="s">
        <v>42</v>
      </c>
      <c r="D1433">
        <v>6</v>
      </c>
      <c r="E1433" s="53"/>
      <c r="J1433" s="776"/>
      <c r="K1433" s="776"/>
      <c r="L1433" s="776"/>
      <c r="M1433" s="776"/>
      <c r="N1433" s="776"/>
      <c r="O1433" s="776"/>
      <c r="P1433" s="776"/>
      <c r="Q1433" s="776"/>
      <c r="R1433" s="776"/>
    </row>
    <row r="1434" spans="1:18">
      <c r="A1434">
        <v>5</v>
      </c>
      <c r="B1434">
        <v>2</v>
      </c>
      <c r="C1434" t="s">
        <v>42</v>
      </c>
      <c r="D1434">
        <v>3</v>
      </c>
      <c r="E1434" s="53"/>
    </row>
    <row r="1435" spans="1:18">
      <c r="A1435">
        <v>5</v>
      </c>
      <c r="B1435">
        <v>3</v>
      </c>
      <c r="C1435" t="s">
        <v>42</v>
      </c>
      <c r="D1435">
        <v>3</v>
      </c>
      <c r="E1435" s="1591"/>
    </row>
    <row r="1436" spans="1:18">
      <c r="A1436">
        <v>5</v>
      </c>
      <c r="B1436">
        <v>4</v>
      </c>
      <c r="C1436" t="s">
        <v>42</v>
      </c>
      <c r="D1436">
        <v>2</v>
      </c>
      <c r="E1436" s="1591"/>
    </row>
    <row r="1437" spans="1:18">
      <c r="A1437">
        <v>5</v>
      </c>
      <c r="B1437">
        <v>5</v>
      </c>
      <c r="C1437" t="s">
        <v>42</v>
      </c>
      <c r="D1437">
        <v>5</v>
      </c>
      <c r="E1437" s="1591"/>
    </row>
    <row r="1438" spans="1:18">
      <c r="A1438">
        <v>5</v>
      </c>
      <c r="B1438">
        <v>6</v>
      </c>
      <c r="C1438" t="s">
        <v>42</v>
      </c>
      <c r="D1438">
        <v>3</v>
      </c>
      <c r="E1438" s="1591"/>
    </row>
    <row r="1439" spans="1:18">
      <c r="A1439">
        <v>5</v>
      </c>
      <c r="B1439">
        <v>7</v>
      </c>
      <c r="C1439" t="s">
        <v>42</v>
      </c>
      <c r="D1439">
        <v>3</v>
      </c>
      <c r="E1439" s="54"/>
    </row>
    <row r="1440" spans="1:18">
      <c r="A1440">
        <v>5</v>
      </c>
      <c r="B1440">
        <v>8</v>
      </c>
      <c r="C1440" t="s">
        <v>42</v>
      </c>
      <c r="D1440">
        <v>3</v>
      </c>
      <c r="E1440" s="723"/>
    </row>
    <row r="1441" spans="1:13">
      <c r="A1441">
        <v>5</v>
      </c>
      <c r="B1441">
        <v>9</v>
      </c>
      <c r="C1441" t="s">
        <v>42</v>
      </c>
      <c r="D1441">
        <v>4</v>
      </c>
      <c r="E1441" s="1593"/>
    </row>
    <row r="1442" spans="1:13">
      <c r="A1442">
        <v>5</v>
      </c>
      <c r="B1442">
        <v>10</v>
      </c>
      <c r="C1442" t="s">
        <v>42</v>
      </c>
      <c r="D1442">
        <v>2</v>
      </c>
      <c r="E1442" s="242"/>
    </row>
    <row r="1443" spans="1:13">
      <c r="A1443">
        <v>5</v>
      </c>
      <c r="B1443">
        <v>11</v>
      </c>
      <c r="C1443" t="s">
        <v>42</v>
      </c>
      <c r="D1443">
        <v>4</v>
      </c>
      <c r="E1443" s="52"/>
    </row>
    <row r="1444" spans="1:13">
      <c r="A1444">
        <v>5</v>
      </c>
      <c r="B1444">
        <v>12</v>
      </c>
      <c r="C1444" t="s">
        <v>42</v>
      </c>
      <c r="D1444">
        <v>4</v>
      </c>
      <c r="E1444" s="52"/>
    </row>
    <row r="1445" spans="1:13">
      <c r="A1445">
        <v>5</v>
      </c>
      <c r="B1445" t="s">
        <v>2810</v>
      </c>
      <c r="E1445" s="52"/>
    </row>
    <row r="1446" spans="1:13">
      <c r="A1446">
        <v>6</v>
      </c>
      <c r="B1446">
        <v>1</v>
      </c>
      <c r="E1446" s="52"/>
    </row>
    <row r="1447" spans="1:13">
      <c r="A1447">
        <v>6</v>
      </c>
      <c r="B1447">
        <v>2</v>
      </c>
      <c r="E1447" s="52"/>
    </row>
    <row r="1448" spans="1:13">
      <c r="A1448">
        <v>6</v>
      </c>
      <c r="B1448">
        <v>3</v>
      </c>
      <c r="C1448" t="s">
        <v>42</v>
      </c>
      <c r="D1448">
        <v>6</v>
      </c>
      <c r="E1448" s="52"/>
    </row>
    <row r="1449" spans="1:13">
      <c r="A1449">
        <v>6</v>
      </c>
      <c r="B1449">
        <v>4</v>
      </c>
      <c r="E1449" s="52"/>
    </row>
    <row r="1450" spans="1:13">
      <c r="A1450">
        <v>6</v>
      </c>
      <c r="B1450">
        <v>5</v>
      </c>
      <c r="E1450" s="52"/>
    </row>
    <row r="1451" spans="1:13">
      <c r="A1451">
        <v>6</v>
      </c>
      <c r="B1451" s="35">
        <v>6</v>
      </c>
      <c r="E1451" s="52"/>
    </row>
    <row r="1452" spans="1:13">
      <c r="A1452">
        <v>6</v>
      </c>
      <c r="B1452">
        <v>7</v>
      </c>
      <c r="E1452" s="52"/>
    </row>
    <row r="1453" spans="1:13">
      <c r="A1453">
        <v>6</v>
      </c>
      <c r="B1453">
        <v>8</v>
      </c>
      <c r="C1453" t="s">
        <v>42</v>
      </c>
      <c r="D1453">
        <v>6</v>
      </c>
    </row>
    <row r="1454" spans="1:13">
      <c r="A1454">
        <v>6</v>
      </c>
      <c r="B1454">
        <v>9</v>
      </c>
      <c r="E1454" s="52"/>
    </row>
    <row r="1455" spans="1:13">
      <c r="A1455">
        <v>6</v>
      </c>
      <c r="B1455">
        <v>10</v>
      </c>
      <c r="C1455" t="s">
        <v>2869</v>
      </c>
      <c r="D1455">
        <v>3</v>
      </c>
      <c r="E1455" s="52"/>
      <c r="M1455" s="35"/>
    </row>
    <row r="1456" spans="1:13">
      <c r="A1456">
        <v>6</v>
      </c>
      <c r="B1456">
        <v>11</v>
      </c>
      <c r="E1456" s="52"/>
      <c r="M1456" s="35"/>
    </row>
    <row r="1457" spans="1:18">
      <c r="A1457">
        <v>6</v>
      </c>
      <c r="B1457" t="s">
        <v>2810</v>
      </c>
      <c r="E1457" s="52"/>
    </row>
    <row r="1458" spans="1:18">
      <c r="A1458">
        <v>7</v>
      </c>
      <c r="B1458">
        <v>1</v>
      </c>
      <c r="E1458" s="53"/>
      <c r="J1458" s="776"/>
      <c r="K1458" s="776"/>
      <c r="L1458" s="776"/>
      <c r="M1458" s="776"/>
      <c r="N1458" s="776"/>
      <c r="O1458" s="776"/>
      <c r="P1458" s="776"/>
      <c r="Q1458" s="776"/>
      <c r="R1458" s="776"/>
    </row>
    <row r="1459" spans="1:18">
      <c r="A1459">
        <v>7</v>
      </c>
      <c r="B1459">
        <v>2</v>
      </c>
      <c r="E1459" s="53"/>
    </row>
    <row r="1460" spans="1:18">
      <c r="A1460">
        <v>7</v>
      </c>
      <c r="B1460">
        <v>3</v>
      </c>
      <c r="C1460" t="s">
        <v>42</v>
      </c>
      <c r="D1460">
        <v>2</v>
      </c>
      <c r="E1460" s="1591"/>
    </row>
    <row r="1461" spans="1:18">
      <c r="A1461">
        <v>7</v>
      </c>
      <c r="B1461">
        <v>4</v>
      </c>
      <c r="E1461" s="52"/>
    </row>
    <row r="1462" spans="1:18">
      <c r="A1462">
        <v>7</v>
      </c>
      <c r="B1462">
        <v>5</v>
      </c>
      <c r="E1462" s="281"/>
    </row>
    <row r="1463" spans="1:18">
      <c r="A1463">
        <v>7</v>
      </c>
      <c r="B1463">
        <v>6</v>
      </c>
      <c r="E1463" s="242"/>
    </row>
    <row r="1464" spans="1:18">
      <c r="A1464">
        <v>7</v>
      </c>
      <c r="B1464">
        <v>7</v>
      </c>
      <c r="E1464" s="52"/>
    </row>
    <row r="1465" spans="1:18">
      <c r="A1465">
        <v>7</v>
      </c>
      <c r="B1465">
        <v>8</v>
      </c>
      <c r="E1465" s="52"/>
    </row>
    <row r="1466" spans="1:18">
      <c r="A1466">
        <v>7</v>
      </c>
      <c r="B1466">
        <v>9</v>
      </c>
      <c r="E1466" s="52"/>
    </row>
    <row r="1467" spans="1:18">
      <c r="A1467">
        <v>7</v>
      </c>
      <c r="B1467">
        <v>10</v>
      </c>
      <c r="E1467" s="1591"/>
    </row>
    <row r="1468" spans="1:18">
      <c r="A1468">
        <v>7</v>
      </c>
      <c r="B1468">
        <v>11</v>
      </c>
      <c r="E1468" s="52"/>
    </row>
    <row r="1469" spans="1:18">
      <c r="A1469">
        <v>7</v>
      </c>
      <c r="B1469">
        <v>12</v>
      </c>
      <c r="E1469" s="56"/>
    </row>
    <row r="1470" spans="1:18">
      <c r="A1470">
        <v>7</v>
      </c>
      <c r="B1470" t="s">
        <v>2810</v>
      </c>
      <c r="E1470" s="242"/>
    </row>
    <row r="1471" spans="1:18">
      <c r="A1471">
        <v>8</v>
      </c>
      <c r="B1471">
        <v>1</v>
      </c>
      <c r="E1471" s="52"/>
      <c r="M1471" s="90"/>
    </row>
    <row r="1472" spans="1:18">
      <c r="A1472">
        <v>8</v>
      </c>
      <c r="B1472">
        <v>2</v>
      </c>
      <c r="E1472" s="52"/>
      <c r="M1472" s="90"/>
    </row>
    <row r="1473" spans="1:17">
      <c r="A1473">
        <v>8</v>
      </c>
      <c r="B1473">
        <v>3</v>
      </c>
      <c r="E1473" s="52"/>
      <c r="M1473" s="90"/>
    </row>
    <row r="1474" spans="1:17">
      <c r="A1474">
        <v>8</v>
      </c>
      <c r="B1474">
        <v>4</v>
      </c>
      <c r="E1474" s="52"/>
      <c r="M1474" s="90"/>
    </row>
    <row r="1475" spans="1:17">
      <c r="A1475">
        <v>8</v>
      </c>
      <c r="B1475">
        <v>5</v>
      </c>
      <c r="E1475" s="52"/>
    </row>
    <row r="1476" spans="1:17">
      <c r="A1476">
        <v>8</v>
      </c>
      <c r="B1476">
        <v>6</v>
      </c>
      <c r="C1476" t="s">
        <v>2869</v>
      </c>
      <c r="D1476">
        <v>3</v>
      </c>
      <c r="E1476" s="52"/>
    </row>
    <row r="1477" spans="1:17">
      <c r="A1477">
        <v>8</v>
      </c>
      <c r="B1477">
        <v>7</v>
      </c>
      <c r="E1477" s="1591"/>
    </row>
    <row r="1478" spans="1:17">
      <c r="A1478">
        <v>8</v>
      </c>
      <c r="B1478">
        <v>8</v>
      </c>
    </row>
    <row r="1479" spans="1:17">
      <c r="A1479">
        <v>8</v>
      </c>
      <c r="B1479">
        <v>9</v>
      </c>
      <c r="C1479" t="s">
        <v>42</v>
      </c>
      <c r="D1479">
        <v>8</v>
      </c>
      <c r="E1479" s="1513"/>
    </row>
    <row r="1480" spans="1:17">
      <c r="A1480">
        <v>8</v>
      </c>
      <c r="B1480">
        <v>10</v>
      </c>
      <c r="E1480" s="242"/>
    </row>
    <row r="1481" spans="1:17">
      <c r="A1481">
        <v>8</v>
      </c>
      <c r="B1481">
        <v>11</v>
      </c>
      <c r="E1481" s="58"/>
    </row>
    <row r="1482" spans="1:17">
      <c r="A1482">
        <v>8</v>
      </c>
      <c r="B1482" t="s">
        <v>2810</v>
      </c>
      <c r="E1482" s="52"/>
    </row>
    <row r="1483" spans="1:17">
      <c r="A1483">
        <v>9</v>
      </c>
      <c r="B1483">
        <v>1</v>
      </c>
      <c r="E1483" s="52"/>
    </row>
    <row r="1484" spans="1:17">
      <c r="A1484">
        <v>9</v>
      </c>
      <c r="B1484">
        <v>2</v>
      </c>
      <c r="E1484" s="52"/>
      <c r="Q1484" s="792"/>
    </row>
    <row r="1485" spans="1:17">
      <c r="A1485">
        <v>9</v>
      </c>
      <c r="B1485">
        <v>3</v>
      </c>
      <c r="E1485" s="52"/>
    </row>
    <row r="1486" spans="1:17">
      <c r="A1486">
        <v>9</v>
      </c>
      <c r="B1486">
        <v>4</v>
      </c>
    </row>
    <row r="1487" spans="1:17">
      <c r="A1487">
        <v>9</v>
      </c>
      <c r="B1487">
        <v>5</v>
      </c>
      <c r="C1487" t="s">
        <v>42</v>
      </c>
      <c r="D1487">
        <v>5</v>
      </c>
      <c r="E1487" s="1484"/>
    </row>
    <row r="1488" spans="1:17">
      <c r="A1488">
        <v>9</v>
      </c>
      <c r="B1488">
        <v>6</v>
      </c>
      <c r="E1488" s="242"/>
    </row>
    <row r="1489" spans="1:12">
      <c r="A1489">
        <v>9</v>
      </c>
      <c r="B1489">
        <v>7</v>
      </c>
      <c r="E1489" s="52"/>
      <c r="L1489" s="90"/>
    </row>
    <row r="1490" spans="1:12">
      <c r="A1490">
        <v>9</v>
      </c>
      <c r="B1490">
        <v>8</v>
      </c>
      <c r="E1490" s="52"/>
    </row>
    <row r="1491" spans="1:12">
      <c r="A1491">
        <v>9</v>
      </c>
      <c r="B1491">
        <v>9</v>
      </c>
      <c r="E1491" s="1594"/>
    </row>
    <row r="1492" spans="1:12">
      <c r="A1492">
        <v>9</v>
      </c>
      <c r="B1492">
        <v>10</v>
      </c>
      <c r="C1492" t="s">
        <v>42</v>
      </c>
      <c r="D1492">
        <v>4</v>
      </c>
      <c r="E1492" s="242"/>
    </row>
    <row r="1493" spans="1:12">
      <c r="A1493">
        <v>9</v>
      </c>
      <c r="B1493">
        <v>11</v>
      </c>
      <c r="E1493" s="52"/>
    </row>
    <row r="1494" spans="1:12">
      <c r="A1494">
        <v>9</v>
      </c>
      <c r="B1494">
        <v>12</v>
      </c>
      <c r="E1494" s="52"/>
    </row>
    <row r="1495" spans="1:12">
      <c r="A1495">
        <v>9</v>
      </c>
      <c r="B1495" t="s">
        <v>2810</v>
      </c>
      <c r="E1495" s="1591"/>
    </row>
    <row r="1496" spans="1:12">
      <c r="A1496">
        <v>10</v>
      </c>
      <c r="B1496">
        <v>1</v>
      </c>
    </row>
    <row r="1497" spans="1:12">
      <c r="A1497">
        <v>10</v>
      </c>
      <c r="B1497">
        <v>2</v>
      </c>
      <c r="E1497" s="90"/>
    </row>
    <row r="1498" spans="1:12">
      <c r="A1498">
        <v>10</v>
      </c>
      <c r="B1498">
        <v>3</v>
      </c>
      <c r="E1498" s="242"/>
    </row>
    <row r="1499" spans="1:12">
      <c r="A1499">
        <v>10</v>
      </c>
      <c r="B1499">
        <v>4</v>
      </c>
      <c r="E1499" s="52"/>
    </row>
    <row r="1500" spans="1:12">
      <c r="A1500">
        <v>10</v>
      </c>
      <c r="B1500">
        <v>5</v>
      </c>
      <c r="E1500" s="52"/>
    </row>
    <row r="1501" spans="1:12">
      <c r="A1501">
        <v>10</v>
      </c>
      <c r="B1501">
        <v>6</v>
      </c>
      <c r="E1501" s="1591"/>
    </row>
    <row r="1502" spans="1:12">
      <c r="A1502">
        <v>10</v>
      </c>
      <c r="B1502">
        <v>7</v>
      </c>
    </row>
    <row r="1503" spans="1:12">
      <c r="A1503">
        <v>10</v>
      </c>
      <c r="B1503">
        <v>8</v>
      </c>
      <c r="C1503" t="s">
        <v>1567</v>
      </c>
      <c r="D1503" s="1592" t="s">
        <v>2870</v>
      </c>
    </row>
    <row r="1504" spans="1:12">
      <c r="A1504">
        <v>10</v>
      </c>
      <c r="B1504" s="35">
        <v>9</v>
      </c>
    </row>
    <row r="1505" spans="1:4">
      <c r="A1505">
        <v>10</v>
      </c>
      <c r="B1505">
        <v>10</v>
      </c>
    </row>
    <row r="1506" spans="1:4">
      <c r="A1506">
        <v>10</v>
      </c>
      <c r="B1506">
        <v>11</v>
      </c>
    </row>
    <row r="1507" spans="1:4">
      <c r="A1507">
        <v>10</v>
      </c>
      <c r="B1507" t="s">
        <v>2810</v>
      </c>
    </row>
    <row r="1508" spans="1:4">
      <c r="A1508">
        <v>11</v>
      </c>
      <c r="B1508">
        <v>1</v>
      </c>
    </row>
    <row r="1509" spans="1:4">
      <c r="A1509">
        <v>11</v>
      </c>
      <c r="B1509">
        <v>2</v>
      </c>
    </row>
    <row r="1510" spans="1:4">
      <c r="A1510">
        <v>11</v>
      </c>
      <c r="B1510">
        <v>3</v>
      </c>
    </row>
    <row r="1511" spans="1:4">
      <c r="A1511">
        <v>11</v>
      </c>
      <c r="B1511">
        <v>4</v>
      </c>
    </row>
    <row r="1512" spans="1:4">
      <c r="A1512">
        <v>11</v>
      </c>
      <c r="B1512">
        <v>5</v>
      </c>
    </row>
    <row r="1513" spans="1:4">
      <c r="A1513">
        <v>11</v>
      </c>
      <c r="B1513">
        <v>6</v>
      </c>
    </row>
    <row r="1514" spans="1:4">
      <c r="A1514">
        <v>11</v>
      </c>
      <c r="B1514">
        <v>7</v>
      </c>
    </row>
    <row r="1515" spans="1:4">
      <c r="A1515">
        <v>11</v>
      </c>
      <c r="B1515">
        <v>8</v>
      </c>
      <c r="C1515" t="s">
        <v>1567</v>
      </c>
      <c r="D1515" t="s">
        <v>2871</v>
      </c>
    </row>
    <row r="1516" spans="1:4">
      <c r="A1516">
        <v>11</v>
      </c>
      <c r="B1516">
        <v>9</v>
      </c>
      <c r="C1516" t="s">
        <v>42</v>
      </c>
      <c r="D1516">
        <v>3</v>
      </c>
    </row>
    <row r="1517" spans="1:4">
      <c r="A1517">
        <v>11</v>
      </c>
      <c r="B1517">
        <v>10</v>
      </c>
    </row>
    <row r="1518" spans="1:4">
      <c r="A1518">
        <v>11</v>
      </c>
      <c r="B1518">
        <v>11</v>
      </c>
      <c r="C1518" t="s">
        <v>42</v>
      </c>
      <c r="D1518">
        <v>3</v>
      </c>
    </row>
    <row r="1519" spans="1:4">
      <c r="A1519">
        <v>11</v>
      </c>
      <c r="B1519">
        <v>12</v>
      </c>
    </row>
    <row r="1520" spans="1:4">
      <c r="A1520">
        <v>11</v>
      </c>
      <c r="B1520" t="s">
        <v>2810</v>
      </c>
    </row>
    <row r="1521" spans="1:4">
      <c r="A1521">
        <v>12</v>
      </c>
      <c r="B1521">
        <v>1</v>
      </c>
    </row>
    <row r="1522" spans="1:4">
      <c r="A1522">
        <v>12</v>
      </c>
      <c r="B1522">
        <v>2</v>
      </c>
    </row>
    <row r="1523" spans="1:4">
      <c r="A1523">
        <v>12</v>
      </c>
      <c r="B1523">
        <v>3</v>
      </c>
    </row>
    <row r="1524" spans="1:4">
      <c r="A1524">
        <v>12</v>
      </c>
      <c r="B1524">
        <v>4</v>
      </c>
      <c r="C1524" t="s">
        <v>77</v>
      </c>
      <c r="D1524">
        <v>5</v>
      </c>
    </row>
    <row r="1525" spans="1:4">
      <c r="A1525">
        <v>12</v>
      </c>
      <c r="B1525">
        <v>5</v>
      </c>
    </row>
    <row r="1526" spans="1:4">
      <c r="A1526">
        <v>12</v>
      </c>
      <c r="B1526">
        <v>6</v>
      </c>
    </row>
    <row r="1527" spans="1:4">
      <c r="A1527">
        <v>12</v>
      </c>
      <c r="B1527">
        <v>7</v>
      </c>
    </row>
    <row r="1528" spans="1:4">
      <c r="A1528">
        <v>12</v>
      </c>
      <c r="B1528">
        <v>8</v>
      </c>
      <c r="C1528" t="s">
        <v>77</v>
      </c>
      <c r="D1528">
        <v>6</v>
      </c>
    </row>
    <row r="1529" spans="1:4">
      <c r="A1529">
        <v>12</v>
      </c>
      <c r="B1529">
        <v>9</v>
      </c>
    </row>
    <row r="1530" spans="1:4">
      <c r="A1530">
        <v>12</v>
      </c>
      <c r="B1530">
        <v>10</v>
      </c>
    </row>
    <row r="1531" spans="1:4">
      <c r="A1531">
        <v>12</v>
      </c>
      <c r="B1531" t="s">
        <v>2810</v>
      </c>
    </row>
    <row r="1532" spans="1:4">
      <c r="A1532">
        <v>13</v>
      </c>
      <c r="B1532">
        <v>1</v>
      </c>
    </row>
    <row r="1533" spans="1:4">
      <c r="A1533">
        <v>13</v>
      </c>
      <c r="B1533">
        <v>2</v>
      </c>
    </row>
    <row r="1534" spans="1:4">
      <c r="A1534">
        <v>13</v>
      </c>
      <c r="B1534">
        <v>3</v>
      </c>
      <c r="C1534" t="s">
        <v>77</v>
      </c>
      <c r="D1534">
        <v>4</v>
      </c>
    </row>
    <row r="1535" spans="1:4">
      <c r="A1535">
        <v>13</v>
      </c>
      <c r="B1535">
        <v>4</v>
      </c>
    </row>
    <row r="1536" spans="1:4">
      <c r="A1536">
        <v>13</v>
      </c>
      <c r="B1536">
        <v>5</v>
      </c>
    </row>
    <row r="1537" spans="1:4">
      <c r="A1537">
        <v>13</v>
      </c>
      <c r="B1537">
        <v>6</v>
      </c>
    </row>
    <row r="1538" spans="1:4">
      <c r="A1538">
        <v>13</v>
      </c>
      <c r="B1538">
        <v>7</v>
      </c>
    </row>
    <row r="1539" spans="1:4">
      <c r="A1539">
        <v>13</v>
      </c>
      <c r="B1539">
        <v>8</v>
      </c>
    </row>
    <row r="1540" spans="1:4">
      <c r="A1540">
        <v>13</v>
      </c>
      <c r="B1540">
        <v>9</v>
      </c>
    </row>
    <row r="1541" spans="1:4">
      <c r="A1541">
        <v>13</v>
      </c>
      <c r="B1541">
        <v>10</v>
      </c>
    </row>
    <row r="1542" spans="1:4">
      <c r="A1542">
        <v>13</v>
      </c>
      <c r="B1542" t="s">
        <v>2810</v>
      </c>
    </row>
    <row r="1543" spans="1:4">
      <c r="A1543">
        <v>14</v>
      </c>
      <c r="B1543">
        <v>1</v>
      </c>
    </row>
    <row r="1544" spans="1:4">
      <c r="A1544">
        <v>14</v>
      </c>
      <c r="B1544">
        <v>2</v>
      </c>
    </row>
    <row r="1545" spans="1:4">
      <c r="A1545">
        <v>14</v>
      </c>
      <c r="B1545">
        <v>3</v>
      </c>
      <c r="C1545" t="s">
        <v>77</v>
      </c>
      <c r="D1545">
        <v>4</v>
      </c>
    </row>
    <row r="1546" spans="1:4">
      <c r="A1546">
        <v>14</v>
      </c>
      <c r="B1546">
        <v>4</v>
      </c>
    </row>
    <row r="1547" spans="1:4">
      <c r="A1547">
        <v>14</v>
      </c>
      <c r="B1547">
        <v>5</v>
      </c>
    </row>
    <row r="1548" spans="1:4">
      <c r="A1548">
        <v>14</v>
      </c>
      <c r="B1548">
        <v>6</v>
      </c>
    </row>
    <row r="1549" spans="1:4">
      <c r="A1549">
        <v>14</v>
      </c>
      <c r="B1549">
        <v>7</v>
      </c>
    </row>
    <row r="1550" spans="1:4">
      <c r="A1550">
        <v>14</v>
      </c>
      <c r="B1550">
        <v>8</v>
      </c>
    </row>
    <row r="1551" spans="1:4">
      <c r="A1551">
        <v>14</v>
      </c>
      <c r="B1551">
        <v>9</v>
      </c>
    </row>
    <row r="1552" spans="1:4">
      <c r="A1552">
        <v>14</v>
      </c>
      <c r="B1552">
        <v>10</v>
      </c>
    </row>
    <row r="1553" spans="1:4">
      <c r="A1553">
        <v>14</v>
      </c>
      <c r="B1553">
        <v>11</v>
      </c>
      <c r="C1553" t="s">
        <v>77</v>
      </c>
      <c r="D1553">
        <v>6</v>
      </c>
    </row>
    <row r="1554" spans="1:4">
      <c r="A1554">
        <v>14</v>
      </c>
      <c r="B1554" t="s">
        <v>2810</v>
      </c>
    </row>
    <row r="1555" spans="1:4">
      <c r="A1555">
        <v>15</v>
      </c>
      <c r="B1555">
        <v>1</v>
      </c>
    </row>
    <row r="1556" spans="1:4">
      <c r="A1556">
        <v>15</v>
      </c>
      <c r="B1556">
        <v>2</v>
      </c>
    </row>
    <row r="1557" spans="1:4">
      <c r="A1557">
        <v>15</v>
      </c>
      <c r="B1557">
        <v>3</v>
      </c>
      <c r="C1557" t="s">
        <v>77</v>
      </c>
      <c r="D1557">
        <v>4</v>
      </c>
    </row>
    <row r="1558" spans="1:4">
      <c r="A1558">
        <v>15</v>
      </c>
      <c r="B1558">
        <v>4</v>
      </c>
    </row>
    <row r="1559" spans="1:4">
      <c r="A1559">
        <v>15</v>
      </c>
      <c r="B1559">
        <v>5</v>
      </c>
    </row>
    <row r="1560" spans="1:4">
      <c r="A1560">
        <v>15</v>
      </c>
      <c r="B1560">
        <v>6</v>
      </c>
    </row>
    <row r="1561" spans="1:4">
      <c r="A1561">
        <v>15</v>
      </c>
      <c r="B1561">
        <v>7</v>
      </c>
    </row>
    <row r="1562" spans="1:4">
      <c r="A1562">
        <v>15</v>
      </c>
      <c r="B1562">
        <v>8</v>
      </c>
    </row>
    <row r="1563" spans="1:4">
      <c r="A1563">
        <v>15</v>
      </c>
      <c r="B1563">
        <v>9</v>
      </c>
    </row>
    <row r="1564" spans="1:4">
      <c r="A1564">
        <v>15</v>
      </c>
      <c r="B1564">
        <v>10</v>
      </c>
      <c r="C1564" t="s">
        <v>77</v>
      </c>
      <c r="D1564">
        <v>4</v>
      </c>
    </row>
    <row r="1565" spans="1:4">
      <c r="A1565">
        <v>15</v>
      </c>
      <c r="B1565">
        <v>11</v>
      </c>
    </row>
    <row r="1566" spans="1:4">
      <c r="A1566">
        <v>15</v>
      </c>
      <c r="B1566" t="s">
        <v>2810</v>
      </c>
    </row>
    <row r="1567" spans="1:4">
      <c r="A1567">
        <v>16</v>
      </c>
      <c r="B1567">
        <v>1</v>
      </c>
    </row>
    <row r="1568" spans="1:4">
      <c r="A1568">
        <v>16</v>
      </c>
      <c r="B1568">
        <v>2</v>
      </c>
    </row>
    <row r="1569" spans="1:4">
      <c r="A1569">
        <v>16</v>
      </c>
      <c r="B1569">
        <v>3</v>
      </c>
    </row>
    <row r="1570" spans="1:4">
      <c r="A1570">
        <v>16</v>
      </c>
      <c r="B1570">
        <v>4</v>
      </c>
      <c r="C1570" t="s">
        <v>1567</v>
      </c>
      <c r="D1570">
        <v>2</v>
      </c>
    </row>
    <row r="1571" spans="1:4">
      <c r="A1571">
        <v>16</v>
      </c>
      <c r="B1571">
        <v>5</v>
      </c>
      <c r="C1571" t="s">
        <v>77</v>
      </c>
      <c r="D1571">
        <v>6</v>
      </c>
    </row>
    <row r="1572" spans="1:4">
      <c r="A1572">
        <v>16</v>
      </c>
      <c r="B1572">
        <v>6</v>
      </c>
    </row>
    <row r="1573" spans="1:4">
      <c r="A1573">
        <v>16</v>
      </c>
      <c r="B1573">
        <v>7</v>
      </c>
    </row>
    <row r="1574" spans="1:4">
      <c r="A1574">
        <v>16</v>
      </c>
      <c r="B1574">
        <v>8</v>
      </c>
    </row>
    <row r="1575" spans="1:4">
      <c r="A1575">
        <v>16</v>
      </c>
      <c r="B1575">
        <v>9</v>
      </c>
    </row>
    <row r="1576" spans="1:4">
      <c r="A1576">
        <v>16</v>
      </c>
      <c r="B1576">
        <v>10</v>
      </c>
    </row>
    <row r="1577" spans="1:4">
      <c r="A1577">
        <v>16</v>
      </c>
      <c r="B1577">
        <v>11</v>
      </c>
    </row>
    <row r="1578" spans="1:4">
      <c r="A1578">
        <v>16</v>
      </c>
      <c r="B1578" t="s">
        <v>2810</v>
      </c>
    </row>
    <row r="1579" spans="1:4">
      <c r="A1579">
        <v>17</v>
      </c>
      <c r="B1579">
        <v>1</v>
      </c>
      <c r="C1579" t="s">
        <v>87</v>
      </c>
      <c r="D1579">
        <v>5</v>
      </c>
    </row>
    <row r="1580" spans="1:4">
      <c r="A1580">
        <v>17</v>
      </c>
      <c r="B1580">
        <v>2</v>
      </c>
    </row>
    <row r="1581" spans="1:4">
      <c r="A1581">
        <v>17</v>
      </c>
      <c r="B1581">
        <v>3</v>
      </c>
    </row>
    <row r="1582" spans="1:4">
      <c r="A1582">
        <v>17</v>
      </c>
      <c r="B1582">
        <v>4</v>
      </c>
    </row>
    <row r="1583" spans="1:4">
      <c r="A1583">
        <v>17</v>
      </c>
      <c r="B1583">
        <v>5</v>
      </c>
    </row>
    <row r="1584" spans="1:4">
      <c r="A1584">
        <v>17</v>
      </c>
      <c r="B1584">
        <v>6</v>
      </c>
    </row>
    <row r="1585" spans="1:4">
      <c r="A1585">
        <v>17</v>
      </c>
      <c r="B1585">
        <v>7</v>
      </c>
    </row>
    <row r="1586" spans="1:4">
      <c r="A1586">
        <v>17</v>
      </c>
      <c r="B1586">
        <v>8</v>
      </c>
    </row>
    <row r="1587" spans="1:4">
      <c r="A1587">
        <v>17</v>
      </c>
      <c r="B1587">
        <v>9</v>
      </c>
      <c r="C1587" t="s">
        <v>1565</v>
      </c>
      <c r="D1587">
        <v>4</v>
      </c>
    </row>
    <row r="1588" spans="1:4">
      <c r="A1588">
        <v>17</v>
      </c>
      <c r="B1588">
        <v>10</v>
      </c>
    </row>
    <row r="1589" spans="1:4">
      <c r="A1589">
        <v>17</v>
      </c>
      <c r="B1589">
        <v>11</v>
      </c>
    </row>
    <row r="1590" spans="1:4">
      <c r="A1590">
        <v>17</v>
      </c>
      <c r="B1590" t="s">
        <v>2810</v>
      </c>
    </row>
    <row r="1591" spans="1:4">
      <c r="A1591">
        <v>18</v>
      </c>
      <c r="B1591">
        <v>1</v>
      </c>
      <c r="C1591" t="s">
        <v>87</v>
      </c>
      <c r="D1591">
        <v>5</v>
      </c>
    </row>
    <row r="1592" spans="1:4">
      <c r="A1592">
        <v>18</v>
      </c>
      <c r="B1592">
        <v>2</v>
      </c>
    </row>
    <row r="1593" spans="1:4">
      <c r="A1593">
        <v>18</v>
      </c>
      <c r="B1593">
        <v>3</v>
      </c>
    </row>
    <row r="1594" spans="1:4">
      <c r="A1594">
        <v>18</v>
      </c>
      <c r="B1594">
        <v>4</v>
      </c>
    </row>
    <row r="1595" spans="1:4">
      <c r="A1595">
        <v>18</v>
      </c>
      <c r="B1595">
        <v>5</v>
      </c>
      <c r="C1595" t="s">
        <v>1565</v>
      </c>
      <c r="D1595">
        <v>5</v>
      </c>
    </row>
    <row r="1596" spans="1:4">
      <c r="A1596">
        <v>18</v>
      </c>
      <c r="B1596">
        <v>6</v>
      </c>
    </row>
    <row r="1597" spans="1:4">
      <c r="A1597">
        <v>18</v>
      </c>
      <c r="B1597">
        <v>7</v>
      </c>
    </row>
    <row r="1598" spans="1:4">
      <c r="A1598">
        <v>18</v>
      </c>
      <c r="B1598">
        <v>8</v>
      </c>
    </row>
    <row r="1599" spans="1:4">
      <c r="A1599">
        <v>18</v>
      </c>
      <c r="B1599">
        <v>9</v>
      </c>
      <c r="C1599" t="s">
        <v>1565</v>
      </c>
      <c r="D1599">
        <v>7</v>
      </c>
    </row>
    <row r="1600" spans="1:4">
      <c r="A1600">
        <v>18</v>
      </c>
      <c r="B1600">
        <v>10</v>
      </c>
    </row>
    <row r="1601" spans="1:4">
      <c r="A1601">
        <v>18</v>
      </c>
      <c r="B1601">
        <v>11</v>
      </c>
    </row>
    <row r="1602" spans="1:4">
      <c r="A1602">
        <v>18</v>
      </c>
      <c r="B1602" t="s">
        <v>2810</v>
      </c>
    </row>
    <row r="1603" spans="1:4">
      <c r="A1603">
        <v>19</v>
      </c>
      <c r="B1603">
        <v>1</v>
      </c>
      <c r="C1603" t="s">
        <v>87</v>
      </c>
      <c r="D1603">
        <v>8</v>
      </c>
    </row>
    <row r="1604" spans="1:4">
      <c r="A1604">
        <v>19</v>
      </c>
      <c r="B1604">
        <v>2</v>
      </c>
    </row>
    <row r="1605" spans="1:4">
      <c r="A1605">
        <v>19</v>
      </c>
      <c r="B1605">
        <v>3</v>
      </c>
    </row>
    <row r="1606" spans="1:4">
      <c r="A1606">
        <v>19</v>
      </c>
      <c r="B1606">
        <v>4</v>
      </c>
    </row>
    <row r="1607" spans="1:4">
      <c r="A1607">
        <v>19</v>
      </c>
      <c r="B1607">
        <v>5</v>
      </c>
    </row>
    <row r="1608" spans="1:4">
      <c r="A1608">
        <v>19</v>
      </c>
      <c r="B1608">
        <v>6</v>
      </c>
    </row>
    <row r="1609" spans="1:4">
      <c r="A1609">
        <v>19</v>
      </c>
      <c r="B1609">
        <v>7</v>
      </c>
      <c r="C1609" t="s">
        <v>1565</v>
      </c>
      <c r="D1609">
        <v>5</v>
      </c>
    </row>
    <row r="1610" spans="1:4">
      <c r="A1610">
        <v>19</v>
      </c>
      <c r="B1610">
        <v>8</v>
      </c>
      <c r="C1610" t="s">
        <v>1565</v>
      </c>
      <c r="D1610">
        <v>7</v>
      </c>
    </row>
    <row r="1611" spans="1:4">
      <c r="A1611">
        <v>19</v>
      </c>
      <c r="B1611">
        <v>9</v>
      </c>
    </row>
    <row r="1612" spans="1:4">
      <c r="A1612">
        <v>19</v>
      </c>
      <c r="B1612">
        <v>10</v>
      </c>
    </row>
    <row r="1613" spans="1:4">
      <c r="A1613">
        <v>19</v>
      </c>
      <c r="B1613">
        <v>11</v>
      </c>
    </row>
    <row r="1614" spans="1:4">
      <c r="A1614">
        <v>19</v>
      </c>
      <c r="B1614" t="s">
        <v>2810</v>
      </c>
    </row>
    <row r="1615" spans="1:4">
      <c r="A1615">
        <v>20</v>
      </c>
      <c r="B1615">
        <v>1</v>
      </c>
      <c r="C1615" t="s">
        <v>87</v>
      </c>
      <c r="D1615">
        <v>6</v>
      </c>
    </row>
    <row r="1616" spans="1:4">
      <c r="A1616">
        <v>20</v>
      </c>
      <c r="B1616">
        <v>2</v>
      </c>
    </row>
    <row r="1617" spans="1:4">
      <c r="A1617">
        <v>20</v>
      </c>
      <c r="B1617">
        <v>3</v>
      </c>
    </row>
    <row r="1618" spans="1:4">
      <c r="A1618">
        <v>20</v>
      </c>
      <c r="B1618">
        <v>4</v>
      </c>
    </row>
    <row r="1619" spans="1:4">
      <c r="A1619">
        <v>20</v>
      </c>
      <c r="B1619">
        <v>5</v>
      </c>
    </row>
    <row r="1620" spans="1:4">
      <c r="A1620">
        <v>20</v>
      </c>
      <c r="B1620">
        <v>6</v>
      </c>
    </row>
    <row r="1621" spans="1:4">
      <c r="A1621">
        <v>20</v>
      </c>
      <c r="B1621">
        <v>7</v>
      </c>
    </row>
    <row r="1622" spans="1:4">
      <c r="A1622">
        <v>20</v>
      </c>
      <c r="B1622">
        <v>8</v>
      </c>
      <c r="C1622" t="s">
        <v>1565</v>
      </c>
      <c r="D1622">
        <v>4</v>
      </c>
    </row>
    <row r="1623" spans="1:4">
      <c r="A1623">
        <v>20</v>
      </c>
      <c r="B1623">
        <v>9</v>
      </c>
    </row>
    <row r="1624" spans="1:4">
      <c r="A1624">
        <v>20</v>
      </c>
      <c r="B1624">
        <v>10</v>
      </c>
    </row>
    <row r="1625" spans="1:4">
      <c r="A1625">
        <v>20</v>
      </c>
      <c r="B1625">
        <v>11</v>
      </c>
    </row>
    <row r="1626" spans="1:4">
      <c r="A1626">
        <v>20</v>
      </c>
      <c r="B1626" t="s">
        <v>2810</v>
      </c>
    </row>
    <row r="1627" spans="1:4">
      <c r="A1627">
        <v>21</v>
      </c>
      <c r="B1627">
        <v>1</v>
      </c>
    </row>
    <row r="1628" spans="1:4">
      <c r="A1628">
        <v>21</v>
      </c>
      <c r="B1628">
        <v>2</v>
      </c>
      <c r="C1628" t="s">
        <v>87</v>
      </c>
      <c r="D1628">
        <v>7</v>
      </c>
    </row>
    <row r="1629" spans="1:4">
      <c r="A1629">
        <v>21</v>
      </c>
      <c r="B1629">
        <v>3</v>
      </c>
      <c r="C1629" t="s">
        <v>1565</v>
      </c>
      <c r="D1629">
        <v>6</v>
      </c>
    </row>
    <row r="1630" spans="1:4">
      <c r="A1630">
        <v>21</v>
      </c>
      <c r="B1630">
        <v>4</v>
      </c>
    </row>
    <row r="1631" spans="1:4">
      <c r="A1631">
        <v>21</v>
      </c>
      <c r="B1631">
        <v>5</v>
      </c>
    </row>
    <row r="1632" spans="1:4">
      <c r="A1632">
        <v>21</v>
      </c>
      <c r="B1632">
        <v>6</v>
      </c>
    </row>
    <row r="1633" spans="1:4">
      <c r="A1633">
        <v>21</v>
      </c>
      <c r="B1633">
        <v>7</v>
      </c>
    </row>
    <row r="1634" spans="1:4">
      <c r="A1634">
        <v>21</v>
      </c>
      <c r="B1634">
        <v>8</v>
      </c>
    </row>
    <row r="1635" spans="1:4">
      <c r="A1635">
        <v>21</v>
      </c>
      <c r="B1635">
        <v>9</v>
      </c>
      <c r="C1635" t="s">
        <v>1565</v>
      </c>
      <c r="D1635">
        <v>5</v>
      </c>
    </row>
    <row r="1636" spans="1:4">
      <c r="A1636">
        <v>21</v>
      </c>
      <c r="B1636">
        <v>10</v>
      </c>
    </row>
    <row r="1637" spans="1:4">
      <c r="A1637">
        <v>21</v>
      </c>
      <c r="B1637">
        <v>11</v>
      </c>
    </row>
    <row r="1638" spans="1:4">
      <c r="A1638">
        <v>21</v>
      </c>
      <c r="B1638" t="s">
        <v>2810</v>
      </c>
    </row>
    <row r="1639" spans="1:4">
      <c r="A1639">
        <v>22</v>
      </c>
      <c r="B1639">
        <v>1</v>
      </c>
      <c r="C1639" t="s">
        <v>87</v>
      </c>
      <c r="D1639">
        <v>7</v>
      </c>
    </row>
    <row r="1640" spans="1:4">
      <c r="A1640">
        <v>22</v>
      </c>
      <c r="B1640">
        <v>2</v>
      </c>
    </row>
    <row r="1641" spans="1:4">
      <c r="A1641">
        <v>22</v>
      </c>
      <c r="B1641">
        <v>3</v>
      </c>
    </row>
    <row r="1642" spans="1:4">
      <c r="A1642">
        <v>22</v>
      </c>
      <c r="B1642">
        <v>4</v>
      </c>
    </row>
    <row r="1643" spans="1:4">
      <c r="A1643">
        <v>22</v>
      </c>
      <c r="B1643">
        <v>5</v>
      </c>
      <c r="C1643" t="s">
        <v>1565</v>
      </c>
      <c r="D1643">
        <v>5</v>
      </c>
    </row>
    <row r="1644" spans="1:4">
      <c r="A1644">
        <v>22</v>
      </c>
      <c r="B1644">
        <v>6</v>
      </c>
    </row>
    <row r="1645" spans="1:4">
      <c r="A1645">
        <v>22</v>
      </c>
      <c r="B1645">
        <v>7</v>
      </c>
    </row>
    <row r="1646" spans="1:4">
      <c r="A1646">
        <v>22</v>
      </c>
      <c r="B1646">
        <v>8</v>
      </c>
    </row>
    <row r="1647" spans="1:4">
      <c r="A1647">
        <v>22</v>
      </c>
      <c r="B1647">
        <v>9</v>
      </c>
    </row>
    <row r="1648" spans="1:4">
      <c r="A1648">
        <v>22</v>
      </c>
      <c r="B1648">
        <v>10</v>
      </c>
      <c r="C1648" t="s">
        <v>1565</v>
      </c>
      <c r="D1648">
        <v>7</v>
      </c>
    </row>
    <row r="1649" spans="1:4">
      <c r="A1649">
        <v>22</v>
      </c>
      <c r="B1649">
        <v>11</v>
      </c>
    </row>
    <row r="1650" spans="1:4">
      <c r="A1650">
        <v>22</v>
      </c>
      <c r="B1650" t="s">
        <v>2810</v>
      </c>
    </row>
    <row r="1651" spans="1:4">
      <c r="A1651">
        <v>23</v>
      </c>
      <c r="B1651">
        <v>1</v>
      </c>
      <c r="C1651" t="s">
        <v>87</v>
      </c>
      <c r="D1651">
        <v>6</v>
      </c>
    </row>
    <row r="1652" spans="1:4">
      <c r="A1652">
        <v>23</v>
      </c>
      <c r="B1652">
        <v>2</v>
      </c>
    </row>
    <row r="1653" spans="1:4">
      <c r="A1653">
        <v>23</v>
      </c>
      <c r="B1653">
        <v>3</v>
      </c>
    </row>
    <row r="1654" spans="1:4">
      <c r="A1654">
        <v>23</v>
      </c>
      <c r="B1654">
        <v>4</v>
      </c>
    </row>
    <row r="1655" spans="1:4">
      <c r="A1655">
        <v>23</v>
      </c>
      <c r="B1655">
        <v>5</v>
      </c>
      <c r="C1655" t="s">
        <v>1565</v>
      </c>
      <c r="D1655">
        <v>4</v>
      </c>
    </row>
    <row r="1656" spans="1:4">
      <c r="A1656">
        <v>23</v>
      </c>
      <c r="B1656">
        <v>6</v>
      </c>
    </row>
    <row r="1657" spans="1:4">
      <c r="A1657">
        <v>23</v>
      </c>
      <c r="B1657">
        <v>7</v>
      </c>
    </row>
    <row r="1658" spans="1:4">
      <c r="A1658">
        <v>23</v>
      </c>
      <c r="B1658">
        <v>8</v>
      </c>
      <c r="C1658" t="s">
        <v>1565</v>
      </c>
      <c r="D1658">
        <v>6</v>
      </c>
    </row>
    <row r="1659" spans="1:4">
      <c r="A1659">
        <v>23</v>
      </c>
      <c r="B1659">
        <v>9</v>
      </c>
    </row>
    <row r="1660" spans="1:4">
      <c r="A1660">
        <v>23</v>
      </c>
      <c r="B1660">
        <v>10</v>
      </c>
    </row>
    <row r="1661" spans="1:4">
      <c r="A1661">
        <v>23</v>
      </c>
      <c r="B1661">
        <v>11</v>
      </c>
    </row>
    <row r="1662" spans="1:4">
      <c r="A1662">
        <v>23</v>
      </c>
      <c r="B1662" t="s">
        <v>2810</v>
      </c>
    </row>
    <row r="1663" spans="1:4">
      <c r="A1663">
        <v>24</v>
      </c>
      <c r="B1663">
        <v>1</v>
      </c>
      <c r="C1663" t="s">
        <v>87</v>
      </c>
      <c r="D1663">
        <v>6</v>
      </c>
    </row>
    <row r="1664" spans="1:4">
      <c r="A1664">
        <v>24</v>
      </c>
      <c r="B1664">
        <v>2</v>
      </c>
    </row>
    <row r="1665" spans="1:4">
      <c r="A1665">
        <v>24</v>
      </c>
      <c r="B1665">
        <v>3</v>
      </c>
    </row>
    <row r="1666" spans="1:4">
      <c r="A1666">
        <v>24</v>
      </c>
      <c r="B1666">
        <v>4</v>
      </c>
    </row>
    <row r="1667" spans="1:4">
      <c r="A1667">
        <v>24</v>
      </c>
      <c r="B1667">
        <v>5</v>
      </c>
    </row>
    <row r="1668" spans="1:4">
      <c r="A1668">
        <v>24</v>
      </c>
      <c r="B1668">
        <v>6</v>
      </c>
    </row>
    <row r="1669" spans="1:4">
      <c r="A1669">
        <v>24</v>
      </c>
      <c r="B1669">
        <v>7</v>
      </c>
    </row>
    <row r="1670" spans="1:4">
      <c r="A1670">
        <v>24</v>
      </c>
      <c r="B1670">
        <v>8</v>
      </c>
      <c r="C1670" t="s">
        <v>1565</v>
      </c>
      <c r="D1670">
        <v>4</v>
      </c>
    </row>
    <row r="1671" spans="1:4">
      <c r="A1671">
        <v>24</v>
      </c>
      <c r="B1671">
        <v>9</v>
      </c>
    </row>
    <row r="1672" spans="1:4">
      <c r="A1672">
        <v>24</v>
      </c>
      <c r="B1672">
        <v>10</v>
      </c>
      <c r="C1672" t="s">
        <v>1565</v>
      </c>
      <c r="D1672">
        <v>7</v>
      </c>
    </row>
    <row r="1673" spans="1:4">
      <c r="A1673">
        <v>24</v>
      </c>
      <c r="B1673">
        <v>11</v>
      </c>
    </row>
    <row r="1674" spans="1:4">
      <c r="A1674">
        <v>24</v>
      </c>
      <c r="B1674" t="s">
        <v>2810</v>
      </c>
    </row>
    <row r="1675" spans="1:4">
      <c r="A1675">
        <v>25</v>
      </c>
      <c r="B1675">
        <v>1</v>
      </c>
      <c r="C1675" t="s">
        <v>1526</v>
      </c>
      <c r="D1675">
        <v>6</v>
      </c>
    </row>
    <row r="1676" spans="1:4">
      <c r="A1676">
        <v>25</v>
      </c>
      <c r="B1676">
        <v>2</v>
      </c>
      <c r="C1676" t="s">
        <v>87</v>
      </c>
      <c r="D1676">
        <v>6</v>
      </c>
    </row>
    <row r="1677" spans="1:4">
      <c r="A1677">
        <v>25</v>
      </c>
      <c r="B1677">
        <v>3</v>
      </c>
    </row>
    <row r="1678" spans="1:4">
      <c r="A1678">
        <v>25</v>
      </c>
      <c r="B1678">
        <v>4</v>
      </c>
    </row>
    <row r="1679" spans="1:4">
      <c r="A1679">
        <v>25</v>
      </c>
      <c r="B1679">
        <v>5</v>
      </c>
      <c r="C1679" t="s">
        <v>1565</v>
      </c>
      <c r="D1679">
        <v>9</v>
      </c>
    </row>
    <row r="1680" spans="1:4">
      <c r="A1680">
        <v>25</v>
      </c>
      <c r="B1680">
        <v>6</v>
      </c>
    </row>
    <row r="1681" spans="1:4">
      <c r="A1681">
        <v>25</v>
      </c>
      <c r="B1681">
        <v>7</v>
      </c>
    </row>
    <row r="1682" spans="1:4">
      <c r="A1682">
        <v>25</v>
      </c>
      <c r="B1682">
        <v>8</v>
      </c>
    </row>
    <row r="1683" spans="1:4">
      <c r="A1683">
        <v>25</v>
      </c>
      <c r="B1683">
        <v>9</v>
      </c>
      <c r="C1683" t="s">
        <v>1565</v>
      </c>
      <c r="D1683">
        <v>7</v>
      </c>
    </row>
    <row r="1684" spans="1:4">
      <c r="A1684">
        <v>25</v>
      </c>
      <c r="B1684">
        <v>10</v>
      </c>
    </row>
    <row r="1685" spans="1:4">
      <c r="A1685">
        <v>25</v>
      </c>
      <c r="B1685">
        <v>11</v>
      </c>
    </row>
    <row r="1686" spans="1:4">
      <c r="A1686">
        <v>25</v>
      </c>
      <c r="B1686" t="s">
        <v>2810</v>
      </c>
    </row>
    <row r="1687" spans="1:4" ht="31.5">
      <c r="A1687">
        <v>26</v>
      </c>
      <c r="B1687">
        <v>1</v>
      </c>
      <c r="C1687" s="422" t="s">
        <v>2873</v>
      </c>
      <c r="D1687">
        <v>4</v>
      </c>
    </row>
    <row r="1688" spans="1:4">
      <c r="A1688">
        <v>26</v>
      </c>
      <c r="B1688">
        <v>2</v>
      </c>
    </row>
    <row r="1689" spans="1:4">
      <c r="A1689">
        <v>26</v>
      </c>
      <c r="B1689">
        <v>3</v>
      </c>
      <c r="C1689" t="s">
        <v>1526</v>
      </c>
      <c r="D1689">
        <v>3</v>
      </c>
    </row>
    <row r="1690" spans="1:4">
      <c r="A1690">
        <v>26</v>
      </c>
      <c r="B1690">
        <v>4</v>
      </c>
    </row>
    <row r="1691" spans="1:4">
      <c r="A1691">
        <v>26</v>
      </c>
      <c r="B1691">
        <v>5</v>
      </c>
    </row>
    <row r="1692" spans="1:4">
      <c r="A1692">
        <v>26</v>
      </c>
      <c r="B1692">
        <v>6</v>
      </c>
    </row>
    <row r="1693" spans="1:4">
      <c r="A1693">
        <v>26</v>
      </c>
      <c r="B1693">
        <v>7</v>
      </c>
    </row>
    <row r="1694" spans="1:4">
      <c r="A1694">
        <v>26</v>
      </c>
      <c r="B1694">
        <v>8</v>
      </c>
      <c r="C1694" t="s">
        <v>1565</v>
      </c>
      <c r="D1694">
        <v>5</v>
      </c>
    </row>
    <row r="1695" spans="1:4">
      <c r="A1695">
        <v>26</v>
      </c>
      <c r="B1695">
        <v>9</v>
      </c>
    </row>
    <row r="1696" spans="1:4">
      <c r="A1696">
        <v>26</v>
      </c>
      <c r="B1696">
        <v>10</v>
      </c>
    </row>
    <row r="1697" spans="1:4">
      <c r="A1697">
        <v>26</v>
      </c>
      <c r="B1697">
        <v>11</v>
      </c>
    </row>
    <row r="1698" spans="1:4">
      <c r="A1698">
        <v>26</v>
      </c>
      <c r="B1698" t="s">
        <v>2810</v>
      </c>
    </row>
    <row r="1699" spans="1:4">
      <c r="A1699">
        <v>27</v>
      </c>
      <c r="B1699">
        <v>1</v>
      </c>
      <c r="C1699" t="s">
        <v>87</v>
      </c>
      <c r="D1699">
        <v>5</v>
      </c>
    </row>
    <row r="1700" spans="1:4">
      <c r="A1700">
        <v>27</v>
      </c>
      <c r="B1700">
        <v>2</v>
      </c>
    </row>
    <row r="1701" spans="1:4">
      <c r="A1701">
        <v>27</v>
      </c>
      <c r="B1701">
        <v>3</v>
      </c>
    </row>
    <row r="1702" spans="1:4">
      <c r="A1702">
        <v>27</v>
      </c>
      <c r="B1702">
        <v>4</v>
      </c>
      <c r="C1702" t="s">
        <v>1565</v>
      </c>
      <c r="D1702">
        <v>6</v>
      </c>
    </row>
    <row r="1703" spans="1:4">
      <c r="A1703">
        <v>27</v>
      </c>
      <c r="B1703">
        <v>5</v>
      </c>
    </row>
    <row r="1704" spans="1:4">
      <c r="A1704">
        <v>27</v>
      </c>
      <c r="B1704">
        <v>6</v>
      </c>
    </row>
    <row r="1705" spans="1:4">
      <c r="A1705">
        <v>27</v>
      </c>
      <c r="B1705">
        <v>7</v>
      </c>
    </row>
    <row r="1706" spans="1:4">
      <c r="A1706">
        <v>27</v>
      </c>
      <c r="B1706">
        <v>8</v>
      </c>
    </row>
    <row r="1707" spans="1:4">
      <c r="A1707">
        <v>27</v>
      </c>
      <c r="B1707">
        <v>9</v>
      </c>
      <c r="C1707" t="s">
        <v>77</v>
      </c>
      <c r="D1707">
        <v>6</v>
      </c>
    </row>
    <row r="1708" spans="1:4">
      <c r="A1708">
        <v>27</v>
      </c>
      <c r="B1708">
        <v>10</v>
      </c>
      <c r="C1708" t="s">
        <v>77</v>
      </c>
      <c r="D1708">
        <v>4</v>
      </c>
    </row>
    <row r="1709" spans="1:4">
      <c r="A1709">
        <v>27</v>
      </c>
      <c r="B1709">
        <v>11</v>
      </c>
    </row>
    <row r="1710" spans="1:4">
      <c r="A1710">
        <v>27</v>
      </c>
      <c r="B1710" t="s">
        <v>2810</v>
      </c>
    </row>
    <row r="1711" spans="1:4">
      <c r="A1711">
        <v>28</v>
      </c>
      <c r="B1711">
        <v>1</v>
      </c>
    </row>
    <row r="1712" spans="1:4">
      <c r="A1712">
        <v>28</v>
      </c>
      <c r="B1712">
        <v>2</v>
      </c>
    </row>
    <row r="1713" spans="1:4">
      <c r="A1713">
        <v>28</v>
      </c>
      <c r="B1713">
        <v>3</v>
      </c>
    </row>
    <row r="1714" spans="1:4">
      <c r="A1714">
        <v>28</v>
      </c>
      <c r="B1714">
        <v>4</v>
      </c>
    </row>
    <row r="1715" spans="1:4">
      <c r="A1715">
        <v>28</v>
      </c>
      <c r="B1715">
        <v>5</v>
      </c>
    </row>
    <row r="1716" spans="1:4">
      <c r="A1716">
        <v>28</v>
      </c>
      <c r="B1716">
        <v>6</v>
      </c>
      <c r="C1716" t="s">
        <v>87</v>
      </c>
      <c r="D1716">
        <v>7</v>
      </c>
    </row>
    <row r="1717" spans="1:4">
      <c r="A1717">
        <v>28</v>
      </c>
      <c r="B1717">
        <v>7</v>
      </c>
    </row>
    <row r="1718" spans="1:4">
      <c r="A1718">
        <v>28</v>
      </c>
      <c r="B1718">
        <v>8</v>
      </c>
    </row>
    <row r="1719" spans="1:4">
      <c r="A1719">
        <v>28</v>
      </c>
      <c r="B1719">
        <v>9</v>
      </c>
    </row>
    <row r="1720" spans="1:4">
      <c r="A1720">
        <v>28</v>
      </c>
      <c r="B1720">
        <v>10</v>
      </c>
      <c r="C1720" t="s">
        <v>1565</v>
      </c>
      <c r="D1720">
        <v>5</v>
      </c>
    </row>
    <row r="1721" spans="1:4">
      <c r="A1721">
        <v>28</v>
      </c>
      <c r="B1721">
        <v>11</v>
      </c>
    </row>
    <row r="1722" spans="1:4">
      <c r="A1722">
        <v>28</v>
      </c>
      <c r="B1722" t="s">
        <v>2810</v>
      </c>
    </row>
    <row r="1723" spans="1:4">
      <c r="A1723">
        <v>29</v>
      </c>
      <c r="B1723">
        <v>1</v>
      </c>
    </row>
    <row r="1724" spans="1:4">
      <c r="A1724">
        <v>29</v>
      </c>
      <c r="B1724">
        <v>2</v>
      </c>
    </row>
    <row r="1725" spans="1:4">
      <c r="A1725">
        <v>29</v>
      </c>
      <c r="B1725">
        <v>3</v>
      </c>
      <c r="C1725" t="s">
        <v>1565</v>
      </c>
      <c r="D1725">
        <v>3</v>
      </c>
    </row>
    <row r="1726" spans="1:4">
      <c r="A1726">
        <v>29</v>
      </c>
      <c r="B1726">
        <v>4</v>
      </c>
    </row>
    <row r="1727" spans="1:4">
      <c r="A1727">
        <v>29</v>
      </c>
      <c r="B1727">
        <v>5</v>
      </c>
      <c r="C1727" t="s">
        <v>1565</v>
      </c>
      <c r="D1727">
        <v>5</v>
      </c>
    </row>
    <row r="1728" spans="1:4">
      <c r="A1728">
        <v>29</v>
      </c>
      <c r="B1728">
        <v>6</v>
      </c>
    </row>
    <row r="1729" spans="1:4">
      <c r="A1729">
        <v>29</v>
      </c>
      <c r="B1729">
        <v>7</v>
      </c>
    </row>
    <row r="1730" spans="1:4">
      <c r="A1730">
        <v>29</v>
      </c>
      <c r="B1730">
        <v>8</v>
      </c>
      <c r="C1730" t="s">
        <v>77</v>
      </c>
      <c r="D1730">
        <v>2</v>
      </c>
    </row>
    <row r="1731" spans="1:4">
      <c r="A1731">
        <v>29</v>
      </c>
      <c r="B1731">
        <v>9</v>
      </c>
    </row>
    <row r="1732" spans="1:4">
      <c r="A1732">
        <v>29</v>
      </c>
      <c r="B1732">
        <v>10</v>
      </c>
    </row>
    <row r="1733" spans="1:4">
      <c r="A1733">
        <v>29</v>
      </c>
      <c r="B1733">
        <v>11</v>
      </c>
    </row>
    <row r="1734" spans="1:4">
      <c r="A1734">
        <v>29</v>
      </c>
      <c r="B1734" t="s">
        <v>2810</v>
      </c>
      <c r="C1734" t="s">
        <v>1568</v>
      </c>
      <c r="D1734">
        <v>4</v>
      </c>
    </row>
    <row r="1735" spans="1:4">
      <c r="A1735">
        <v>30</v>
      </c>
      <c r="B1735">
        <v>1</v>
      </c>
    </row>
    <row r="1736" spans="1:4">
      <c r="A1736">
        <v>30</v>
      </c>
      <c r="B1736">
        <v>2</v>
      </c>
      <c r="C1736" t="s">
        <v>1566</v>
      </c>
      <c r="D1736">
        <v>4</v>
      </c>
    </row>
    <row r="1737" spans="1:4">
      <c r="A1737">
        <v>30</v>
      </c>
      <c r="B1737">
        <v>3</v>
      </c>
    </row>
    <row r="1738" spans="1:4">
      <c r="A1738">
        <v>30</v>
      </c>
      <c r="B1738">
        <v>4</v>
      </c>
      <c r="C1738" t="s">
        <v>1566</v>
      </c>
      <c r="D1738">
        <v>5</v>
      </c>
    </row>
    <row r="1739" spans="1:4">
      <c r="A1739">
        <v>30</v>
      </c>
      <c r="B1739">
        <v>5</v>
      </c>
    </row>
    <row r="1740" spans="1:4">
      <c r="A1740">
        <v>30</v>
      </c>
      <c r="B1740">
        <v>6</v>
      </c>
      <c r="C1740" t="s">
        <v>1565</v>
      </c>
      <c r="D1740">
        <v>2</v>
      </c>
    </row>
    <row r="1741" spans="1:4">
      <c r="A1741">
        <v>30</v>
      </c>
      <c r="B1741">
        <v>7</v>
      </c>
      <c r="C1741" t="s">
        <v>2872</v>
      </c>
      <c r="D1741" t="s">
        <v>2598</v>
      </c>
    </row>
    <row r="1742" spans="1:4">
      <c r="A1742">
        <v>30</v>
      </c>
      <c r="B1742">
        <v>8</v>
      </c>
      <c r="C1742" t="s">
        <v>1565</v>
      </c>
      <c r="D1742">
        <v>2</v>
      </c>
    </row>
    <row r="1743" spans="1:4">
      <c r="A1743">
        <v>30</v>
      </c>
      <c r="B1743">
        <v>9</v>
      </c>
    </row>
    <row r="1744" spans="1:4">
      <c r="A1744">
        <v>30</v>
      </c>
      <c r="B1744">
        <v>10</v>
      </c>
    </row>
    <row r="1745" spans="1:4">
      <c r="A1745">
        <v>30</v>
      </c>
      <c r="B1745">
        <v>11</v>
      </c>
    </row>
    <row r="1746" spans="1:4">
      <c r="A1746">
        <v>30</v>
      </c>
      <c r="B1746" t="s">
        <v>2810</v>
      </c>
    </row>
    <row r="1747" spans="1:4">
      <c r="A1747">
        <v>31</v>
      </c>
      <c r="B1747">
        <v>1</v>
      </c>
    </row>
    <row r="1748" spans="1:4">
      <c r="A1748">
        <v>31</v>
      </c>
      <c r="B1748">
        <v>2</v>
      </c>
      <c r="C1748" t="s">
        <v>1565</v>
      </c>
      <c r="D1748">
        <v>4</v>
      </c>
    </row>
    <row r="1749" spans="1:4">
      <c r="A1749">
        <v>31</v>
      </c>
      <c r="B1749">
        <v>3</v>
      </c>
    </row>
    <row r="1750" spans="1:4">
      <c r="A1750">
        <v>31</v>
      </c>
      <c r="B1750">
        <v>4</v>
      </c>
      <c r="C1750" t="s">
        <v>1566</v>
      </c>
      <c r="D1750">
        <v>7</v>
      </c>
    </row>
    <row r="1751" spans="1:4">
      <c r="A1751">
        <v>31</v>
      </c>
      <c r="B1751">
        <v>5</v>
      </c>
    </row>
    <row r="1752" spans="1:4">
      <c r="A1752">
        <v>31</v>
      </c>
      <c r="B1752">
        <v>6</v>
      </c>
      <c r="C1752" t="s">
        <v>1566</v>
      </c>
      <c r="D1752">
        <v>8</v>
      </c>
    </row>
    <row r="1753" spans="1:4">
      <c r="A1753">
        <v>31</v>
      </c>
      <c r="B1753">
        <v>7</v>
      </c>
    </row>
    <row r="1754" spans="1:4">
      <c r="A1754">
        <v>31</v>
      </c>
      <c r="B1754">
        <v>8</v>
      </c>
      <c r="C1754" t="s">
        <v>1565</v>
      </c>
      <c r="D1754">
        <v>3</v>
      </c>
    </row>
    <row r="1755" spans="1:4">
      <c r="A1755">
        <v>31</v>
      </c>
      <c r="B1755">
        <v>9</v>
      </c>
    </row>
    <row r="1756" spans="1:4">
      <c r="A1756">
        <v>31</v>
      </c>
      <c r="B1756">
        <v>10</v>
      </c>
      <c r="C1756" t="s">
        <v>1565</v>
      </c>
      <c r="D1756">
        <v>4</v>
      </c>
    </row>
    <row r="1757" spans="1:4">
      <c r="A1757">
        <v>31</v>
      </c>
      <c r="B1757">
        <v>11</v>
      </c>
    </row>
    <row r="1758" spans="1:4">
      <c r="A1758">
        <v>31</v>
      </c>
      <c r="B1758" t="s">
        <v>2810</v>
      </c>
    </row>
    <row r="1759" spans="1:4">
      <c r="A1759">
        <v>32</v>
      </c>
      <c r="B1759">
        <v>1</v>
      </c>
    </row>
    <row r="1760" spans="1:4">
      <c r="A1760">
        <v>32</v>
      </c>
      <c r="B1760">
        <v>2</v>
      </c>
      <c r="C1760" t="s">
        <v>42</v>
      </c>
      <c r="D1760">
        <v>4</v>
      </c>
    </row>
    <row r="1761" spans="1:4">
      <c r="A1761">
        <v>32</v>
      </c>
      <c r="B1761">
        <v>3</v>
      </c>
      <c r="C1761" t="s">
        <v>1565</v>
      </c>
      <c r="D1761">
        <v>5</v>
      </c>
    </row>
    <row r="1762" spans="1:4">
      <c r="A1762">
        <v>32</v>
      </c>
      <c r="B1762">
        <v>4</v>
      </c>
      <c r="C1762" t="s">
        <v>2869</v>
      </c>
      <c r="D1762">
        <v>3</v>
      </c>
    </row>
    <row r="1763" spans="1:4">
      <c r="A1763">
        <v>32</v>
      </c>
      <c r="B1763">
        <v>5</v>
      </c>
      <c r="C1763" t="s">
        <v>42</v>
      </c>
      <c r="D1763">
        <v>5</v>
      </c>
    </row>
    <row r="1764" spans="1:4">
      <c r="A1764">
        <v>32</v>
      </c>
      <c r="B1764">
        <v>6</v>
      </c>
      <c r="C1764" t="s">
        <v>42</v>
      </c>
      <c r="D1764">
        <v>4</v>
      </c>
    </row>
    <row r="1765" spans="1:4">
      <c r="A1765">
        <v>32</v>
      </c>
      <c r="B1765">
        <v>7</v>
      </c>
      <c r="C1765" t="s">
        <v>2869</v>
      </c>
      <c r="D1765">
        <v>4</v>
      </c>
    </row>
    <row r="1766" spans="1:4">
      <c r="A1766">
        <v>32</v>
      </c>
      <c r="B1766" s="35">
        <v>8</v>
      </c>
      <c r="C1766" t="s">
        <v>42</v>
      </c>
      <c r="D1766" t="s">
        <v>2874</v>
      </c>
    </row>
    <row r="1767" spans="1:4">
      <c r="A1767">
        <v>32</v>
      </c>
      <c r="B1767">
        <v>9</v>
      </c>
      <c r="C1767" t="s">
        <v>1565</v>
      </c>
      <c r="D1767">
        <v>6</v>
      </c>
    </row>
    <row r="1768" spans="1:4">
      <c r="A1768">
        <v>32</v>
      </c>
      <c r="B1768">
        <v>10</v>
      </c>
    </row>
    <row r="1769" spans="1:4">
      <c r="A1769">
        <v>32</v>
      </c>
      <c r="B1769" t="s">
        <v>2810</v>
      </c>
    </row>
    <row r="1770" spans="1:4">
      <c r="A1770">
        <v>33</v>
      </c>
      <c r="B1770">
        <v>1</v>
      </c>
    </row>
    <row r="1771" spans="1:4">
      <c r="A1771">
        <v>33</v>
      </c>
      <c r="B1771">
        <v>2</v>
      </c>
    </row>
    <row r="1772" spans="1:4">
      <c r="A1772">
        <v>33</v>
      </c>
      <c r="B1772">
        <v>3</v>
      </c>
    </row>
    <row r="1773" spans="1:4">
      <c r="A1773">
        <v>33</v>
      </c>
      <c r="B1773">
        <v>4</v>
      </c>
    </row>
    <row r="1774" spans="1:4">
      <c r="A1774">
        <v>33</v>
      </c>
      <c r="B1774">
        <v>5</v>
      </c>
    </row>
    <row r="1775" spans="1:4">
      <c r="A1775">
        <v>33</v>
      </c>
      <c r="B1775">
        <v>6</v>
      </c>
    </row>
    <row r="1776" spans="1:4">
      <c r="A1776">
        <v>33</v>
      </c>
      <c r="B1776">
        <v>7</v>
      </c>
    </row>
    <row r="1777" spans="1:4">
      <c r="A1777">
        <v>33</v>
      </c>
      <c r="B1777">
        <v>8</v>
      </c>
    </row>
    <row r="1778" spans="1:4">
      <c r="A1778">
        <v>33</v>
      </c>
      <c r="B1778">
        <v>9</v>
      </c>
    </row>
    <row r="1779" spans="1:4">
      <c r="A1779">
        <v>33</v>
      </c>
      <c r="B1779">
        <v>10</v>
      </c>
    </row>
    <row r="1780" spans="1:4">
      <c r="A1780">
        <v>33</v>
      </c>
      <c r="B1780" t="s">
        <v>2810</v>
      </c>
    </row>
    <row r="1781" spans="1:4">
      <c r="A1781">
        <v>34</v>
      </c>
      <c r="B1781">
        <v>1</v>
      </c>
      <c r="C1781" t="s">
        <v>1568</v>
      </c>
      <c r="D1781" t="s">
        <v>2593</v>
      </c>
    </row>
    <row r="1782" spans="1:4">
      <c r="A1782">
        <v>34</v>
      </c>
      <c r="B1782">
        <v>2</v>
      </c>
    </row>
    <row r="1783" spans="1:4">
      <c r="A1783">
        <v>34</v>
      </c>
      <c r="B1783" s="35">
        <v>3</v>
      </c>
    </row>
    <row r="1784" spans="1:4">
      <c r="A1784">
        <v>34</v>
      </c>
      <c r="B1784">
        <v>4</v>
      </c>
    </row>
    <row r="1785" spans="1:4">
      <c r="A1785">
        <v>34</v>
      </c>
      <c r="B1785">
        <v>5</v>
      </c>
    </row>
    <row r="1786" spans="1:4">
      <c r="A1786">
        <v>34</v>
      </c>
      <c r="B1786">
        <v>6</v>
      </c>
    </row>
    <row r="1787" spans="1:4">
      <c r="A1787">
        <v>34</v>
      </c>
      <c r="B1787">
        <v>7</v>
      </c>
    </row>
    <row r="1788" spans="1:4">
      <c r="A1788">
        <v>34</v>
      </c>
      <c r="B1788" s="35">
        <v>8</v>
      </c>
    </row>
    <row r="1789" spans="1:4">
      <c r="A1789">
        <v>34</v>
      </c>
      <c r="B1789">
        <v>9</v>
      </c>
    </row>
    <row r="1790" spans="1:4">
      <c r="A1790">
        <v>34</v>
      </c>
      <c r="B1790" t="s">
        <v>2810</v>
      </c>
    </row>
    <row r="1791" spans="1:4">
      <c r="A1791">
        <v>35</v>
      </c>
      <c r="B1791">
        <v>1</v>
      </c>
      <c r="C1791" t="s">
        <v>87</v>
      </c>
      <c r="D1791">
        <v>4</v>
      </c>
    </row>
    <row r="1792" spans="1:4">
      <c r="A1792">
        <v>35</v>
      </c>
      <c r="B1792">
        <v>2</v>
      </c>
    </row>
    <row r="1793" spans="1:4">
      <c r="A1793">
        <v>35</v>
      </c>
      <c r="B1793">
        <v>3</v>
      </c>
    </row>
    <row r="1794" spans="1:4">
      <c r="A1794">
        <v>35</v>
      </c>
      <c r="B1794">
        <v>4</v>
      </c>
    </row>
    <row r="1795" spans="1:4">
      <c r="A1795">
        <v>35</v>
      </c>
      <c r="B1795">
        <v>5</v>
      </c>
    </row>
    <row r="1796" spans="1:4">
      <c r="A1796">
        <v>35</v>
      </c>
      <c r="B1796">
        <v>6</v>
      </c>
      <c r="C1796" t="s">
        <v>77</v>
      </c>
      <c r="D1796">
        <v>4</v>
      </c>
    </row>
    <row r="1797" spans="1:4">
      <c r="A1797">
        <v>35</v>
      </c>
      <c r="B1797">
        <v>7</v>
      </c>
    </row>
    <row r="1798" spans="1:4">
      <c r="A1798">
        <v>35</v>
      </c>
      <c r="B1798">
        <v>8</v>
      </c>
      <c r="C1798" t="s">
        <v>87</v>
      </c>
      <c r="D1798">
        <v>4</v>
      </c>
    </row>
    <row r="1799" spans="1:4">
      <c r="A1799">
        <v>35</v>
      </c>
      <c r="B1799">
        <v>9</v>
      </c>
    </row>
    <row r="1800" spans="1:4">
      <c r="A1800">
        <v>35</v>
      </c>
      <c r="B1800">
        <v>10</v>
      </c>
    </row>
    <row r="1801" spans="1:4">
      <c r="A1801">
        <v>35</v>
      </c>
      <c r="B1801">
        <v>11</v>
      </c>
    </row>
    <row r="1802" spans="1:4">
      <c r="A1802">
        <v>35</v>
      </c>
      <c r="B1802" t="s">
        <v>2810</v>
      </c>
      <c r="C1802" t="s">
        <v>1568</v>
      </c>
      <c r="D1802">
        <v>3</v>
      </c>
    </row>
    <row r="1803" spans="1:4">
      <c r="A1803">
        <v>36</v>
      </c>
      <c r="B1803">
        <v>1</v>
      </c>
    </row>
    <row r="1804" spans="1:4">
      <c r="A1804">
        <v>36</v>
      </c>
      <c r="B1804">
        <v>2</v>
      </c>
    </row>
    <row r="1805" spans="1:4">
      <c r="A1805">
        <v>36</v>
      </c>
      <c r="B1805">
        <v>3</v>
      </c>
    </row>
    <row r="1806" spans="1:4">
      <c r="A1806">
        <v>36</v>
      </c>
      <c r="B1806">
        <v>4</v>
      </c>
    </row>
    <row r="1807" spans="1:4">
      <c r="A1807">
        <v>36</v>
      </c>
      <c r="B1807">
        <v>5</v>
      </c>
    </row>
    <row r="1808" spans="1:4">
      <c r="A1808">
        <v>36</v>
      </c>
      <c r="B1808" s="35">
        <v>6</v>
      </c>
    </row>
    <row r="1809" spans="1:4">
      <c r="A1809">
        <v>36</v>
      </c>
      <c r="B1809">
        <v>7</v>
      </c>
    </row>
    <row r="1810" spans="1:4">
      <c r="A1810">
        <v>36</v>
      </c>
      <c r="B1810">
        <v>8</v>
      </c>
    </row>
    <row r="1811" spans="1:4">
      <c r="A1811">
        <v>36</v>
      </c>
      <c r="B1811">
        <v>9</v>
      </c>
    </row>
    <row r="1812" spans="1:4">
      <c r="A1812">
        <v>36</v>
      </c>
      <c r="B1812">
        <v>10</v>
      </c>
    </row>
    <row r="1813" spans="1:4">
      <c r="A1813">
        <v>36</v>
      </c>
      <c r="B1813" t="s">
        <v>2810</v>
      </c>
    </row>
    <row r="1814" spans="1:4">
      <c r="A1814">
        <v>37</v>
      </c>
      <c r="B1814">
        <v>1</v>
      </c>
    </row>
    <row r="1815" spans="1:4">
      <c r="A1815">
        <v>37</v>
      </c>
      <c r="B1815">
        <v>2</v>
      </c>
      <c r="C1815" t="s">
        <v>1567</v>
      </c>
      <c r="D1815">
        <v>3</v>
      </c>
    </row>
    <row r="1816" spans="1:4">
      <c r="A1816">
        <v>37</v>
      </c>
      <c r="B1816">
        <v>3</v>
      </c>
      <c r="C1816" t="s">
        <v>87</v>
      </c>
      <c r="D1816">
        <v>3</v>
      </c>
    </row>
    <row r="1817" spans="1:4">
      <c r="A1817">
        <v>37</v>
      </c>
      <c r="B1817">
        <v>4</v>
      </c>
      <c r="C1817" t="s">
        <v>1971</v>
      </c>
      <c r="D1817">
        <v>4</v>
      </c>
    </row>
    <row r="1818" spans="1:4">
      <c r="A1818">
        <v>37</v>
      </c>
      <c r="B1818">
        <v>5</v>
      </c>
      <c r="C1818" t="s">
        <v>1565</v>
      </c>
      <c r="D1818">
        <v>1</v>
      </c>
    </row>
    <row r="1819" spans="1:4">
      <c r="A1819">
        <v>37</v>
      </c>
      <c r="B1819">
        <v>6</v>
      </c>
    </row>
    <row r="1820" spans="1:4">
      <c r="A1820">
        <v>37</v>
      </c>
      <c r="B1820">
        <v>7</v>
      </c>
      <c r="C1820" t="s">
        <v>1565</v>
      </c>
      <c r="D1820">
        <v>7</v>
      </c>
    </row>
    <row r="1821" spans="1:4">
      <c r="A1821">
        <v>37</v>
      </c>
      <c r="B1821">
        <v>8</v>
      </c>
      <c r="C1821" t="s">
        <v>87</v>
      </c>
      <c r="D1821">
        <v>1</v>
      </c>
    </row>
    <row r="1822" spans="1:4">
      <c r="A1822">
        <v>37</v>
      </c>
      <c r="B1822">
        <v>9</v>
      </c>
    </row>
    <row r="1823" spans="1:4">
      <c r="A1823">
        <v>37</v>
      </c>
      <c r="B1823">
        <v>10</v>
      </c>
      <c r="C1823" t="s">
        <v>1566</v>
      </c>
      <c r="D1823">
        <v>3</v>
      </c>
    </row>
    <row r="1824" spans="1:4">
      <c r="A1824">
        <v>37</v>
      </c>
      <c r="B1824">
        <v>11</v>
      </c>
      <c r="C1824" t="s">
        <v>1568</v>
      </c>
      <c r="D1824">
        <v>6</v>
      </c>
    </row>
    <row r="1825" spans="1:4">
      <c r="A1825">
        <v>37</v>
      </c>
      <c r="B1825" t="s">
        <v>2810</v>
      </c>
      <c r="C1825" t="s">
        <v>1568</v>
      </c>
      <c r="D1825" t="s">
        <v>2593</v>
      </c>
    </row>
    <row r="1826" spans="1:4">
      <c r="A1826">
        <v>38</v>
      </c>
      <c r="B1826">
        <v>1</v>
      </c>
      <c r="C1826" t="s">
        <v>87</v>
      </c>
      <c r="D1826">
        <v>2</v>
      </c>
    </row>
    <row r="1827" spans="1:4">
      <c r="A1827">
        <v>38</v>
      </c>
      <c r="B1827">
        <v>2</v>
      </c>
    </row>
    <row r="1828" spans="1:4">
      <c r="A1828">
        <v>38</v>
      </c>
      <c r="B1828">
        <v>3</v>
      </c>
      <c r="C1828" t="s">
        <v>1971</v>
      </c>
      <c r="D1828">
        <v>2</v>
      </c>
    </row>
    <row r="1829" spans="1:4">
      <c r="A1829">
        <v>38</v>
      </c>
      <c r="B1829">
        <v>4</v>
      </c>
    </row>
    <row r="1830" spans="1:4">
      <c r="A1830">
        <v>38</v>
      </c>
      <c r="B1830">
        <v>5</v>
      </c>
      <c r="C1830" t="s">
        <v>1565</v>
      </c>
      <c r="D1830">
        <v>4</v>
      </c>
    </row>
    <row r="1831" spans="1:4">
      <c r="A1831">
        <v>38</v>
      </c>
      <c r="B1831">
        <v>6</v>
      </c>
    </row>
    <row r="1832" spans="1:4">
      <c r="A1832">
        <v>38</v>
      </c>
      <c r="B1832">
        <v>7</v>
      </c>
    </row>
    <row r="1833" spans="1:4">
      <c r="A1833">
        <v>38</v>
      </c>
      <c r="B1833">
        <v>8</v>
      </c>
    </row>
    <row r="1834" spans="1:4">
      <c r="A1834">
        <v>38</v>
      </c>
      <c r="B1834">
        <v>9</v>
      </c>
      <c r="C1834" t="s">
        <v>1565</v>
      </c>
      <c r="D1834">
        <v>2</v>
      </c>
    </row>
    <row r="1835" spans="1:4">
      <c r="A1835">
        <v>38</v>
      </c>
      <c r="B1835">
        <v>10</v>
      </c>
    </row>
    <row r="1836" spans="1:4">
      <c r="A1836">
        <v>38</v>
      </c>
      <c r="B1836">
        <v>11</v>
      </c>
    </row>
    <row r="1837" spans="1:4">
      <c r="A1837">
        <v>38</v>
      </c>
      <c r="B1837" t="s">
        <v>2810</v>
      </c>
    </row>
    <row r="1840" spans="1:4">
      <c r="A1840" t="s">
        <v>2860</v>
      </c>
      <c r="B1840" t="s">
        <v>2861</v>
      </c>
      <c r="C1840" t="s">
        <v>2877</v>
      </c>
    </row>
    <row r="1841" spans="1:3">
      <c r="A1841">
        <v>1</v>
      </c>
      <c r="B1841">
        <v>1</v>
      </c>
      <c r="C1841" t="s">
        <v>2081</v>
      </c>
    </row>
    <row r="1842" spans="1:3">
      <c r="A1842">
        <v>1</v>
      </c>
      <c r="B1842">
        <v>2</v>
      </c>
      <c r="C1842" t="s">
        <v>2089</v>
      </c>
    </row>
    <row r="1843" spans="1:3">
      <c r="A1843">
        <v>1</v>
      </c>
      <c r="B1843">
        <v>3</v>
      </c>
      <c r="C1843" t="s">
        <v>2084</v>
      </c>
    </row>
    <row r="1844" spans="1:3">
      <c r="A1844">
        <v>1</v>
      </c>
      <c r="B1844">
        <v>4</v>
      </c>
      <c r="C1844" t="s">
        <v>2083</v>
      </c>
    </row>
    <row r="1845" spans="1:3">
      <c r="A1845">
        <v>1</v>
      </c>
      <c r="B1845">
        <v>5</v>
      </c>
      <c r="C1845" t="s">
        <v>2084</v>
      </c>
    </row>
    <row r="1846" spans="1:3">
      <c r="A1846">
        <v>1</v>
      </c>
      <c r="B1846">
        <v>6</v>
      </c>
      <c r="C1846" t="s">
        <v>2082</v>
      </c>
    </row>
    <row r="1847" spans="1:3">
      <c r="A1847">
        <v>1</v>
      </c>
      <c r="B1847">
        <v>7</v>
      </c>
      <c r="C1847" t="s">
        <v>2082</v>
      </c>
    </row>
    <row r="1848" spans="1:3">
      <c r="A1848">
        <v>1</v>
      </c>
      <c r="B1848">
        <v>8</v>
      </c>
      <c r="C1848" t="s">
        <v>2084</v>
      </c>
    </row>
    <row r="1849" spans="1:3">
      <c r="A1849">
        <v>1</v>
      </c>
      <c r="B1849">
        <v>9</v>
      </c>
      <c r="C1849" t="s">
        <v>2081</v>
      </c>
    </row>
    <row r="1850" spans="1:3">
      <c r="A1850">
        <v>1</v>
      </c>
      <c r="B1850">
        <v>10</v>
      </c>
      <c r="C1850" t="s">
        <v>2081</v>
      </c>
    </row>
    <row r="1851" spans="1:3">
      <c r="A1851">
        <v>1</v>
      </c>
      <c r="B1851">
        <v>11</v>
      </c>
      <c r="C1851" t="s">
        <v>2082</v>
      </c>
    </row>
    <row r="1852" spans="1:3">
      <c r="A1852">
        <v>1</v>
      </c>
      <c r="B1852">
        <v>12</v>
      </c>
      <c r="C1852" t="s">
        <v>2081</v>
      </c>
    </row>
    <row r="1853" spans="1:3">
      <c r="A1853">
        <v>1</v>
      </c>
      <c r="B1853" t="s">
        <v>2862</v>
      </c>
      <c r="C1853" t="s">
        <v>2081</v>
      </c>
    </row>
    <row r="1854" spans="1:3">
      <c r="A1854">
        <v>2</v>
      </c>
      <c r="B1854">
        <v>1</v>
      </c>
      <c r="C1854" t="s">
        <v>2093</v>
      </c>
    </row>
    <row r="1855" spans="1:3">
      <c r="A1855">
        <v>2</v>
      </c>
      <c r="B1855">
        <v>2</v>
      </c>
      <c r="C1855" t="s">
        <v>2099</v>
      </c>
    </row>
    <row r="1856" spans="1:3">
      <c r="A1856">
        <v>2</v>
      </c>
      <c r="B1856">
        <v>3</v>
      </c>
      <c r="C1856" t="s">
        <v>2095</v>
      </c>
    </row>
    <row r="1857" spans="1:3">
      <c r="A1857">
        <v>2</v>
      </c>
      <c r="B1857">
        <v>4</v>
      </c>
      <c r="C1857" t="s">
        <v>2095</v>
      </c>
    </row>
    <row r="1858" spans="1:3">
      <c r="A1858">
        <v>2</v>
      </c>
      <c r="B1858">
        <v>5</v>
      </c>
      <c r="C1858" t="s">
        <v>2092</v>
      </c>
    </row>
    <row r="1859" spans="1:3">
      <c r="A1859">
        <v>2</v>
      </c>
      <c r="B1859">
        <v>6</v>
      </c>
      <c r="C1859" t="s">
        <v>2097</v>
      </c>
    </row>
    <row r="1860" spans="1:3">
      <c r="A1860">
        <v>2</v>
      </c>
      <c r="B1860">
        <v>7</v>
      </c>
      <c r="C1860" t="s">
        <v>2096</v>
      </c>
    </row>
    <row r="1861" spans="1:3">
      <c r="A1861">
        <v>2</v>
      </c>
      <c r="B1861">
        <v>8</v>
      </c>
      <c r="C1861" t="s">
        <v>2095</v>
      </c>
    </row>
    <row r="1862" spans="1:3">
      <c r="A1862">
        <v>2</v>
      </c>
      <c r="B1862">
        <v>9</v>
      </c>
      <c r="C1862" t="s">
        <v>2092</v>
      </c>
    </row>
    <row r="1863" spans="1:3">
      <c r="A1863">
        <v>2</v>
      </c>
      <c r="B1863">
        <v>10</v>
      </c>
      <c r="C1863" t="s">
        <v>2094</v>
      </c>
    </row>
    <row r="1864" spans="1:3">
      <c r="A1864">
        <v>2</v>
      </c>
      <c r="B1864">
        <v>11</v>
      </c>
      <c r="C1864" t="s">
        <v>2093</v>
      </c>
    </row>
    <row r="1865" spans="1:3" ht="31.5">
      <c r="A1865">
        <v>2</v>
      </c>
      <c r="B1865">
        <v>12</v>
      </c>
      <c r="C1865" s="422" t="s">
        <v>2881</v>
      </c>
    </row>
    <row r="1866" spans="1:3">
      <c r="A1866">
        <v>2</v>
      </c>
      <c r="B1866" t="s">
        <v>2862</v>
      </c>
      <c r="C1866" t="s">
        <v>2092</v>
      </c>
    </row>
    <row r="1867" spans="1:3">
      <c r="A1867">
        <v>3</v>
      </c>
      <c r="B1867">
        <v>1</v>
      </c>
      <c r="C1867" t="s">
        <v>2105</v>
      </c>
    </row>
    <row r="1868" spans="1:3">
      <c r="A1868">
        <v>3</v>
      </c>
      <c r="B1868">
        <v>2</v>
      </c>
      <c r="C1868" t="s">
        <v>2106</v>
      </c>
    </row>
    <row r="1869" spans="1:3">
      <c r="A1869">
        <v>3</v>
      </c>
      <c r="B1869">
        <v>3</v>
      </c>
      <c r="C1869" t="s">
        <v>2106</v>
      </c>
    </row>
    <row r="1870" spans="1:3">
      <c r="A1870">
        <v>3</v>
      </c>
      <c r="B1870">
        <v>4</v>
      </c>
      <c r="C1870" t="s">
        <v>2105</v>
      </c>
    </row>
    <row r="1871" spans="1:3">
      <c r="A1871">
        <v>3</v>
      </c>
      <c r="B1871">
        <v>5</v>
      </c>
      <c r="C1871" t="s">
        <v>2105</v>
      </c>
    </row>
    <row r="1872" spans="1:3">
      <c r="A1872">
        <v>3</v>
      </c>
      <c r="B1872">
        <v>6</v>
      </c>
      <c r="C1872" t="s">
        <v>2104</v>
      </c>
    </row>
    <row r="1873" spans="1:3">
      <c r="A1873">
        <v>3</v>
      </c>
      <c r="B1873">
        <v>7</v>
      </c>
      <c r="C1873" t="s">
        <v>2103</v>
      </c>
    </row>
    <row r="1874" spans="1:3">
      <c r="A1874">
        <v>3</v>
      </c>
      <c r="B1874">
        <v>8</v>
      </c>
      <c r="C1874" t="s">
        <v>2106</v>
      </c>
    </row>
    <row r="1875" spans="1:3">
      <c r="A1875">
        <v>3</v>
      </c>
      <c r="B1875">
        <v>9</v>
      </c>
      <c r="C1875" t="s">
        <v>2107</v>
      </c>
    </row>
    <row r="1876" spans="1:3">
      <c r="A1876">
        <v>3</v>
      </c>
      <c r="B1876">
        <v>10</v>
      </c>
      <c r="C1876" t="s">
        <v>2106</v>
      </c>
    </row>
    <row r="1877" spans="1:3">
      <c r="A1877">
        <v>3</v>
      </c>
      <c r="B1877">
        <v>11</v>
      </c>
      <c r="C1877" t="s">
        <v>2104</v>
      </c>
    </row>
    <row r="1878" spans="1:3">
      <c r="A1878">
        <v>3</v>
      </c>
      <c r="B1878">
        <v>12</v>
      </c>
      <c r="C1878" t="s">
        <v>2104</v>
      </c>
    </row>
    <row r="1879" spans="1:3">
      <c r="A1879">
        <v>3</v>
      </c>
      <c r="B1879" t="s">
        <v>2810</v>
      </c>
      <c r="C1879" t="s">
        <v>2103</v>
      </c>
    </row>
    <row r="1880" spans="1:3" ht="47.25">
      <c r="A1880">
        <v>4</v>
      </c>
      <c r="B1880">
        <v>1</v>
      </c>
      <c r="C1880" s="422" t="s">
        <v>2885</v>
      </c>
    </row>
    <row r="1881" spans="1:3">
      <c r="A1881">
        <v>4</v>
      </c>
      <c r="B1881">
        <v>2</v>
      </c>
      <c r="C1881" t="s">
        <v>2122</v>
      </c>
    </row>
    <row r="1882" spans="1:3">
      <c r="A1882">
        <v>4</v>
      </c>
      <c r="B1882">
        <v>3</v>
      </c>
      <c r="C1882" t="s">
        <v>2123</v>
      </c>
    </row>
    <row r="1883" spans="1:3">
      <c r="A1883">
        <v>4</v>
      </c>
      <c r="B1883">
        <v>4</v>
      </c>
      <c r="C1883" t="s">
        <v>2120</v>
      </c>
    </row>
    <row r="1884" spans="1:3">
      <c r="A1884">
        <v>4</v>
      </c>
      <c r="B1884">
        <v>5</v>
      </c>
      <c r="C1884" t="s">
        <v>2119</v>
      </c>
    </row>
    <row r="1885" spans="1:3">
      <c r="A1885">
        <v>4</v>
      </c>
      <c r="B1885">
        <v>6</v>
      </c>
      <c r="C1885" t="s">
        <v>2117</v>
      </c>
    </row>
    <row r="1886" spans="1:3">
      <c r="A1886">
        <v>4</v>
      </c>
      <c r="B1886">
        <v>7</v>
      </c>
      <c r="C1886" t="s">
        <v>2117</v>
      </c>
    </row>
    <row r="1887" spans="1:3">
      <c r="A1887">
        <v>4</v>
      </c>
      <c r="B1887">
        <v>8</v>
      </c>
      <c r="C1887" t="s">
        <v>2118</v>
      </c>
    </row>
    <row r="1888" spans="1:3">
      <c r="A1888">
        <v>4</v>
      </c>
      <c r="B1888">
        <v>9</v>
      </c>
      <c r="C1888" t="s">
        <v>2115</v>
      </c>
    </row>
    <row r="1889" spans="1:3">
      <c r="A1889">
        <v>4</v>
      </c>
      <c r="B1889">
        <v>10</v>
      </c>
      <c r="C1889" t="s">
        <v>2116</v>
      </c>
    </row>
    <row r="1890" spans="1:3">
      <c r="A1890">
        <v>4</v>
      </c>
      <c r="B1890">
        <v>11</v>
      </c>
      <c r="C1890" t="s">
        <v>2117</v>
      </c>
    </row>
    <row r="1891" spans="1:3">
      <c r="A1891">
        <v>4</v>
      </c>
      <c r="B1891">
        <v>12</v>
      </c>
      <c r="C1891" t="s">
        <v>2117</v>
      </c>
    </row>
    <row r="1892" spans="1:3">
      <c r="A1892">
        <v>4</v>
      </c>
      <c r="B1892" t="s">
        <v>2810</v>
      </c>
      <c r="C1892" t="s">
        <v>2115</v>
      </c>
    </row>
    <row r="1893" spans="1:3">
      <c r="A1893">
        <v>5</v>
      </c>
      <c r="B1893">
        <v>1</v>
      </c>
      <c r="C1893" t="s">
        <v>2136</v>
      </c>
    </row>
    <row r="1894" spans="1:3">
      <c r="A1894">
        <v>5</v>
      </c>
      <c r="B1894">
        <v>2</v>
      </c>
      <c r="C1894" t="s">
        <v>2129</v>
      </c>
    </row>
    <row r="1895" spans="1:3">
      <c r="A1895">
        <v>5</v>
      </c>
      <c r="B1895">
        <v>3</v>
      </c>
      <c r="C1895" t="s">
        <v>2128</v>
      </c>
    </row>
    <row r="1896" spans="1:3">
      <c r="A1896">
        <v>5</v>
      </c>
      <c r="B1896">
        <v>4</v>
      </c>
      <c r="C1896" t="s">
        <v>2127</v>
      </c>
    </row>
    <row r="1897" spans="1:3">
      <c r="A1897">
        <v>5</v>
      </c>
      <c r="B1897">
        <v>5</v>
      </c>
      <c r="C1897" t="s">
        <v>2128</v>
      </c>
    </row>
    <row r="1898" spans="1:3">
      <c r="A1898">
        <v>5</v>
      </c>
      <c r="B1898">
        <v>6</v>
      </c>
      <c r="C1898" t="s">
        <v>2128</v>
      </c>
    </row>
    <row r="1899" spans="1:3">
      <c r="A1899">
        <v>5</v>
      </c>
      <c r="B1899">
        <v>7</v>
      </c>
      <c r="C1899" t="s">
        <v>2127</v>
      </c>
    </row>
    <row r="1900" spans="1:3">
      <c r="A1900">
        <v>5</v>
      </c>
      <c r="B1900">
        <v>8</v>
      </c>
      <c r="C1900" t="s">
        <v>2128</v>
      </c>
    </row>
    <row r="1901" spans="1:3">
      <c r="A1901">
        <v>5</v>
      </c>
      <c r="B1901">
        <v>9</v>
      </c>
      <c r="C1901" t="s">
        <v>2128</v>
      </c>
    </row>
    <row r="1902" spans="1:3">
      <c r="A1902">
        <v>5</v>
      </c>
      <c r="B1902">
        <v>10</v>
      </c>
      <c r="C1902" t="s">
        <v>2128</v>
      </c>
    </row>
    <row r="1903" spans="1:3">
      <c r="A1903">
        <v>5</v>
      </c>
      <c r="B1903">
        <v>11</v>
      </c>
      <c r="C1903" t="s">
        <v>2127</v>
      </c>
    </row>
    <row r="1904" spans="1:3">
      <c r="A1904">
        <v>5</v>
      </c>
      <c r="B1904">
        <v>12</v>
      </c>
      <c r="C1904" t="s">
        <v>2129</v>
      </c>
    </row>
    <row r="1905" spans="1:3">
      <c r="A1905">
        <v>5</v>
      </c>
      <c r="B1905" t="s">
        <v>2810</v>
      </c>
      <c r="C1905" t="s">
        <v>2127</v>
      </c>
    </row>
    <row r="1906" spans="1:3">
      <c r="A1906">
        <v>6</v>
      </c>
      <c r="B1906">
        <v>1</v>
      </c>
      <c r="C1906" t="s">
        <v>2141</v>
      </c>
    </row>
    <row r="1907" spans="1:3">
      <c r="A1907">
        <v>6</v>
      </c>
      <c r="B1907">
        <v>2</v>
      </c>
      <c r="C1907" t="s">
        <v>2139</v>
      </c>
    </row>
    <row r="1908" spans="1:3">
      <c r="A1908">
        <v>6</v>
      </c>
      <c r="B1908">
        <v>3</v>
      </c>
      <c r="C1908" t="s">
        <v>2141</v>
      </c>
    </row>
    <row r="1909" spans="1:3">
      <c r="A1909">
        <v>6</v>
      </c>
      <c r="B1909">
        <v>4</v>
      </c>
      <c r="C1909" t="s">
        <v>2139</v>
      </c>
    </row>
    <row r="1910" spans="1:3">
      <c r="A1910">
        <v>6</v>
      </c>
      <c r="B1910">
        <v>5</v>
      </c>
      <c r="C1910" t="s">
        <v>2138</v>
      </c>
    </row>
    <row r="1911" spans="1:3">
      <c r="A1911">
        <v>6</v>
      </c>
      <c r="B1911" s="35">
        <v>6</v>
      </c>
      <c r="C1911" t="s">
        <v>2142</v>
      </c>
    </row>
    <row r="1912" spans="1:3">
      <c r="A1912">
        <v>6</v>
      </c>
      <c r="B1912">
        <v>7</v>
      </c>
      <c r="C1912" t="s">
        <v>2140</v>
      </c>
    </row>
    <row r="1913" spans="1:3">
      <c r="A1913">
        <v>6</v>
      </c>
      <c r="B1913">
        <v>8</v>
      </c>
      <c r="C1913" t="s">
        <v>2141</v>
      </c>
    </row>
    <row r="1914" spans="1:3">
      <c r="A1914">
        <v>6</v>
      </c>
      <c r="B1914">
        <v>9</v>
      </c>
      <c r="C1914" t="s">
        <v>2139</v>
      </c>
    </row>
    <row r="1915" spans="1:3">
      <c r="A1915">
        <v>6</v>
      </c>
      <c r="B1915">
        <v>10</v>
      </c>
      <c r="C1915" t="s">
        <v>2141</v>
      </c>
    </row>
    <row r="1916" spans="1:3">
      <c r="A1916">
        <v>6</v>
      </c>
      <c r="B1916">
        <v>11</v>
      </c>
      <c r="C1916" t="s">
        <v>2139</v>
      </c>
    </row>
    <row r="1917" spans="1:3">
      <c r="A1917">
        <v>6</v>
      </c>
      <c r="B1917" t="s">
        <v>2810</v>
      </c>
      <c r="C1917" t="s">
        <v>2138</v>
      </c>
    </row>
    <row r="1918" spans="1:3">
      <c r="A1918">
        <v>7</v>
      </c>
      <c r="B1918">
        <v>1</v>
      </c>
      <c r="C1918" t="s">
        <v>2157</v>
      </c>
    </row>
    <row r="1919" spans="1:3">
      <c r="A1919">
        <v>7</v>
      </c>
      <c r="B1919">
        <v>2</v>
      </c>
      <c r="C1919" t="s">
        <v>2150</v>
      </c>
    </row>
    <row r="1920" spans="1:3">
      <c r="A1920">
        <v>7</v>
      </c>
      <c r="B1920">
        <v>3</v>
      </c>
      <c r="C1920" t="s">
        <v>2153</v>
      </c>
    </row>
    <row r="1921" spans="1:3">
      <c r="A1921">
        <v>7</v>
      </c>
      <c r="B1921">
        <v>4</v>
      </c>
      <c r="C1921" t="s">
        <v>2150</v>
      </c>
    </row>
    <row r="1922" spans="1:3">
      <c r="A1922">
        <v>7</v>
      </c>
      <c r="B1922">
        <v>5</v>
      </c>
      <c r="C1922" t="s">
        <v>2155</v>
      </c>
    </row>
    <row r="1923" spans="1:3">
      <c r="A1923">
        <v>7</v>
      </c>
      <c r="B1923">
        <v>6</v>
      </c>
      <c r="C1923" t="s">
        <v>2151</v>
      </c>
    </row>
    <row r="1924" spans="1:3">
      <c r="A1924">
        <v>7</v>
      </c>
      <c r="B1924">
        <v>7</v>
      </c>
      <c r="C1924" t="s">
        <v>2150</v>
      </c>
    </row>
    <row r="1925" spans="1:3">
      <c r="A1925">
        <v>7</v>
      </c>
      <c r="B1925">
        <v>8</v>
      </c>
      <c r="C1925" t="s">
        <v>2150</v>
      </c>
    </row>
    <row r="1926" spans="1:3">
      <c r="A1926">
        <v>7</v>
      </c>
      <c r="B1926">
        <v>9</v>
      </c>
      <c r="C1926" t="s">
        <v>2149</v>
      </c>
    </row>
    <row r="1927" spans="1:3">
      <c r="A1927">
        <v>7</v>
      </c>
      <c r="B1927">
        <v>10</v>
      </c>
      <c r="C1927" t="s">
        <v>2149</v>
      </c>
    </row>
    <row r="1928" spans="1:3">
      <c r="A1928">
        <v>7</v>
      </c>
      <c r="B1928">
        <v>11</v>
      </c>
      <c r="C1928" t="s">
        <v>2150</v>
      </c>
    </row>
    <row r="1929" spans="1:3">
      <c r="A1929">
        <v>7</v>
      </c>
      <c r="B1929">
        <v>12</v>
      </c>
      <c r="C1929" t="s">
        <v>2151</v>
      </c>
    </row>
    <row r="1930" spans="1:3">
      <c r="A1930">
        <v>7</v>
      </c>
      <c r="B1930" t="s">
        <v>2810</v>
      </c>
      <c r="C1930" t="s">
        <v>2149</v>
      </c>
    </row>
    <row r="1931" spans="1:3">
      <c r="A1931">
        <v>8</v>
      </c>
      <c r="B1931">
        <v>1</v>
      </c>
      <c r="C1931" t="s">
        <v>2162</v>
      </c>
    </row>
    <row r="1932" spans="1:3">
      <c r="A1932">
        <v>8</v>
      </c>
      <c r="B1932">
        <v>2</v>
      </c>
      <c r="C1932" t="s">
        <v>2161</v>
      </c>
    </row>
    <row r="1933" spans="1:3">
      <c r="A1933">
        <v>8</v>
      </c>
      <c r="B1933">
        <v>3</v>
      </c>
      <c r="C1933" t="s">
        <v>2160</v>
      </c>
    </row>
    <row r="1934" spans="1:3">
      <c r="A1934">
        <v>8</v>
      </c>
      <c r="B1934">
        <v>4</v>
      </c>
      <c r="C1934" t="s">
        <v>2160</v>
      </c>
    </row>
    <row r="1935" spans="1:3">
      <c r="A1935">
        <v>8</v>
      </c>
      <c r="B1935">
        <v>5</v>
      </c>
      <c r="C1935" t="s">
        <v>2163</v>
      </c>
    </row>
    <row r="1936" spans="1:3">
      <c r="A1936">
        <v>8</v>
      </c>
      <c r="B1936">
        <v>6</v>
      </c>
      <c r="C1936" t="s">
        <v>2163</v>
      </c>
    </row>
    <row r="1937" spans="1:3">
      <c r="A1937">
        <v>8</v>
      </c>
      <c r="B1937">
        <v>7</v>
      </c>
      <c r="C1937" t="s">
        <v>2162</v>
      </c>
    </row>
    <row r="1938" spans="1:3">
      <c r="A1938">
        <v>8</v>
      </c>
      <c r="B1938">
        <v>8</v>
      </c>
      <c r="C1938" t="s">
        <v>2162</v>
      </c>
    </row>
    <row r="1939" spans="1:3">
      <c r="A1939">
        <v>8</v>
      </c>
      <c r="B1939">
        <v>9</v>
      </c>
      <c r="C1939" t="s">
        <v>1448</v>
      </c>
    </row>
    <row r="1940" spans="1:3">
      <c r="A1940">
        <v>8</v>
      </c>
      <c r="B1940">
        <v>10</v>
      </c>
      <c r="C1940" t="s">
        <v>2160</v>
      </c>
    </row>
    <row r="1941" spans="1:3">
      <c r="A1941">
        <v>8</v>
      </c>
      <c r="B1941">
        <v>11</v>
      </c>
      <c r="C1941" t="s">
        <v>2160</v>
      </c>
    </row>
    <row r="1942" spans="1:3">
      <c r="A1942">
        <v>8</v>
      </c>
      <c r="B1942" t="s">
        <v>2810</v>
      </c>
      <c r="C1942" t="s">
        <v>1448</v>
      </c>
    </row>
    <row r="1943" spans="1:3">
      <c r="A1943">
        <v>9</v>
      </c>
      <c r="B1943">
        <v>1</v>
      </c>
      <c r="C1943" t="s">
        <v>2170</v>
      </c>
    </row>
    <row r="1944" spans="1:3">
      <c r="A1944">
        <v>9</v>
      </c>
      <c r="B1944">
        <v>2</v>
      </c>
      <c r="C1944" t="s">
        <v>2169</v>
      </c>
    </row>
    <row r="1945" spans="1:3">
      <c r="A1945">
        <v>9</v>
      </c>
      <c r="B1945">
        <v>3</v>
      </c>
      <c r="C1945" t="s">
        <v>2170</v>
      </c>
    </row>
    <row r="1946" spans="1:3">
      <c r="A1946">
        <v>9</v>
      </c>
      <c r="B1946">
        <v>4</v>
      </c>
      <c r="C1946" t="s">
        <v>2170</v>
      </c>
    </row>
    <row r="1947" spans="1:3">
      <c r="A1947">
        <v>9</v>
      </c>
      <c r="B1947">
        <v>5</v>
      </c>
      <c r="C1947" t="s">
        <v>2169</v>
      </c>
    </row>
    <row r="1948" spans="1:3">
      <c r="A1948">
        <v>9</v>
      </c>
      <c r="B1948">
        <v>6</v>
      </c>
      <c r="C1948" t="s">
        <v>2170</v>
      </c>
    </row>
    <row r="1949" spans="1:3">
      <c r="A1949">
        <v>9</v>
      </c>
      <c r="B1949">
        <v>7</v>
      </c>
      <c r="C1949" t="s">
        <v>2170</v>
      </c>
    </row>
    <row r="1950" spans="1:3">
      <c r="A1950">
        <v>9</v>
      </c>
      <c r="B1950">
        <v>8</v>
      </c>
      <c r="C1950" t="s">
        <v>2173</v>
      </c>
    </row>
    <row r="1951" spans="1:3">
      <c r="A1951">
        <v>9</v>
      </c>
      <c r="B1951">
        <v>9</v>
      </c>
      <c r="C1951" t="s">
        <v>2170</v>
      </c>
    </row>
    <row r="1952" spans="1:3">
      <c r="A1952">
        <v>9</v>
      </c>
      <c r="B1952">
        <v>10</v>
      </c>
      <c r="C1952" t="s">
        <v>2171</v>
      </c>
    </row>
    <row r="1953" spans="1:3">
      <c r="A1953">
        <v>9</v>
      </c>
      <c r="B1953">
        <v>11</v>
      </c>
      <c r="C1953" t="s">
        <v>2169</v>
      </c>
    </row>
    <row r="1954" spans="1:3">
      <c r="A1954">
        <v>9</v>
      </c>
      <c r="B1954">
        <v>12</v>
      </c>
      <c r="C1954" t="s">
        <v>2169</v>
      </c>
    </row>
    <row r="1955" spans="1:3">
      <c r="A1955">
        <v>9</v>
      </c>
      <c r="B1955" t="s">
        <v>2810</v>
      </c>
      <c r="C1955" t="s">
        <v>2169</v>
      </c>
    </row>
    <row r="1956" spans="1:3">
      <c r="A1956">
        <v>10</v>
      </c>
      <c r="B1956">
        <v>1</v>
      </c>
      <c r="C1956" t="s">
        <v>2180</v>
      </c>
    </row>
    <row r="1957" spans="1:3">
      <c r="A1957">
        <v>10</v>
      </c>
      <c r="B1957">
        <v>2</v>
      </c>
      <c r="C1957" t="s">
        <v>2186</v>
      </c>
    </row>
    <row r="1958" spans="1:3">
      <c r="A1958">
        <v>10</v>
      </c>
      <c r="B1958">
        <v>3</v>
      </c>
      <c r="C1958" t="s">
        <v>2184</v>
      </c>
    </row>
    <row r="1959" spans="1:3">
      <c r="A1959">
        <v>10</v>
      </c>
      <c r="B1959">
        <v>4</v>
      </c>
      <c r="C1959" t="s">
        <v>2181</v>
      </c>
    </row>
    <row r="1960" spans="1:3">
      <c r="A1960">
        <v>10</v>
      </c>
      <c r="B1960">
        <v>5</v>
      </c>
      <c r="C1960" t="s">
        <v>2186</v>
      </c>
    </row>
    <row r="1961" spans="1:3">
      <c r="A1961">
        <v>10</v>
      </c>
      <c r="B1961">
        <v>6</v>
      </c>
      <c r="C1961" t="s">
        <v>2185</v>
      </c>
    </row>
    <row r="1962" spans="1:3">
      <c r="A1962">
        <v>10</v>
      </c>
      <c r="B1962">
        <v>7</v>
      </c>
      <c r="C1962" t="s">
        <v>2183</v>
      </c>
    </row>
    <row r="1963" spans="1:3">
      <c r="A1963">
        <v>10</v>
      </c>
      <c r="B1963">
        <v>8</v>
      </c>
      <c r="C1963" t="s">
        <v>2183</v>
      </c>
    </row>
    <row r="1964" spans="1:3">
      <c r="A1964">
        <v>10</v>
      </c>
      <c r="B1964" s="35">
        <v>9</v>
      </c>
      <c r="C1964" t="s">
        <v>2180</v>
      </c>
    </row>
    <row r="1965" spans="1:3">
      <c r="A1965">
        <v>10</v>
      </c>
      <c r="B1965">
        <v>10</v>
      </c>
      <c r="C1965" t="s">
        <v>2180</v>
      </c>
    </row>
    <row r="1966" spans="1:3">
      <c r="A1966">
        <v>10</v>
      </c>
      <c r="B1966">
        <v>11</v>
      </c>
      <c r="C1966" t="s">
        <v>2181</v>
      </c>
    </row>
    <row r="1967" spans="1:3">
      <c r="A1967">
        <v>10</v>
      </c>
      <c r="B1967" t="s">
        <v>2810</v>
      </c>
      <c r="C1967" t="s">
        <v>2180</v>
      </c>
    </row>
    <row r="1968" spans="1:3">
      <c r="A1968">
        <v>11</v>
      </c>
      <c r="B1968">
        <v>1</v>
      </c>
      <c r="C1968" t="s">
        <v>2150</v>
      </c>
    </row>
    <row r="1969" spans="1:3">
      <c r="A1969">
        <v>11</v>
      </c>
      <c r="B1969">
        <v>2</v>
      </c>
      <c r="C1969" t="s">
        <v>2150</v>
      </c>
    </row>
    <row r="1970" spans="1:3">
      <c r="A1970">
        <v>11</v>
      </c>
      <c r="B1970">
        <v>3</v>
      </c>
      <c r="C1970" t="s">
        <v>2150</v>
      </c>
    </row>
    <row r="1971" spans="1:3">
      <c r="A1971">
        <v>11</v>
      </c>
      <c r="B1971">
        <v>4</v>
      </c>
      <c r="C1971" t="s">
        <v>2095</v>
      </c>
    </row>
    <row r="1972" spans="1:3">
      <c r="A1972">
        <v>11</v>
      </c>
      <c r="B1972">
        <v>5</v>
      </c>
      <c r="C1972" t="s">
        <v>2132</v>
      </c>
    </row>
    <row r="1973" spans="1:3">
      <c r="A1973">
        <v>11</v>
      </c>
      <c r="B1973">
        <v>6</v>
      </c>
      <c r="C1973" t="s">
        <v>2132</v>
      </c>
    </row>
    <row r="1974" spans="1:3">
      <c r="A1974">
        <v>11</v>
      </c>
      <c r="B1974">
        <v>7</v>
      </c>
      <c r="C1974" t="s">
        <v>2183</v>
      </c>
    </row>
    <row r="1975" spans="1:3" ht="31.5">
      <c r="A1975">
        <v>11</v>
      </c>
      <c r="B1975">
        <v>8</v>
      </c>
      <c r="C1975" s="422" t="s">
        <v>2882</v>
      </c>
    </row>
    <row r="1976" spans="1:3">
      <c r="A1976">
        <v>11</v>
      </c>
      <c r="B1976">
        <v>9</v>
      </c>
      <c r="C1976" t="s">
        <v>2183</v>
      </c>
    </row>
    <row r="1977" spans="1:3">
      <c r="A1977">
        <v>11</v>
      </c>
      <c r="B1977">
        <v>10</v>
      </c>
      <c r="C1977" t="s">
        <v>2095</v>
      </c>
    </row>
    <row r="1978" spans="1:3">
      <c r="A1978">
        <v>11</v>
      </c>
      <c r="B1978">
        <v>11</v>
      </c>
      <c r="C1978" t="s">
        <v>2183</v>
      </c>
    </row>
    <row r="1979" spans="1:3">
      <c r="A1979">
        <v>11</v>
      </c>
      <c r="B1979">
        <v>12</v>
      </c>
      <c r="C1979" t="s">
        <v>2183</v>
      </c>
    </row>
    <row r="1980" spans="1:3">
      <c r="A1980">
        <v>11</v>
      </c>
      <c r="B1980" t="s">
        <v>2810</v>
      </c>
      <c r="C1980" t="s">
        <v>2192</v>
      </c>
    </row>
    <row r="1981" spans="1:3">
      <c r="A1981">
        <v>12</v>
      </c>
      <c r="B1981">
        <v>1</v>
      </c>
      <c r="C1981" t="s">
        <v>2198</v>
      </c>
    </row>
    <row r="1982" spans="1:3">
      <c r="A1982">
        <v>12</v>
      </c>
      <c r="B1982">
        <v>2</v>
      </c>
      <c r="C1982" t="s">
        <v>2200</v>
      </c>
    </row>
    <row r="1983" spans="1:3">
      <c r="A1983">
        <v>12</v>
      </c>
      <c r="B1983">
        <v>3</v>
      </c>
      <c r="C1983" t="s">
        <v>2198</v>
      </c>
    </row>
    <row r="1984" spans="1:3">
      <c r="A1984">
        <v>12</v>
      </c>
      <c r="B1984">
        <v>4</v>
      </c>
      <c r="C1984" t="s">
        <v>2198</v>
      </c>
    </row>
    <row r="1985" spans="1:3">
      <c r="A1985">
        <v>12</v>
      </c>
      <c r="B1985">
        <v>5</v>
      </c>
      <c r="C1985" t="s">
        <v>2193</v>
      </c>
    </row>
    <row r="1986" spans="1:3">
      <c r="A1986">
        <v>12</v>
      </c>
      <c r="B1986">
        <v>6</v>
      </c>
      <c r="C1986" t="s">
        <v>2194</v>
      </c>
    </row>
    <row r="1987" spans="1:3">
      <c r="A1987">
        <v>12</v>
      </c>
      <c r="B1987">
        <v>7</v>
      </c>
      <c r="C1987" t="s">
        <v>2195</v>
      </c>
    </row>
    <row r="1988" spans="1:3">
      <c r="A1988">
        <v>12</v>
      </c>
      <c r="B1988">
        <v>8</v>
      </c>
      <c r="C1988" t="s">
        <v>2193</v>
      </c>
    </row>
    <row r="1989" spans="1:3">
      <c r="A1989">
        <v>12</v>
      </c>
      <c r="B1989">
        <v>9</v>
      </c>
      <c r="C1989" t="s">
        <v>2194</v>
      </c>
    </row>
    <row r="1990" spans="1:3">
      <c r="A1990">
        <v>12</v>
      </c>
      <c r="B1990">
        <v>10</v>
      </c>
      <c r="C1990" t="s">
        <v>2194</v>
      </c>
    </row>
    <row r="1991" spans="1:3">
      <c r="A1991">
        <v>12</v>
      </c>
      <c r="B1991" t="s">
        <v>2810</v>
      </c>
      <c r="C1991" t="s">
        <v>2193</v>
      </c>
    </row>
    <row r="1992" spans="1:3">
      <c r="A1992">
        <v>13</v>
      </c>
      <c r="B1992">
        <v>1</v>
      </c>
      <c r="C1992" t="s">
        <v>2204</v>
      </c>
    </row>
    <row r="1993" spans="1:3">
      <c r="A1993">
        <v>13</v>
      </c>
      <c r="B1993">
        <v>2</v>
      </c>
      <c r="C1993" t="s">
        <v>2205</v>
      </c>
    </row>
    <row r="1994" spans="1:3">
      <c r="A1994">
        <v>13</v>
      </c>
      <c r="B1994">
        <v>3</v>
      </c>
      <c r="C1994" t="s">
        <v>2205</v>
      </c>
    </row>
    <row r="1995" spans="1:3">
      <c r="A1995">
        <v>13</v>
      </c>
      <c r="B1995">
        <v>4</v>
      </c>
      <c r="C1995" t="s">
        <v>2205</v>
      </c>
    </row>
    <row r="1996" spans="1:3">
      <c r="A1996">
        <v>13</v>
      </c>
      <c r="B1996">
        <v>5</v>
      </c>
      <c r="C1996" t="s">
        <v>2204</v>
      </c>
    </row>
    <row r="1997" spans="1:3">
      <c r="A1997">
        <v>13</v>
      </c>
      <c r="B1997">
        <v>6</v>
      </c>
      <c r="C1997" t="s">
        <v>2204</v>
      </c>
    </row>
    <row r="1998" spans="1:3">
      <c r="A1998">
        <v>13</v>
      </c>
      <c r="B1998">
        <v>7</v>
      </c>
      <c r="C1998" t="s">
        <v>2204</v>
      </c>
    </row>
    <row r="1999" spans="1:3">
      <c r="A1999">
        <v>13</v>
      </c>
      <c r="B1999">
        <v>8</v>
      </c>
      <c r="C1999" t="s">
        <v>2204</v>
      </c>
    </row>
    <row r="2000" spans="1:3">
      <c r="A2000">
        <v>13</v>
      </c>
      <c r="B2000">
        <v>9</v>
      </c>
      <c r="C2000" t="s">
        <v>2207</v>
      </c>
    </row>
    <row r="2001" spans="1:3">
      <c r="A2001">
        <v>13</v>
      </c>
      <c r="B2001">
        <v>10</v>
      </c>
      <c r="C2001" t="s">
        <v>2204</v>
      </c>
    </row>
    <row r="2002" spans="1:3">
      <c r="A2002">
        <v>13</v>
      </c>
      <c r="B2002" t="s">
        <v>2810</v>
      </c>
      <c r="C2002" t="s">
        <v>2204</v>
      </c>
    </row>
    <row r="2003" spans="1:3">
      <c r="A2003">
        <v>14</v>
      </c>
      <c r="B2003">
        <v>1</v>
      </c>
      <c r="C2003" t="s">
        <v>2217</v>
      </c>
    </row>
    <row r="2004" spans="1:3">
      <c r="A2004">
        <v>14</v>
      </c>
      <c r="B2004">
        <v>2</v>
      </c>
      <c r="C2004" t="s">
        <v>2215</v>
      </c>
    </row>
    <row r="2005" spans="1:3">
      <c r="A2005">
        <v>14</v>
      </c>
      <c r="B2005">
        <v>3</v>
      </c>
      <c r="C2005" t="s">
        <v>2220</v>
      </c>
    </row>
    <row r="2006" spans="1:3">
      <c r="A2006">
        <v>14</v>
      </c>
      <c r="B2006">
        <v>4</v>
      </c>
      <c r="C2006" t="s">
        <v>2221</v>
      </c>
    </row>
    <row r="2007" spans="1:3">
      <c r="A2007">
        <v>14</v>
      </c>
      <c r="B2007">
        <v>5</v>
      </c>
      <c r="C2007" t="s">
        <v>2217</v>
      </c>
    </row>
    <row r="2008" spans="1:3">
      <c r="A2008">
        <v>14</v>
      </c>
      <c r="B2008">
        <v>6</v>
      </c>
      <c r="C2008" t="s">
        <v>2215</v>
      </c>
    </row>
    <row r="2009" spans="1:3">
      <c r="A2009">
        <v>14</v>
      </c>
      <c r="B2009">
        <v>7</v>
      </c>
      <c r="C2009" t="s">
        <v>2215</v>
      </c>
    </row>
    <row r="2010" spans="1:3">
      <c r="A2010">
        <v>14</v>
      </c>
      <c r="B2010">
        <v>8</v>
      </c>
      <c r="C2010" t="s">
        <v>2217</v>
      </c>
    </row>
    <row r="2011" spans="1:3">
      <c r="A2011">
        <v>14</v>
      </c>
      <c r="B2011">
        <v>9</v>
      </c>
      <c r="C2011" t="s">
        <v>2218</v>
      </c>
    </row>
    <row r="2012" spans="1:3">
      <c r="A2012">
        <v>14</v>
      </c>
      <c r="B2012">
        <v>10</v>
      </c>
      <c r="C2012" t="s">
        <v>2216</v>
      </c>
    </row>
    <row r="2013" spans="1:3">
      <c r="A2013">
        <v>14</v>
      </c>
      <c r="B2013">
        <v>11</v>
      </c>
      <c r="C2013" t="s">
        <v>2215</v>
      </c>
    </row>
    <row r="2014" spans="1:3">
      <c r="A2014">
        <v>14</v>
      </c>
      <c r="B2014" t="s">
        <v>2810</v>
      </c>
      <c r="C2014" t="s">
        <v>2215</v>
      </c>
    </row>
    <row r="2015" spans="1:3">
      <c r="A2015">
        <v>15</v>
      </c>
      <c r="B2015">
        <v>1</v>
      </c>
      <c r="C2015" t="s">
        <v>2226</v>
      </c>
    </row>
    <row r="2016" spans="1:3">
      <c r="A2016">
        <v>15</v>
      </c>
      <c r="B2016">
        <v>2</v>
      </c>
      <c r="C2016" t="s">
        <v>2230</v>
      </c>
    </row>
    <row r="2017" spans="1:3">
      <c r="A2017">
        <v>15</v>
      </c>
      <c r="B2017">
        <v>3</v>
      </c>
      <c r="C2017" t="s">
        <v>2229</v>
      </c>
    </row>
    <row r="2018" spans="1:3">
      <c r="A2018">
        <v>15</v>
      </c>
      <c r="B2018">
        <v>4</v>
      </c>
      <c r="C2018" t="s">
        <v>2227</v>
      </c>
    </row>
    <row r="2019" spans="1:3">
      <c r="A2019">
        <v>15</v>
      </c>
      <c r="B2019">
        <v>5</v>
      </c>
      <c r="C2019" t="s">
        <v>2226</v>
      </c>
    </row>
    <row r="2020" spans="1:3">
      <c r="A2020">
        <v>15</v>
      </c>
      <c r="B2020">
        <v>6</v>
      </c>
      <c r="C2020" t="s">
        <v>2226</v>
      </c>
    </row>
    <row r="2021" spans="1:3">
      <c r="A2021">
        <v>15</v>
      </c>
      <c r="B2021">
        <v>7</v>
      </c>
      <c r="C2021" t="s">
        <v>2227</v>
      </c>
    </row>
    <row r="2022" spans="1:3">
      <c r="A2022">
        <v>15</v>
      </c>
      <c r="B2022">
        <v>8</v>
      </c>
      <c r="C2022" t="s">
        <v>2229</v>
      </c>
    </row>
    <row r="2023" spans="1:3">
      <c r="A2023">
        <v>15</v>
      </c>
      <c r="B2023">
        <v>9</v>
      </c>
      <c r="C2023" t="s">
        <v>2226</v>
      </c>
    </row>
    <row r="2024" spans="1:3">
      <c r="A2024">
        <v>15</v>
      </c>
      <c r="B2024">
        <v>10</v>
      </c>
      <c r="C2024" t="s">
        <v>2226</v>
      </c>
    </row>
    <row r="2025" spans="1:3">
      <c r="A2025">
        <v>15</v>
      </c>
      <c r="B2025">
        <v>11</v>
      </c>
      <c r="C2025" t="s">
        <v>2226</v>
      </c>
    </row>
    <row r="2026" spans="1:3">
      <c r="A2026">
        <v>15</v>
      </c>
      <c r="B2026" t="s">
        <v>2810</v>
      </c>
      <c r="C2026" t="s">
        <v>2226</v>
      </c>
    </row>
    <row r="2027" spans="1:3">
      <c r="A2027">
        <v>16</v>
      </c>
      <c r="B2027">
        <v>1</v>
      </c>
      <c r="C2027" t="s">
        <v>2244</v>
      </c>
    </row>
    <row r="2028" spans="1:3">
      <c r="A2028">
        <v>16</v>
      </c>
      <c r="B2028">
        <v>2</v>
      </c>
      <c r="C2028" t="s">
        <v>2239</v>
      </c>
    </row>
    <row r="2029" spans="1:3">
      <c r="A2029">
        <v>16</v>
      </c>
      <c r="B2029">
        <v>3</v>
      </c>
      <c r="C2029" t="s">
        <v>2239</v>
      </c>
    </row>
    <row r="2030" spans="1:3">
      <c r="A2030">
        <v>16</v>
      </c>
      <c r="B2030">
        <v>4</v>
      </c>
      <c r="C2030" t="s">
        <v>2241</v>
      </c>
    </row>
    <row r="2031" spans="1:3">
      <c r="A2031">
        <v>16</v>
      </c>
      <c r="B2031">
        <v>5</v>
      </c>
      <c r="C2031" t="s">
        <v>2241</v>
      </c>
    </row>
    <row r="2032" spans="1:3">
      <c r="A2032">
        <v>16</v>
      </c>
      <c r="B2032">
        <v>6</v>
      </c>
      <c r="C2032" t="s">
        <v>2241</v>
      </c>
    </row>
    <row r="2033" spans="1:3">
      <c r="A2033">
        <v>16</v>
      </c>
      <c r="B2033">
        <v>7</v>
      </c>
      <c r="C2033" t="s">
        <v>2243</v>
      </c>
    </row>
    <row r="2034" spans="1:3">
      <c r="A2034">
        <v>16</v>
      </c>
      <c r="B2034">
        <v>8</v>
      </c>
      <c r="C2034" t="s">
        <v>2239</v>
      </c>
    </row>
    <row r="2035" spans="1:3">
      <c r="A2035">
        <v>16</v>
      </c>
      <c r="B2035">
        <v>9</v>
      </c>
      <c r="C2035" t="s">
        <v>2238</v>
      </c>
    </row>
    <row r="2036" spans="1:3">
      <c r="A2036">
        <v>16</v>
      </c>
      <c r="B2036">
        <v>10</v>
      </c>
      <c r="C2036" t="s">
        <v>2239</v>
      </c>
    </row>
    <row r="2037" spans="1:3">
      <c r="A2037">
        <v>16</v>
      </c>
      <c r="B2037">
        <v>11</v>
      </c>
      <c r="C2037" t="s">
        <v>2240</v>
      </c>
    </row>
    <row r="2038" spans="1:3">
      <c r="A2038">
        <v>16</v>
      </c>
      <c r="B2038" t="s">
        <v>2810</v>
      </c>
      <c r="C2038" t="s">
        <v>2238</v>
      </c>
    </row>
    <row r="2039" spans="1:3">
      <c r="A2039">
        <v>17</v>
      </c>
      <c r="B2039">
        <v>1</v>
      </c>
      <c r="C2039" t="s">
        <v>2251</v>
      </c>
    </row>
    <row r="2040" spans="1:3">
      <c r="A2040">
        <v>17</v>
      </c>
      <c r="B2040">
        <v>2</v>
      </c>
      <c r="C2040" t="s">
        <v>2250</v>
      </c>
    </row>
    <row r="2041" spans="1:3">
      <c r="A2041">
        <v>17</v>
      </c>
      <c r="B2041">
        <v>3</v>
      </c>
      <c r="C2041" t="s">
        <v>2257</v>
      </c>
    </row>
    <row r="2042" spans="1:3">
      <c r="A2042">
        <v>17</v>
      </c>
      <c r="B2042">
        <v>4</v>
      </c>
      <c r="C2042" t="s">
        <v>2249</v>
      </c>
    </row>
    <row r="2043" spans="1:3">
      <c r="A2043">
        <v>17</v>
      </c>
      <c r="B2043">
        <v>5</v>
      </c>
      <c r="C2043" t="s">
        <v>2249</v>
      </c>
    </row>
    <row r="2044" spans="1:3">
      <c r="A2044">
        <v>17</v>
      </c>
      <c r="B2044">
        <v>6</v>
      </c>
      <c r="C2044" t="s">
        <v>2251</v>
      </c>
    </row>
    <row r="2045" spans="1:3">
      <c r="A2045">
        <v>17</v>
      </c>
      <c r="B2045">
        <v>7</v>
      </c>
      <c r="C2045" t="s">
        <v>2249</v>
      </c>
    </row>
    <row r="2046" spans="1:3">
      <c r="A2046">
        <v>17</v>
      </c>
      <c r="B2046">
        <v>8</v>
      </c>
      <c r="C2046" t="s">
        <v>2253</v>
      </c>
    </row>
    <row r="2047" spans="1:3">
      <c r="A2047">
        <v>17</v>
      </c>
      <c r="B2047">
        <v>9</v>
      </c>
      <c r="C2047" t="s">
        <v>2251</v>
      </c>
    </row>
    <row r="2048" spans="1:3">
      <c r="A2048">
        <v>17</v>
      </c>
      <c r="B2048">
        <v>10</v>
      </c>
      <c r="C2048" t="s">
        <v>2249</v>
      </c>
    </row>
    <row r="2049" spans="1:3">
      <c r="A2049">
        <v>17</v>
      </c>
      <c r="B2049">
        <v>11</v>
      </c>
      <c r="C2049" t="s">
        <v>2251</v>
      </c>
    </row>
    <row r="2050" spans="1:3">
      <c r="A2050">
        <v>17</v>
      </c>
      <c r="B2050" t="s">
        <v>2810</v>
      </c>
      <c r="C2050" t="s">
        <v>2249</v>
      </c>
    </row>
    <row r="2051" spans="1:3">
      <c r="A2051">
        <v>18</v>
      </c>
      <c r="B2051">
        <v>1</v>
      </c>
      <c r="C2051" t="s">
        <v>2254</v>
      </c>
    </row>
    <row r="2052" spans="1:3">
      <c r="A2052">
        <v>18</v>
      </c>
      <c r="B2052">
        <v>2</v>
      </c>
      <c r="C2052" t="s">
        <v>2234</v>
      </c>
    </row>
    <row r="2053" spans="1:3">
      <c r="A2053">
        <v>18</v>
      </c>
      <c r="B2053">
        <v>3</v>
      </c>
      <c r="C2053" t="s">
        <v>2234</v>
      </c>
    </row>
    <row r="2054" spans="1:3">
      <c r="A2054">
        <v>18</v>
      </c>
      <c r="B2054">
        <v>4</v>
      </c>
      <c r="C2054" t="s">
        <v>2217</v>
      </c>
    </row>
    <row r="2055" spans="1:3">
      <c r="A2055">
        <v>18</v>
      </c>
      <c r="B2055">
        <v>5</v>
      </c>
      <c r="C2055" t="s">
        <v>2239</v>
      </c>
    </row>
    <row r="2056" spans="1:3">
      <c r="A2056">
        <v>18</v>
      </c>
      <c r="B2056">
        <v>6</v>
      </c>
      <c r="C2056" t="s">
        <v>2254</v>
      </c>
    </row>
    <row r="2057" spans="1:3">
      <c r="A2057">
        <v>18</v>
      </c>
      <c r="B2057">
        <v>7</v>
      </c>
      <c r="C2057" t="s">
        <v>2229</v>
      </c>
    </row>
    <row r="2058" spans="1:3">
      <c r="A2058">
        <v>18</v>
      </c>
      <c r="B2058">
        <v>8</v>
      </c>
      <c r="C2058" t="s">
        <v>2234</v>
      </c>
    </row>
    <row r="2059" spans="1:3">
      <c r="A2059">
        <v>18</v>
      </c>
      <c r="B2059">
        <v>9</v>
      </c>
      <c r="C2059" t="s">
        <v>2234</v>
      </c>
    </row>
    <row r="2060" spans="1:3">
      <c r="A2060">
        <v>18</v>
      </c>
      <c r="B2060">
        <v>10</v>
      </c>
      <c r="C2060" t="s">
        <v>2229</v>
      </c>
    </row>
    <row r="2061" spans="1:3">
      <c r="A2061">
        <v>18</v>
      </c>
      <c r="B2061">
        <v>11</v>
      </c>
      <c r="C2061" t="s">
        <v>2254</v>
      </c>
    </row>
    <row r="2062" spans="1:3">
      <c r="A2062">
        <v>18</v>
      </c>
      <c r="B2062" t="s">
        <v>2810</v>
      </c>
      <c r="C2062" t="s">
        <v>2218</v>
      </c>
    </row>
    <row r="2063" spans="1:3">
      <c r="A2063">
        <v>19</v>
      </c>
      <c r="B2063">
        <v>1</v>
      </c>
      <c r="C2063" t="s">
        <v>2261</v>
      </c>
    </row>
    <row r="2064" spans="1:3">
      <c r="A2064">
        <v>19</v>
      </c>
      <c r="B2064">
        <v>2</v>
      </c>
      <c r="C2064" t="s">
        <v>2264</v>
      </c>
    </row>
    <row r="2065" spans="1:3">
      <c r="A2065">
        <v>19</v>
      </c>
      <c r="B2065">
        <v>3</v>
      </c>
      <c r="C2065" t="s">
        <v>2264</v>
      </c>
    </row>
    <row r="2066" spans="1:3">
      <c r="A2066">
        <v>19</v>
      </c>
      <c r="B2066">
        <v>4</v>
      </c>
      <c r="C2066" t="s">
        <v>2264</v>
      </c>
    </row>
    <row r="2067" spans="1:3">
      <c r="A2067">
        <v>19</v>
      </c>
      <c r="B2067">
        <v>5</v>
      </c>
      <c r="C2067" t="s">
        <v>2263</v>
      </c>
    </row>
    <row r="2068" spans="1:3">
      <c r="A2068">
        <v>19</v>
      </c>
      <c r="B2068">
        <v>6</v>
      </c>
      <c r="C2068" t="s">
        <v>2264</v>
      </c>
    </row>
    <row r="2069" spans="1:3">
      <c r="A2069">
        <v>19</v>
      </c>
      <c r="B2069">
        <v>7</v>
      </c>
      <c r="C2069" t="s">
        <v>2264</v>
      </c>
    </row>
    <row r="2070" spans="1:3">
      <c r="A2070">
        <v>19</v>
      </c>
      <c r="B2070">
        <v>8</v>
      </c>
      <c r="C2070" t="s">
        <v>2261</v>
      </c>
    </row>
    <row r="2071" spans="1:3">
      <c r="A2071">
        <v>19</v>
      </c>
      <c r="B2071">
        <v>9</v>
      </c>
      <c r="C2071" t="s">
        <v>2263</v>
      </c>
    </row>
    <row r="2072" spans="1:3">
      <c r="A2072">
        <v>19</v>
      </c>
      <c r="B2072">
        <v>10</v>
      </c>
      <c r="C2072" t="s">
        <v>2264</v>
      </c>
    </row>
    <row r="2073" spans="1:3">
      <c r="A2073">
        <v>19</v>
      </c>
      <c r="B2073">
        <v>11</v>
      </c>
      <c r="C2073" t="s">
        <v>2262</v>
      </c>
    </row>
    <row r="2074" spans="1:3">
      <c r="A2074">
        <v>19</v>
      </c>
      <c r="B2074" t="s">
        <v>2810</v>
      </c>
      <c r="C2074" t="s">
        <v>2261</v>
      </c>
    </row>
    <row r="2075" spans="1:3">
      <c r="A2075">
        <v>20</v>
      </c>
      <c r="B2075">
        <v>1</v>
      </c>
      <c r="C2075" t="s">
        <v>2272</v>
      </c>
    </row>
    <row r="2076" spans="1:3">
      <c r="A2076">
        <v>20</v>
      </c>
      <c r="B2076">
        <v>2</v>
      </c>
      <c r="C2076" t="s">
        <v>2272</v>
      </c>
    </row>
    <row r="2077" spans="1:3">
      <c r="A2077">
        <v>20</v>
      </c>
      <c r="B2077">
        <v>3</v>
      </c>
      <c r="C2077" t="s">
        <v>2273</v>
      </c>
    </row>
    <row r="2078" spans="1:3">
      <c r="A2078">
        <v>20</v>
      </c>
      <c r="B2078">
        <v>4</v>
      </c>
      <c r="C2078" t="s">
        <v>2273</v>
      </c>
    </row>
    <row r="2079" spans="1:3">
      <c r="A2079">
        <v>20</v>
      </c>
      <c r="B2079">
        <v>5</v>
      </c>
      <c r="C2079" t="s">
        <v>2273</v>
      </c>
    </row>
    <row r="2080" spans="1:3">
      <c r="A2080">
        <v>20</v>
      </c>
      <c r="B2080">
        <v>6</v>
      </c>
      <c r="C2080" t="s">
        <v>2272</v>
      </c>
    </row>
    <row r="2081" spans="1:3">
      <c r="A2081">
        <v>20</v>
      </c>
      <c r="B2081">
        <v>7</v>
      </c>
      <c r="C2081" t="s">
        <v>2272</v>
      </c>
    </row>
    <row r="2082" spans="1:3">
      <c r="A2082">
        <v>20</v>
      </c>
      <c r="B2082">
        <v>8</v>
      </c>
      <c r="C2082" t="s">
        <v>2276</v>
      </c>
    </row>
    <row r="2083" spans="1:3">
      <c r="A2083">
        <v>20</v>
      </c>
      <c r="B2083">
        <v>9</v>
      </c>
      <c r="C2083" t="s">
        <v>2272</v>
      </c>
    </row>
    <row r="2084" spans="1:3">
      <c r="A2084">
        <v>20</v>
      </c>
      <c r="B2084">
        <v>10</v>
      </c>
      <c r="C2084" t="s">
        <v>2272</v>
      </c>
    </row>
    <row r="2085" spans="1:3">
      <c r="A2085">
        <v>20</v>
      </c>
      <c r="B2085">
        <v>11</v>
      </c>
      <c r="C2085" t="s">
        <v>2272</v>
      </c>
    </row>
    <row r="2086" spans="1:3">
      <c r="A2086">
        <v>20</v>
      </c>
      <c r="B2086" t="s">
        <v>2810</v>
      </c>
      <c r="C2086" t="s">
        <v>2272</v>
      </c>
    </row>
    <row r="2087" spans="1:3">
      <c r="A2087">
        <v>21</v>
      </c>
      <c r="B2087">
        <v>1</v>
      </c>
      <c r="C2087" t="s">
        <v>2287</v>
      </c>
    </row>
    <row r="2088" spans="1:3">
      <c r="A2088">
        <v>21</v>
      </c>
      <c r="B2088">
        <v>2</v>
      </c>
      <c r="C2088" t="s">
        <v>2286</v>
      </c>
    </row>
    <row r="2089" spans="1:3">
      <c r="A2089">
        <v>21</v>
      </c>
      <c r="B2089">
        <v>3</v>
      </c>
      <c r="C2089" t="s">
        <v>2287</v>
      </c>
    </row>
    <row r="2090" spans="1:3">
      <c r="A2090">
        <v>21</v>
      </c>
      <c r="B2090">
        <v>4</v>
      </c>
      <c r="C2090" t="s">
        <v>2288</v>
      </c>
    </row>
    <row r="2091" spans="1:3">
      <c r="A2091">
        <v>21</v>
      </c>
      <c r="B2091">
        <v>5</v>
      </c>
      <c r="C2091" t="s">
        <v>2288</v>
      </c>
    </row>
    <row r="2092" spans="1:3">
      <c r="A2092">
        <v>21</v>
      </c>
      <c r="B2092">
        <v>6</v>
      </c>
      <c r="C2092" t="s">
        <v>2285</v>
      </c>
    </row>
    <row r="2093" spans="1:3">
      <c r="A2093">
        <v>21</v>
      </c>
      <c r="B2093">
        <v>7</v>
      </c>
      <c r="C2093" t="s">
        <v>2285</v>
      </c>
    </row>
    <row r="2094" spans="1:3">
      <c r="A2094">
        <v>21</v>
      </c>
      <c r="B2094">
        <v>8</v>
      </c>
      <c r="C2094" t="s">
        <v>2284</v>
      </c>
    </row>
    <row r="2095" spans="1:3">
      <c r="A2095">
        <v>21</v>
      </c>
      <c r="B2095">
        <v>9</v>
      </c>
      <c r="C2095" t="s">
        <v>2286</v>
      </c>
    </row>
    <row r="2096" spans="1:3">
      <c r="A2096">
        <v>21</v>
      </c>
      <c r="B2096">
        <v>10</v>
      </c>
      <c r="C2096" t="s">
        <v>2285</v>
      </c>
    </row>
    <row r="2097" spans="1:3">
      <c r="A2097">
        <v>21</v>
      </c>
      <c r="B2097">
        <v>11</v>
      </c>
      <c r="C2097" t="s">
        <v>2284</v>
      </c>
    </row>
    <row r="2098" spans="1:3">
      <c r="A2098">
        <v>21</v>
      </c>
      <c r="B2098" t="s">
        <v>2810</v>
      </c>
      <c r="C2098" t="s">
        <v>2283</v>
      </c>
    </row>
    <row r="2099" spans="1:3">
      <c r="A2099">
        <v>22</v>
      </c>
      <c r="B2099">
        <v>1</v>
      </c>
      <c r="C2099" t="s">
        <v>2302</v>
      </c>
    </row>
    <row r="2100" spans="1:3">
      <c r="A2100">
        <v>22</v>
      </c>
      <c r="B2100">
        <v>2</v>
      </c>
      <c r="C2100" t="s">
        <v>2294</v>
      </c>
    </row>
    <row r="2101" spans="1:3">
      <c r="A2101">
        <v>22</v>
      </c>
      <c r="B2101">
        <v>3</v>
      </c>
      <c r="C2101" t="s">
        <v>2301</v>
      </c>
    </row>
    <row r="2102" spans="1:3">
      <c r="A2102">
        <v>22</v>
      </c>
      <c r="B2102">
        <v>4</v>
      </c>
      <c r="C2102" t="s">
        <v>2301</v>
      </c>
    </row>
    <row r="2103" spans="1:3">
      <c r="A2103">
        <v>22</v>
      </c>
      <c r="B2103">
        <v>5</v>
      </c>
      <c r="C2103" t="s">
        <v>2300</v>
      </c>
    </row>
    <row r="2104" spans="1:3">
      <c r="A2104">
        <v>22</v>
      </c>
      <c r="B2104">
        <v>6</v>
      </c>
      <c r="C2104" t="s">
        <v>2294</v>
      </c>
    </row>
    <row r="2105" spans="1:3">
      <c r="A2105">
        <v>22</v>
      </c>
      <c r="B2105">
        <v>7</v>
      </c>
      <c r="C2105" t="s">
        <v>2294</v>
      </c>
    </row>
    <row r="2106" spans="1:3">
      <c r="A2106">
        <v>22</v>
      </c>
      <c r="B2106">
        <v>8</v>
      </c>
      <c r="C2106" t="s">
        <v>2294</v>
      </c>
    </row>
    <row r="2107" spans="1:3">
      <c r="A2107">
        <v>22</v>
      </c>
      <c r="B2107">
        <v>9</v>
      </c>
      <c r="C2107" t="s">
        <v>2295</v>
      </c>
    </row>
    <row r="2108" spans="1:3">
      <c r="A2108">
        <v>22</v>
      </c>
      <c r="B2108">
        <v>10</v>
      </c>
      <c r="C2108" t="s">
        <v>2295</v>
      </c>
    </row>
    <row r="2109" spans="1:3">
      <c r="A2109">
        <v>22</v>
      </c>
      <c r="B2109">
        <v>11</v>
      </c>
      <c r="C2109" t="s">
        <v>2295</v>
      </c>
    </row>
    <row r="2110" spans="1:3">
      <c r="A2110">
        <v>22</v>
      </c>
      <c r="B2110" t="s">
        <v>2810</v>
      </c>
      <c r="C2110" t="s">
        <v>2294</v>
      </c>
    </row>
    <row r="2111" spans="1:3">
      <c r="A2111">
        <v>23</v>
      </c>
      <c r="B2111">
        <v>1</v>
      </c>
      <c r="C2111" t="s">
        <v>2306</v>
      </c>
    </row>
    <row r="2112" spans="1:3">
      <c r="A2112">
        <v>23</v>
      </c>
      <c r="B2112">
        <v>2</v>
      </c>
      <c r="C2112" t="s">
        <v>2313</v>
      </c>
    </row>
    <row r="2113" spans="1:3">
      <c r="A2113">
        <v>23</v>
      </c>
      <c r="B2113">
        <v>3</v>
      </c>
      <c r="C2113" t="s">
        <v>2307</v>
      </c>
    </row>
    <row r="2114" spans="1:3">
      <c r="A2114">
        <v>23</v>
      </c>
      <c r="B2114">
        <v>4</v>
      </c>
      <c r="C2114" t="s">
        <v>2312</v>
      </c>
    </row>
    <row r="2115" spans="1:3">
      <c r="A2115">
        <v>23</v>
      </c>
      <c r="B2115">
        <v>5</v>
      </c>
      <c r="C2115" t="s">
        <v>2306</v>
      </c>
    </row>
    <row r="2116" spans="1:3">
      <c r="A2116">
        <v>23</v>
      </c>
      <c r="B2116">
        <v>6</v>
      </c>
      <c r="C2116" t="s">
        <v>2307</v>
      </c>
    </row>
    <row r="2117" spans="1:3">
      <c r="A2117">
        <v>23</v>
      </c>
      <c r="B2117">
        <v>7</v>
      </c>
      <c r="C2117" t="s">
        <v>2308</v>
      </c>
    </row>
    <row r="2118" spans="1:3">
      <c r="A2118">
        <v>23</v>
      </c>
      <c r="B2118">
        <v>8</v>
      </c>
      <c r="C2118" t="s">
        <v>2307</v>
      </c>
    </row>
    <row r="2119" spans="1:3">
      <c r="A2119">
        <v>23</v>
      </c>
      <c r="B2119">
        <v>9</v>
      </c>
      <c r="C2119" t="s">
        <v>2308</v>
      </c>
    </row>
    <row r="2120" spans="1:3">
      <c r="A2120">
        <v>23</v>
      </c>
      <c r="B2120">
        <v>10</v>
      </c>
      <c r="C2120" t="s">
        <v>2305</v>
      </c>
    </row>
    <row r="2121" spans="1:3">
      <c r="A2121">
        <v>23</v>
      </c>
      <c r="B2121">
        <v>11</v>
      </c>
      <c r="C2121" t="s">
        <v>2306</v>
      </c>
    </row>
    <row r="2122" spans="1:3">
      <c r="A2122">
        <v>23</v>
      </c>
      <c r="B2122" t="s">
        <v>2810</v>
      </c>
      <c r="C2122" t="s">
        <v>2305</v>
      </c>
    </row>
    <row r="2123" spans="1:3">
      <c r="A2123">
        <v>24</v>
      </c>
      <c r="B2123">
        <v>1</v>
      </c>
      <c r="C2123" t="s">
        <v>2239</v>
      </c>
    </row>
    <row r="2124" spans="1:3">
      <c r="A2124">
        <v>24</v>
      </c>
      <c r="B2124">
        <v>2</v>
      </c>
      <c r="C2124" t="s">
        <v>2274</v>
      </c>
    </row>
    <row r="2125" spans="1:3">
      <c r="A2125">
        <v>24</v>
      </c>
      <c r="B2125">
        <v>3</v>
      </c>
      <c r="C2125" t="s">
        <v>2301</v>
      </c>
    </row>
    <row r="2126" spans="1:3">
      <c r="A2126">
        <v>24</v>
      </c>
      <c r="B2126">
        <v>4</v>
      </c>
      <c r="C2126" t="s">
        <v>2239</v>
      </c>
    </row>
    <row r="2127" spans="1:3">
      <c r="A2127">
        <v>24</v>
      </c>
      <c r="B2127">
        <v>5</v>
      </c>
      <c r="C2127" t="s">
        <v>2301</v>
      </c>
    </row>
    <row r="2128" spans="1:3">
      <c r="A2128">
        <v>24</v>
      </c>
      <c r="B2128">
        <v>6</v>
      </c>
      <c r="C2128" t="s">
        <v>2308</v>
      </c>
    </row>
    <row r="2129" spans="1:3">
      <c r="A2129">
        <v>24</v>
      </c>
      <c r="B2129">
        <v>7</v>
      </c>
      <c r="C2129" t="s">
        <v>2274</v>
      </c>
    </row>
    <row r="2130" spans="1:3">
      <c r="A2130">
        <v>24</v>
      </c>
      <c r="B2130">
        <v>8</v>
      </c>
      <c r="C2130" t="s">
        <v>2274</v>
      </c>
    </row>
    <row r="2131" spans="1:3">
      <c r="A2131">
        <v>24</v>
      </c>
      <c r="B2131">
        <v>9</v>
      </c>
      <c r="C2131" t="s">
        <v>2301</v>
      </c>
    </row>
    <row r="2132" spans="1:3">
      <c r="A2132">
        <v>24</v>
      </c>
      <c r="B2132">
        <v>10</v>
      </c>
      <c r="C2132" t="s">
        <v>2301</v>
      </c>
    </row>
    <row r="2133" spans="1:3">
      <c r="A2133">
        <v>24</v>
      </c>
      <c r="B2133">
        <v>11</v>
      </c>
      <c r="C2133" t="s">
        <v>2301</v>
      </c>
    </row>
    <row r="2134" spans="1:3">
      <c r="A2134">
        <v>24</v>
      </c>
      <c r="B2134" t="s">
        <v>2810</v>
      </c>
      <c r="C2134" t="s">
        <v>2301</v>
      </c>
    </row>
    <row r="2135" spans="1:3">
      <c r="A2135">
        <v>25</v>
      </c>
      <c r="B2135">
        <v>1</v>
      </c>
      <c r="C2135" t="s">
        <v>2318</v>
      </c>
    </row>
    <row r="2136" spans="1:3">
      <c r="A2136">
        <v>25</v>
      </c>
      <c r="B2136">
        <v>2</v>
      </c>
      <c r="C2136" t="s">
        <v>2319</v>
      </c>
    </row>
    <row r="2137" spans="1:3">
      <c r="A2137">
        <v>25</v>
      </c>
      <c r="B2137">
        <v>3</v>
      </c>
      <c r="C2137" t="s">
        <v>2318</v>
      </c>
    </row>
    <row r="2138" spans="1:3">
      <c r="A2138">
        <v>25</v>
      </c>
      <c r="B2138">
        <v>4</v>
      </c>
      <c r="C2138" t="s">
        <v>2321</v>
      </c>
    </row>
    <row r="2139" spans="1:3">
      <c r="A2139">
        <v>25</v>
      </c>
      <c r="B2139">
        <v>5</v>
      </c>
      <c r="C2139" t="s">
        <v>2321</v>
      </c>
    </row>
    <row r="2140" spans="1:3">
      <c r="A2140">
        <v>25</v>
      </c>
      <c r="B2140">
        <v>6</v>
      </c>
      <c r="C2140" t="s">
        <v>2318</v>
      </c>
    </row>
    <row r="2141" spans="1:3">
      <c r="A2141">
        <v>25</v>
      </c>
      <c r="B2141">
        <v>7</v>
      </c>
      <c r="C2141" t="s">
        <v>2318</v>
      </c>
    </row>
    <row r="2142" spans="1:3">
      <c r="A2142">
        <v>25</v>
      </c>
      <c r="B2142">
        <v>8</v>
      </c>
      <c r="C2142" t="s">
        <v>2319</v>
      </c>
    </row>
    <row r="2143" spans="1:3">
      <c r="A2143">
        <v>25</v>
      </c>
      <c r="B2143">
        <v>9</v>
      </c>
      <c r="C2143" t="s">
        <v>2319</v>
      </c>
    </row>
    <row r="2144" spans="1:3">
      <c r="A2144">
        <v>25</v>
      </c>
      <c r="B2144">
        <v>10</v>
      </c>
      <c r="C2144" t="s">
        <v>2318</v>
      </c>
    </row>
    <row r="2145" spans="1:3">
      <c r="A2145">
        <v>25</v>
      </c>
      <c r="B2145">
        <v>11</v>
      </c>
      <c r="C2145" t="s">
        <v>2320</v>
      </c>
    </row>
    <row r="2146" spans="1:3">
      <c r="A2146">
        <v>25</v>
      </c>
      <c r="B2146" t="s">
        <v>2810</v>
      </c>
      <c r="C2146" t="s">
        <v>2317</v>
      </c>
    </row>
    <row r="2147" spans="1:3">
      <c r="A2147">
        <v>26</v>
      </c>
      <c r="B2147">
        <v>1</v>
      </c>
      <c r="C2147" t="s">
        <v>2329</v>
      </c>
    </row>
    <row r="2148" spans="1:3">
      <c r="A2148">
        <v>26</v>
      </c>
      <c r="B2148">
        <v>2</v>
      </c>
      <c r="C2148" t="s">
        <v>2329</v>
      </c>
    </row>
    <row r="2149" spans="1:3">
      <c r="A2149">
        <v>26</v>
      </c>
      <c r="B2149">
        <v>3</v>
      </c>
      <c r="C2149" t="s">
        <v>2331</v>
      </c>
    </row>
    <row r="2150" spans="1:3">
      <c r="A2150">
        <v>26</v>
      </c>
      <c r="B2150">
        <v>4</v>
      </c>
      <c r="C2150" t="s">
        <v>2335</v>
      </c>
    </row>
    <row r="2151" spans="1:3">
      <c r="A2151">
        <v>26</v>
      </c>
      <c r="B2151">
        <v>5</v>
      </c>
      <c r="C2151" t="s">
        <v>2333</v>
      </c>
    </row>
    <row r="2152" spans="1:3">
      <c r="A2152">
        <v>26</v>
      </c>
      <c r="B2152">
        <v>6</v>
      </c>
      <c r="C2152" t="s">
        <v>2330</v>
      </c>
    </row>
    <row r="2153" spans="1:3">
      <c r="A2153">
        <v>26</v>
      </c>
      <c r="B2153">
        <v>7</v>
      </c>
      <c r="C2153" t="s">
        <v>2332</v>
      </c>
    </row>
    <row r="2154" spans="1:3">
      <c r="A2154">
        <v>26</v>
      </c>
      <c r="B2154">
        <v>8</v>
      </c>
      <c r="C2154" t="s">
        <v>2328</v>
      </c>
    </row>
    <row r="2155" spans="1:3">
      <c r="A2155">
        <v>26</v>
      </c>
      <c r="B2155">
        <v>9</v>
      </c>
      <c r="C2155" t="s">
        <v>2328</v>
      </c>
    </row>
    <row r="2156" spans="1:3">
      <c r="A2156">
        <v>26</v>
      </c>
      <c r="B2156">
        <v>10</v>
      </c>
      <c r="C2156" t="s">
        <v>2330</v>
      </c>
    </row>
    <row r="2157" spans="1:3">
      <c r="A2157">
        <v>26</v>
      </c>
      <c r="B2157">
        <v>11</v>
      </c>
      <c r="C2157" t="s">
        <v>2330</v>
      </c>
    </row>
    <row r="2158" spans="1:3">
      <c r="A2158">
        <v>26</v>
      </c>
      <c r="B2158" t="s">
        <v>2810</v>
      </c>
      <c r="C2158" t="s">
        <v>2328</v>
      </c>
    </row>
    <row r="2159" spans="1:3">
      <c r="A2159">
        <v>27</v>
      </c>
      <c r="B2159">
        <v>1</v>
      </c>
      <c r="C2159" t="s">
        <v>2344</v>
      </c>
    </row>
    <row r="2160" spans="1:3">
      <c r="A2160">
        <v>27</v>
      </c>
      <c r="B2160">
        <v>2</v>
      </c>
      <c r="C2160" t="s">
        <v>2340</v>
      </c>
    </row>
    <row r="2161" spans="1:3">
      <c r="A2161">
        <v>27</v>
      </c>
      <c r="B2161">
        <v>3</v>
      </c>
      <c r="C2161" t="s">
        <v>2344</v>
      </c>
    </row>
    <row r="2162" spans="1:3">
      <c r="A2162">
        <v>27</v>
      </c>
      <c r="B2162">
        <v>4</v>
      </c>
      <c r="C2162" t="s">
        <v>2340</v>
      </c>
    </row>
    <row r="2163" spans="1:3">
      <c r="A2163">
        <v>27</v>
      </c>
      <c r="B2163">
        <v>5</v>
      </c>
      <c r="C2163" t="s">
        <v>2343</v>
      </c>
    </row>
    <row r="2164" spans="1:3">
      <c r="A2164">
        <v>27</v>
      </c>
      <c r="B2164">
        <v>6</v>
      </c>
      <c r="C2164" t="s">
        <v>2340</v>
      </c>
    </row>
    <row r="2165" spans="1:3">
      <c r="A2165">
        <v>27</v>
      </c>
      <c r="B2165">
        <v>7</v>
      </c>
      <c r="C2165" t="s">
        <v>2340</v>
      </c>
    </row>
    <row r="2166" spans="1:3">
      <c r="A2166">
        <v>27</v>
      </c>
      <c r="B2166">
        <v>8</v>
      </c>
      <c r="C2166" t="s">
        <v>2340</v>
      </c>
    </row>
    <row r="2167" spans="1:3">
      <c r="A2167">
        <v>27</v>
      </c>
      <c r="B2167">
        <v>9</v>
      </c>
      <c r="C2167" t="s">
        <v>2340</v>
      </c>
    </row>
    <row r="2168" spans="1:3">
      <c r="A2168">
        <v>27</v>
      </c>
      <c r="B2168">
        <v>10</v>
      </c>
      <c r="C2168" t="s">
        <v>2340</v>
      </c>
    </row>
    <row r="2169" spans="1:3">
      <c r="A2169">
        <v>27</v>
      </c>
      <c r="B2169">
        <v>11</v>
      </c>
      <c r="C2169" t="s">
        <v>2341</v>
      </c>
    </row>
    <row r="2170" spans="1:3">
      <c r="A2170">
        <v>27</v>
      </c>
      <c r="B2170" t="s">
        <v>2810</v>
      </c>
      <c r="C2170" t="s">
        <v>2339</v>
      </c>
    </row>
    <row r="2171" spans="1:3">
      <c r="A2171">
        <v>28</v>
      </c>
      <c r="B2171">
        <v>1</v>
      </c>
      <c r="C2171" t="s">
        <v>2350</v>
      </c>
    </row>
    <row r="2172" spans="1:3">
      <c r="A2172">
        <v>28</v>
      </c>
      <c r="B2172">
        <v>2</v>
      </c>
      <c r="C2172" t="s">
        <v>2352</v>
      </c>
    </row>
    <row r="2173" spans="1:3">
      <c r="A2173">
        <v>28</v>
      </c>
      <c r="B2173">
        <v>3</v>
      </c>
      <c r="C2173" t="s">
        <v>2354</v>
      </c>
    </row>
    <row r="2174" spans="1:3">
      <c r="A2174">
        <v>28</v>
      </c>
      <c r="B2174">
        <v>4</v>
      </c>
      <c r="C2174" t="s">
        <v>2354</v>
      </c>
    </row>
    <row r="2175" spans="1:3">
      <c r="A2175">
        <v>28</v>
      </c>
      <c r="B2175">
        <v>5</v>
      </c>
      <c r="C2175" t="s">
        <v>2352</v>
      </c>
    </row>
    <row r="2176" spans="1:3">
      <c r="A2176">
        <v>28</v>
      </c>
      <c r="B2176">
        <v>6</v>
      </c>
      <c r="C2176" t="s">
        <v>2354</v>
      </c>
    </row>
    <row r="2177" spans="1:3">
      <c r="A2177">
        <v>28</v>
      </c>
      <c r="B2177">
        <v>7</v>
      </c>
      <c r="C2177" t="s">
        <v>2355</v>
      </c>
    </row>
    <row r="2178" spans="1:3">
      <c r="A2178">
        <v>28</v>
      </c>
      <c r="B2178">
        <v>8</v>
      </c>
      <c r="C2178" t="s">
        <v>2354</v>
      </c>
    </row>
    <row r="2179" spans="1:3">
      <c r="A2179">
        <v>28</v>
      </c>
      <c r="B2179">
        <v>9</v>
      </c>
      <c r="C2179" t="s">
        <v>2352</v>
      </c>
    </row>
    <row r="2180" spans="1:3">
      <c r="A2180">
        <v>28</v>
      </c>
      <c r="B2180">
        <v>10</v>
      </c>
      <c r="C2180" t="s">
        <v>2352</v>
      </c>
    </row>
    <row r="2181" spans="1:3">
      <c r="A2181">
        <v>28</v>
      </c>
      <c r="B2181">
        <v>11</v>
      </c>
      <c r="C2181" t="s">
        <v>2352</v>
      </c>
    </row>
    <row r="2182" spans="1:3">
      <c r="A2182">
        <v>28</v>
      </c>
      <c r="B2182" t="s">
        <v>2810</v>
      </c>
      <c r="C2182" t="s">
        <v>2350</v>
      </c>
    </row>
    <row r="2183" spans="1:3">
      <c r="A2183">
        <v>29</v>
      </c>
      <c r="B2183">
        <v>1</v>
      </c>
      <c r="C2183" t="s">
        <v>2369</v>
      </c>
    </row>
    <row r="2184" spans="1:3">
      <c r="A2184">
        <v>29</v>
      </c>
      <c r="B2184">
        <v>2</v>
      </c>
      <c r="C2184" t="s">
        <v>2366</v>
      </c>
    </row>
    <row r="2185" spans="1:3">
      <c r="A2185">
        <v>29</v>
      </c>
      <c r="B2185">
        <v>3</v>
      </c>
      <c r="C2185" t="s">
        <v>2366</v>
      </c>
    </row>
    <row r="2186" spans="1:3">
      <c r="A2186">
        <v>29</v>
      </c>
      <c r="B2186">
        <v>4</v>
      </c>
      <c r="C2186" t="s">
        <v>2362</v>
      </c>
    </row>
    <row r="2187" spans="1:3">
      <c r="A2187">
        <v>29</v>
      </c>
      <c r="B2187">
        <v>5</v>
      </c>
      <c r="C2187" t="s">
        <v>2362</v>
      </c>
    </row>
    <row r="2188" spans="1:3">
      <c r="A2188">
        <v>29</v>
      </c>
      <c r="B2188">
        <v>6</v>
      </c>
      <c r="C2188" t="s">
        <v>2365</v>
      </c>
    </row>
    <row r="2189" spans="1:3">
      <c r="A2189">
        <v>29</v>
      </c>
      <c r="B2189">
        <v>7</v>
      </c>
      <c r="C2189" t="s">
        <v>2364</v>
      </c>
    </row>
    <row r="2190" spans="1:3">
      <c r="A2190">
        <v>29</v>
      </c>
      <c r="B2190">
        <v>8</v>
      </c>
      <c r="C2190" t="s">
        <v>2362</v>
      </c>
    </row>
    <row r="2191" spans="1:3">
      <c r="A2191">
        <v>29</v>
      </c>
      <c r="B2191">
        <v>9</v>
      </c>
      <c r="C2191" t="s">
        <v>2365</v>
      </c>
    </row>
    <row r="2192" spans="1:3">
      <c r="A2192">
        <v>29</v>
      </c>
      <c r="B2192">
        <v>10</v>
      </c>
      <c r="C2192" t="s">
        <v>2364</v>
      </c>
    </row>
    <row r="2193" spans="1:3">
      <c r="A2193">
        <v>29</v>
      </c>
      <c r="B2193">
        <v>11</v>
      </c>
      <c r="C2193" t="s">
        <v>2361</v>
      </c>
    </row>
    <row r="2194" spans="1:3">
      <c r="A2194">
        <v>29</v>
      </c>
      <c r="B2194" t="s">
        <v>2810</v>
      </c>
      <c r="C2194" t="s">
        <v>2361</v>
      </c>
    </row>
    <row r="2195" spans="1:3">
      <c r="A2195">
        <v>30</v>
      </c>
      <c r="B2195">
        <v>1</v>
      </c>
      <c r="C2195" t="s">
        <v>2374</v>
      </c>
    </row>
    <row r="2196" spans="1:3">
      <c r="A2196">
        <v>30</v>
      </c>
      <c r="B2196">
        <v>2</v>
      </c>
      <c r="C2196" t="s">
        <v>2372</v>
      </c>
    </row>
    <row r="2197" spans="1:3">
      <c r="A2197">
        <v>30</v>
      </c>
      <c r="B2197">
        <v>3</v>
      </c>
      <c r="C2197" t="s">
        <v>2373</v>
      </c>
    </row>
    <row r="2198" spans="1:3">
      <c r="A2198">
        <v>30</v>
      </c>
      <c r="B2198">
        <v>4</v>
      </c>
      <c r="C2198" t="s">
        <v>2375</v>
      </c>
    </row>
    <row r="2199" spans="1:3">
      <c r="A2199">
        <v>30</v>
      </c>
      <c r="B2199">
        <v>5</v>
      </c>
      <c r="C2199" t="s">
        <v>2376</v>
      </c>
    </row>
    <row r="2200" spans="1:3">
      <c r="A2200">
        <v>30</v>
      </c>
      <c r="B2200">
        <v>6</v>
      </c>
      <c r="C2200" t="s">
        <v>2374</v>
      </c>
    </row>
    <row r="2201" spans="1:3" ht="31.5">
      <c r="A2201">
        <v>30</v>
      </c>
      <c r="B2201">
        <v>7</v>
      </c>
      <c r="C2201" s="422" t="s">
        <v>2883</v>
      </c>
    </row>
    <row r="2202" spans="1:3">
      <c r="A2202">
        <v>30</v>
      </c>
      <c r="B2202">
        <v>8</v>
      </c>
      <c r="C2202" t="s">
        <v>2376</v>
      </c>
    </row>
    <row r="2203" spans="1:3">
      <c r="A2203">
        <v>30</v>
      </c>
      <c r="B2203">
        <v>9</v>
      </c>
      <c r="C2203" t="s">
        <v>2375</v>
      </c>
    </row>
    <row r="2204" spans="1:3">
      <c r="A2204">
        <v>30</v>
      </c>
      <c r="B2204">
        <v>10</v>
      </c>
      <c r="C2204" t="s">
        <v>2375</v>
      </c>
    </row>
    <row r="2205" spans="1:3">
      <c r="A2205">
        <v>30</v>
      </c>
      <c r="B2205">
        <v>11</v>
      </c>
      <c r="C2205" t="s">
        <v>2373</v>
      </c>
    </row>
    <row r="2206" spans="1:3">
      <c r="A2206">
        <v>30</v>
      </c>
      <c r="B2206" t="s">
        <v>2810</v>
      </c>
      <c r="C2206" t="s">
        <v>2372</v>
      </c>
    </row>
    <row r="2207" spans="1:3">
      <c r="A2207">
        <v>31</v>
      </c>
      <c r="B2207">
        <v>1</v>
      </c>
      <c r="C2207" t="s">
        <v>2308</v>
      </c>
    </row>
    <row r="2208" spans="1:3">
      <c r="A2208">
        <v>31</v>
      </c>
      <c r="B2208">
        <v>2</v>
      </c>
      <c r="C2208" t="s">
        <v>2308</v>
      </c>
    </row>
    <row r="2209" spans="1:3">
      <c r="A2209">
        <v>31</v>
      </c>
      <c r="B2209">
        <v>3</v>
      </c>
      <c r="C2209" t="s">
        <v>2365</v>
      </c>
    </row>
    <row r="2210" spans="1:3">
      <c r="A2210">
        <v>31</v>
      </c>
      <c r="B2210">
        <v>4</v>
      </c>
      <c r="C2210" t="s">
        <v>2128</v>
      </c>
    </row>
    <row r="2211" spans="1:3">
      <c r="A2211">
        <v>31</v>
      </c>
      <c r="B2211">
        <v>5</v>
      </c>
      <c r="C2211" t="s">
        <v>2365</v>
      </c>
    </row>
    <row r="2212" spans="1:3">
      <c r="A2212">
        <v>31</v>
      </c>
      <c r="B2212">
        <v>6</v>
      </c>
      <c r="C2212" t="s">
        <v>2352</v>
      </c>
    </row>
    <row r="2213" spans="1:3">
      <c r="A2213">
        <v>31</v>
      </c>
      <c r="B2213">
        <v>7</v>
      </c>
      <c r="C2213" t="s">
        <v>2352</v>
      </c>
    </row>
    <row r="2214" spans="1:3">
      <c r="A2214">
        <v>31</v>
      </c>
      <c r="B2214">
        <v>8</v>
      </c>
      <c r="C2214" t="s">
        <v>2352</v>
      </c>
    </row>
    <row r="2215" spans="1:3">
      <c r="A2215">
        <v>31</v>
      </c>
      <c r="B2215">
        <v>9</v>
      </c>
      <c r="C2215" t="s">
        <v>2352</v>
      </c>
    </row>
    <row r="2216" spans="1:3">
      <c r="A2216">
        <v>31</v>
      </c>
      <c r="B2216">
        <v>10</v>
      </c>
      <c r="C2216" t="s">
        <v>2128</v>
      </c>
    </row>
    <row r="2217" spans="1:3">
      <c r="A2217">
        <v>31</v>
      </c>
      <c r="B2217">
        <v>11</v>
      </c>
      <c r="C2217" t="s">
        <v>2308</v>
      </c>
    </row>
    <row r="2218" spans="1:3">
      <c r="A2218">
        <v>31</v>
      </c>
      <c r="B2218" t="s">
        <v>2810</v>
      </c>
      <c r="C2218" t="s">
        <v>2128</v>
      </c>
    </row>
    <row r="2219" spans="1:3">
      <c r="A2219">
        <v>32</v>
      </c>
      <c r="B2219">
        <v>1</v>
      </c>
      <c r="C2219" t="s">
        <v>2390</v>
      </c>
    </row>
    <row r="2220" spans="1:3">
      <c r="A2220">
        <v>32</v>
      </c>
      <c r="B2220">
        <v>2</v>
      </c>
      <c r="C2220" t="s">
        <v>2390</v>
      </c>
    </row>
    <row r="2221" spans="1:3">
      <c r="A2221">
        <v>32</v>
      </c>
      <c r="B2221">
        <v>3</v>
      </c>
      <c r="C2221" t="s">
        <v>2389</v>
      </c>
    </row>
    <row r="2222" spans="1:3">
      <c r="A2222">
        <v>32</v>
      </c>
      <c r="B2222">
        <v>4</v>
      </c>
      <c r="C2222" t="s">
        <v>2389</v>
      </c>
    </row>
    <row r="2223" spans="1:3">
      <c r="A2223">
        <v>32</v>
      </c>
      <c r="B2223">
        <v>5</v>
      </c>
      <c r="C2223" t="s">
        <v>2391</v>
      </c>
    </row>
    <row r="2224" spans="1:3">
      <c r="A2224">
        <v>32</v>
      </c>
      <c r="B2224">
        <v>6</v>
      </c>
      <c r="C2224" t="s">
        <v>2392</v>
      </c>
    </row>
    <row r="2225" spans="1:3">
      <c r="A2225">
        <v>32</v>
      </c>
      <c r="B2225">
        <v>7</v>
      </c>
      <c r="C2225" t="s">
        <v>2389</v>
      </c>
    </row>
    <row r="2226" spans="1:3">
      <c r="A2226">
        <v>32</v>
      </c>
      <c r="B2226" s="35">
        <v>8</v>
      </c>
      <c r="C2226" t="s">
        <v>2391</v>
      </c>
    </row>
    <row r="2227" spans="1:3">
      <c r="A2227">
        <v>32</v>
      </c>
      <c r="B2227">
        <v>9</v>
      </c>
      <c r="C2227" t="s">
        <v>2391</v>
      </c>
    </row>
    <row r="2228" spans="1:3">
      <c r="A2228">
        <v>32</v>
      </c>
      <c r="B2228">
        <v>10</v>
      </c>
      <c r="C2228" t="s">
        <v>2391</v>
      </c>
    </row>
    <row r="2229" spans="1:3">
      <c r="A2229">
        <v>32</v>
      </c>
      <c r="B2229" t="s">
        <v>2810</v>
      </c>
      <c r="C2229" t="s">
        <v>2389</v>
      </c>
    </row>
    <row r="2230" spans="1:3">
      <c r="A2230">
        <v>33</v>
      </c>
      <c r="B2230">
        <v>1</v>
      </c>
      <c r="C2230" t="s">
        <v>2407</v>
      </c>
    </row>
    <row r="2231" spans="1:3">
      <c r="A2231">
        <v>33</v>
      </c>
      <c r="B2231">
        <v>2</v>
      </c>
      <c r="C2231" t="s">
        <v>2402</v>
      </c>
    </row>
    <row r="2232" spans="1:3">
      <c r="A2232">
        <v>33</v>
      </c>
      <c r="B2232">
        <v>3</v>
      </c>
      <c r="C2232" t="s">
        <v>2400</v>
      </c>
    </row>
    <row r="2233" spans="1:3">
      <c r="A2233">
        <v>33</v>
      </c>
      <c r="B2233">
        <v>4</v>
      </c>
      <c r="C2233" t="s">
        <v>2402</v>
      </c>
    </row>
    <row r="2234" spans="1:3">
      <c r="A2234">
        <v>33</v>
      </c>
      <c r="B2234">
        <v>5</v>
      </c>
      <c r="C2234" t="s">
        <v>2402</v>
      </c>
    </row>
    <row r="2235" spans="1:3">
      <c r="A2235">
        <v>33</v>
      </c>
      <c r="B2235">
        <v>6</v>
      </c>
      <c r="C2235" t="s">
        <v>2400</v>
      </c>
    </row>
    <row r="2236" spans="1:3">
      <c r="A2236">
        <v>33</v>
      </c>
      <c r="B2236">
        <v>7</v>
      </c>
      <c r="C2236" t="s">
        <v>2400</v>
      </c>
    </row>
    <row r="2237" spans="1:3">
      <c r="A2237">
        <v>33</v>
      </c>
      <c r="B2237">
        <v>8</v>
      </c>
      <c r="C2237" t="s">
        <v>2400</v>
      </c>
    </row>
    <row r="2238" spans="1:3">
      <c r="A2238">
        <v>33</v>
      </c>
      <c r="B2238">
        <v>9</v>
      </c>
      <c r="C2238" t="s">
        <v>2401</v>
      </c>
    </row>
    <row r="2239" spans="1:3">
      <c r="A2239">
        <v>33</v>
      </c>
      <c r="B2239">
        <v>10</v>
      </c>
      <c r="C2239" t="s">
        <v>2401</v>
      </c>
    </row>
    <row r="2240" spans="1:3">
      <c r="A2240">
        <v>33</v>
      </c>
      <c r="B2240" t="s">
        <v>2810</v>
      </c>
      <c r="C2240" t="s">
        <v>2400</v>
      </c>
    </row>
    <row r="2241" spans="1:3">
      <c r="A2241">
        <v>34</v>
      </c>
      <c r="B2241">
        <v>1</v>
      </c>
      <c r="C2241" t="s">
        <v>2412</v>
      </c>
    </row>
    <row r="2242" spans="1:3">
      <c r="A2242">
        <v>34</v>
      </c>
      <c r="B2242">
        <v>2</v>
      </c>
      <c r="C2242" t="s">
        <v>2416</v>
      </c>
    </row>
    <row r="2243" spans="1:3">
      <c r="A2243">
        <v>34</v>
      </c>
      <c r="B2243" s="35">
        <v>3</v>
      </c>
      <c r="C2243" t="s">
        <v>2413</v>
      </c>
    </row>
    <row r="2244" spans="1:3">
      <c r="A2244">
        <v>34</v>
      </c>
      <c r="B2244">
        <v>4</v>
      </c>
      <c r="C2244" t="s">
        <v>2414</v>
      </c>
    </row>
    <row r="2245" spans="1:3">
      <c r="A2245">
        <v>34</v>
      </c>
      <c r="B2245">
        <v>5</v>
      </c>
      <c r="C2245" t="s">
        <v>2414</v>
      </c>
    </row>
    <row r="2246" spans="1:3">
      <c r="A2246">
        <v>34</v>
      </c>
      <c r="B2246">
        <v>6</v>
      </c>
      <c r="C2246" t="s">
        <v>2416</v>
      </c>
    </row>
    <row r="2247" spans="1:3">
      <c r="A2247">
        <v>34</v>
      </c>
      <c r="B2247">
        <v>7</v>
      </c>
      <c r="C2247" t="s">
        <v>2412</v>
      </c>
    </row>
    <row r="2248" spans="1:3">
      <c r="A2248">
        <v>34</v>
      </c>
      <c r="B2248" s="35">
        <v>8</v>
      </c>
      <c r="C2248" t="s">
        <v>2414</v>
      </c>
    </row>
    <row r="2249" spans="1:3">
      <c r="A2249">
        <v>34</v>
      </c>
      <c r="B2249">
        <v>9</v>
      </c>
      <c r="C2249" t="s">
        <v>2412</v>
      </c>
    </row>
    <row r="2250" spans="1:3">
      <c r="A2250">
        <v>34</v>
      </c>
      <c r="B2250" t="s">
        <v>2810</v>
      </c>
      <c r="C2250" t="s">
        <v>2412</v>
      </c>
    </row>
    <row r="2251" spans="1:3">
      <c r="A2251">
        <v>35</v>
      </c>
      <c r="B2251">
        <v>1</v>
      </c>
      <c r="C2251" t="s">
        <v>2434</v>
      </c>
    </row>
    <row r="2252" spans="1:3">
      <c r="A2252">
        <v>35</v>
      </c>
      <c r="B2252">
        <v>2</v>
      </c>
      <c r="C2252" t="s">
        <v>2434</v>
      </c>
    </row>
    <row r="2253" spans="1:3">
      <c r="A2253">
        <v>35</v>
      </c>
      <c r="B2253">
        <v>3</v>
      </c>
      <c r="C2253" t="s">
        <v>2427</v>
      </c>
    </row>
    <row r="2254" spans="1:3">
      <c r="A2254">
        <v>35</v>
      </c>
      <c r="B2254">
        <v>4</v>
      </c>
      <c r="C2254" t="s">
        <v>2429</v>
      </c>
    </row>
    <row r="2255" spans="1:3">
      <c r="A2255">
        <v>35</v>
      </c>
      <c r="B2255">
        <v>5</v>
      </c>
      <c r="C2255" t="s">
        <v>2427</v>
      </c>
    </row>
    <row r="2256" spans="1:3">
      <c r="A2256">
        <v>35</v>
      </c>
      <c r="B2256">
        <v>6</v>
      </c>
      <c r="C2256" t="s">
        <v>2424</v>
      </c>
    </row>
    <row r="2257" spans="1:3">
      <c r="A2257">
        <v>35</v>
      </c>
      <c r="B2257">
        <v>7</v>
      </c>
      <c r="C2257" t="s">
        <v>2424</v>
      </c>
    </row>
    <row r="2258" spans="1:3">
      <c r="A2258">
        <v>35</v>
      </c>
      <c r="B2258">
        <v>8</v>
      </c>
      <c r="C2258" t="s">
        <v>2424</v>
      </c>
    </row>
    <row r="2259" spans="1:3">
      <c r="A2259">
        <v>35</v>
      </c>
      <c r="B2259">
        <v>9</v>
      </c>
      <c r="C2259" t="s">
        <v>2424</v>
      </c>
    </row>
    <row r="2260" spans="1:3">
      <c r="A2260">
        <v>35</v>
      </c>
      <c r="B2260">
        <v>10</v>
      </c>
      <c r="C2260" t="s">
        <v>2425</v>
      </c>
    </row>
    <row r="2261" spans="1:3">
      <c r="A2261">
        <v>35</v>
      </c>
      <c r="B2261">
        <v>11</v>
      </c>
      <c r="C2261" t="s">
        <v>2426</v>
      </c>
    </row>
    <row r="2262" spans="1:3">
      <c r="A2262">
        <v>35</v>
      </c>
      <c r="B2262" t="s">
        <v>2810</v>
      </c>
      <c r="C2262" t="s">
        <v>2424</v>
      </c>
    </row>
    <row r="2263" spans="1:3">
      <c r="A2263">
        <v>36</v>
      </c>
      <c r="B2263">
        <v>1</v>
      </c>
      <c r="C2263" t="s">
        <v>2439</v>
      </c>
    </row>
    <row r="2264" spans="1:3">
      <c r="A2264">
        <v>36</v>
      </c>
      <c r="B2264">
        <v>2</v>
      </c>
      <c r="C2264" t="s">
        <v>2439</v>
      </c>
    </row>
    <row r="2265" spans="1:3">
      <c r="A2265">
        <v>36</v>
      </c>
      <c r="B2265">
        <v>3</v>
      </c>
      <c r="C2265" t="s">
        <v>2437</v>
      </c>
    </row>
    <row r="2266" spans="1:3">
      <c r="A2266">
        <v>36</v>
      </c>
      <c r="B2266">
        <v>4</v>
      </c>
      <c r="C2266" t="s">
        <v>2437</v>
      </c>
    </row>
    <row r="2267" spans="1:3">
      <c r="A2267">
        <v>36</v>
      </c>
      <c r="B2267">
        <v>5</v>
      </c>
      <c r="C2267" t="s">
        <v>2437</v>
      </c>
    </row>
    <row r="2268" spans="1:3">
      <c r="A2268">
        <v>36</v>
      </c>
      <c r="B2268" s="35">
        <v>6</v>
      </c>
      <c r="C2268" t="s">
        <v>2438</v>
      </c>
    </row>
    <row r="2269" spans="1:3">
      <c r="A2269">
        <v>36</v>
      </c>
      <c r="B2269">
        <v>7</v>
      </c>
      <c r="C2269" t="s">
        <v>2437</v>
      </c>
    </row>
    <row r="2270" spans="1:3">
      <c r="A2270">
        <v>36</v>
      </c>
      <c r="B2270">
        <v>8</v>
      </c>
      <c r="C2270" t="s">
        <v>2437</v>
      </c>
    </row>
    <row r="2271" spans="1:3">
      <c r="A2271">
        <v>36</v>
      </c>
      <c r="B2271">
        <v>9</v>
      </c>
      <c r="C2271" t="s">
        <v>2437</v>
      </c>
    </row>
    <row r="2272" spans="1:3">
      <c r="A2272">
        <v>36</v>
      </c>
      <c r="B2272">
        <v>10</v>
      </c>
      <c r="C2272" t="s">
        <v>2439</v>
      </c>
    </row>
    <row r="2273" spans="1:3">
      <c r="A2273">
        <v>36</v>
      </c>
      <c r="B2273" t="s">
        <v>2810</v>
      </c>
      <c r="C2273" t="s">
        <v>2437</v>
      </c>
    </row>
    <row r="2274" spans="1:3" ht="31.5">
      <c r="A2274">
        <v>37</v>
      </c>
      <c r="B2274">
        <v>1</v>
      </c>
      <c r="C2274" s="422" t="s">
        <v>2884</v>
      </c>
    </row>
    <row r="2275" spans="1:3">
      <c r="A2275">
        <v>37</v>
      </c>
      <c r="B2275">
        <v>2</v>
      </c>
      <c r="C2275" t="s">
        <v>2452</v>
      </c>
    </row>
    <row r="2276" spans="1:3">
      <c r="A2276">
        <v>37</v>
      </c>
      <c r="B2276">
        <v>3</v>
      </c>
      <c r="C2276" t="s">
        <v>2458</v>
      </c>
    </row>
    <row r="2277" spans="1:3">
      <c r="A2277">
        <v>37</v>
      </c>
      <c r="B2277">
        <v>4</v>
      </c>
      <c r="C2277" t="s">
        <v>2452</v>
      </c>
    </row>
    <row r="2278" spans="1:3">
      <c r="A2278">
        <v>37</v>
      </c>
      <c r="B2278">
        <v>5</v>
      </c>
      <c r="C2278" t="s">
        <v>2454</v>
      </c>
    </row>
    <row r="2279" spans="1:3">
      <c r="A2279">
        <v>37</v>
      </c>
      <c r="B2279">
        <v>6</v>
      </c>
      <c r="C2279" t="s">
        <v>2450</v>
      </c>
    </row>
    <row r="2280" spans="1:3">
      <c r="A2280">
        <v>37</v>
      </c>
      <c r="B2280">
        <v>7</v>
      </c>
      <c r="C2280" t="s">
        <v>2453</v>
      </c>
    </row>
    <row r="2281" spans="1:3">
      <c r="A2281">
        <v>37</v>
      </c>
      <c r="B2281">
        <v>8</v>
      </c>
      <c r="C2281" t="s">
        <v>2454</v>
      </c>
    </row>
    <row r="2282" spans="1:3">
      <c r="A2282">
        <v>37</v>
      </c>
      <c r="B2282">
        <v>9</v>
      </c>
      <c r="C2282" t="s">
        <v>2452</v>
      </c>
    </row>
    <row r="2283" spans="1:3">
      <c r="A2283">
        <v>37</v>
      </c>
      <c r="B2283">
        <v>10</v>
      </c>
      <c r="C2283" t="s">
        <v>2450</v>
      </c>
    </row>
    <row r="2284" spans="1:3">
      <c r="A2284">
        <v>37</v>
      </c>
      <c r="B2284">
        <v>11</v>
      </c>
      <c r="C2284" t="s">
        <v>2450</v>
      </c>
    </row>
    <row r="2285" spans="1:3">
      <c r="A2285">
        <v>37</v>
      </c>
      <c r="B2285" t="s">
        <v>2810</v>
      </c>
      <c r="C2285" t="s">
        <v>2450</v>
      </c>
    </row>
    <row r="2286" spans="1:3">
      <c r="A2286">
        <v>38</v>
      </c>
      <c r="B2286">
        <v>1</v>
      </c>
      <c r="C2286" t="s">
        <v>2558</v>
      </c>
    </row>
    <row r="2287" spans="1:3">
      <c r="A2287">
        <v>38</v>
      </c>
      <c r="B2287">
        <v>2</v>
      </c>
      <c r="C2287" t="s">
        <v>2558</v>
      </c>
    </row>
    <row r="2288" spans="1:3">
      <c r="A2288">
        <v>38</v>
      </c>
      <c r="B2288">
        <v>3</v>
      </c>
      <c r="C2288" t="s">
        <v>2564</v>
      </c>
    </row>
    <row r="2289" spans="1:3">
      <c r="A2289">
        <v>38</v>
      </c>
      <c r="B2289">
        <v>4</v>
      </c>
      <c r="C2289" t="s">
        <v>2563</v>
      </c>
    </row>
    <row r="2290" spans="1:3">
      <c r="A2290">
        <v>38</v>
      </c>
      <c r="B2290">
        <v>5</v>
      </c>
      <c r="C2290" t="s">
        <v>2563</v>
      </c>
    </row>
    <row r="2291" spans="1:3">
      <c r="A2291">
        <v>38</v>
      </c>
      <c r="B2291">
        <v>6</v>
      </c>
      <c r="C2291" t="s">
        <v>2563</v>
      </c>
    </row>
    <row r="2292" spans="1:3">
      <c r="A2292">
        <v>38</v>
      </c>
      <c r="B2292">
        <v>7</v>
      </c>
      <c r="C2292" t="s">
        <v>2563</v>
      </c>
    </row>
    <row r="2293" spans="1:3">
      <c r="A2293">
        <v>38</v>
      </c>
      <c r="B2293">
        <v>8</v>
      </c>
      <c r="C2293" t="s">
        <v>2558</v>
      </c>
    </row>
    <row r="2294" spans="1:3">
      <c r="A2294">
        <v>38</v>
      </c>
      <c r="B2294">
        <v>9</v>
      </c>
      <c r="C2294" t="s">
        <v>2558</v>
      </c>
    </row>
    <row r="2295" spans="1:3">
      <c r="A2295">
        <v>38</v>
      </c>
      <c r="B2295">
        <v>10</v>
      </c>
      <c r="C2295" t="s">
        <v>2558</v>
      </c>
    </row>
    <row r="2296" spans="1:3">
      <c r="A2296">
        <v>38</v>
      </c>
      <c r="B2296">
        <v>11</v>
      </c>
      <c r="C2296" t="s">
        <v>2558</v>
      </c>
    </row>
    <row r="2297" spans="1:3">
      <c r="A2297">
        <v>38</v>
      </c>
      <c r="B2297" t="s">
        <v>2810</v>
      </c>
      <c r="C2297" t="s">
        <v>2558</v>
      </c>
    </row>
  </sheetData>
  <sortState xmlns:xlrd2="http://schemas.microsoft.com/office/spreadsheetml/2017/richdata2" ref="AV21:AV31">
    <sortCondition ref="AV21:AV31"/>
  </sortState>
  <mergeCells count="4">
    <mergeCell ref="E1431:E1432"/>
    <mergeCell ref="AQ19:AV19"/>
    <mergeCell ref="Q3:AI3"/>
    <mergeCell ref="Q4:AI4"/>
  </mergeCells>
  <phoneticPr fontId="3" type="noConversion"/>
  <conditionalFormatting sqref="A1840:D1840 A1841:B1841 A1842:C2297">
    <cfRule type="cellIs" dxfId="13" priority="3" operator="equal">
      <formula>0</formula>
    </cfRule>
  </conditionalFormatting>
  <conditionalFormatting sqref="E1841:E1879 E1881:E2297">
    <cfRule type="cellIs" dxfId="12" priority="1" operator="equal">
      <formula>0</formula>
    </cfRule>
  </conditionalFormatting>
  <dataValidations count="9">
    <dataValidation type="list" allowBlank="1" showInputMessage="1" showErrorMessage="1" sqref="AR21:AR30 S6:AE6" xr:uid="{0E4D0B96-5AD8-4DC2-AC8F-6BD0BBE30A51}">
      <formula1>$AR$21:$AR$30</formula1>
    </dataValidation>
    <dataValidation type="list" allowBlank="1" showInputMessage="1" showErrorMessage="1" sqref="Q30" xr:uid="{6D8265A4-0ED6-405E-8828-372FEEF2B0C5}">
      <formula1>$Q$17:$Q$30</formula1>
    </dataValidation>
    <dataValidation type="list" allowBlank="1" showInputMessage="1" showErrorMessage="1" sqref="AQ21:AQ34 R6" xr:uid="{FE1EA7EB-0B76-4885-9B93-C2FC6EFB2AC4}">
      <formula1>$AQ$21:$AQ$34</formula1>
    </dataValidation>
    <dataValidation type="list" allowBlank="1" showInputMessage="1" showErrorMessage="1" sqref="AS22:AS121" xr:uid="{B977A4DA-CB79-4378-A41F-947426C644FC}">
      <formula1>$AI$21:$AI$122</formula1>
    </dataValidation>
    <dataValidation type="list" allowBlank="1" showInputMessage="1" showErrorMessage="1" sqref="AT21:AT40 AG6" xr:uid="{A113BE32-9ACE-466D-9913-E0CDE5924C2E}">
      <formula1>$AT$21:$AT$40</formula1>
    </dataValidation>
    <dataValidation type="list" allowBlank="1" showInputMessage="1" showErrorMessage="1" sqref="AS21 AF6" xr:uid="{522DB88C-5177-4578-8219-938B926CF6CF}">
      <formula1>$AS$21:$AS$122</formula1>
    </dataValidation>
    <dataValidation type="list" allowBlank="1" showInputMessage="1" showErrorMessage="1" sqref="AU21:AU24 AH6" xr:uid="{16ABE4A5-4C6F-470E-B3A0-E2315DBC92B7}">
      <formula1>$AU$21:$AU$24</formula1>
    </dataValidation>
    <dataValidation type="list" allowBlank="1" showInputMessage="1" showErrorMessage="1" sqref="AV21:AV31 AI6" xr:uid="{DA71B79F-0036-40CB-BC19-B86505F9939B}">
      <formula1>$AV$21:$AV$31</formula1>
    </dataValidation>
    <dataValidation type="list" allowBlank="1" showInputMessage="1" showErrorMessage="1" sqref="AP21:AP59 Q6" xr:uid="{10EEF13D-0A41-41A1-857E-5A5961788F75}">
      <formula1>$AP$21:$AP$59</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19A28-C58F-4E40-ABF7-597FC5EE5AAB}">
  <sheetPr codeName="Sheet4">
    <tabColor rgb="FFC00000"/>
  </sheetPr>
  <dimension ref="B4:BJ871"/>
  <sheetViews>
    <sheetView topLeftCell="A180" zoomScaleNormal="100" workbookViewId="0">
      <selection activeCell="U13" sqref="U13"/>
    </sheetView>
  </sheetViews>
  <sheetFormatPr defaultColWidth="11" defaultRowHeight="15.75"/>
  <cols>
    <col min="2" max="2" width="20.625" customWidth="1"/>
    <col min="3" max="3" width="10" customWidth="1"/>
    <col min="4" max="4" width="6.875" customWidth="1"/>
    <col min="5" max="5" width="10" customWidth="1"/>
    <col min="6" max="6" width="8.5" customWidth="1"/>
    <col min="7" max="7" width="10.125" customWidth="1"/>
    <col min="8" max="8" width="11.125" customWidth="1"/>
    <col min="9" max="9" width="10.125" customWidth="1"/>
    <col min="10" max="11" width="9.375" customWidth="1"/>
    <col min="12" max="12" width="7.5" customWidth="1"/>
    <col min="13" max="13" width="7.875" customWidth="1"/>
    <col min="14" max="14" width="12.625" customWidth="1"/>
    <col min="15" max="15" width="12.25" bestFit="1" customWidth="1"/>
    <col min="16" max="16" width="10" customWidth="1"/>
    <col min="17" max="17" width="11.375" customWidth="1"/>
    <col min="18" max="18" width="12.75" bestFit="1" customWidth="1"/>
    <col min="19" max="19" width="10.625" customWidth="1"/>
    <col min="20" max="20" width="8.625" customWidth="1"/>
    <col min="21" max="21" width="12.125" customWidth="1"/>
    <col min="22" max="22" width="12.25" bestFit="1" customWidth="1"/>
    <col min="23" max="23" width="10.125" customWidth="1"/>
    <col min="24" max="24" width="8.5" customWidth="1"/>
    <col min="25" max="25" width="10.5" customWidth="1"/>
    <col min="26" max="26" width="11.5" customWidth="1"/>
    <col min="27" max="27" width="10" customWidth="1"/>
    <col min="28" max="28" width="9.375" customWidth="1"/>
    <col min="29" max="29" width="12" customWidth="1"/>
    <col min="30" max="30" width="14.125" customWidth="1"/>
    <col min="31" max="31" width="11.125" customWidth="1"/>
    <col min="36" max="36" width="12.625" customWidth="1"/>
    <col min="39" max="39" width="11.5" customWidth="1"/>
    <col min="41" max="41" width="15.5" customWidth="1"/>
    <col min="43" max="43" width="12.625" customWidth="1"/>
    <col min="46" max="46" width="8.625" customWidth="1"/>
    <col min="48" max="48" width="11.625" customWidth="1"/>
    <col min="51" max="51" width="12.625" customWidth="1"/>
    <col min="52" max="52" width="14.125" customWidth="1"/>
  </cols>
  <sheetData>
    <row r="4" spans="2:17" ht="33.75">
      <c r="B4" s="1629" t="s">
        <v>19</v>
      </c>
      <c r="C4" s="1629"/>
      <c r="D4" s="1629"/>
    </row>
    <row r="6" spans="2:17" ht="18.75">
      <c r="B6" s="202" t="s">
        <v>1241</v>
      </c>
      <c r="D6" s="202"/>
      <c r="E6" s="202"/>
      <c r="F6" s="202"/>
      <c r="G6" s="202"/>
      <c r="H6" s="202"/>
      <c r="I6" s="202"/>
      <c r="J6" s="202"/>
      <c r="K6" s="202"/>
      <c r="L6" s="202"/>
      <c r="M6" s="202"/>
      <c r="N6" s="202"/>
      <c r="O6" s="202"/>
      <c r="P6" s="202"/>
      <c r="Q6" s="58"/>
    </row>
    <row r="8" spans="2:17" ht="18.75">
      <c r="B8" s="203" t="s">
        <v>1240</v>
      </c>
      <c r="C8" t="s">
        <v>1242</v>
      </c>
    </row>
    <row r="9" spans="2:17">
      <c r="B9" s="204" t="s">
        <v>27</v>
      </c>
      <c r="C9" s="25" t="s">
        <v>1244</v>
      </c>
      <c r="D9" s="25"/>
      <c r="E9" s="25"/>
      <c r="F9" s="25"/>
      <c r="G9" s="25"/>
      <c r="H9" s="25"/>
      <c r="I9" s="25"/>
      <c r="J9" s="25"/>
      <c r="K9" s="25"/>
      <c r="L9" s="25"/>
      <c r="M9" s="25"/>
      <c r="N9" s="25"/>
    </row>
    <row r="10" spans="2:17">
      <c r="B10" s="205" t="s">
        <v>22</v>
      </c>
      <c r="C10" s="232" t="s">
        <v>1243</v>
      </c>
      <c r="D10" s="232"/>
      <c r="E10" s="232"/>
      <c r="F10" s="232"/>
      <c r="G10" s="232"/>
      <c r="H10" s="232"/>
      <c r="I10" s="232"/>
      <c r="J10" s="232"/>
      <c r="K10" s="232"/>
      <c r="L10" s="232"/>
    </row>
    <row r="11" spans="2:17">
      <c r="B11" s="206" t="s">
        <v>43</v>
      </c>
      <c r="C11" s="1553" t="s">
        <v>1251</v>
      </c>
      <c r="D11" s="1553"/>
      <c r="E11" s="1553"/>
      <c r="F11" s="1553"/>
      <c r="G11" s="1553"/>
      <c r="H11" s="1553"/>
      <c r="I11" s="1553"/>
      <c r="K11" s="232"/>
      <c r="L11" s="232"/>
    </row>
    <row r="12" spans="2:17">
      <c r="B12" s="207" t="s">
        <v>120</v>
      </c>
      <c r="C12" s="1630" t="s">
        <v>1245</v>
      </c>
      <c r="D12" s="1630"/>
      <c r="E12" s="1630"/>
      <c r="F12" s="1630"/>
      <c r="G12" s="1630"/>
      <c r="H12" s="1630"/>
      <c r="I12" s="1630"/>
      <c r="J12" s="1630"/>
    </row>
    <row r="13" spans="2:17">
      <c r="B13" s="1581" t="s">
        <v>47</v>
      </c>
      <c r="C13" s="1422" t="s">
        <v>2844</v>
      </c>
    </row>
    <row r="14" spans="2:17">
      <c r="B14" s="208" t="s">
        <v>46</v>
      </c>
      <c r="C14" t="s">
        <v>1246</v>
      </c>
    </row>
    <row r="15" spans="2:17">
      <c r="B15" s="168" t="s">
        <v>397</v>
      </c>
      <c r="C15" s="1631" t="s">
        <v>1247</v>
      </c>
      <c r="D15" s="1631"/>
      <c r="E15" s="1631"/>
      <c r="F15" s="1631"/>
      <c r="G15" s="1631"/>
      <c r="H15" s="1631"/>
      <c r="I15" s="1631"/>
      <c r="J15" s="1631"/>
      <c r="K15" s="1631"/>
    </row>
    <row r="16" spans="2:17">
      <c r="B16" s="209" t="s">
        <v>155</v>
      </c>
      <c r="C16" s="233" t="s">
        <v>1248</v>
      </c>
      <c r="D16" s="233"/>
      <c r="E16" s="233"/>
      <c r="F16" s="233"/>
      <c r="G16" s="233"/>
      <c r="H16" s="233"/>
      <c r="I16" s="233"/>
      <c r="J16" s="233"/>
      <c r="K16" s="233"/>
      <c r="L16" s="233"/>
      <c r="M16" s="233"/>
      <c r="N16" s="233"/>
      <c r="O16" s="233"/>
      <c r="P16" s="233"/>
    </row>
    <row r="17" spans="2:21">
      <c r="B17" s="210" t="s">
        <v>24</v>
      </c>
      <c r="C17" s="36" t="s">
        <v>1249</v>
      </c>
      <c r="D17" s="36"/>
      <c r="E17" s="36"/>
      <c r="F17" s="36"/>
      <c r="G17" s="36"/>
      <c r="H17" s="36"/>
      <c r="I17" s="36"/>
      <c r="J17" s="36"/>
      <c r="K17" s="36"/>
      <c r="L17" s="36"/>
      <c r="M17" s="36"/>
      <c r="N17" s="36"/>
      <c r="O17" s="36"/>
    </row>
    <row r="18" spans="2:21">
      <c r="B18" s="211" t="s">
        <v>23</v>
      </c>
      <c r="C18" s="234" t="s">
        <v>1273</v>
      </c>
      <c r="D18" s="234"/>
      <c r="E18" s="234"/>
      <c r="F18" s="234"/>
      <c r="G18" s="234"/>
      <c r="H18" s="234"/>
      <c r="I18" s="234"/>
      <c r="J18" s="234"/>
    </row>
    <row r="19" spans="2:21">
      <c r="B19" s="212" t="s">
        <v>29</v>
      </c>
      <c r="C19" s="235" t="s">
        <v>1250</v>
      </c>
      <c r="D19" s="235"/>
      <c r="E19" s="235"/>
      <c r="F19" s="235"/>
      <c r="G19" s="235"/>
      <c r="H19" s="235"/>
      <c r="I19" s="235"/>
      <c r="J19" s="235"/>
      <c r="K19" s="235"/>
      <c r="L19" s="235"/>
      <c r="M19" s="235"/>
      <c r="N19" s="235"/>
      <c r="O19" s="235"/>
      <c r="P19" s="62"/>
      <c r="Q19" s="62"/>
    </row>
    <row r="20" spans="2:21">
      <c r="B20" s="213" t="s">
        <v>93</v>
      </c>
      <c r="C20" s="236" t="s">
        <v>1252</v>
      </c>
      <c r="D20" s="236"/>
      <c r="E20" s="236"/>
      <c r="F20" s="236"/>
      <c r="G20" s="236"/>
      <c r="H20" s="236"/>
      <c r="I20" s="236"/>
      <c r="J20" s="236"/>
      <c r="K20" s="236"/>
      <c r="L20" s="62"/>
      <c r="M20" s="62"/>
    </row>
    <row r="21" spans="2:21">
      <c r="B21" s="214" t="s">
        <v>244</v>
      </c>
      <c r="C21" s="237" t="s">
        <v>1253</v>
      </c>
      <c r="D21" s="237"/>
      <c r="E21" s="237"/>
      <c r="F21" s="237"/>
      <c r="G21" s="237"/>
      <c r="H21" s="237"/>
      <c r="I21" s="237"/>
      <c r="J21" s="237"/>
      <c r="K21" s="237"/>
    </row>
    <row r="22" spans="2:21">
      <c r="B22" s="215" t="s">
        <v>26</v>
      </c>
      <c r="C22" s="1550" t="s">
        <v>1254</v>
      </c>
      <c r="D22" s="1551"/>
      <c r="E22" s="1551"/>
      <c r="F22" s="1551"/>
      <c r="G22" s="1551"/>
      <c r="H22" s="1551"/>
      <c r="I22" s="1551"/>
      <c r="J22" s="1551"/>
      <c r="K22" s="1551"/>
      <c r="L22" s="1551"/>
      <c r="M22" s="1551"/>
      <c r="N22" s="1551"/>
      <c r="O22" s="1551"/>
    </row>
    <row r="23" spans="2:21">
      <c r="B23" s="216" t="s">
        <v>109</v>
      </c>
      <c r="C23" s="238" t="s">
        <v>1255</v>
      </c>
      <c r="D23" s="238"/>
      <c r="E23" s="238"/>
      <c r="F23" s="238"/>
      <c r="G23" s="238"/>
      <c r="H23" s="238"/>
      <c r="I23" s="238"/>
      <c r="J23" s="238"/>
      <c r="K23" s="238"/>
      <c r="L23" s="238"/>
      <c r="M23" s="238"/>
      <c r="N23" s="238"/>
      <c r="O23" s="238"/>
      <c r="P23" s="238"/>
    </row>
    <row r="24" spans="2:21">
      <c r="B24" s="217" t="s">
        <v>114</v>
      </c>
      <c r="C24" s="239" t="s">
        <v>1256</v>
      </c>
      <c r="D24" s="239"/>
      <c r="E24" s="239"/>
      <c r="F24" s="239"/>
      <c r="G24" s="239"/>
      <c r="H24" s="239"/>
      <c r="I24" s="239"/>
      <c r="J24" s="239"/>
      <c r="K24" s="239"/>
      <c r="L24" s="239"/>
    </row>
    <row r="25" spans="2:21">
      <c r="B25" s="218" t="s">
        <v>28</v>
      </c>
      <c r="C25" s="1552" t="s">
        <v>1257</v>
      </c>
      <c r="D25" s="1552"/>
      <c r="E25" s="1552"/>
      <c r="F25" s="1552"/>
      <c r="G25" s="1552"/>
      <c r="H25" s="1552"/>
      <c r="I25" s="1552"/>
      <c r="J25" s="1552"/>
      <c r="K25" s="1552"/>
      <c r="L25" s="1552"/>
      <c r="M25" s="1552"/>
      <c r="N25" s="1552"/>
      <c r="O25" s="1552"/>
      <c r="P25" s="1552"/>
      <c r="Q25" s="1552"/>
      <c r="R25" s="1552"/>
      <c r="S25" s="1552"/>
      <c r="T25" s="1552"/>
      <c r="U25" s="1552"/>
    </row>
    <row r="26" spans="2:21">
      <c r="B26" s="219" t="s">
        <v>68</v>
      </c>
      <c r="C26" s="230" t="s">
        <v>1258</v>
      </c>
      <c r="D26" s="230"/>
      <c r="E26" s="230"/>
      <c r="F26" s="230"/>
      <c r="G26" s="230"/>
      <c r="H26" s="230"/>
      <c r="I26" s="230"/>
      <c r="J26" s="230"/>
      <c r="K26" s="230"/>
      <c r="L26" s="230"/>
      <c r="M26" s="230"/>
      <c r="N26" s="62"/>
      <c r="O26" s="62"/>
      <c r="P26" s="62"/>
    </row>
    <row r="27" spans="2:21">
      <c r="B27" s="220" t="s">
        <v>234</v>
      </c>
      <c r="C27" s="240" t="s">
        <v>1259</v>
      </c>
      <c r="D27" s="240"/>
      <c r="E27" s="240"/>
      <c r="F27" s="240"/>
      <c r="G27" s="240"/>
      <c r="H27" s="240"/>
      <c r="I27" s="240"/>
      <c r="J27" s="240"/>
      <c r="K27" s="240"/>
      <c r="L27" s="240"/>
      <c r="M27" s="240"/>
      <c r="N27" s="240"/>
      <c r="O27" s="240"/>
    </row>
    <row r="28" spans="2:21">
      <c r="B28" s="221" t="s">
        <v>124</v>
      </c>
      <c r="C28" s="274" t="s">
        <v>1260</v>
      </c>
      <c r="D28" s="241"/>
      <c r="E28" s="241"/>
      <c r="F28" s="241"/>
      <c r="G28" s="241"/>
      <c r="H28" s="241"/>
      <c r="I28" s="241"/>
      <c r="J28" s="241"/>
      <c r="K28" s="241"/>
      <c r="L28" s="241"/>
      <c r="M28" s="241"/>
      <c r="N28" s="241"/>
      <c r="O28" s="275"/>
      <c r="P28" s="62"/>
      <c r="Q28" s="62"/>
    </row>
    <row r="29" spans="2:21">
      <c r="B29" s="222" t="s">
        <v>74</v>
      </c>
      <c r="C29" s="276" t="s">
        <v>1261</v>
      </c>
      <c r="D29" s="276"/>
      <c r="E29" s="276"/>
      <c r="F29" s="276"/>
      <c r="G29" s="276"/>
      <c r="H29" s="276"/>
      <c r="I29" s="276"/>
      <c r="J29" s="276"/>
      <c r="K29" s="276"/>
      <c r="L29" s="276"/>
    </row>
    <row r="30" spans="2:21">
      <c r="B30" s="223" t="s">
        <v>25</v>
      </c>
      <c r="C30" s="34" t="s">
        <v>1262</v>
      </c>
      <c r="D30" s="34"/>
      <c r="E30" s="34"/>
      <c r="F30" s="34"/>
      <c r="G30" s="34"/>
      <c r="H30" s="34"/>
      <c r="I30" s="34"/>
      <c r="J30" s="34"/>
      <c r="K30" s="34"/>
      <c r="L30" s="34"/>
      <c r="M30" s="34"/>
    </row>
    <row r="31" spans="2:21">
      <c r="B31" s="224" t="s">
        <v>20</v>
      </c>
      <c r="C31" s="10" t="s">
        <v>1263</v>
      </c>
      <c r="D31" s="10"/>
      <c r="E31" s="10"/>
      <c r="F31" s="10"/>
      <c r="G31" s="10"/>
      <c r="H31" s="10"/>
      <c r="I31" s="10"/>
      <c r="J31" s="10"/>
      <c r="K31" s="10"/>
      <c r="L31" s="10"/>
      <c r="M31" s="10"/>
    </row>
    <row r="32" spans="2:21">
      <c r="B32" s="225" t="s">
        <v>44</v>
      </c>
      <c r="C32" s="39" t="s">
        <v>1264</v>
      </c>
    </row>
    <row r="33" spans="2:62">
      <c r="B33" s="226" t="s">
        <v>339</v>
      </c>
      <c r="C33" s="277" t="s">
        <v>1265</v>
      </c>
      <c r="D33" s="277"/>
      <c r="E33" s="277"/>
      <c r="F33" s="277"/>
      <c r="G33" s="277"/>
      <c r="H33" s="277"/>
      <c r="I33" s="277"/>
      <c r="J33" s="277"/>
      <c r="K33" s="277"/>
      <c r="L33" s="277"/>
    </row>
    <row r="34" spans="2:62">
      <c r="B34" s="227" t="s">
        <v>73</v>
      </c>
      <c r="C34" s="278" t="s">
        <v>1266</v>
      </c>
      <c r="D34" s="278"/>
      <c r="E34" s="278"/>
      <c r="F34" s="278"/>
      <c r="G34" s="278"/>
      <c r="H34" s="278"/>
      <c r="I34" s="62"/>
      <c r="J34" s="62"/>
      <c r="K34" s="62"/>
    </row>
    <row r="35" spans="2:62">
      <c r="B35" s="228" t="s">
        <v>216</v>
      </c>
      <c r="C35" s="279" t="s">
        <v>1267</v>
      </c>
      <c r="D35" s="279"/>
      <c r="E35" s="279"/>
      <c r="F35" s="279"/>
      <c r="G35" s="279"/>
      <c r="H35" s="279"/>
      <c r="I35" s="279"/>
      <c r="J35" s="279"/>
      <c r="K35" s="279"/>
    </row>
    <row r="36" spans="2:62">
      <c r="B36" s="229" t="s">
        <v>21</v>
      </c>
      <c r="C36" s="280" t="s">
        <v>1274</v>
      </c>
      <c r="D36" s="280"/>
      <c r="E36" s="280"/>
      <c r="F36" s="280"/>
      <c r="G36" s="280"/>
      <c r="H36" s="280"/>
      <c r="I36" s="280"/>
      <c r="J36" s="280"/>
    </row>
    <row r="38" spans="2:62">
      <c r="B38" s="56"/>
      <c r="C38" s="286" t="s">
        <v>1275</v>
      </c>
      <c r="D38" s="280"/>
      <c r="E38" s="280"/>
      <c r="F38" s="280"/>
      <c r="G38" s="280"/>
      <c r="H38" s="280"/>
      <c r="I38" s="280"/>
      <c r="J38" s="280"/>
    </row>
    <row r="40" spans="2:62" ht="18.75">
      <c r="B40" s="40" t="s">
        <v>1268</v>
      </c>
      <c r="C40" s="12"/>
    </row>
    <row r="41" spans="2:62" ht="31.5">
      <c r="B41" s="1520" t="s">
        <v>2839</v>
      </c>
      <c r="C41" s="1521" t="s">
        <v>182</v>
      </c>
      <c r="D41" s="1522" t="s">
        <v>27</v>
      </c>
      <c r="E41" s="1523" t="s">
        <v>1270</v>
      </c>
      <c r="F41" s="1524" t="s">
        <v>43</v>
      </c>
      <c r="G41" s="1525" t="s">
        <v>120</v>
      </c>
      <c r="H41" s="1526" t="s">
        <v>47</v>
      </c>
      <c r="I41" s="1527" t="s">
        <v>46</v>
      </c>
      <c r="J41" s="1528" t="s">
        <v>397</v>
      </c>
      <c r="K41" s="1529" t="s">
        <v>155</v>
      </c>
      <c r="L41" s="1530" t="s">
        <v>24</v>
      </c>
      <c r="M41" s="1531" t="s">
        <v>23</v>
      </c>
      <c r="N41" s="1532" t="s">
        <v>29</v>
      </c>
      <c r="O41" s="1533" t="s">
        <v>93</v>
      </c>
      <c r="P41" s="1534" t="s">
        <v>1269</v>
      </c>
      <c r="Q41" s="1535" t="s">
        <v>26</v>
      </c>
      <c r="R41" s="1536" t="s">
        <v>109</v>
      </c>
      <c r="S41" s="1537" t="s">
        <v>114</v>
      </c>
      <c r="T41" s="1538" t="s">
        <v>1272</v>
      </c>
      <c r="U41" s="1539" t="s">
        <v>68</v>
      </c>
      <c r="V41" s="1540" t="s">
        <v>234</v>
      </c>
      <c r="W41" s="1541" t="s">
        <v>124</v>
      </c>
      <c r="X41" s="1542" t="s">
        <v>74</v>
      </c>
      <c r="Y41" s="1543" t="s">
        <v>1271</v>
      </c>
      <c r="Z41" s="1544" t="s">
        <v>20</v>
      </c>
      <c r="AA41" s="1545" t="s">
        <v>44</v>
      </c>
      <c r="AB41" s="1546" t="s">
        <v>339</v>
      </c>
      <c r="AC41" s="1547" t="s">
        <v>73</v>
      </c>
      <c r="AD41" s="1548" t="s">
        <v>216</v>
      </c>
      <c r="AE41" s="1549" t="s">
        <v>21</v>
      </c>
    </row>
    <row r="42" spans="2:62">
      <c r="B42" s="163" t="s">
        <v>126</v>
      </c>
      <c r="C42" s="284">
        <f t="shared" ref="C42:C80" si="0">SUM($D42:$AE42)</f>
        <v>54</v>
      </c>
      <c r="D42" s="25">
        <f>COUNTIF(Logs!$Q$9:'Logs'!$AC$17, "*"&amp;D$41&amp;"*")</f>
        <v>5</v>
      </c>
      <c r="E42" s="33">
        <f>COUNTIF(Logs!$Q$9:'Logs'!$AC$17, "Attention to Detail")</f>
        <v>0</v>
      </c>
      <c r="F42" s="1306">
        <f>COUNTIF(Logs!$Q$9:'Logs'!$AC$17, "*"&amp;F$41&amp;"*")</f>
        <v>0</v>
      </c>
      <c r="G42" s="1307">
        <f>COUNTIF(Logs!$Q$9:'Logs'!$AC$17, "*"&amp;G$41&amp;"*")</f>
        <v>1</v>
      </c>
      <c r="H42" s="642">
        <f>COUNTIF(Logs!$Q$9:'Logs'!$AC$17, "*"&amp;H$41&amp;"*")</f>
        <v>0</v>
      </c>
      <c r="I42">
        <f>COUNTIF(Logs!$Q$9:'Logs'!$AC$17, "*"&amp;I$41&amp;"*")</f>
        <v>0</v>
      </c>
      <c r="J42" s="1308">
        <f>COUNTIF(Logs!$Q$9:'Logs'!$AC$17, "*"&amp;J$41&amp;"*")</f>
        <v>1</v>
      </c>
      <c r="K42" s="233">
        <f>COUNTIF(Logs!$Q$9:'Logs'!$AC$17, "*"&amp;K$41&amp;"*")</f>
        <v>0</v>
      </c>
      <c r="L42" s="36">
        <f>COUNTIF(Logs!$Q$9:'Logs'!$AC$17, "*"&amp;L$41&amp;"*")</f>
        <v>5</v>
      </c>
      <c r="M42" s="234">
        <f>COUNTIF(Logs!$Q$9:'Logs'!$AC$17, "*"&amp;M$41&amp;"*")</f>
        <v>1</v>
      </c>
      <c r="N42" s="37">
        <f>COUNTIF(Logs!$Q$9:'Logs'!$AC$17, "*"&amp;N$41&amp;"*")</f>
        <v>1</v>
      </c>
      <c r="O42" s="37">
        <f>COUNTIF(Logs!$Q$9:'Logs'!$AC$17, "*"&amp;O$41&amp;"*")</f>
        <v>0</v>
      </c>
      <c r="P42" s="242">
        <f>COUNTIF(Logs!$Q$9:'Logs'!$AC$17, "Hand Eye Coordination")</f>
        <v>1</v>
      </c>
      <c r="Q42" s="8">
        <f>COUNTIF(Logs!$Q$9:'Logs'!$AC$17, "*"&amp;Q$41&amp;"*")</f>
        <v>3</v>
      </c>
      <c r="R42" s="238">
        <f>COUNTIF(Logs!$Q$9:'Logs'!$AC$17, "*"&amp;R$41&amp;"*")</f>
        <v>2</v>
      </c>
      <c r="S42" s="498">
        <f>COUNTIF(Logs!$Q$9:'Logs'!$AC$17, "*"&amp;S$41&amp;"*")</f>
        <v>0</v>
      </c>
      <c r="T42" s="1309">
        <f>COUNTIF(Logs!$Q$9:'Logs'!$AC$17, "Memorization")</f>
        <v>0</v>
      </c>
      <c r="U42" s="499">
        <f>COUNTIF(Logs!$Q$9:'Logs'!$AC$17, "*"&amp;U$41&amp;"*")</f>
        <v>0</v>
      </c>
      <c r="V42" s="500">
        <f>COUNTIF(Logs!$Q$9:'Logs'!$AC$17, "*"&amp;V$41&amp;"*")</f>
        <v>3</v>
      </c>
      <c r="W42" s="501">
        <f>COUNTIF(Logs!$Q$9:'Logs'!$AC$17, W$41)</f>
        <v>2</v>
      </c>
      <c r="X42" s="276">
        <f>COUNTIF(Logs!$Q$9:'Logs'!$AC$17, "*"&amp;X$41&amp;"*")</f>
        <v>0</v>
      </c>
      <c r="Y42" s="34">
        <f>COUNTIF(Logs!$Q$9:'Logs'!$AC$17, "Physical Strength")</f>
        <v>7</v>
      </c>
      <c r="Z42" s="10">
        <f>COUNTIF(Logs!$Q$9:'Logs'!$AC$17, "*"&amp;Z$41&amp;"*")</f>
        <v>2</v>
      </c>
      <c r="AA42" s="39">
        <f>COUNTIF(Logs!$Q$9:'Logs'!$AC$17, "*"&amp;AA$41&amp;"*")</f>
        <v>10</v>
      </c>
      <c r="AB42" s="361">
        <f>COUNTIF(Logs!$Q$9:'Logs'!$AC$17, "*"&amp;AB$41&amp;"*")</f>
        <v>0</v>
      </c>
      <c r="AC42" s="1310">
        <f>COUNTIF(Logs!$Q$9:'Logs'!$AC$17, "*"&amp;AC$41&amp;"*")</f>
        <v>0</v>
      </c>
      <c r="AD42" s="279">
        <f>COUNTIF(Logs!$Q$9:'Logs'!$AC$17, "*"&amp;AD$41&amp;"*")</f>
        <v>1</v>
      </c>
      <c r="AE42" s="280">
        <f>COUNTIF(Logs!$Q$9:'Logs'!$AC$17, "*"&amp;AE$41&amp;"*")</f>
        <v>9</v>
      </c>
    </row>
    <row r="43" spans="2:62">
      <c r="B43" s="163" t="s">
        <v>127</v>
      </c>
      <c r="C43" s="291">
        <f t="shared" si="0"/>
        <v>57</v>
      </c>
      <c r="D43" s="25">
        <f>COUNTIF(Logs!$Q$27:'Logs'!$AC$35, "*"&amp;D$41&amp;"*")</f>
        <v>2</v>
      </c>
      <c r="E43" s="33">
        <f>COUNTIF(Logs!$Q$27:'Logs'!$AC$35,  "Attention to Detail")</f>
        <v>0</v>
      </c>
      <c r="F43" s="1306">
        <f>COUNTIF(Logs!$Q$27:'Logs'!$AC$35, "*"&amp;F$41&amp;"*")</f>
        <v>1</v>
      </c>
      <c r="G43" s="1307">
        <f>COUNTIF(Logs!$Q$27:'Logs'!$AC$35, "*"&amp;G$41&amp;"*")</f>
        <v>1</v>
      </c>
      <c r="H43" s="642">
        <f>COUNTIF(Logs!$Q$27:'Logs'!$AC$35, "*"&amp;H$41&amp;"*")</f>
        <v>0</v>
      </c>
      <c r="I43">
        <f>COUNTIF(Logs!$Q$27:'Logs'!$AC$35, "*"&amp;I$41&amp;"*")</f>
        <v>0</v>
      </c>
      <c r="J43" s="1308">
        <f>COUNTIF(Logs!$Q$27:'Logs'!$AC$35, "*"&amp;J$41&amp;"*")</f>
        <v>0</v>
      </c>
      <c r="K43" s="233">
        <f>COUNTIF(Logs!$Q$27:'Logs'!$AC$35, "*"&amp;K$41&amp;"*")</f>
        <v>1</v>
      </c>
      <c r="L43" s="36">
        <f>COUNTIF(Logs!$Q$27:'Logs'!$AC$35, "*"&amp;L$41&amp;"*")</f>
        <v>10</v>
      </c>
      <c r="M43" s="234">
        <f>COUNTIF(Logs!$Q$27:'Logs'!$AC$35, "*"&amp;M$41&amp;"*")</f>
        <v>0</v>
      </c>
      <c r="N43" s="37">
        <f>COUNTIF(Logs!$Q$27:'Logs'!$AC$35, "*"&amp;N$41&amp;"*")</f>
        <v>3</v>
      </c>
      <c r="O43" s="37">
        <f>COUNTIF(Logs!$Q$27:'Logs'!$AC$35, "*"&amp;O$41&amp;"*")</f>
        <v>0</v>
      </c>
      <c r="P43" s="242">
        <f>COUNTIF(Logs!$Q$27:'Logs'!$AC$35, "Hand Eye Coordination")</f>
        <v>3</v>
      </c>
      <c r="Q43" s="8">
        <f>COUNTIF(Logs!$Q$27:'Logs'!$AC$35, "*"&amp;Q$41&amp;"*")</f>
        <v>5</v>
      </c>
      <c r="R43" s="238">
        <f>COUNTIF(Logs!$Q$27:'Logs'!$AC$35, "*"&amp;R$41&amp;"*")</f>
        <v>1</v>
      </c>
      <c r="S43" s="498">
        <f>COUNTIF(Logs!$Q$27:'Logs'!$AC$35, "*"&amp;S$41&amp;"*")</f>
        <v>0</v>
      </c>
      <c r="T43" s="1309">
        <f>COUNTIF(Logs!$Q$27:'Logs'!$AC$35, "Memorization")</f>
        <v>0</v>
      </c>
      <c r="U43" s="499">
        <f>COUNTIF(Logs!$Q$27:'Logs'!$AC$35, "*"&amp;U$41&amp;"*")</f>
        <v>0</v>
      </c>
      <c r="V43" s="500">
        <f>COUNTIF(Logs!$Q$27:'Logs'!$AC$35, "*"&amp;V$41&amp;"*")</f>
        <v>0</v>
      </c>
      <c r="W43" s="501">
        <f>COUNTIF(Logs!$Q$27:'Logs'!$AC$35,W$41)</f>
        <v>0</v>
      </c>
      <c r="X43" s="276">
        <f>COUNTIF(Logs!$Q$27:'Logs'!$AC$35, "*"&amp;X$41&amp;"*")</f>
        <v>0</v>
      </c>
      <c r="Y43" s="34">
        <f>COUNTIF(Logs!$Q$27:'Logs'!$AC$35, "Physical Strength")</f>
        <v>9</v>
      </c>
      <c r="Z43" s="10">
        <f>COUNTIF(Logs!$Q$27:'Logs'!$AC$35, "*"&amp;Z$41&amp;"*")</f>
        <v>0</v>
      </c>
      <c r="AA43" s="39">
        <f>COUNTIF(Logs!$Q$27:'Logs'!$AC$35, "*"&amp;AA$41&amp;"*")</f>
        <v>8</v>
      </c>
      <c r="AB43" s="361">
        <f>COUNTIF(Logs!$Q$27:'Logs'!$AC$35, "*"&amp;AB$41&amp;"*")</f>
        <v>1</v>
      </c>
      <c r="AC43" s="1310">
        <f>COUNTIF(Logs!$Q$27:'Logs'!$AC$35, "*"&amp;AC$41&amp;"*")</f>
        <v>0</v>
      </c>
      <c r="AD43" s="279">
        <f>COUNTIF(Logs!$Q$27:'Logs'!$AC$35, "*"&amp;AD$41&amp;"*")</f>
        <v>2</v>
      </c>
      <c r="AE43" s="280">
        <f>COUNTIF(Logs!$Q$27:'Logs'!$AC$35, "*"&amp;AE$41&amp;"*")</f>
        <v>10</v>
      </c>
      <c r="AV43" s="591"/>
      <c r="AW43" s="564"/>
    </row>
    <row r="44" spans="2:62">
      <c r="B44" s="163" t="s">
        <v>128</v>
      </c>
      <c r="C44" s="291">
        <f t="shared" si="0"/>
        <v>67</v>
      </c>
      <c r="D44" s="25">
        <f>COUNTIF(Logs!$Q$45:'Logs'!$AC$53, "*"&amp;D$41&amp;"*")</f>
        <v>3</v>
      </c>
      <c r="E44" s="33">
        <f>COUNTIF(Logs!$Q$45:'Logs'!$AC$53, "Attention to Detail")</f>
        <v>1</v>
      </c>
      <c r="F44" s="1306">
        <f>COUNTIF(Logs!$Q$45:'Logs'!$AC$53, "*"&amp;F$41&amp;"*")</f>
        <v>2</v>
      </c>
      <c r="G44" s="1307">
        <f>COUNTIF(Logs!$Q$45:'Logs'!$AC$53, "*"&amp;G$41&amp;"*")</f>
        <v>4</v>
      </c>
      <c r="H44" s="642">
        <f>COUNTIF(Logs!$Q$45:'Logs'!$AC$53, "*"&amp;H$41&amp;"*")</f>
        <v>1</v>
      </c>
      <c r="I44">
        <f>COUNTIF(Logs!$Q$45:'Logs'!$AC$53, "*"&amp;I$41&amp;"*")</f>
        <v>0</v>
      </c>
      <c r="J44" s="1308">
        <f>COUNTIF(Logs!$Q$45:'Logs'!$AC$53, "*"&amp;J$41&amp;"*")</f>
        <v>1</v>
      </c>
      <c r="K44" s="233">
        <f>COUNTIF(Logs!$Q$45:'Logs'!$AC$53, "*"&amp;K$41&amp;"*")</f>
        <v>0</v>
      </c>
      <c r="L44" s="36">
        <f>COUNTIF(Logs!$Q$45:'Logs'!$AC$53, "*"&amp;L$41&amp;"*")</f>
        <v>11</v>
      </c>
      <c r="M44" s="234">
        <f>COUNTIF(Logs!$Q$45:'Logs'!$AC$53, "*"&amp;M$41&amp;"*")</f>
        <v>1</v>
      </c>
      <c r="N44" s="37">
        <f>COUNTIF(Logs!$Q$45:'Logs'!$AC$53, "*"&amp;N$41&amp;"*")</f>
        <v>1</v>
      </c>
      <c r="O44" s="37">
        <f>COUNTIF(Logs!$Q$45:'Logs'!$AC$53, "*"&amp;O$41&amp;"*")</f>
        <v>0</v>
      </c>
      <c r="P44" s="242">
        <f>COUNTIF(Logs!$Q$45:'Logs'!$AC$53,"Hand Eye Coordination")</f>
        <v>3</v>
      </c>
      <c r="Q44" s="8">
        <f>COUNTIF(Logs!$Q$45:'Logs'!$AC$53, "*"&amp;Q$41&amp;"*")</f>
        <v>6</v>
      </c>
      <c r="R44" s="238">
        <f>COUNTIF(Logs!$Q$45:'Logs'!$AC$53, "*"&amp;R$41&amp;"*")</f>
        <v>1</v>
      </c>
      <c r="S44" s="498">
        <f>COUNTIF(Logs!$Q$45:'Logs'!$AC$53, "*"&amp;S$41&amp;"*")</f>
        <v>0</v>
      </c>
      <c r="T44" s="1309">
        <f>COUNTIF(Logs!$Q$45:'Logs'!$AC$53, "Memorization")</f>
        <v>1</v>
      </c>
      <c r="U44" s="499">
        <f>COUNTIF(Logs!$Q$45:'Logs'!$AC$53, "*"&amp;U$41&amp;"*")</f>
        <v>0</v>
      </c>
      <c r="V44" s="500">
        <f>COUNTIF(Logs!$Q$45:'Logs'!$AC$53, "*"&amp;V$41&amp;"*")</f>
        <v>1</v>
      </c>
      <c r="W44" s="501">
        <f>COUNTIF(Logs!$Q$45:'Logs'!$AC$53,W$41)</f>
        <v>0</v>
      </c>
      <c r="X44" s="276">
        <f>COUNTIF(Logs!$Q$45:'Logs'!$AC$53, "*"&amp;X$41&amp;"*")</f>
        <v>0</v>
      </c>
      <c r="Y44" s="34">
        <f>COUNTIF(Logs!$Q$45:'Logs'!$AC$53, "Physical Strength")</f>
        <v>8</v>
      </c>
      <c r="Z44" s="10">
        <f>COUNTIF(Logs!$Q$45:'Logs'!$AC$53, "*"&amp;Z$41&amp;"*")</f>
        <v>0</v>
      </c>
      <c r="AA44" s="39">
        <f>COUNTIF(Logs!$Q$45:'Logs'!$AC$53, "*"&amp;AA$41&amp;"*")</f>
        <v>8</v>
      </c>
      <c r="AB44" s="361">
        <f>COUNTIF(Logs!$Q$45:'Logs'!$AC$53, "*"&amp;AB$41&amp;"*")</f>
        <v>2</v>
      </c>
      <c r="AC44" s="1310">
        <f>COUNTIF(Logs!$Q$45:'Logs'!$AC$53, "*"&amp;AC$41&amp;"*")</f>
        <v>0</v>
      </c>
      <c r="AD44" s="279">
        <f>COUNTIF(Logs!$Q$45:'Logs'!$AC$53, "*"&amp;AD$41&amp;"*")</f>
        <v>2</v>
      </c>
      <c r="AE44" s="280">
        <f>COUNTIF(Logs!$Q$45:'Logs'!$AC$53, "*"&amp;AE$41&amp;"*")</f>
        <v>10</v>
      </c>
      <c r="AV44" s="591"/>
      <c r="AW44" s="564"/>
    </row>
    <row r="45" spans="2:62" ht="18.75">
      <c r="B45" s="163" t="s">
        <v>129</v>
      </c>
      <c r="C45" s="291">
        <f t="shared" si="0"/>
        <v>58</v>
      </c>
      <c r="D45" s="25">
        <f>COUNTIF(Logs!$Q$63:'Logs'!$AC$71, "*"&amp;D$41&amp;"*")</f>
        <v>6</v>
      </c>
      <c r="E45" s="33">
        <f>COUNTIF(Logs!$Q$63:'Logs'!$AC$71,  "Attention to Detail")</f>
        <v>0</v>
      </c>
      <c r="F45" s="1306">
        <f>COUNTIF(Logs!$Q$63:'Logs'!$AC$71, "*"&amp;F$41&amp;"*")</f>
        <v>1</v>
      </c>
      <c r="G45" s="1307">
        <f>COUNTIF(Logs!$Q$63:'Logs'!$AC$71, "*"&amp;G$41&amp;"*")</f>
        <v>2</v>
      </c>
      <c r="H45" s="642">
        <f>COUNTIF(Logs!$Q$63:'Logs'!$AC$71, "*"&amp;H$41&amp;"*")</f>
        <v>0</v>
      </c>
      <c r="I45">
        <f>COUNTIF(Logs!$Q$63:'Logs'!$AC$71, "*"&amp;I$41&amp;"*")</f>
        <v>0</v>
      </c>
      <c r="J45" s="1308">
        <f>COUNTIF(Logs!$Q$63:'Logs'!$AC$71, "*"&amp;J$41&amp;"*")</f>
        <v>0</v>
      </c>
      <c r="K45" s="233">
        <f>COUNTIF(Logs!$Q$63:'Logs'!$AC$71, "*"&amp;K$41&amp;"*")</f>
        <v>0</v>
      </c>
      <c r="L45" s="36">
        <f>COUNTIF(Logs!$Q$63:'Logs'!$AC$71, "*"&amp;L$41&amp;"*")</f>
        <v>6</v>
      </c>
      <c r="M45" s="234">
        <f>COUNTIF(Logs!$Q$63:'Logs'!$AC$71, "*"&amp;M$41&amp;"*")</f>
        <v>0</v>
      </c>
      <c r="N45" s="37">
        <f>COUNTIF(Logs!$Q$63:'Logs'!$AC$71, "*"&amp;N$41&amp;"*")</f>
        <v>1</v>
      </c>
      <c r="O45" s="37">
        <f>COUNTIF(Logs!$Q$63:'Logs'!$AC$71, "*"&amp;O$41&amp;"*")</f>
        <v>0</v>
      </c>
      <c r="P45" s="242">
        <f>COUNTIF(Logs!$Q$63:'Logs'!$AC$71,"Hand Eye Coordination")</f>
        <v>1</v>
      </c>
      <c r="Q45" s="8">
        <f>COUNTIF(Logs!$Q$63:'Logs'!$AC$71, "*"&amp;Q$41&amp;"*")</f>
        <v>6</v>
      </c>
      <c r="R45" s="238">
        <f>COUNTIF(Logs!$Q$63:'Logs'!$AC$71, "*"&amp;R$41&amp;"*")</f>
        <v>0</v>
      </c>
      <c r="S45" s="498">
        <f>COUNTIF(Logs!$Q$63:'Logs'!$AC$71, "*"&amp;S$41&amp;"*")</f>
        <v>0</v>
      </c>
      <c r="T45" s="1309">
        <f>COUNTIF(Logs!$Q$63:'Logs'!$AC$71, "Memorization")</f>
        <v>0</v>
      </c>
      <c r="U45" s="499">
        <f>COUNTIF(Logs!$Q$63:'Logs'!$AC$71, "*"&amp;U$41&amp;"*")</f>
        <v>0</v>
      </c>
      <c r="V45" s="500">
        <f>COUNTIF(Logs!$Q$63:'Logs'!$AC$71, "*"&amp;V$41&amp;"*")</f>
        <v>3</v>
      </c>
      <c r="W45" s="501">
        <f>COUNTIF(Logs!$Q$63:'Logs'!$AC$71, W$41)</f>
        <v>2</v>
      </c>
      <c r="X45" s="276">
        <f>COUNTIF(Logs!$Q$63:'Logs'!$AC$71, "*"&amp;X$41&amp;"*")</f>
        <v>0</v>
      </c>
      <c r="Y45" s="34">
        <f>COUNTIF(Logs!$Q$63:'Logs'!$AC$71, "Physical Strength")</f>
        <v>9</v>
      </c>
      <c r="Z45" s="10">
        <f>COUNTIF(Logs!$Q$63:'Logs'!$AC$71, "*"&amp;Z$41&amp;"*")</f>
        <v>2</v>
      </c>
      <c r="AA45" s="39">
        <f>COUNTIF(Logs!$Q$63:'Logs'!$AC$71, "*"&amp;AA$41&amp;"*")</f>
        <v>7</v>
      </c>
      <c r="AB45" s="361">
        <f>COUNTIF(Logs!$Q$63:'Logs'!$AC$71, "*"&amp;AB$41&amp;"*")</f>
        <v>0</v>
      </c>
      <c r="AC45" s="1310">
        <f>COUNTIF(Logs!$Q$63:'Logs'!$AC$71, "*"&amp;AC$41&amp;"*")</f>
        <v>0</v>
      </c>
      <c r="AD45" s="279">
        <f>COUNTIF(Logs!$Q$63:'Logs'!$AC$71, "*"&amp;AD$41&amp;"*")</f>
        <v>3</v>
      </c>
      <c r="AE45" s="280">
        <f>COUNTIF(Logs!$Q$63:'Logs'!$AC$71, "*"&amp;AE$41&amp;"*")</f>
        <v>9</v>
      </c>
      <c r="AG45" s="40" t="s">
        <v>2047</v>
      </c>
      <c r="AH45" s="12"/>
    </row>
    <row r="46" spans="2:62">
      <c r="B46" s="163" t="s">
        <v>130</v>
      </c>
      <c r="C46" s="291">
        <f t="shared" si="0"/>
        <v>63</v>
      </c>
      <c r="D46" s="25">
        <f>COUNTIF(Logs!$Q$81:'Logs'!$AC$88, "*"&amp;D$41&amp;"*")</f>
        <v>6</v>
      </c>
      <c r="E46" s="33">
        <f>COUNTIF(Logs!$Q$81:'Logs'!$AC$88,  "Attention to Detail")</f>
        <v>1</v>
      </c>
      <c r="F46" s="1306">
        <f>COUNTIF(Logs!$Q$81:'Logs'!$AC$88, "*"&amp;F$41&amp;"*")</f>
        <v>0</v>
      </c>
      <c r="G46" s="1307">
        <f>COUNTIF(Logs!$Q$81:'Logs'!$AC$88, "*"&amp;G$41&amp;"*")</f>
        <v>3</v>
      </c>
      <c r="H46" s="642">
        <f>COUNTIF(Logs!$Q$81:'Logs'!$AC$88, "*"&amp;H$41&amp;"*")</f>
        <v>0</v>
      </c>
      <c r="I46">
        <f>COUNTIF(Logs!$Q$81:'Logs'!$AC$88, "*"&amp;I$41&amp;"*")</f>
        <v>1</v>
      </c>
      <c r="J46" s="1308">
        <f>COUNTIF(Logs!$Q$81:'Logs'!$AC$88, "*"&amp;J$41&amp;"*")</f>
        <v>0</v>
      </c>
      <c r="K46" s="233">
        <f>COUNTIF(Logs!$Q$81:'Logs'!$AC$88, "*"&amp;K$41&amp;"*")</f>
        <v>0</v>
      </c>
      <c r="L46" s="36">
        <f>COUNTIF(Logs!$Q$81:'Logs'!$AC$88, "*"&amp;L$41&amp;"*")</f>
        <v>8</v>
      </c>
      <c r="M46" s="234">
        <f>COUNTIF(Logs!$Q$81:'Logs'!$AC$88, "*"&amp;M$41&amp;"*")</f>
        <v>1</v>
      </c>
      <c r="N46" s="37">
        <f>COUNTIF(Logs!$Q$81:'Logs'!$AC$88, "*"&amp;N$41&amp;"*")</f>
        <v>3</v>
      </c>
      <c r="O46" s="37">
        <f>COUNTIF(Logs!$Q$81:'Logs'!$AC$88, "*"&amp;O$41&amp;"*")</f>
        <v>0</v>
      </c>
      <c r="P46" s="242">
        <f>COUNTIF(Logs!$Q$81:'Logs'!$AC$88,"Hand Eye Coordination")</f>
        <v>1</v>
      </c>
      <c r="Q46" s="8">
        <f>COUNTIF(Logs!$Q$81:'Logs'!$AC$88, "*"&amp;Q$41&amp;"*")</f>
        <v>6</v>
      </c>
      <c r="R46" s="238">
        <f>COUNTIF(Logs!$Q$81:'Logs'!$AC$88, "*"&amp;R$41&amp;"*")</f>
        <v>0</v>
      </c>
      <c r="S46" s="498">
        <f>COUNTIF(Logs!$Q$81:'Logs'!$AC$88, "*"&amp;S$41&amp;"*")</f>
        <v>0</v>
      </c>
      <c r="T46" s="1309">
        <f>COUNTIF(Logs!$Q$81:'Logs'!$AC$88, "Memorization")</f>
        <v>0</v>
      </c>
      <c r="U46" s="499">
        <f>COUNTIF(Logs!$Q$81:'Logs'!$AC$88, "*"&amp;U$41&amp;"*")</f>
        <v>0</v>
      </c>
      <c r="V46" s="500">
        <f>COUNTIF(Logs!$Q$81:'Logs'!$AC$88, "*"&amp;V$41&amp;"*")</f>
        <v>2</v>
      </c>
      <c r="W46" s="501">
        <f>COUNTIF(Logs!$Q$81:'Logs'!$AC$88, W$41)</f>
        <v>1</v>
      </c>
      <c r="X46" s="276">
        <f>COUNTIF(Logs!$Q$81:'Logs'!$AC$88, "*"&amp;X$41&amp;"*")</f>
        <v>0</v>
      </c>
      <c r="Y46" s="34">
        <f>COUNTIF(Logs!$Q$81:'Logs'!$AC$88, "Physical Strength")</f>
        <v>10</v>
      </c>
      <c r="Z46" s="10">
        <f>COUNTIF(Logs!$Q$81:'Logs'!$AC$88, "*"&amp;Z$41&amp;"*")</f>
        <v>1</v>
      </c>
      <c r="AA46" s="39">
        <f>COUNTIF(Logs!$Q$81:'Logs'!$AC$88, "*"&amp;AA$41&amp;"*")</f>
        <v>6</v>
      </c>
      <c r="AB46" s="361">
        <f>COUNTIF(Logs!$Q$81:'Logs'!$AC$88, "*"&amp;AB$41&amp;"*")</f>
        <v>0</v>
      </c>
      <c r="AC46" s="1310">
        <f>COUNTIF(Logs!$Q$81:'Logs'!$AC$88, "*"&amp;AC$41&amp;"*")</f>
        <v>0</v>
      </c>
      <c r="AD46" s="279">
        <f>COUNTIF(Logs!$Q$81:'Logs'!$AC$88, "*"&amp;AD$41&amp;"*")</f>
        <v>2</v>
      </c>
      <c r="AE46" s="280">
        <f>COUNTIF(Logs!$Q$81:'Logs'!$AC$88, "*"&amp;AE$41&amp;"*")</f>
        <v>11</v>
      </c>
      <c r="AG46" s="439" t="s">
        <v>1110</v>
      </c>
      <c r="AH46" s="502" t="s">
        <v>27</v>
      </c>
      <c r="AI46" s="503" t="s">
        <v>1270</v>
      </c>
      <c r="AJ46" s="504" t="s">
        <v>43</v>
      </c>
      <c r="AK46" s="505" t="s">
        <v>120</v>
      </c>
      <c r="AL46" s="189" t="s">
        <v>47</v>
      </c>
      <c r="AM46" s="506" t="s">
        <v>46</v>
      </c>
      <c r="AN46" s="507" t="s">
        <v>397</v>
      </c>
      <c r="AO46" s="508" t="s">
        <v>155</v>
      </c>
      <c r="AP46" s="509" t="s">
        <v>24</v>
      </c>
      <c r="AQ46" s="510" t="s">
        <v>23</v>
      </c>
      <c r="AR46" s="527" t="s">
        <v>29</v>
      </c>
      <c r="AS46" s="528" t="s">
        <v>93</v>
      </c>
      <c r="AT46" s="511" t="s">
        <v>244</v>
      </c>
      <c r="AU46" s="467" t="s">
        <v>26</v>
      </c>
      <c r="AV46" s="512" t="s">
        <v>109</v>
      </c>
      <c r="AW46" s="513" t="s">
        <v>114</v>
      </c>
      <c r="AX46" s="514" t="s">
        <v>28</v>
      </c>
      <c r="AY46" s="515" t="s">
        <v>68</v>
      </c>
      <c r="AZ46" s="516" t="s">
        <v>234</v>
      </c>
      <c r="BA46" s="517" t="s">
        <v>124</v>
      </c>
      <c r="BB46" s="518" t="s">
        <v>74</v>
      </c>
      <c r="BC46" s="519" t="s">
        <v>25</v>
      </c>
      <c r="BD46" s="520" t="s">
        <v>20</v>
      </c>
      <c r="BE46" s="521" t="s">
        <v>44</v>
      </c>
      <c r="BF46" s="522" t="s">
        <v>339</v>
      </c>
      <c r="BG46" s="523" t="s">
        <v>73</v>
      </c>
      <c r="BH46" s="524" t="s">
        <v>216</v>
      </c>
      <c r="BI46" s="525" t="s">
        <v>21</v>
      </c>
      <c r="BJ46" s="20" t="s">
        <v>200</v>
      </c>
    </row>
    <row r="47" spans="2:62">
      <c r="B47" s="163" t="s">
        <v>131</v>
      </c>
      <c r="C47" s="291">
        <f t="shared" si="0"/>
        <v>61</v>
      </c>
      <c r="D47" s="25">
        <f>COUNTIF(Logs!$Q$101:'Logs'!$AB$110, "*"&amp;D$41&amp;"*")</f>
        <v>3</v>
      </c>
      <c r="E47" s="33">
        <f>COUNTIF(Logs!$Q$101:'Logs'!$AB$110, "Attention to Detail")</f>
        <v>2</v>
      </c>
      <c r="F47" s="1306">
        <f>COUNTIF(Logs!$Q$101:'Logs'!$AB$110, "*"&amp;F$41&amp;"*")</f>
        <v>2</v>
      </c>
      <c r="G47" s="1307">
        <f>COUNTIF(Logs!$Q$101:'Logs'!$AB$110, "*"&amp;G$41&amp;"*")</f>
        <v>2</v>
      </c>
      <c r="H47" s="642">
        <f>COUNTIF(Logs!$Q$101:'Logs'!$AB$110, "*"&amp;H$41&amp;"*")</f>
        <v>1</v>
      </c>
      <c r="I47">
        <f>COUNTIF(Logs!$Q$101:'Logs'!$AB$110, "*"&amp;I$41&amp;"*")</f>
        <v>1</v>
      </c>
      <c r="J47" s="1308">
        <f>COUNTIF(Logs!$Q$101:'Logs'!$AB$110, "*"&amp;J$41&amp;"*")</f>
        <v>1</v>
      </c>
      <c r="K47" s="233">
        <f>COUNTIF(Logs!$Q$101:'Logs'!$AB$110, "*"&amp;K$41&amp;"*")</f>
        <v>0</v>
      </c>
      <c r="L47" s="36">
        <f>COUNTIF(Logs!$Q$101:'Logs'!$AB$110, "*"&amp;L$41&amp;"*")</f>
        <v>7</v>
      </c>
      <c r="M47" s="234">
        <f>COUNTIF(Logs!$Q$101:'Logs'!$AB$110, "*"&amp;M$41&amp;"*")</f>
        <v>0</v>
      </c>
      <c r="N47" s="37">
        <f>COUNTIF(Logs!$Q$101:'Logs'!$AB$110, "*"&amp;N$41&amp;"*")</f>
        <v>3</v>
      </c>
      <c r="O47" s="37">
        <f>COUNTIF(Logs!$Q$101:'Logs'!$AB$110, "*"&amp;O$41&amp;"*")</f>
        <v>0</v>
      </c>
      <c r="P47" s="242">
        <f>COUNTIF(Logs!$Q$101:'Logs'!$AB$110, "Hand Eye Coordination")</f>
        <v>3</v>
      </c>
      <c r="Q47" s="8">
        <f>COUNTIF(Logs!$Q$101:'Logs'!$AB$110, "*"&amp;Q$41&amp;"*")</f>
        <v>5</v>
      </c>
      <c r="R47" s="238">
        <f>COUNTIF(Logs!$Q$101:'Logs'!$AB$110, "*"&amp;R$41&amp;"*")</f>
        <v>0</v>
      </c>
      <c r="S47" s="498">
        <f>COUNTIF(Logs!$Q$101:'Logs'!$AB$110, "*"&amp;S$41&amp;"*")</f>
        <v>0</v>
      </c>
      <c r="T47" s="1309">
        <f>COUNTIF(Logs!$Q$101:'Logs'!$AB$110, "Memorization")</f>
        <v>0</v>
      </c>
      <c r="U47" s="499">
        <f>COUNTIF(Logs!$Q$101:'Logs'!$AB$110, "*"&amp;U$41&amp;"*")</f>
        <v>0</v>
      </c>
      <c r="V47" s="500">
        <f>COUNTIF(Logs!$Q$101:'Logs'!$AB$110, "*"&amp;V$41&amp;"*")</f>
        <v>2</v>
      </c>
      <c r="W47" s="501">
        <f>COUNTIF(Logs!$Q$101:'Logs'!$AB$110,W$41)</f>
        <v>0</v>
      </c>
      <c r="X47" s="276">
        <f>COUNTIF(Logs!$Q$101:'Logs'!$AB$110, "*"&amp;X$41&amp;"*")</f>
        <v>1</v>
      </c>
      <c r="Y47" s="34">
        <f>COUNTIF(Logs!$Q$101:'Logs'!$AB$110, "Physical Strength")</f>
        <v>10</v>
      </c>
      <c r="Z47" s="10">
        <f>COUNTIF(Logs!$Q$101:'Logs'!$AB$110, "*"&amp;Z$41&amp;"*")</f>
        <v>0</v>
      </c>
      <c r="AA47" s="39">
        <f>COUNTIF(Logs!$Q$101:'Logs'!$AB$110, "*"&amp;AA$41&amp;"*")</f>
        <v>7</v>
      </c>
      <c r="AB47" s="361">
        <f>COUNTIF(Logs!$Q$101:'Logs'!$AB$110, "*"&amp;AB$41&amp;"*")</f>
        <v>0</v>
      </c>
      <c r="AC47" s="1310">
        <f>COUNTIF(Logs!$Q$101:'Logs'!$AB$110, "*"&amp;AC$41&amp;"*")</f>
        <v>0</v>
      </c>
      <c r="AD47" s="279">
        <f>COUNTIF(Logs!$Q$101:'Logs'!$AB$110, "*"&amp;AD$41&amp;"*")</f>
        <v>3</v>
      </c>
      <c r="AE47" s="280">
        <f>COUNTIF(Logs!$Q$101:'Logs'!$AB$110, "*"&amp;AE$41&amp;"*")</f>
        <v>8</v>
      </c>
      <c r="AG47" s="163" t="s">
        <v>1</v>
      </c>
      <c r="AH47" s="25">
        <f>COUNTIF(Logs!$Q$9:'Logs'!$Q$1001, "*"&amp;AH$46&amp;"*")</f>
        <v>5</v>
      </c>
      <c r="AI47" s="33">
        <f>COUNTIF(Logs!$Q$9:'Logs'!$Q$1001, "Attention to Detail")</f>
        <v>10</v>
      </c>
      <c r="AJ47" s="587">
        <f>COUNTIF(Logs!$Q$9:'Logs'!$Q$1001, "*"&amp;AJ$46&amp;"*")</f>
        <v>4</v>
      </c>
      <c r="AK47" s="66">
        <f>COUNTIF(Logs!$Q$9:'Logs'!$Q$1001, "*"&amp;AK$46&amp;"*")</f>
        <v>2</v>
      </c>
      <c r="AL47" s="642">
        <f>COUNTIF(Logs!$Q$9:'Logs'!$Q$1001, "*"&amp;AL$46&amp;"*")</f>
        <v>3</v>
      </c>
      <c r="AM47">
        <f>COUNTIF(Logs!$Q$9:'Logs'!$Q$1001, "*"&amp;AM$46&amp;"*")</f>
        <v>1</v>
      </c>
      <c r="AN47" s="588">
        <f>COUNTIF(Logs!$Q$9:'Logs'!$Q$1001, "*"&amp;AN$46&amp;"*")</f>
        <v>0</v>
      </c>
      <c r="AO47" s="233">
        <f>COUNTIF(Logs!$Q$9:'Logs'!$Q$1001, "*"&amp;AO$46&amp;"*")</f>
        <v>4</v>
      </c>
      <c r="AP47" s="36">
        <f>COUNTIF(Logs!$Q$9:'Logs'!$Q$1001, "*"&amp;AP$46&amp;"*")</f>
        <v>24</v>
      </c>
      <c r="AQ47" s="577">
        <f>COUNTIF(Logs!$Q$9:'Logs'!$Q$1001, "*"&amp;AQ$46&amp;"*")</f>
        <v>1</v>
      </c>
      <c r="AR47">
        <f>COUNTIF(Logs!$Q$9:'Logs'!$Q$1001, "*"&amp;AR$46&amp;"*")</f>
        <v>7</v>
      </c>
      <c r="AS47">
        <f>COUNTIF(Logs!$Q$9:'Logs'!$Q$1001, "*"&amp;AS$46&amp;"*")</f>
        <v>0</v>
      </c>
      <c r="AT47" s="242">
        <f>COUNTIF(Logs!$Q$9:'Logs'!$Q$1001, "*"&amp;AT$46&amp;"*")</f>
        <v>5</v>
      </c>
      <c r="AU47" s="8">
        <f>COUNTIF(Logs!$Q$9:'Logs'!$Q$1001, "*"&amp;AU$46&amp;"*")</f>
        <v>19</v>
      </c>
      <c r="AV47" s="576">
        <f>COUNTIF(Logs!$Q$9:'Logs'!$Q$1001, "*"&amp;AV$46&amp;"*")</f>
        <v>1</v>
      </c>
      <c r="AW47" s="498">
        <f>COUNTIF(Logs!$Q$9:'Logs'!$Q$1001, "*"&amp;AW$46&amp;"*")</f>
        <v>0</v>
      </c>
      <c r="AX47" s="575">
        <f>COUNTIF(Logs!$Q$9:'Logs'!$Q$1001, "*"&amp;AX$46&amp;"*")</f>
        <v>4</v>
      </c>
      <c r="AY47" s="499">
        <f>COUNTIF(Logs!$Q$9:'Logs'!$Q$1001, "*"&amp;AY$46&amp;"*")</f>
        <v>1</v>
      </c>
      <c r="AZ47" s="500">
        <f>COUNTIF(Logs!$Q$9:'Logs'!$Q$1001, "*"&amp;AZ$46&amp;"*")</f>
        <v>1</v>
      </c>
      <c r="BA47" s="574">
        <f>COUNTIF(Logs!$Q$9:'Logs'!$Q$1001, BA$46)</f>
        <v>2</v>
      </c>
      <c r="BB47" s="589">
        <f>COUNTIF(Logs!$Q$9:'Logs'!$Q$1001, "*"&amp;BB$46&amp;"*")</f>
        <v>1</v>
      </c>
      <c r="BC47" s="34">
        <f>COUNTIF(Logs!$Q$9:'Logs'!$Q$1001, "*"&amp;BC$46&amp;"*")</f>
        <v>29</v>
      </c>
      <c r="BD47" s="10">
        <f>COUNTIF(Logs!$Q$9:'Logs'!$Q$1001, "*"&amp;BD$46&amp;"*")</f>
        <v>7</v>
      </c>
      <c r="BE47" s="39">
        <f>COUNTIF(Logs!$Q$9:'Logs'!$Q$1001, "*"&amp;BE$46&amp;"*")</f>
        <v>22</v>
      </c>
      <c r="BF47" s="361">
        <f>COUNTIF(Logs!$Q$9:'Logs'!$Q$1001, "*"&amp;BF$46&amp;"*")</f>
        <v>1</v>
      </c>
      <c r="BG47">
        <f>COUNTIF(Logs!$Q$9:'Logs'!$Q$1001, "*"&amp;BG$46&amp;"*")</f>
        <v>1</v>
      </c>
      <c r="BH47" s="590">
        <f>COUNTIF(Logs!$Q$9:'Logs'!$Q$1001, "*"&amp;BH$46&amp;"*")</f>
        <v>0</v>
      </c>
      <c r="BI47" s="329">
        <f>COUNTIF(Logs!$Q$9:'Logs'!$Q$1001, "*"&amp;BI$46&amp;"*")</f>
        <v>30</v>
      </c>
      <c r="BJ47" s="35">
        <f>SUM(Table37[[#This Row],[Animals]:[Travel Issues]])</f>
        <v>185</v>
      </c>
    </row>
    <row r="48" spans="2:62">
      <c r="B48" s="163" t="s">
        <v>132</v>
      </c>
      <c r="C48" s="291">
        <f t="shared" si="0"/>
        <v>55</v>
      </c>
      <c r="D48" s="25">
        <f>COUNTIF(Logs!$Q$120:'Logs'!$AC$128, "*"&amp;D$41&amp;"*")</f>
        <v>5</v>
      </c>
      <c r="E48" s="33">
        <f>COUNTIF(Logs!$Q$120:'Logs'!$AC$128, "Attention to Detail")</f>
        <v>1</v>
      </c>
      <c r="F48" s="1306">
        <f>COUNTIF(Logs!$Q$120:'Logs'!$AC$128, "*"&amp;F$41&amp;"*")</f>
        <v>2</v>
      </c>
      <c r="G48" s="1307">
        <f>COUNTIF(Logs!$Q$120:'Logs'!$AC$128, "*"&amp;G$41&amp;"*")</f>
        <v>1</v>
      </c>
      <c r="H48" s="642">
        <f>COUNTIF(Logs!$Q$120:'Logs'!$AC$128, "*"&amp;H$41&amp;"*")</f>
        <v>1</v>
      </c>
      <c r="I48">
        <f>COUNTIF(Logs!$Q$120:'Logs'!$AC$128, "*"&amp;I$41&amp;"*")</f>
        <v>0</v>
      </c>
      <c r="J48" s="1308">
        <f>COUNTIF(Logs!$Q$120:'Logs'!$AC$128, "*"&amp;J$41&amp;"*")</f>
        <v>0</v>
      </c>
      <c r="K48" s="233">
        <f>COUNTIF(Logs!$Q$120:'Logs'!$AC$128, "*"&amp;K$41&amp;"*")</f>
        <v>0</v>
      </c>
      <c r="L48" s="36">
        <f>COUNTIF(Logs!$Q$120:'Logs'!$AC$128, "*"&amp;L$41&amp;"*")</f>
        <v>8</v>
      </c>
      <c r="M48" s="234">
        <f>COUNTIF(Logs!$Q$120:'Logs'!$AC$128, "*"&amp;M$41&amp;"*")</f>
        <v>0</v>
      </c>
      <c r="N48" s="37">
        <f>COUNTIF(Logs!$Q$120:'Logs'!$AC$128, "*"&amp;N$41&amp;"*")</f>
        <v>1</v>
      </c>
      <c r="O48" s="37">
        <f>COUNTIF(Logs!$Q$120:'Logs'!$AC$128, "*"&amp;O$41&amp;"*")</f>
        <v>0</v>
      </c>
      <c r="P48" s="242">
        <f>COUNTIF(Logs!$Q$120:'Logs'!$AC$128, "Hand Eye Coordination")</f>
        <v>2</v>
      </c>
      <c r="Q48" s="8">
        <f>COUNTIF(Logs!$Q$120:'Logs'!$AC$128, "*"&amp;Q$41&amp;"*")</f>
        <v>4</v>
      </c>
      <c r="R48" s="238">
        <f>COUNTIF(Logs!$Q$120:'Logs'!$AC$128, "*"&amp;R$41&amp;"*")</f>
        <v>0</v>
      </c>
      <c r="S48" s="498">
        <f>COUNTIF(Logs!$Q$120:'Logs'!$AC$128, "*"&amp;S$41&amp;"*")</f>
        <v>0</v>
      </c>
      <c r="T48" s="1309">
        <f>COUNTIF(Logs!$Q$120:'Logs'!$AC$128, "Memorization")</f>
        <v>0</v>
      </c>
      <c r="U48" s="499">
        <f>COUNTIF(Logs!$Q$120:'Logs'!$AC$128, "*"&amp;U$41&amp;"*")</f>
        <v>0</v>
      </c>
      <c r="V48" s="500">
        <f>COUNTIF(Logs!$Q$120:'Logs'!$AC$128, "*"&amp;V$41&amp;"*")</f>
        <v>2</v>
      </c>
      <c r="W48" s="501">
        <f>COUNTIF(Logs!$Q$120:'Logs'!$AC$128, W$41)</f>
        <v>1</v>
      </c>
      <c r="X48" s="276">
        <f>COUNTIF(Logs!$Q$120:'Logs'!$AC$128, "*"&amp;X$41&amp;"*")</f>
        <v>0</v>
      </c>
      <c r="Y48" s="34">
        <f>COUNTIF(Logs!$Q$120:'Logs'!$AC$128, "Physical Strength")</f>
        <v>7</v>
      </c>
      <c r="Z48" s="10">
        <f>COUNTIF(Logs!$Q$120:'Logs'!$AC$128, "*"&amp;Z$41&amp;"*")</f>
        <v>1</v>
      </c>
      <c r="AA48" s="39">
        <f>COUNTIF(Logs!$Q$120:'Logs'!$AC$128, "*"&amp;AA$41&amp;"*")</f>
        <v>8</v>
      </c>
      <c r="AB48" s="361">
        <f>COUNTIF(Logs!$Q$120:'Logs'!$AC$128, "*"&amp;AB$41&amp;"*")</f>
        <v>1</v>
      </c>
      <c r="AC48" s="1310">
        <f>COUNTIF(Logs!$Q$120:'Logs'!$AC$128, "*"&amp;AC$41&amp;"*")</f>
        <v>0</v>
      </c>
      <c r="AD48" s="279">
        <f>COUNTIF(Logs!$Q$120:'Logs'!$AC$128, "*"&amp;AD$41&amp;"*")</f>
        <v>1</v>
      </c>
      <c r="AE48" s="280">
        <f>COUNTIF(Logs!$Q$120:'Logs'!$AC$128, "*"&amp;AE$41&amp;"*")</f>
        <v>9</v>
      </c>
      <c r="AG48" s="163" t="s">
        <v>2</v>
      </c>
      <c r="AH48" s="25">
        <f>COUNTIF(Logs!$R$9:'Logs'!$R$1001, "*"&amp;AH$46&amp;"*")</f>
        <v>6</v>
      </c>
      <c r="AI48" s="33">
        <f>COUNTIF(Logs!$R$9:'Logs'!$R$1001, "Attention to Detail")</f>
        <v>18</v>
      </c>
      <c r="AJ48" s="587">
        <f>COUNTIF(Logs!$R$9:'Logs'!$R$1001, "*"&amp;AJ$46&amp;"*")</f>
        <v>5</v>
      </c>
      <c r="AK48" s="66">
        <f>COUNTIF(Logs!$R$9:'Logs'!$R$1001, "*"&amp;AK$46&amp;"*")</f>
        <v>1</v>
      </c>
      <c r="AL48" s="642">
        <f>COUNTIF(Logs!$R$9:'Logs'!$R$1001, "*"&amp;AL$46&amp;"*")</f>
        <v>6</v>
      </c>
      <c r="AM48">
        <f>COUNTIF(Logs!$R$9:'Logs'!$R$1001, "*"&amp;AM$46&amp;"*")</f>
        <v>3</v>
      </c>
      <c r="AN48" s="588">
        <f>COUNTIF(Logs!$R$9:'Logs'!$R$1001, "*"&amp;AN$46&amp;"*")</f>
        <v>0</v>
      </c>
      <c r="AO48" s="233">
        <f>COUNTIF(Logs!$R$9:'Logs'!$R$1001, "*"&amp;AO$46&amp;"*")</f>
        <v>4</v>
      </c>
      <c r="AP48" s="36">
        <f>COUNTIF(Logs!$R$9:'Logs'!$R$1001, "*"&amp;AP$46&amp;"*")</f>
        <v>14</v>
      </c>
      <c r="AQ48" s="577">
        <f>COUNTIF(Logs!$R$9:'Logs'!$R$1001, "*"&amp;AQ$46&amp;"*")</f>
        <v>1</v>
      </c>
      <c r="AR48">
        <f>COUNTIF(Logs!$R$9:'Logs'!$R$1001, "*"&amp;AR$46&amp;"*")</f>
        <v>1</v>
      </c>
      <c r="AS48">
        <f>COUNTIF(Logs!$R$9:'Logs'!$R$1001, "*"&amp;AS$46&amp;"*")</f>
        <v>0</v>
      </c>
      <c r="AT48" s="242">
        <f>COUNTIF(Logs!$R$9:'Logs'!$R$1001, "*"&amp;AT$46&amp;"*")</f>
        <v>7</v>
      </c>
      <c r="AU48" s="8">
        <f>COUNTIF(Logs!$R$9:'Logs'!$R$1001, "*"&amp;AU$46&amp;"*")</f>
        <v>9</v>
      </c>
      <c r="AV48" s="576">
        <f>COUNTIF(Logs!$R$9:'Logs'!$R$1001, "*"&amp;AV$46&amp;"*")</f>
        <v>3</v>
      </c>
      <c r="AW48" s="498">
        <f>COUNTIF(Logs!$R$9:'Logs'!$R$1001, "*"&amp;AW$46&amp;"*")</f>
        <v>2</v>
      </c>
      <c r="AX48" s="575">
        <f>COUNTIF(Logs!$R$9:'Logs'!$R$1001, "*"&amp;AX$46&amp;"*")</f>
        <v>1</v>
      </c>
      <c r="AY48" s="499">
        <f>COUNTIF(Logs!$R$9:'Logs'!$R$1001, "*"&amp;AY$46&amp;"*")</f>
        <v>4</v>
      </c>
      <c r="AZ48" s="500">
        <f>COUNTIF(Logs!$R$9:'Logs'!$R$1001, "*"&amp;AZ$46&amp;"*")</f>
        <v>2</v>
      </c>
      <c r="BA48" s="574">
        <f>COUNTIF(Logs!$R$9:'Logs'!$R$1001, BA$46)</f>
        <v>1</v>
      </c>
      <c r="BB48" s="589">
        <f>COUNTIF(Logs!$R$9:'Logs'!$R$1001, "*"&amp;BB$46&amp;"*")</f>
        <v>2</v>
      </c>
      <c r="BC48" s="34">
        <f>COUNTIF(Logs!$R$9:'Logs'!$R$1001, "*"&amp;BC$46&amp;"*")</f>
        <v>26</v>
      </c>
      <c r="BD48" s="10">
        <f>COUNTIF(Logs!$R$9:'Logs'!$R$1001, "*"&amp;BD$46&amp;"*")</f>
        <v>5</v>
      </c>
      <c r="BE48" s="39">
        <f>COUNTIF(Logs!$R$9:'Logs'!$R$1001, "*"&amp;BE$46&amp;"*")</f>
        <v>22</v>
      </c>
      <c r="BF48" s="361">
        <f>COUNTIF(Logs!$R$9:'Logs'!$R$1001, "*"&amp;BF$46&amp;"*")</f>
        <v>1</v>
      </c>
      <c r="BG48">
        <f>COUNTIF(Logs!$R$9:'Logs'!$R$1001, "*"&amp;BG$46&amp;"*")</f>
        <v>1</v>
      </c>
      <c r="BH48" s="590">
        <f>COUNTIF(Logs!$R$9:'Logs'!$R$1001, "*"&amp;BH$46&amp;"*")</f>
        <v>3</v>
      </c>
      <c r="BI48" s="329">
        <f>COUNTIF(Logs!$R$9:'Logs'!$R$1001, "*"&amp;BI$46&amp;"*")</f>
        <v>27</v>
      </c>
      <c r="BJ48" s="35">
        <f>SUM(Table37[[#This Row],[Animals]:[Travel Issues]])</f>
        <v>175</v>
      </c>
    </row>
    <row r="49" spans="2:62">
      <c r="B49" s="163" t="s">
        <v>133</v>
      </c>
      <c r="C49" s="291">
        <f t="shared" si="0"/>
        <v>56</v>
      </c>
      <c r="D49" s="25">
        <f>COUNTIF(Logs!$Q$139:'Logs'!$AC$147, "*"&amp;D$41&amp;"*")</f>
        <v>2</v>
      </c>
      <c r="E49" s="33">
        <f>COUNTIF(Logs!$Q$139:'Logs'!$AC$147,  "Attention to Detail")</f>
        <v>3</v>
      </c>
      <c r="F49" s="1306">
        <f>COUNTIF(Logs!$Q$139:'Logs'!$AC$147, "*"&amp;F$41&amp;"*")</f>
        <v>0</v>
      </c>
      <c r="G49" s="1307">
        <f>COUNTIF(Logs!$Q$139:'Logs'!$AC$147, "*"&amp;G$41&amp;"*")</f>
        <v>2</v>
      </c>
      <c r="H49" s="642">
        <f>COUNTIF(Logs!$Q$139:'Logs'!$AC$147, "*"&amp;H$41&amp;"*")</f>
        <v>3</v>
      </c>
      <c r="I49">
        <f>COUNTIF(Logs!$Q$139:'Logs'!$AC$147, "*"&amp;I$41&amp;"*")</f>
        <v>1</v>
      </c>
      <c r="J49" s="1308">
        <f>COUNTIF(Logs!$Q$139:'Logs'!$AC$147, "*"&amp;J$41&amp;"*")</f>
        <v>0</v>
      </c>
      <c r="K49" s="233">
        <f>COUNTIF(Logs!$Q$139:'Logs'!$AC$147, "*"&amp;K$41&amp;"*")</f>
        <v>0</v>
      </c>
      <c r="L49" s="36">
        <f>COUNTIF(Logs!$Q$139:'Logs'!$AC$147, "*"&amp;L$41&amp;"*")</f>
        <v>11</v>
      </c>
      <c r="M49" s="234">
        <f>COUNTIF(Logs!$Q$139:'Logs'!$AC$147, "*"&amp;M$41&amp;"*")</f>
        <v>0</v>
      </c>
      <c r="N49" s="37">
        <f>COUNTIF(Logs!$Q$139:'Logs'!$AC$147, "*"&amp;N$41&amp;"*")</f>
        <v>0</v>
      </c>
      <c r="O49" s="37">
        <f>COUNTIF(Logs!$Q$139:'Logs'!$AC$147, "*"&amp;O$41&amp;"*")</f>
        <v>1</v>
      </c>
      <c r="P49" s="242">
        <f>COUNTIF(Logs!$Q$139:'Logs'!$AC$147, "Hand Eye Coordination")</f>
        <v>2</v>
      </c>
      <c r="Q49" s="8">
        <f>COUNTIF(Logs!$Q$139:'Logs'!$AC$147, "*"&amp;Q$41&amp;"*")</f>
        <v>4</v>
      </c>
      <c r="R49" s="238">
        <f>COUNTIF(Logs!$Q$139:'Logs'!$AC$147, "*"&amp;R$41&amp;"*")</f>
        <v>0</v>
      </c>
      <c r="S49" s="498">
        <f>COUNTIF(Logs!$Q$139:'Logs'!$AC$147, "*"&amp;S$41&amp;"*")</f>
        <v>0</v>
      </c>
      <c r="T49" s="1309">
        <f>COUNTIF(Logs!$Q$139:'Logs'!$AC$147, "Memorization")</f>
        <v>0</v>
      </c>
      <c r="U49" s="499">
        <f>COUNTIF(Logs!$Q$139:'Logs'!$AC$147, "*"&amp;U$41&amp;"*")</f>
        <v>0</v>
      </c>
      <c r="V49" s="500">
        <f>COUNTIF(Logs!$Q$139:'Logs'!$AC$147, "*"&amp;V$41&amp;"*")</f>
        <v>1</v>
      </c>
      <c r="W49" s="501">
        <f>COUNTIF(Logs!$Q$139:'Logs'!$AC$147, W$41)</f>
        <v>1</v>
      </c>
      <c r="X49" s="276">
        <f>COUNTIF(Logs!$Q$139:'Logs'!$AC$147, "*"&amp;X$41&amp;"*")</f>
        <v>1</v>
      </c>
      <c r="Y49" s="34">
        <f>COUNTIF(Logs!$Q$139:'Logs'!$AC$147, "Physical Strength")</f>
        <v>10</v>
      </c>
      <c r="Z49" s="10">
        <f>COUNTIF(Logs!$Q$139:'Logs'!$AC$147, "*"&amp;Z$41&amp;"*")</f>
        <v>0</v>
      </c>
      <c r="AA49" s="39">
        <f>COUNTIF(Logs!$Q$139:'Logs'!$AC$147, "*"&amp;AA$41&amp;"*")</f>
        <v>6</v>
      </c>
      <c r="AB49" s="361">
        <f>COUNTIF(Logs!$Q$139:'Logs'!$AC$147, "*"&amp;AB$41&amp;"*")</f>
        <v>0</v>
      </c>
      <c r="AC49" s="1310">
        <f>COUNTIF(Logs!$Q$139:'Logs'!$AC$147, "*"&amp;AC$41&amp;"*")</f>
        <v>0</v>
      </c>
      <c r="AD49" s="279">
        <f>COUNTIF(Logs!$Q$139:'Logs'!$AC$147, "*"&amp;AD$41&amp;"*")</f>
        <v>1</v>
      </c>
      <c r="AE49" s="280">
        <f>COUNTIF(Logs!$Q$139:'Logs'!$AC$147, "*"&amp;AE$41&amp;"*")</f>
        <v>7</v>
      </c>
      <c r="AG49" s="163" t="s">
        <v>3</v>
      </c>
      <c r="AH49" s="25">
        <f>COUNTIF(Logs!$S$9:'Logs'!$S$1001, "*"&amp;AH$46&amp;"*")</f>
        <v>7</v>
      </c>
      <c r="AI49" s="33">
        <f>COUNTIF(Logs!$S$9:'Logs'!$S$1001, "Attention to Detail")</f>
        <v>18</v>
      </c>
      <c r="AJ49" s="587">
        <f>COUNTIF(Logs!$S$9:'Logs'!$S$1001, "*"&amp;AJ$46&amp;"*")</f>
        <v>6</v>
      </c>
      <c r="AK49" s="66">
        <f>COUNTIF(Logs!$S$9:'Logs'!$S$1001, "*"&amp;AK$46&amp;"*")</f>
        <v>7</v>
      </c>
      <c r="AL49" s="642">
        <f>COUNTIF(Logs!$S$9:'Logs'!$S$1001, "*"&amp;AL$46&amp;"*")</f>
        <v>5</v>
      </c>
      <c r="AM49">
        <f>COUNTIF(Logs!$S$9:'Logs'!$S$1001, "*"&amp;AM$46&amp;"*")</f>
        <v>5</v>
      </c>
      <c r="AN49" s="588">
        <f>COUNTIF(Logs!$S$9:'Logs'!$S$1001, "*"&amp;AN$46&amp;"*")</f>
        <v>1</v>
      </c>
      <c r="AO49" s="233">
        <f>COUNTIF(Logs!$S$9:'Logs'!$S$1001, "*"&amp;AO$46&amp;"*")</f>
        <v>7</v>
      </c>
      <c r="AP49" s="36">
        <f>COUNTIF(Logs!$S$9:'Logs'!$S$1001, "*"&amp;AP$46&amp;"*")</f>
        <v>14</v>
      </c>
      <c r="AQ49" s="577">
        <f>COUNTIF(Logs!$S$9:'Logs'!$S$1001, "*"&amp;AQ$46&amp;"*")</f>
        <v>0</v>
      </c>
      <c r="AR49">
        <f>COUNTIF(Logs!$S$9:'Logs'!$S$1001, "*"&amp;AR$46&amp;"*")</f>
        <v>5</v>
      </c>
      <c r="AS49">
        <f>COUNTIF(Logs!$S$9:'Logs'!$S$1001, "*"&amp;AS$46&amp;"*")</f>
        <v>1</v>
      </c>
      <c r="AT49" s="242">
        <f>COUNTIF(Logs!$S$9:'Logs'!$S$1001, "*"&amp;AT$46&amp;"*")</f>
        <v>9</v>
      </c>
      <c r="AU49" s="8">
        <f>COUNTIF(Logs!$S$9:'Logs'!$S$1001, "*"&amp;AU$46&amp;"*")</f>
        <v>4</v>
      </c>
      <c r="AV49" s="576">
        <f>COUNTIF(Logs!$S$9:'Logs'!$S$1001, "*"&amp;AV$46&amp;"*")</f>
        <v>5</v>
      </c>
      <c r="AW49" s="498">
        <f>COUNTIF(Logs!$S$9:'Logs'!$S$1001, "*"&amp;AW$46&amp;"*")</f>
        <v>1</v>
      </c>
      <c r="AX49" s="575">
        <f>COUNTIF(Logs!$S$9:'Logs'!$S$1001, "*"&amp;AX$46&amp;"*")</f>
        <v>2</v>
      </c>
      <c r="AY49" s="499">
        <f>COUNTIF(Logs!$S$9:'Logs'!$S$1001, "*"&amp;AY$46&amp;"*")</f>
        <v>1</v>
      </c>
      <c r="AZ49" s="500">
        <f>COUNTIF(Logs!$S$9:'Logs'!$S$1001, "*"&amp;AZ$46&amp;"*")</f>
        <v>1</v>
      </c>
      <c r="BA49" s="574">
        <f>COUNTIF(Logs!$S$9:'Logs'!$S$1001, BA$46)</f>
        <v>2</v>
      </c>
      <c r="BB49" s="589">
        <f>COUNTIF(Logs!$S$9:'Logs'!$S$1001, "*"&amp;BB$46&amp;"*")</f>
        <v>0</v>
      </c>
      <c r="BC49" s="34">
        <f>COUNTIF(Logs!$S$9:'Logs'!$S$1001, "*"&amp;BC$46&amp;"*")</f>
        <v>25</v>
      </c>
      <c r="BD49" s="10">
        <f>COUNTIF(Logs!$S$9:'Logs'!$S$1001, "*"&amp;BD$46&amp;"*")</f>
        <v>4</v>
      </c>
      <c r="BE49" s="39">
        <f>COUNTIF(Logs!$S$9:'Logs'!$S$1001, "*"&amp;BE$46&amp;"*")</f>
        <v>14</v>
      </c>
      <c r="BF49" s="361">
        <f>COUNTIF(Logs!$S$9:'Logs'!$S$1001, "*"&amp;BF$46&amp;"*")</f>
        <v>2</v>
      </c>
      <c r="BG49">
        <f>COUNTIF(Logs!$S$9:'Logs'!$S$1001, "*"&amp;BG$46&amp;"*")</f>
        <v>1</v>
      </c>
      <c r="BH49" s="590">
        <f>COUNTIF(Logs!$S$9:'Logs'!$S$1001, "*"&amp;BH$46&amp;"*")</f>
        <v>1</v>
      </c>
      <c r="BI49" s="329">
        <f>COUNTIF(Logs!$S$9:'Logs'!$S$1001, "*"&amp;BI$46&amp;"*")</f>
        <v>28</v>
      </c>
      <c r="BJ49" s="35">
        <f>SUM(Table37[[#This Row],[Animals]:[Travel Issues]])</f>
        <v>176</v>
      </c>
    </row>
    <row r="50" spans="2:62">
      <c r="B50" s="163" t="s">
        <v>134</v>
      </c>
      <c r="C50" s="291">
        <f t="shared" si="0"/>
        <v>66</v>
      </c>
      <c r="D50" s="25">
        <f>COUNTIF(Logs!$Q$159:'Logs'!$AC$167, "*"&amp;D$41&amp;"*")</f>
        <v>3</v>
      </c>
      <c r="E50" s="33">
        <f>COUNTIF(Logs!$Q$159:'Logs'!$AC$167,  "Attention to Detail")</f>
        <v>2</v>
      </c>
      <c r="F50" s="1306">
        <f>COUNTIF(Logs!$Q$159:'Logs'!$AC$167, "*"&amp;F$41&amp;"*")</f>
        <v>1</v>
      </c>
      <c r="G50" s="1307">
        <f>COUNTIF(Logs!$Q$159:'Logs'!$AC$167, "*"&amp;G$41&amp;"*")</f>
        <v>2</v>
      </c>
      <c r="H50" s="642">
        <f>COUNTIF(Logs!$Q$159:'Logs'!$AC$167, "*"&amp;H$41&amp;"*")</f>
        <v>3</v>
      </c>
      <c r="I50">
        <f>COUNTIF(Logs!$Q$159:'Logs'!$AC$167, "*"&amp;I$41&amp;"*")</f>
        <v>0</v>
      </c>
      <c r="J50" s="1308">
        <f>COUNTIF(Logs!$Q$159:'Logs'!$AC$167, "*"&amp;J$41&amp;"*")</f>
        <v>1</v>
      </c>
      <c r="K50" s="233">
        <f>COUNTIF(Logs!$Q$159:'Logs'!$AC$167, "*"&amp;K$41&amp;"*")</f>
        <v>1</v>
      </c>
      <c r="L50" s="36">
        <f>COUNTIF(Logs!$Q$159:'Logs'!$AC$167, "*"&amp;L$41&amp;"*")</f>
        <v>11</v>
      </c>
      <c r="M50" s="234">
        <f>COUNTIF(Logs!$Q$159:'Logs'!$AC$167, "*"&amp;M$41&amp;"*")</f>
        <v>1</v>
      </c>
      <c r="N50" s="37">
        <f>COUNTIF(Logs!$Q$159:'Logs'!$AC$167, "*"&amp;N$41&amp;"*")</f>
        <v>1</v>
      </c>
      <c r="O50" s="37">
        <f>COUNTIF(Logs!$Q$159:'Logs'!$AC$167, "*"&amp;O$41&amp;"*")</f>
        <v>0</v>
      </c>
      <c r="P50" s="242">
        <f>COUNTIF(Logs!$Q$159:'Logs'!$AC$167, "Hand Eye Coordination")</f>
        <v>1</v>
      </c>
      <c r="Q50" s="8">
        <f>COUNTIF(Logs!$Q$159:'Logs'!$AC$167, "*"&amp;Q$41&amp;"*")</f>
        <v>4</v>
      </c>
      <c r="R50" s="238">
        <f>COUNTIF(Logs!$Q$159:'Logs'!$AC$167, "*"&amp;R$41&amp;"*")</f>
        <v>1</v>
      </c>
      <c r="S50" s="498">
        <f>COUNTIF(Logs!$Q$159:'Logs'!$AC$167, "*"&amp;S$41&amp;"*")</f>
        <v>0</v>
      </c>
      <c r="T50" s="1309">
        <f>COUNTIF(Logs!$Q$159:'Logs'!$AC$167, "Memorization")</f>
        <v>1</v>
      </c>
      <c r="U50" s="499">
        <f>COUNTIF(Logs!$Q$159:'Logs'!$AC$167, "*"&amp;U$41&amp;"*")</f>
        <v>1</v>
      </c>
      <c r="V50" s="500">
        <f>COUNTIF(Logs!$Q$159:'Logs'!$AC$167, "*"&amp;V$41&amp;"*")</f>
        <v>0</v>
      </c>
      <c r="W50" s="501">
        <f>COUNTIF(Logs!$Q$159:'Logs'!$AC$167, W$41)</f>
        <v>1</v>
      </c>
      <c r="X50" s="276">
        <f>COUNTIF(Logs!$Q$159:'Logs'!$AC$167, "*"&amp;X$41&amp;"*")</f>
        <v>0</v>
      </c>
      <c r="Y50" s="34">
        <f>COUNTIF(Logs!$Q$159:'Logs'!$AC$167, "Physical Strength")</f>
        <v>9</v>
      </c>
      <c r="Z50" s="10">
        <f>COUNTIF(Logs!$Q$159:'Logs'!$AC$167, "*"&amp;Z$41&amp;"*")</f>
        <v>1</v>
      </c>
      <c r="AA50" s="39">
        <f>COUNTIF(Logs!$Q$159:'Logs'!$AC$167, "*"&amp;AA$41&amp;"*")</f>
        <v>8</v>
      </c>
      <c r="AB50" s="361">
        <f>COUNTIF(Logs!$Q$159:'Logs'!$AC$167, "*"&amp;AB$41&amp;"*")</f>
        <v>1</v>
      </c>
      <c r="AC50" s="1310">
        <f>COUNTIF(Logs!$Q$159:'Logs'!$AC$167, "*"&amp;AC$41&amp;"*")</f>
        <v>0</v>
      </c>
      <c r="AD50" s="279">
        <f>COUNTIF(Logs!$Q$159:'Logs'!$AC$167, "*"&amp;AD$41&amp;"*")</f>
        <v>2</v>
      </c>
      <c r="AE50" s="280">
        <f>COUNTIF(Logs!$Q$159:'Logs'!$AC$167, "*"&amp;AE$41&amp;"*")</f>
        <v>10</v>
      </c>
      <c r="AG50" s="163" t="s">
        <v>4</v>
      </c>
      <c r="AH50" s="25">
        <f>COUNTIF(Logs!$T$9:'Logs'!$T$1001, "*"&amp;AH$46&amp;"*")</f>
        <v>9</v>
      </c>
      <c r="AI50" s="33">
        <f>COUNTIF(Logs!$T$9:'Logs'!$T$1001, "Attention to Detail")</f>
        <v>20</v>
      </c>
      <c r="AJ50" s="587">
        <f>COUNTIF(Logs!$T$9:'Logs'!$T$1001, "*"&amp;AJ$46&amp;"*")</f>
        <v>2</v>
      </c>
      <c r="AK50" s="66">
        <f>COUNTIF(Logs!$T$9:'Logs'!$T$1001, "*"&amp;AK$46&amp;"*")</f>
        <v>3</v>
      </c>
      <c r="AL50" s="642">
        <f>COUNTIF(Logs!$T$9:'Logs'!$T$1001, "*"&amp;AL$46&amp;"*")</f>
        <v>12</v>
      </c>
      <c r="AM50">
        <f>COUNTIF(Logs!$T$9:'Logs'!$T$1001, "*"&amp;AM$46&amp;"*")</f>
        <v>2</v>
      </c>
      <c r="AN50" s="588">
        <f>COUNTIF(Logs!$T$9:'Logs'!$T$1001, "*"&amp;AN$46&amp;"*")</f>
        <v>1</v>
      </c>
      <c r="AO50" s="233">
        <f>COUNTIF(Logs!$T$9:'Logs'!$T$1001, "*"&amp;AO$46&amp;"*")</f>
        <v>4</v>
      </c>
      <c r="AP50" s="36">
        <f>COUNTIF(Logs!$T$9:'Logs'!$T$1001, "*"&amp;AP$46&amp;"*")</f>
        <v>17</v>
      </c>
      <c r="AQ50" s="577">
        <f>COUNTIF(Logs!$T$9:'Logs'!$T$1001, "*"&amp;AQ$46&amp;"*")</f>
        <v>2</v>
      </c>
      <c r="AR50">
        <f>COUNTIF(Logs!$T$9:'Logs'!$T$1001, "*"&amp;AR$46&amp;"*")</f>
        <v>5</v>
      </c>
      <c r="AS50">
        <f>COUNTIF(Logs!$T$9:'Logs'!$T$1001, "*"&amp;AS$46&amp;"*")</f>
        <v>1</v>
      </c>
      <c r="AT50" s="242">
        <f>COUNTIF(Logs!$T$9:'Logs'!$T$1001, "*"&amp;AT$46&amp;"*")</f>
        <v>7</v>
      </c>
      <c r="AU50" s="8">
        <f>COUNTIF(Logs!$T$9:'Logs'!$T$1001, "*"&amp;AU$46&amp;"*")</f>
        <v>7</v>
      </c>
      <c r="AV50" s="576">
        <f>COUNTIF(Logs!$T$9:'Logs'!$T$1001, "*"&amp;AV$46&amp;"*")</f>
        <v>3</v>
      </c>
      <c r="AW50" s="498">
        <f>COUNTIF(Logs!$T$9:'Logs'!$T$1001, "*"&amp;AW$46&amp;"*")</f>
        <v>0</v>
      </c>
      <c r="AX50" s="575">
        <f>COUNTIF(Logs!$T$9:'Logs'!$T$1001, "*"&amp;AX$46&amp;"*")</f>
        <v>6</v>
      </c>
      <c r="AY50" s="499">
        <f>COUNTIF(Logs!$T$9:'Logs'!$T$1001, "*"&amp;AY$46&amp;"*")</f>
        <v>1</v>
      </c>
      <c r="AZ50" s="500">
        <f>COUNTIF(Logs!$T$9:'Logs'!$T$1001, "*"&amp;AZ$46&amp;"*")</f>
        <v>3</v>
      </c>
      <c r="BA50" s="574">
        <f>COUNTIF(Logs!$T$9:'Logs'!$T$1001,BA$46)</f>
        <v>3</v>
      </c>
      <c r="BB50" s="589">
        <f>COUNTIF(Logs!$T$9:'Logs'!$T$1001, "*"&amp;BB$46&amp;"*")</f>
        <v>0</v>
      </c>
      <c r="BC50" s="34">
        <f>COUNTIF(Logs!$T$9:'Logs'!$T$1001, "*"&amp;BC$46&amp;"*")</f>
        <v>27</v>
      </c>
      <c r="BD50" s="10">
        <f>COUNTIF(Logs!$T$9:'Logs'!$T$1001, "*"&amp;BD$46&amp;"*")</f>
        <v>9</v>
      </c>
      <c r="BE50" s="39">
        <f>COUNTIF(Logs!$T$9:'Logs'!$T$1001, "*"&amp;BE$46&amp;"*")</f>
        <v>13</v>
      </c>
      <c r="BF50" s="361">
        <f>COUNTIF(Logs!$T$9:'Logs'!$T$1001, "*"&amp;BF$46&amp;"*")</f>
        <v>1</v>
      </c>
      <c r="BG50">
        <f>COUNTIF(Logs!$T$9:'Logs'!$T$1001, "*"&amp;BG$46&amp;"*")</f>
        <v>0</v>
      </c>
      <c r="BH50" s="590">
        <f>COUNTIF(Logs!$T$9:'Logs'!$T$1001, "*"&amp;BH$46&amp;"*")</f>
        <v>2</v>
      </c>
      <c r="BI50" s="329">
        <f>COUNTIF(Logs!$T$9:'Logs'!$T$1001, "*"&amp;BI$46&amp;"*")</f>
        <v>20</v>
      </c>
      <c r="BJ50" s="35">
        <f>SUM(Table37[[#This Row],[Animals]:[Travel Issues]])</f>
        <v>180</v>
      </c>
    </row>
    <row r="51" spans="2:62">
      <c r="B51" s="163" t="s">
        <v>135</v>
      </c>
      <c r="C51" s="291">
        <f t="shared" si="0"/>
        <v>64</v>
      </c>
      <c r="D51" s="25">
        <f>COUNTIF(Logs!$Q$177:'Logs'!$AB$188, "*"&amp;D$41&amp;"*")</f>
        <v>2</v>
      </c>
      <c r="E51" s="33">
        <f>COUNTIF(Logs!$Q$177:'Logs'!$AB$188,  "Attention to Detail")</f>
        <v>6</v>
      </c>
      <c r="F51" s="1306">
        <f>COUNTIF(Logs!$Q$177:'Logs'!$AB$188, "*"&amp;F$41&amp;"*")</f>
        <v>0</v>
      </c>
      <c r="G51" s="1307">
        <f>COUNTIF(Logs!$Q$177:'Logs'!$AB$188, "*"&amp;G$41&amp;"*")</f>
        <v>2</v>
      </c>
      <c r="H51" s="642">
        <f>COUNTIF(Logs!$Q$177:'Logs'!$AB$188, "*"&amp;H$41&amp;"*")</f>
        <v>1</v>
      </c>
      <c r="I51">
        <f>COUNTIF(Logs!$Q$177:'Logs'!$AB$188, "*"&amp;I$41&amp;"*")</f>
        <v>1</v>
      </c>
      <c r="J51" s="1308">
        <f>COUNTIF(Logs!$Q$177:'Logs'!$AB$188, "*"&amp;J$41&amp;"*")</f>
        <v>0</v>
      </c>
      <c r="K51" s="233">
        <f>COUNTIF(Logs!$Q$177:'Logs'!$AB$188, "*"&amp;K$41&amp;"*")</f>
        <v>1</v>
      </c>
      <c r="L51" s="36">
        <f>COUNTIF(Logs!$Q$177:'Logs'!$AB$188, "*"&amp;L$41&amp;"*")</f>
        <v>9</v>
      </c>
      <c r="M51" s="234">
        <f>COUNTIF(Logs!$Q$177:'Logs'!$AB$188, "*"&amp;M$41&amp;"*")</f>
        <v>0</v>
      </c>
      <c r="N51" s="37">
        <f>COUNTIF(Logs!$Q$177:'Logs'!$AB$188, "*"&amp;N$41&amp;"*")</f>
        <v>3</v>
      </c>
      <c r="O51" s="37">
        <f>COUNTIF(Logs!$Q$177:'Logs'!$AB$188, "*"&amp;O$41&amp;"*")</f>
        <v>0</v>
      </c>
      <c r="P51" s="242">
        <f>COUNTIF(Logs!$Q$177:'Logs'!$AB$188, "Hand Eye Coordination")</f>
        <v>2</v>
      </c>
      <c r="Q51" s="8">
        <f>COUNTIF(Logs!$Q$177:'Logs'!$AB$188, "*"&amp;Q$41&amp;"*")</f>
        <v>3</v>
      </c>
      <c r="R51" s="238">
        <f>COUNTIF(Logs!$Q$177:'Logs'!$AB$188, "*"&amp;R$41&amp;"*")</f>
        <v>1</v>
      </c>
      <c r="S51" s="498">
        <f>COUNTIF(Logs!$Q$177:'Logs'!$AB$188, "*"&amp;S$41&amp;"*")</f>
        <v>0</v>
      </c>
      <c r="T51" s="1309">
        <f>COUNTIF(Logs!$Q$177:'Logs'!$AB$188,"Memorization")</f>
        <v>0</v>
      </c>
      <c r="U51" s="499">
        <f>COUNTIF(Logs!$Q$177:'Logs'!$AB$188, "*"&amp;U$41&amp;"*")</f>
        <v>0</v>
      </c>
      <c r="V51" s="500">
        <f>COUNTIF(Logs!$Q$177:'Logs'!$AB$188, "*"&amp;V$41&amp;"*")</f>
        <v>0</v>
      </c>
      <c r="W51" s="501">
        <f>COUNTIF(Logs!$Q$177:'Logs'!$AB$188, W$41)</f>
        <v>2</v>
      </c>
      <c r="X51" s="276">
        <f>COUNTIF(Logs!$Q$177:'Logs'!$AB$188, "*"&amp;X$41&amp;"*")</f>
        <v>1</v>
      </c>
      <c r="Y51" s="34">
        <f>COUNTIF(Logs!$Q$177:'Logs'!$AB$188, "Physical Strength")</f>
        <v>9</v>
      </c>
      <c r="Z51" s="10">
        <f>COUNTIF(Logs!$Q$177:'Logs'!$AB$188, "*"&amp;Z$41&amp;"*")</f>
        <v>2</v>
      </c>
      <c r="AA51" s="39">
        <f>COUNTIF(Logs!$Q$177:'Logs'!$AB$188, "*"&amp;AA$41&amp;"*")</f>
        <v>5</v>
      </c>
      <c r="AB51" s="361">
        <f>COUNTIF(Logs!$Q$177:'Logs'!$AB$188, "*"&amp;AB$41&amp;"*")</f>
        <v>1</v>
      </c>
      <c r="AC51" s="1310">
        <f>COUNTIF(Logs!$Q$177:'Logs'!$AB$188, "*"&amp;AC$41&amp;"*")</f>
        <v>1</v>
      </c>
      <c r="AD51" s="279">
        <f>COUNTIF(Logs!$Q$177:'Logs'!$AB$188, "*"&amp;AD$41&amp;"*")</f>
        <v>1</v>
      </c>
      <c r="AE51" s="280">
        <f>COUNTIF(Logs!$Q$177:'Logs'!$AB$188, "*"&amp;AE$41&amp;"*")</f>
        <v>11</v>
      </c>
      <c r="AG51" s="163" t="s">
        <v>5</v>
      </c>
      <c r="AH51" s="25">
        <f>COUNTIF(Logs!$U$9:'Logs'!$U$1001, "*"&amp;AH$46&amp;"*")</f>
        <v>7</v>
      </c>
      <c r="AI51" s="33">
        <f>COUNTIF(Logs!$U$9:'Logs'!$U$1001, "Attention to Detail")</f>
        <v>14</v>
      </c>
      <c r="AJ51" s="587">
        <f>COUNTIF(Logs!$U$9:'Logs'!$U$1001, "*"&amp;AJ$46&amp;"*")</f>
        <v>6</v>
      </c>
      <c r="AK51" s="66">
        <f>COUNTIF(Logs!$U$9:'Logs'!$U$1001, "*"&amp;AK$46&amp;"*")</f>
        <v>1</v>
      </c>
      <c r="AL51" s="642">
        <f>COUNTIF(Logs!$U$9:'Logs'!$U$1001, "*"&amp;AL$46&amp;"*")</f>
        <v>14</v>
      </c>
      <c r="AM51">
        <f>COUNTIF(Logs!$U$9:'Logs'!$U$1001, "*"&amp;AM$46&amp;"*")</f>
        <v>4</v>
      </c>
      <c r="AN51" s="588">
        <f>COUNTIF(Logs!$U$9:'Logs'!$U$1001, "*"&amp;AN$46&amp;"*")</f>
        <v>1</v>
      </c>
      <c r="AO51" s="233">
        <f>COUNTIF(Logs!$U$9:'Logs'!$U$1001, "*"&amp;AO$46&amp;"*")</f>
        <v>4</v>
      </c>
      <c r="AP51" s="36">
        <f>COUNTIF(Logs!$U$9:'Logs'!$U$1001, "*"&amp;AP$46&amp;"*")</f>
        <v>19</v>
      </c>
      <c r="AQ51" s="577">
        <f>COUNTIF(Logs!$U$9:'Logs'!$U$1001, "*"&amp;AQ$46&amp;"*")</f>
        <v>0</v>
      </c>
      <c r="AR51">
        <f>COUNTIF(Logs!$U$9:'Logs'!$U$1001, "*"&amp;AR$46&amp;"*")</f>
        <v>2</v>
      </c>
      <c r="AS51">
        <f>COUNTIF(Logs!$U$9:'Logs'!$U$1001, "*"&amp;AS$46&amp;"*")</f>
        <v>0</v>
      </c>
      <c r="AT51" s="242">
        <f>COUNTIF(Logs!$U$9:'Logs'!$U$1001, "*"&amp;AT$46&amp;"*")</f>
        <v>4</v>
      </c>
      <c r="AU51" s="8">
        <f>COUNTIF(Logs!$U$9:'Logs'!$U$1001, "*"&amp;AU$46&amp;"*")</f>
        <v>7</v>
      </c>
      <c r="AV51" s="576">
        <f>COUNTIF(Logs!$U$9:'Logs'!$U$1001, "*"&amp;AV$46&amp;"*")</f>
        <v>4</v>
      </c>
      <c r="AW51" s="498">
        <f>COUNTIF(Logs!$U$9:'Logs'!$U$1001, "*"&amp;AW$46&amp;"*")</f>
        <v>0</v>
      </c>
      <c r="AX51" s="575">
        <f>COUNTIF(Logs!$U$9:'Logs'!$U$1001, "*"&amp;AX$46&amp;"*")</f>
        <v>5</v>
      </c>
      <c r="AY51" s="499">
        <f>COUNTIF(Logs!$U$9:'Logs'!$U$1001, "*"&amp;AY$46&amp;"*")</f>
        <v>3</v>
      </c>
      <c r="AZ51" s="500">
        <f>COUNTIF(Logs!$U$9:'Logs'!$U$1001, "*"&amp;AZ$46&amp;"*")</f>
        <v>2</v>
      </c>
      <c r="BA51" s="574">
        <f>COUNTIF(Logs!$U$9:'Logs'!$U$1001, BA$46)</f>
        <v>0</v>
      </c>
      <c r="BB51" s="589">
        <f>COUNTIF(Logs!$U$9:'Logs'!$U$1001, "*"&amp;BB$46&amp;"*")</f>
        <v>1</v>
      </c>
      <c r="BC51" s="34">
        <f>COUNTIF(Logs!$U$9:'Logs'!$U$1001, "*"&amp;BC$46&amp;"*")</f>
        <v>24</v>
      </c>
      <c r="BD51" s="10">
        <f>COUNTIF(Logs!$U$9:'Logs'!$U$1001, "*"&amp;BD$46&amp;"*")</f>
        <v>5</v>
      </c>
      <c r="BE51" s="39">
        <f>COUNTIF(Logs!$U$9:'Logs'!$U$1001, "*"&amp;BE$46&amp;"*")</f>
        <v>20</v>
      </c>
      <c r="BF51" s="361">
        <f>COUNTIF(Logs!$U$9:'Logs'!$U$1001, "*"&amp;BF$46&amp;"*")</f>
        <v>2</v>
      </c>
      <c r="BG51">
        <f>COUNTIF(Logs!$U$9:'Logs'!$U$1001, "*"&amp;BG$46&amp;"*")</f>
        <v>1</v>
      </c>
      <c r="BH51" s="590">
        <f>COUNTIF(Logs!$U$9:'Logs'!$U$1001, "*"&amp;BH$46&amp;"*")</f>
        <v>1</v>
      </c>
      <c r="BI51" s="329">
        <f>COUNTIF(Logs!$U$9:'Logs'!$U$1001, "*"&amp;BI$46&amp;"*")</f>
        <v>25</v>
      </c>
      <c r="BJ51" s="35">
        <f>SUM(Table37[[#This Row],[Animals]:[Travel Issues]])</f>
        <v>176</v>
      </c>
    </row>
    <row r="52" spans="2:62">
      <c r="B52" s="163" t="s">
        <v>136</v>
      </c>
      <c r="C52" s="291">
        <f t="shared" si="0"/>
        <v>59</v>
      </c>
      <c r="D52" s="25">
        <f>COUNTIF(Logs!$Q$198:'Logs'!$AC$206, "*"&amp;D$41&amp;"*")</f>
        <v>4</v>
      </c>
      <c r="E52" s="33">
        <f>COUNTIF(Logs!$Q$198:'Logs'!$AC$206,  "Attention to Detail")</f>
        <v>4</v>
      </c>
      <c r="F52" s="1306">
        <f>COUNTIF(Logs!$Q$198:'Logs'!$AC$206, "*"&amp;F$41&amp;"*")</f>
        <v>2</v>
      </c>
      <c r="G52" s="1307">
        <f>COUNTIF(Logs!$Q$198:'Logs'!$AC$206, "*"&amp;G$41&amp;"*")</f>
        <v>0</v>
      </c>
      <c r="H52" s="642">
        <f>COUNTIF(Logs!$Q$198:'Logs'!$AC$206, "*"&amp;H$41&amp;"*")</f>
        <v>1</v>
      </c>
      <c r="I52">
        <f>COUNTIF(Logs!$Q$198:'Logs'!$AC$206, "*"&amp;I$41&amp;"*")</f>
        <v>2</v>
      </c>
      <c r="J52" s="1308">
        <f>COUNTIF(Logs!$Q$198:'Logs'!$AC$206, "*"&amp;J$41&amp;"*")</f>
        <v>0</v>
      </c>
      <c r="K52" s="233">
        <f>COUNTIF(Logs!$Q$198:'Logs'!$AC$206, "*"&amp;K$41&amp;"*")</f>
        <v>0</v>
      </c>
      <c r="L52" s="36">
        <f>COUNTIF(Logs!$Q$198:'Logs'!$AC$206, "*"&amp;L$41&amp;"*")</f>
        <v>8</v>
      </c>
      <c r="M52" s="234">
        <f>COUNTIF(Logs!$Q$198:'Logs'!$AC$206, "*"&amp;M$41&amp;"*")</f>
        <v>0</v>
      </c>
      <c r="N52" s="37">
        <f>COUNTIF(Logs!$Q$198:'Logs'!$AC$206, "*"&amp;N$41&amp;"*")</f>
        <v>2</v>
      </c>
      <c r="O52" s="37">
        <f>COUNTIF(Logs!$Q$198:'Logs'!$AC$206, "*"&amp;O$41&amp;"*")</f>
        <v>0</v>
      </c>
      <c r="P52" s="242">
        <f>COUNTIF(Logs!$Q$198:'Logs'!$AC$206, "Hand Eye Coordination")</f>
        <v>1</v>
      </c>
      <c r="Q52" s="8">
        <f>COUNTIF(Logs!$Q$198:'Logs'!$AC$206, "*"&amp;Q$41&amp;"*")</f>
        <v>2</v>
      </c>
      <c r="R52" s="238">
        <f>COUNTIF(Logs!$Q$198:'Logs'!$AC$206, "*"&amp;R$41&amp;"*")</f>
        <v>0</v>
      </c>
      <c r="S52" s="498">
        <f>COUNTIF(Logs!$Q$198:'Logs'!$AC$206, "*"&amp;S$41&amp;"*")</f>
        <v>1</v>
      </c>
      <c r="T52" s="1309">
        <f>COUNTIF(Logs!$Q$198:'Logs'!$AC$206, "Memorization")</f>
        <v>1</v>
      </c>
      <c r="U52" s="499">
        <f>COUNTIF(Logs!$Q$198:'Logs'!$AC$206, "*"&amp;U$41&amp;"*")</f>
        <v>0</v>
      </c>
      <c r="V52" s="500">
        <f>COUNTIF(Logs!$Q$198:'Logs'!$AC$206, "*"&amp;V$41&amp;"*")</f>
        <v>2</v>
      </c>
      <c r="W52" s="501">
        <f>COUNTIF(Logs!$Q$198:'Logs'!$AC$206, W$41)</f>
        <v>0</v>
      </c>
      <c r="X52" s="276">
        <f>COUNTIF(Logs!$Q$198:'Logs'!$AC$206, "*"&amp;X$41&amp;"*")</f>
        <v>1</v>
      </c>
      <c r="Y52" s="34">
        <f>COUNTIF(Logs!$Q$198:'Logs'!$AC$206, "Physical Strength")</f>
        <v>8</v>
      </c>
      <c r="Z52" s="10">
        <f>COUNTIF(Logs!$Q$198:'Logs'!$AC$206, "*"&amp;Z$41&amp;"*")</f>
        <v>3</v>
      </c>
      <c r="AA52" s="39">
        <f>COUNTIF(Logs!$Q$198:'Logs'!$AC$206, "*"&amp;AA$41&amp;"*")</f>
        <v>8</v>
      </c>
      <c r="AB52" s="361">
        <f>COUNTIF(Logs!$Q$198:'Logs'!$AC$206, "*"&amp;AB$41&amp;"*")</f>
        <v>1</v>
      </c>
      <c r="AC52" s="1310">
        <f>COUNTIF(Logs!$Q$198:'Logs'!$AC$206, "*"&amp;AC$41&amp;"*")</f>
        <v>0</v>
      </c>
      <c r="AD52" s="279">
        <f>COUNTIF(Logs!$Q$198:'Logs'!$AC$206, "*"&amp;AD$41&amp;"*")</f>
        <v>1</v>
      </c>
      <c r="AE52" s="280">
        <f>COUNTIF(Logs!$Q$198:'Logs'!$AC$206, "*"&amp;AE$41&amp;"*")</f>
        <v>7</v>
      </c>
      <c r="AG52" s="163" t="s">
        <v>6</v>
      </c>
      <c r="AH52" s="25">
        <f>COUNTIF(Logs!$V$9:'Logs'!$V$1001, "*"&amp;AH$46&amp;"*")</f>
        <v>10</v>
      </c>
      <c r="AI52" s="33">
        <f>COUNTIF(Logs!$V$9:'Logs'!$V$1001, "Attention to Detail")</f>
        <v>15</v>
      </c>
      <c r="AJ52" s="587">
        <f>COUNTIF(Logs!$V$9:'Logs'!$V$1001, "*"&amp;AJ$46&amp;"*")</f>
        <v>4</v>
      </c>
      <c r="AK52" s="66">
        <f>COUNTIF(Logs!$V$9:'Logs'!$V$1001, "*"&amp;AK$46&amp;"*")</f>
        <v>2</v>
      </c>
      <c r="AL52" s="642">
        <f>COUNTIF(Logs!$V$9:'Logs'!$V$1001, "*"&amp;AL$46&amp;"*")</f>
        <v>7</v>
      </c>
      <c r="AM52">
        <f>COUNTIF(Logs!$V$9:'Logs'!$V$1001, "*"&amp;AM$46&amp;"*")</f>
        <v>4</v>
      </c>
      <c r="AN52" s="588">
        <f>COUNTIF(Logs!$V$9:'Logs'!$V$1001, "*"&amp;AN$46&amp;"*")</f>
        <v>1</v>
      </c>
      <c r="AO52" s="233">
        <f>COUNTIF(Logs!$V$9:'Logs'!$V$1001, "*"&amp;AO$46&amp;"*")</f>
        <v>1</v>
      </c>
      <c r="AP52" s="36">
        <f>COUNTIF(Logs!$V$9:'Logs'!$V$1001, "*"&amp;AP$46&amp;"*")</f>
        <v>17</v>
      </c>
      <c r="AQ52" s="577">
        <f>COUNTIF(Logs!$V$9:'Logs'!$V$1001, "*"&amp;AQ$46&amp;"*")</f>
        <v>0</v>
      </c>
      <c r="AR52">
        <f>COUNTIF(Logs!$V$9:'Logs'!$V$1001, "*"&amp;AR$46&amp;"*")</f>
        <v>5</v>
      </c>
      <c r="AS52">
        <f>COUNTIF(Logs!$V$9:'Logs'!$V$1001, "*"&amp;AS$46&amp;"*")</f>
        <v>0</v>
      </c>
      <c r="AT52" s="242">
        <f>COUNTIF(Logs!$V$9:'Logs'!$V$1001, "*"&amp;AT$46&amp;"*")</f>
        <v>5</v>
      </c>
      <c r="AU52" s="8">
        <f>COUNTIF(Logs!$V$9:'Logs'!$V$1001, "*"&amp;AU$46&amp;"*")</f>
        <v>11</v>
      </c>
      <c r="AV52" s="576">
        <f>COUNTIF(Logs!$V$9:'Logs'!$V$1001, "*"&amp;AV$46&amp;"*")</f>
        <v>4</v>
      </c>
      <c r="AW52" s="498">
        <f>COUNTIF(Logs!$V$9:'Logs'!$V$1001, "*"&amp;AW$46&amp;"*")</f>
        <v>2</v>
      </c>
      <c r="AX52" s="575">
        <f>COUNTIF(Logs!$V$9:'Logs'!$V$1001, "*"&amp;AX$46&amp;"*")</f>
        <v>6</v>
      </c>
      <c r="AY52" s="499">
        <f>COUNTIF(Logs!$V$9:'Logs'!$V$1001, "*"&amp;AY$46&amp;"*")</f>
        <v>1</v>
      </c>
      <c r="AZ52" s="500">
        <f>COUNTIF(Logs!$V$9:'Logs'!$V$1001, "*"&amp;AZ$46&amp;"*")</f>
        <v>3</v>
      </c>
      <c r="BA52" s="574">
        <f>COUNTIF(Logs!$V$9:'Logs'!$V$1001,BA$46)</f>
        <v>2</v>
      </c>
      <c r="BB52" s="589">
        <f>COUNTIF(Logs!$V$9:'Logs'!$V$1001, "*"&amp;BB$46&amp;"*")</f>
        <v>3</v>
      </c>
      <c r="BC52" s="34">
        <f>COUNTIF(Logs!$V$9:'Logs'!$V$1001, "*"&amp;BC$46&amp;"*")</f>
        <v>24</v>
      </c>
      <c r="BD52" s="10">
        <f>COUNTIF(Logs!$V$9:'Logs'!$V$1001, "*"&amp;BD$46&amp;"*")</f>
        <v>8</v>
      </c>
      <c r="BE52" s="39">
        <f>COUNTIF(Logs!$V$9:'Logs'!$V$1001, "*"&amp;BE$46&amp;"*")</f>
        <v>18</v>
      </c>
      <c r="BF52" s="361">
        <f>COUNTIF(Logs!$V$9:'Logs'!$V$1001, "*"&amp;BF$46&amp;"*")</f>
        <v>2</v>
      </c>
      <c r="BG52">
        <f>COUNTIF(Logs!$V$9:'Logs'!$V$1001, "*"&amp;BG$46&amp;"*")</f>
        <v>3</v>
      </c>
      <c r="BH52" s="590">
        <f>COUNTIF(Logs!$V$9:'Logs'!$V$1001, "*"&amp;BH$46&amp;"*")</f>
        <v>2</v>
      </c>
      <c r="BI52" s="329">
        <f>COUNTIF(Logs!$V$9:'Logs'!$V$1001, "*"&amp;BI$46&amp;"*")</f>
        <v>25</v>
      </c>
      <c r="BJ52" s="35">
        <f>SUM(Table37[[#This Row],[Animals]:[Travel Issues]])</f>
        <v>185</v>
      </c>
    </row>
    <row r="53" spans="2:62">
      <c r="B53" s="163" t="s">
        <v>137</v>
      </c>
      <c r="C53" s="291">
        <f t="shared" si="0"/>
        <v>52</v>
      </c>
      <c r="D53" s="25">
        <f>COUNTIF(Logs!$Q$215:'Logs'!$AA$223, "*"&amp;D$41&amp;"*")</f>
        <v>2</v>
      </c>
      <c r="E53" s="33">
        <f>COUNTIF(Logs!$Q$215:'Logs'!$AA$223,  "Attention to Detail")</f>
        <v>1</v>
      </c>
      <c r="F53" s="1306">
        <f>COUNTIF(Logs!$Q$215:'Logs'!$AA$223, "*"&amp;F$41&amp;"*")</f>
        <v>1</v>
      </c>
      <c r="G53" s="1307">
        <f>COUNTIF(Logs!$Q$215:'Logs'!$AA$223, "*"&amp;G$41&amp;"*")</f>
        <v>4</v>
      </c>
      <c r="H53" s="642">
        <f>COUNTIF(Logs!$Q$215:'Logs'!$AA$223, "*"&amp;H$41&amp;"*")</f>
        <v>1</v>
      </c>
      <c r="I53">
        <f>COUNTIF(Logs!$Q$215:'Logs'!$AA$223, "*"&amp;I$41&amp;"*")</f>
        <v>0</v>
      </c>
      <c r="J53" s="1308">
        <f>COUNTIF(Logs!$Q$215:'Logs'!$AA$223, "*"&amp;J$41&amp;"*")</f>
        <v>1</v>
      </c>
      <c r="K53" s="233">
        <f>COUNTIF(Logs!$Q$215:'Logs'!$AA$223, "*"&amp;K$41&amp;"*")</f>
        <v>2</v>
      </c>
      <c r="L53" s="36">
        <f>COUNTIF(Logs!$Q$215:'Logs'!$AA$223, "*"&amp;L$41&amp;"*")</f>
        <v>6</v>
      </c>
      <c r="M53" s="234">
        <f>COUNTIF(Logs!$Q$215:'Logs'!$AA$223, "*"&amp;M$41&amp;"*")</f>
        <v>0</v>
      </c>
      <c r="N53" s="37">
        <f>COUNTIF(Logs!$Q$215:'Logs'!$AA$223, "*"&amp;N$41&amp;"*")</f>
        <v>2</v>
      </c>
      <c r="O53" s="37">
        <f>COUNTIF(Logs!$Q$215:'Logs'!$AA$223, "*"&amp;O$41&amp;"*")</f>
        <v>0</v>
      </c>
      <c r="P53" s="242">
        <f>COUNTIF(Logs!$Q$215:'Logs'!$AA$223, "Hand Eye Coordination")</f>
        <v>1</v>
      </c>
      <c r="Q53" s="8">
        <f>COUNTIF(Logs!$Q$215:'Logs'!$AA$223, "*"&amp;Q$41&amp;"*")</f>
        <v>4</v>
      </c>
      <c r="R53" s="238">
        <f>COUNTIF(Logs!$Q$215:'Logs'!$AA$223, "*"&amp;R$41&amp;"*")</f>
        <v>2</v>
      </c>
      <c r="S53" s="498">
        <f>COUNTIF(Logs!$Q$215:'Logs'!$AA$223, "*"&amp;S$41&amp;"*")</f>
        <v>0</v>
      </c>
      <c r="T53" s="1309">
        <f>COUNTIF(Logs!$Q$215:'Logs'!$AA$223, "Memorization")</f>
        <v>1</v>
      </c>
      <c r="U53" s="499">
        <f>COUNTIF(Logs!$Q$215:'Logs'!$AA$223, "*"&amp;U$41&amp;"*")</f>
        <v>0</v>
      </c>
      <c r="V53" s="500">
        <f>COUNTIF(Logs!$Q$215:'Logs'!$AA$223, "*"&amp;V$41&amp;"*")</f>
        <v>0</v>
      </c>
      <c r="W53" s="501">
        <f>COUNTIF(Logs!$Q$215:'Logs'!$AA$223, W$41)</f>
        <v>3</v>
      </c>
      <c r="X53" s="276">
        <f>COUNTIF(Logs!$Q$215:'Logs'!$AA$223, "*"&amp;X$41&amp;"*")</f>
        <v>0</v>
      </c>
      <c r="Y53" s="34">
        <f>COUNTIF(Logs!$Q$215:'Logs'!$AA$223, "Physical Strength")</f>
        <v>8</v>
      </c>
      <c r="Z53" s="10">
        <f>COUNTIF(Logs!$Q$215:'Logs'!$AA$223, "*"&amp;Z$41&amp;"*")</f>
        <v>2</v>
      </c>
      <c r="AA53" s="39">
        <f>COUNTIF(Logs!$Q$215:'Logs'!$AA$223, "*"&amp;AA$41&amp;"*")</f>
        <v>6</v>
      </c>
      <c r="AB53" s="361">
        <f>COUNTIF(Logs!$Q$215:'Logs'!$AA$223, "*"&amp;AB$41&amp;"*")</f>
        <v>0</v>
      </c>
      <c r="AC53" s="1310">
        <f>COUNTIF(Logs!$Q$215:'Logs'!$AA$223, "*"&amp;AC$41&amp;"*")</f>
        <v>0</v>
      </c>
      <c r="AD53" s="279">
        <f>COUNTIF(Logs!$Q$215:'Logs'!$AA$223, "*"&amp;AD$41&amp;"*")</f>
        <v>0</v>
      </c>
      <c r="AE53" s="280">
        <f>COUNTIF(Logs!$Q$215:'Logs'!$AA$223, "*"&amp;AE$41&amp;"*")</f>
        <v>5</v>
      </c>
      <c r="AG53" s="163" t="s">
        <v>7</v>
      </c>
      <c r="AH53" s="25">
        <f>COUNTIF(Logs!$W$9:'Logs'!$W$1001, "*"&amp;AH$46&amp;"*")</f>
        <v>9</v>
      </c>
      <c r="AI53" s="33">
        <f>COUNTIF(Logs!$W$9:'Logs'!$W$1001, "Attention to Detail")</f>
        <v>16</v>
      </c>
      <c r="AJ53" s="587">
        <f>COUNTIF(Logs!$W$9:'Logs'!$W$1001, "*"&amp;AJ$46&amp;"*")</f>
        <v>4</v>
      </c>
      <c r="AK53" s="66">
        <f>COUNTIF(Logs!$W$9:'Logs'!$W$1001, "*"&amp;AK$46&amp;"*")</f>
        <v>7</v>
      </c>
      <c r="AL53" s="642">
        <f>COUNTIF(Logs!$W$9:'Logs'!$W$1001, "*"&amp;AL$46&amp;"*")</f>
        <v>7</v>
      </c>
      <c r="AM53">
        <f>COUNTIF(Logs!$W$9:'Logs'!$W$1001, "*"&amp;AM$46&amp;"*")</f>
        <v>4</v>
      </c>
      <c r="AN53" s="588">
        <f>COUNTIF(Logs!$W$9:'Logs'!$W$1001, "*"&amp;AN$46&amp;"*")</f>
        <v>2</v>
      </c>
      <c r="AO53" s="233">
        <f>COUNTIF(Logs!$W$9:'Logs'!$W$1001, "*"&amp;AO$46&amp;"*")</f>
        <v>7</v>
      </c>
      <c r="AP53" s="36">
        <f>COUNTIF(Logs!$W$9:'Logs'!$W$1001, "*"&amp;AP$46&amp;"*")</f>
        <v>19</v>
      </c>
      <c r="AQ53" s="577">
        <f>COUNTIF(Logs!$W$9:'Logs'!$W$1001, "*"&amp;AQ$46&amp;"*")</f>
        <v>0</v>
      </c>
      <c r="AR53">
        <f>COUNTIF(Logs!$W$9:'Logs'!$W$1001, "*"&amp;AR$46&amp;"*")</f>
        <v>7</v>
      </c>
      <c r="AS53">
        <f>COUNTIF(Logs!$W$9:'Logs'!$W$1001, "*"&amp;AS$46&amp;"*")</f>
        <v>0</v>
      </c>
      <c r="AT53" s="242">
        <f>COUNTIF(Logs!$W$9:'Logs'!$W$1001, "*"&amp;AT$46&amp;"*")</f>
        <v>7</v>
      </c>
      <c r="AU53" s="8">
        <f>COUNTIF(Logs!$W$9:'Logs'!$W$1001, "*"&amp;AU$46&amp;"*")</f>
        <v>7</v>
      </c>
      <c r="AV53" s="576">
        <f>COUNTIF(Logs!$W$9:'Logs'!$W$1001, "*"&amp;AV$46&amp;"*")</f>
        <v>4</v>
      </c>
      <c r="AW53" s="498">
        <f>COUNTIF(Logs!$W$9:'Logs'!$W$1001, "*"&amp;AW$46&amp;"*")</f>
        <v>2</v>
      </c>
      <c r="AX53" s="575">
        <f>COUNTIF(Logs!$W$9:'Logs'!$W$1001, "*"&amp;AX$46&amp;"*")</f>
        <v>4</v>
      </c>
      <c r="AY53" s="499">
        <f>COUNTIF(Logs!$W$9:'Logs'!$W$1001, "*"&amp;AY$46&amp;"*")</f>
        <v>2</v>
      </c>
      <c r="AZ53" s="500">
        <f>COUNTIF(Logs!$W$9:'Logs'!$W$1001, "*"&amp;AZ$46&amp;"*")</f>
        <v>2</v>
      </c>
      <c r="BA53" s="574">
        <f>COUNTIF(Logs!$W$9:'Logs'!$W$1001, BA$46)</f>
        <v>2</v>
      </c>
      <c r="BB53" s="589">
        <f>COUNTIF(Logs!$W$9:'Logs'!$W$1001, "*"&amp;BB$46&amp;"*")</f>
        <v>2</v>
      </c>
      <c r="BC53" s="34">
        <f>COUNTIF(Logs!$W$9:'Logs'!$W$1001, "*"&amp;BC$46&amp;"*")</f>
        <v>20</v>
      </c>
      <c r="BD53" s="10">
        <f>COUNTIF(Logs!$W$9:'Logs'!$W$1001, "*"&amp;BD$46&amp;"*")</f>
        <v>8</v>
      </c>
      <c r="BE53" s="39">
        <f>COUNTIF(Logs!$W$9:'Logs'!$W$1001, "*"&amp;BE$46&amp;"*")</f>
        <v>18</v>
      </c>
      <c r="BF53" s="361">
        <f>COUNTIF(Logs!$W$9:'Logs'!$W$1001, "*"&amp;BF$46&amp;"*")</f>
        <v>1</v>
      </c>
      <c r="BG53">
        <f>COUNTIF(Logs!$W$9:'Logs'!$W$1001, "*"&amp;BG$46&amp;"*")</f>
        <v>2</v>
      </c>
      <c r="BH53" s="590">
        <f>COUNTIF(Logs!$W$9:'Logs'!$W$1001, "*"&amp;BH$46&amp;"*")</f>
        <v>6</v>
      </c>
      <c r="BI53" s="329">
        <f>COUNTIF(Logs!$W$9:'Logs'!$W$1001, "*"&amp;BI$46&amp;"*")</f>
        <v>23</v>
      </c>
      <c r="BJ53" s="35">
        <f>SUM(Table37[[#This Row],[Animals]:[Travel Issues]])</f>
        <v>192</v>
      </c>
    </row>
    <row r="54" spans="2:62">
      <c r="B54" s="163" t="s">
        <v>138</v>
      </c>
      <c r="C54" s="291">
        <f t="shared" si="0"/>
        <v>47</v>
      </c>
      <c r="D54" s="25">
        <f>COUNTIF(Logs!$Q$233:'Logs'!$AA$241, "*"&amp;D$41&amp;"*")</f>
        <v>0</v>
      </c>
      <c r="E54" s="33">
        <f>COUNTIF(Logs!$Q$233:'Logs'!$AA$241,  "Attention to Detail")</f>
        <v>6</v>
      </c>
      <c r="F54" s="1306">
        <f>COUNTIF(Logs!$Q$233:'Logs'!$AA$241, "*"&amp;F$41&amp;"*")</f>
        <v>0</v>
      </c>
      <c r="G54" s="1307">
        <f>COUNTIF(Logs!$Q$233:'Logs'!$AA$241, "*"&amp;G$41&amp;"*")</f>
        <v>1</v>
      </c>
      <c r="H54" s="642">
        <f>COUNTIF(Logs!$Q$233:'Logs'!$AA$241, "*"&amp;H$41&amp;"*")</f>
        <v>1</v>
      </c>
      <c r="I54">
        <f>COUNTIF(Logs!$Q$233:'Logs'!$AA$241, "*"&amp;I$41&amp;"*")</f>
        <v>0</v>
      </c>
      <c r="J54" s="1308">
        <f>COUNTIF(Logs!$Q$233:'Logs'!$AA$241, "*"&amp;J$41&amp;"*")</f>
        <v>1</v>
      </c>
      <c r="K54" s="233">
        <f>COUNTIF(Logs!$Q$233:'Logs'!$AA$241, "*"&amp;K$41&amp;"*")</f>
        <v>1</v>
      </c>
      <c r="L54" s="36">
        <f>COUNTIF(Logs!$Q$233:'Logs'!$AA$241, "*"&amp;L$41&amp;"*")</f>
        <v>3</v>
      </c>
      <c r="M54" s="234">
        <f>COUNTIF(Logs!$Q$233:'Logs'!$AA$241, "*"&amp;M$41&amp;"*")</f>
        <v>0</v>
      </c>
      <c r="N54" s="37">
        <f>COUNTIF(Logs!$Q$233:'Logs'!$AA$241, "*"&amp;N$41&amp;"*")</f>
        <v>2</v>
      </c>
      <c r="O54" s="37">
        <f>COUNTIF(Logs!$Q$233:'Logs'!$AA$241, "*"&amp;O$41&amp;"*")</f>
        <v>0</v>
      </c>
      <c r="P54" s="242">
        <f>COUNTIF(Logs!$Q$233:'Logs'!$AA$241, "Hand Eye Coordination")</f>
        <v>1</v>
      </c>
      <c r="Q54" s="8">
        <f>COUNTIF(Logs!$Q$233:'Logs'!$AA$241, "*"&amp;Q$41&amp;"*")</f>
        <v>2</v>
      </c>
      <c r="R54" s="238">
        <f>COUNTIF(Logs!$Q$233:'Logs'!$AA$241, "*"&amp;R$41&amp;"*")</f>
        <v>0</v>
      </c>
      <c r="S54" s="498">
        <f>COUNTIF(Logs!$Q$233:'Logs'!$AA$241, "*"&amp;S$41&amp;"*")</f>
        <v>1</v>
      </c>
      <c r="T54" s="1309">
        <f>COUNTIF(Logs!$Q$233:'Logs'!$AA$241, "Memorization")</f>
        <v>1</v>
      </c>
      <c r="U54" s="499">
        <f>COUNTIF(Logs!$Q$233:'Logs'!$AA$241, "*"&amp;U$41&amp;"*")</f>
        <v>1</v>
      </c>
      <c r="V54" s="500">
        <f>COUNTIF(Logs!$Q$233:'Logs'!$AA$241, "*"&amp;V$41&amp;"*")</f>
        <v>0</v>
      </c>
      <c r="W54" s="501">
        <f>COUNTIF(Logs!$Q$233:'Logs'!$AA$241, W$41)</f>
        <v>1</v>
      </c>
      <c r="X54" s="276">
        <f>COUNTIF(Logs!$Q$233:'Logs'!$AA$241, "*"&amp;X$41&amp;"*")</f>
        <v>1</v>
      </c>
      <c r="Y54" s="34">
        <f>COUNTIF(Logs!$Q$233:'Logs'!$AA$241,"Physical Strength")</f>
        <v>7</v>
      </c>
      <c r="Z54" s="10">
        <f>COUNTIF(Logs!$Q$233:'Logs'!$AA$241, "*"&amp;Z$41&amp;"*")</f>
        <v>1</v>
      </c>
      <c r="AA54" s="39">
        <f>COUNTIF(Logs!$Q$233:'Logs'!$AA$241, "*"&amp;AA$41&amp;"*")</f>
        <v>8</v>
      </c>
      <c r="AB54" s="361">
        <f>COUNTIF(Logs!$Q$233:'Logs'!$AA$241, "*"&amp;AB$41&amp;"*")</f>
        <v>2</v>
      </c>
      <c r="AC54" s="1310">
        <f>COUNTIF(Logs!$Q$233:'Logs'!$AA$241, "*"&amp;AC$41&amp;"*")</f>
        <v>0</v>
      </c>
      <c r="AD54" s="279">
        <f>COUNTIF(Logs!$Q$233:'Logs'!$AA$241, "*"&amp;AD$41&amp;"*")</f>
        <v>0</v>
      </c>
      <c r="AE54" s="280">
        <f>COUNTIF(Logs!$Q$233:'Logs'!$AA$241, "*"&amp;AE$41&amp;"*")</f>
        <v>6</v>
      </c>
      <c r="AG54" s="163" t="s">
        <v>8</v>
      </c>
      <c r="AH54" s="25">
        <f>COUNTIF(Logs!$X$9:'Logs'!$X$1001, "*"&amp;AH$46&amp;"*")</f>
        <v>13</v>
      </c>
      <c r="AI54" s="33">
        <f>COUNTIF(Logs!$X$9:'Logs'!$X$1001,"Attention to Detail")</f>
        <v>21</v>
      </c>
      <c r="AJ54" s="587">
        <f>COUNTIF(Logs!$X$9:'Logs'!$X$1001, "*"&amp;AJ$46&amp;"*")</f>
        <v>3</v>
      </c>
      <c r="AK54" s="66">
        <f>COUNTIF(Logs!$X$9:'Logs'!$X$1001, "*"&amp;AK$46&amp;"*")</f>
        <v>3</v>
      </c>
      <c r="AL54" s="642">
        <f>COUNTIF(Logs!$X$9:'Logs'!$X$1001, "*"&amp;AL$46&amp;"*")</f>
        <v>8</v>
      </c>
      <c r="AM54">
        <f>COUNTIF(Logs!$X$9:'Logs'!$X$1001, "*"&amp;AM$46&amp;"*")</f>
        <v>6</v>
      </c>
      <c r="AN54" s="588">
        <f>COUNTIF(Logs!$X$9:'Logs'!$X$1001, "*"&amp;AN$46&amp;"*")</f>
        <v>1</v>
      </c>
      <c r="AO54" s="233">
        <f>COUNTIF(Logs!$X$9:'Logs'!$X$1001, "*"&amp;AO$46&amp;"*")</f>
        <v>5</v>
      </c>
      <c r="AP54" s="36">
        <f>COUNTIF(Logs!$X$9:'Logs'!$X$1001, "*"&amp;AP$46&amp;"*")</f>
        <v>17</v>
      </c>
      <c r="AQ54" s="577">
        <f>COUNTIF(Logs!$X$9:'Logs'!$X$1001, "*"&amp;AQ$46&amp;"*")</f>
        <v>0</v>
      </c>
      <c r="AR54">
        <f>COUNTIF(Logs!$X$9:'Logs'!$X$1001, "*"&amp;AR$46&amp;"*")</f>
        <v>8</v>
      </c>
      <c r="AS54">
        <f>COUNTIF(Logs!$X$9:'Logs'!$X$1001, "*"&amp;AS$46&amp;"*")</f>
        <v>0</v>
      </c>
      <c r="AT54" s="242">
        <f>COUNTIF(Logs!$X$9:'Logs'!$X$1001, "*"&amp;AT$46&amp;"*")</f>
        <v>6</v>
      </c>
      <c r="AU54" s="8">
        <f>COUNTIF(Logs!$X$9:'Logs'!$X$1001, "*"&amp;AU$46&amp;"*")</f>
        <v>7</v>
      </c>
      <c r="AV54" s="576">
        <f>COUNTIF(Logs!$X$9:'Logs'!$X$1001, "*"&amp;AV$46&amp;"*")</f>
        <v>5</v>
      </c>
      <c r="AW54" s="498">
        <f>COUNTIF(Logs!$X$9:'Logs'!$X$1001, "*"&amp;AW$46&amp;"*")</f>
        <v>2</v>
      </c>
      <c r="AX54" s="575">
        <f>COUNTIF(Logs!$X$9:'Logs'!$X$1001, "*"&amp;AX$46&amp;"*")</f>
        <v>3</v>
      </c>
      <c r="AY54" s="499">
        <f>COUNTIF(Logs!$X$9:'Logs'!$X$1001, "*"&amp;AY$46&amp;"*")</f>
        <v>3</v>
      </c>
      <c r="AZ54" s="500">
        <f>COUNTIF(Logs!$X$9:'Logs'!$X$1001, "*"&amp;AZ$46&amp;"*")</f>
        <v>4</v>
      </c>
      <c r="BA54" s="574">
        <f>COUNTIF(Logs!$X$9:'Logs'!$X$1001, BA$46)</f>
        <v>1</v>
      </c>
      <c r="BB54" s="589">
        <f>COUNTIF(Logs!$X$9:'Logs'!$X$1001, "*"&amp;BB$46&amp;"*")</f>
        <v>1</v>
      </c>
      <c r="BC54" s="34">
        <f>COUNTIF(Logs!$X$9:'Logs'!$X$1001, "*"&amp;BC$46&amp;"*")</f>
        <v>26</v>
      </c>
      <c r="BD54" s="10">
        <f>COUNTIF(Logs!$X$9:'Logs'!$X$1001, "*"&amp;BD$46&amp;"*")</f>
        <v>5</v>
      </c>
      <c r="BE54" s="39">
        <f>COUNTIF(Logs!$X$9:'Logs'!$X$1001, "*"&amp;BE$46&amp;"*")</f>
        <v>19</v>
      </c>
      <c r="BF54" s="361">
        <f>COUNTIF(Logs!$X$9:'Logs'!$X$1001, "*"&amp;BF$46&amp;"*")</f>
        <v>1</v>
      </c>
      <c r="BG54">
        <f>COUNTIF(Logs!$X$9:'Logs'!$X$1001, "*"&amp;BG$46&amp;"*")</f>
        <v>2</v>
      </c>
      <c r="BH54" s="590">
        <f>COUNTIF(Logs!$X$9:'Logs'!$X$1001, "*"&amp;BH$46&amp;"*")</f>
        <v>1</v>
      </c>
      <c r="BI54" s="329">
        <f>COUNTIF(Logs!$X$9:'Logs'!$X$1001, "*"&amp;BI$46&amp;"*")</f>
        <v>22</v>
      </c>
      <c r="BJ54" s="35">
        <f>SUM(Table37[[#This Row],[Animals]:[Travel Issues]])</f>
        <v>193</v>
      </c>
    </row>
    <row r="55" spans="2:62">
      <c r="B55" s="163" t="s">
        <v>139</v>
      </c>
      <c r="C55" s="291">
        <f t="shared" si="0"/>
        <v>54</v>
      </c>
      <c r="D55" s="25">
        <f>COUNTIF(Logs!$Q$250:'Logs'!$AB$258, "*"&amp;D$41&amp;"*")</f>
        <v>3</v>
      </c>
      <c r="E55" s="33">
        <f>COUNTIF(Logs!$Q$250:'Logs'!$AB$258,  "Attention to Detail")</f>
        <v>3</v>
      </c>
      <c r="F55" s="1306">
        <f>COUNTIF(Logs!$Q$250:'Logs'!$AB$258, "*"&amp;F$41&amp;"*")</f>
        <v>2</v>
      </c>
      <c r="G55" s="1307">
        <f>COUNTIF(Logs!$Q$250:'Logs'!$AB$258, "*"&amp;G$41&amp;"*")</f>
        <v>1</v>
      </c>
      <c r="H55" s="642">
        <f>COUNTIF(Logs!$Q$250:'Logs'!$AB$258, "*"&amp;H$41&amp;"*")</f>
        <v>2</v>
      </c>
      <c r="I55">
        <f>COUNTIF(Logs!$Q$250:'Logs'!$AB$258, "*"&amp;I$41&amp;"*")</f>
        <v>0</v>
      </c>
      <c r="J55" s="1308">
        <f>COUNTIF(Logs!$Q$250:'Logs'!$AB$258, "*"&amp;J$41&amp;"*")</f>
        <v>0</v>
      </c>
      <c r="K55" s="233">
        <f>COUNTIF(Logs!$Q$250:'Logs'!$AB$258, "*"&amp;K$41&amp;"*")</f>
        <v>2</v>
      </c>
      <c r="L55" s="36">
        <f>COUNTIF(Logs!$Q$250:'Logs'!$AB$258, "*"&amp;L$41&amp;"*")</f>
        <v>3</v>
      </c>
      <c r="M55" s="234">
        <f>COUNTIF(Logs!$Q$250:'Logs'!$AB$258, "*"&amp;M$41&amp;"*")</f>
        <v>0</v>
      </c>
      <c r="N55" s="37">
        <f>COUNTIF(Logs!$Q$250:'Logs'!$AB$258, "*"&amp;N$41&amp;"*")</f>
        <v>2</v>
      </c>
      <c r="O55" s="37">
        <f>COUNTIF(Logs!$Q$250:'Logs'!$AB$258, "*"&amp;O$41&amp;"*")</f>
        <v>0</v>
      </c>
      <c r="P55" s="242">
        <f>COUNTIF(Logs!$Q$250:'Logs'!$AB$258, "Hand Eye Coordination")</f>
        <v>0</v>
      </c>
      <c r="Q55" s="8">
        <f>COUNTIF(Logs!$Q$250:'Logs'!$AB$258, "*"&amp;Q$41&amp;"*")</f>
        <v>2</v>
      </c>
      <c r="R55" s="238">
        <f>COUNTIF(Logs!$Q$250:'Logs'!$AB$258, "*"&amp;R$41&amp;"*")</f>
        <v>4</v>
      </c>
      <c r="S55" s="498">
        <f>COUNTIF(Logs!$Q$250:'Logs'!$AB$258, "*"&amp;S$41&amp;"*")</f>
        <v>0</v>
      </c>
      <c r="T55" s="1309">
        <f>COUNTIF(Logs!$Q$250:'Logs'!$AB$258,"Memorization")</f>
        <v>2</v>
      </c>
      <c r="U55" s="499">
        <f>COUNTIF(Logs!$Q$250:'Logs'!$AB$258, "*"&amp;U$41&amp;"*")</f>
        <v>0</v>
      </c>
      <c r="V55" s="500">
        <f>COUNTIF(Logs!$Q$250:'Logs'!$AB$258, "*"&amp;V$41&amp;"*")</f>
        <v>0</v>
      </c>
      <c r="W55" s="501">
        <f>COUNTIF(Logs!$Q$250:'Logs'!$AB$258,W$41)</f>
        <v>2</v>
      </c>
      <c r="X55" s="276">
        <f>COUNTIF(Logs!$Q$250:'Logs'!$AB$258, "*"&amp;X$41&amp;"*")</f>
        <v>2</v>
      </c>
      <c r="Y55" s="34">
        <f>COUNTIF(Logs!$Q$250:'Logs'!$AB$258, "Physical Strength")</f>
        <v>8</v>
      </c>
      <c r="Z55" s="10">
        <f>COUNTIF(Logs!$Q$250:'Logs'!$AB$258, "*"&amp;Z$41&amp;"*")</f>
        <v>2</v>
      </c>
      <c r="AA55" s="39">
        <f>COUNTIF(Logs!$Q$250:'Logs'!$AB$258, "*"&amp;AA$41&amp;"*")</f>
        <v>8</v>
      </c>
      <c r="AB55" s="361">
        <f>COUNTIF(Logs!$Q$250:'Logs'!$AB$258, "*"&amp;AB$41&amp;"*")</f>
        <v>0</v>
      </c>
      <c r="AC55" s="1310">
        <f>COUNTIF(Logs!$Q$250:'Logs'!$AB$258, "*"&amp;AC$41&amp;"*")</f>
        <v>1</v>
      </c>
      <c r="AD55" s="279">
        <f>COUNTIF(Logs!$Q$250:'Logs'!$AB$258, "*"&amp;AD$41&amp;"*")</f>
        <v>1</v>
      </c>
      <c r="AE55" s="280">
        <f>COUNTIF(Logs!$Q$250:'Logs'!$AB$258, "*"&amp;AE$41&amp;"*")</f>
        <v>4</v>
      </c>
      <c r="AG55" s="163" t="s">
        <v>9</v>
      </c>
      <c r="AH55" s="25">
        <f>COUNTIF(Logs!$Y$9:'Logs'!$Y$1001, "*"&amp;AH$46&amp;"*")</f>
        <v>12</v>
      </c>
      <c r="AI55" s="33">
        <f>COUNTIF(Logs!$Y$9:'Logs'!$Y$1001, "Attention to Detail")</f>
        <v>15</v>
      </c>
      <c r="AJ55" s="587">
        <f>COUNTIF(Logs!$Y$9:'Logs'!$Y$1001, "*"&amp;AJ$46&amp;"*")</f>
        <v>3</v>
      </c>
      <c r="AK55" s="66">
        <f>COUNTIF(Logs!$Y$9:'Logs'!$Y$1001, "*"&amp;AK$46&amp;"*")</f>
        <v>6</v>
      </c>
      <c r="AL55" s="642">
        <f>COUNTIF(Logs!$Y$9:'Logs'!$Y$1001, "*"&amp;AL$46&amp;"*")</f>
        <v>9</v>
      </c>
      <c r="AM55">
        <f>COUNTIF(Logs!$Y$9:'Logs'!$Y$1001, "*"&amp;AM$46&amp;"*")</f>
        <v>2</v>
      </c>
      <c r="AN55" s="588">
        <f>COUNTIF(Logs!$Y$9:'Logs'!$Y$1001, "*"&amp;AN$46&amp;"*")</f>
        <v>1</v>
      </c>
      <c r="AO55" s="233">
        <f>COUNTIF(Logs!$Y$9:'Logs'!$Y$1001, "*"&amp;AO$46&amp;"*")</f>
        <v>2</v>
      </c>
      <c r="AP55" s="36">
        <f>COUNTIF(Logs!$Y$9:'Logs'!$Y$1001, "*"&amp;AP$46&amp;"*")</f>
        <v>14</v>
      </c>
      <c r="AQ55" s="577">
        <f>COUNTIF(Logs!$Y$9:'Logs'!$Y$1001, "*"&amp;AQ$46&amp;"*")</f>
        <v>0</v>
      </c>
      <c r="AR55">
        <f>COUNTIF(Logs!$Y$9:'Logs'!$Y$1001, "*"&amp;AR$46&amp;"*")</f>
        <v>8</v>
      </c>
      <c r="AS55">
        <f>COUNTIF(Logs!$Y$9:'Logs'!$Y$1001, "*"&amp;AS$46&amp;"*")</f>
        <v>0</v>
      </c>
      <c r="AT55" s="242">
        <f>COUNTIF(Logs!$Y$9:'Logs'!$Y$1001, "*"&amp;AT$46&amp;"*")</f>
        <v>7</v>
      </c>
      <c r="AU55" s="8">
        <f>COUNTIF(Logs!$Y$9:'Logs'!$Y$1001, "*"&amp;AU$46&amp;"*")</f>
        <v>12</v>
      </c>
      <c r="AV55" s="576">
        <f>COUNTIF(Logs!$Y$9:'Logs'!$Y$1001, "*"&amp;AV$46&amp;"*")</f>
        <v>3</v>
      </c>
      <c r="AW55" s="498">
        <f>COUNTIF(Logs!$Y$9:'Logs'!$Y$1001, "*"&amp;AW$46&amp;"*")</f>
        <v>3</v>
      </c>
      <c r="AX55" s="575">
        <f>COUNTIF(Logs!$Y$9:'Logs'!$Y$1001, "*"&amp;AX$46&amp;"*")</f>
        <v>5</v>
      </c>
      <c r="AY55" s="499">
        <f>COUNTIF(Logs!$Y$9:'Logs'!$Y$1001, "*"&amp;AY$46&amp;"*")</f>
        <v>2</v>
      </c>
      <c r="AZ55" s="500">
        <f>COUNTIF(Logs!$Y$9:'Logs'!$Y$1001, "*"&amp;AZ$46&amp;"*")</f>
        <v>0</v>
      </c>
      <c r="BA55" s="574">
        <f>COUNTIF(Logs!$Y$9:'Logs'!$Y$1001,BA$46)</f>
        <v>6</v>
      </c>
      <c r="BB55" s="589">
        <f>COUNTIF(Logs!$Y$9:'Logs'!$Y$1001, "*"&amp;BB$46&amp;"*")</f>
        <v>2</v>
      </c>
      <c r="BC55" s="34">
        <f>COUNTIF(Logs!$Y$9:'Logs'!$Y$1001, "*"&amp;BC$46&amp;"*")</f>
        <v>28</v>
      </c>
      <c r="BD55" s="10">
        <f>COUNTIF(Logs!$Y$9:'Logs'!$Y$1001, "*"&amp;BD$46&amp;"*")</f>
        <v>5</v>
      </c>
      <c r="BE55" s="39">
        <f>COUNTIF(Logs!$Y$9:'Logs'!$Y$1001, "*"&amp;BE$46&amp;"*")</f>
        <v>20</v>
      </c>
      <c r="BF55" s="361">
        <f>COUNTIF(Logs!$Y$9:'Logs'!$Y$1001, "*"&amp;BF$46&amp;"*")</f>
        <v>4</v>
      </c>
      <c r="BG55">
        <f>COUNTIF(Logs!$Y$9:'Logs'!$Y$1001, "*"&amp;BG$46&amp;"*")</f>
        <v>1</v>
      </c>
      <c r="BH55" s="590">
        <f>COUNTIF(Logs!$Y$9:'Logs'!$Y$1001, "*"&amp;BH$46&amp;"*")</f>
        <v>4</v>
      </c>
      <c r="BI55" s="329">
        <f>COUNTIF(Logs!$Y$9:'Logs'!$Y$1001, "*"&amp;BI$46&amp;"*")</f>
        <v>23</v>
      </c>
      <c r="BJ55" s="35">
        <f>SUM(Table37[[#This Row],[Animals]:[Travel Issues]])</f>
        <v>197</v>
      </c>
    </row>
    <row r="56" spans="2:62">
      <c r="B56" s="163" t="s">
        <v>140</v>
      </c>
      <c r="C56" s="291">
        <f t="shared" si="0"/>
        <v>54</v>
      </c>
      <c r="D56" s="25">
        <f>COUNTIF(Logs!$Q$267:'Logs'!$AB$275, "*"&amp;D$41&amp;"*")</f>
        <v>1</v>
      </c>
      <c r="E56" s="33">
        <f>COUNTIF(Logs!$Q$267:'Logs'!$AB$275, "Attention to Detail")</f>
        <v>2</v>
      </c>
      <c r="F56" s="1306">
        <f>COUNTIF(Logs!$Q$267:'Logs'!$AB$275, "*"&amp;F$41&amp;"*")</f>
        <v>0</v>
      </c>
      <c r="G56" s="1307">
        <f>COUNTIF(Logs!$Q$267:'Logs'!$AB$275, "*"&amp;G$41&amp;"*")</f>
        <v>1</v>
      </c>
      <c r="H56" s="642">
        <f>COUNTIF(Logs!$Q$267:'Logs'!$AB$275, "*"&amp;H$41&amp;"*")</f>
        <v>2</v>
      </c>
      <c r="I56">
        <f>COUNTIF(Logs!$Q$267:'Logs'!$AB$275, "*"&amp;I$41&amp;"*")</f>
        <v>2</v>
      </c>
      <c r="J56" s="1308">
        <f>COUNTIF(Logs!$Q$267:'Logs'!$AB$275, "*"&amp;J$41&amp;"*")</f>
        <v>1</v>
      </c>
      <c r="K56" s="233">
        <f>COUNTIF(Logs!$Q$267:'Logs'!$AB$275, "*"&amp;K$41&amp;"*")</f>
        <v>1</v>
      </c>
      <c r="L56" s="36">
        <f>COUNTIF(Logs!$Q$267:'Logs'!$AB$275, "*"&amp;L$41&amp;"*")</f>
        <v>2</v>
      </c>
      <c r="M56" s="234">
        <f>COUNTIF(Logs!$Q$267:'Logs'!$AB$275, "*"&amp;M$41&amp;"*")</f>
        <v>0</v>
      </c>
      <c r="N56" s="37">
        <f>COUNTIF(Logs!$Q$267:'Logs'!$AB$275, "*"&amp;N$41&amp;"*")</f>
        <v>3</v>
      </c>
      <c r="O56" s="37">
        <f>COUNTIF(Logs!$Q$267:'Logs'!$AB$275, "*"&amp;O$41&amp;"*")</f>
        <v>0</v>
      </c>
      <c r="P56" s="242">
        <f>COUNTIF(Logs!$Q$267:'Logs'!$AB$275, "Hand Eye Coordination")</f>
        <v>3</v>
      </c>
      <c r="Q56" s="8">
        <f>COUNTIF(Logs!$Q$267:'Logs'!$AB$275, "*"&amp;Q$41&amp;"*")</f>
        <v>3</v>
      </c>
      <c r="R56" s="238">
        <f>COUNTIF(Logs!$Q$267:'Logs'!$AB$275, "*"&amp;R$41&amp;"*")</f>
        <v>3</v>
      </c>
      <c r="S56" s="498">
        <f>COUNTIF(Logs!$Q$267:'Logs'!$AB$275, "*"&amp;S$41&amp;"*")</f>
        <v>2</v>
      </c>
      <c r="T56" s="1309">
        <f>COUNTIF(Logs!$Q$267:'Logs'!$AB$275, "Memorization")</f>
        <v>0</v>
      </c>
      <c r="U56" s="499">
        <f>COUNTIF(Logs!$Q$267:'Logs'!$AB$275, "*"&amp;U$41&amp;"*")</f>
        <v>0</v>
      </c>
      <c r="V56" s="500">
        <f>COUNTIF(Logs!$Q$267:'Logs'!$AB$275, "*"&amp;V$41&amp;"*")</f>
        <v>0</v>
      </c>
      <c r="W56" s="501">
        <f>COUNTIF(Logs!$Q$267:'Logs'!$AB$275, W$41)</f>
        <v>2</v>
      </c>
      <c r="X56" s="276">
        <f>COUNTIF(Logs!$Q$267:'Logs'!$AB$275, "*"&amp;X$41&amp;"*")</f>
        <v>0</v>
      </c>
      <c r="Y56" s="34">
        <f>COUNTIF(Logs!$Q$267:'Logs'!$AB$275,"Physical Strength")</f>
        <v>8</v>
      </c>
      <c r="Z56" s="10">
        <f>COUNTIF(Logs!$Q$267:'Logs'!$AB$275, "*"&amp;Z$41&amp;"*")</f>
        <v>4</v>
      </c>
      <c r="AA56" s="39">
        <f>COUNTIF(Logs!$Q$267:'Logs'!$AB$275, "*"&amp;AA$41&amp;"*")</f>
        <v>8</v>
      </c>
      <c r="AB56" s="361">
        <f>COUNTIF(Logs!$Q$267:'Logs'!$AB$275, "*"&amp;AB$41&amp;"*")</f>
        <v>2</v>
      </c>
      <c r="AC56" s="1310">
        <f>COUNTIF(Logs!$Q$267:'Logs'!$AB$275, "*"&amp;AC$41&amp;"*")</f>
        <v>0</v>
      </c>
      <c r="AD56" s="279">
        <f>COUNTIF(Logs!$Q$267:'Logs'!$AB$275, "*"&amp;AD$41&amp;"*")</f>
        <v>1</v>
      </c>
      <c r="AE56" s="280">
        <f>COUNTIF(Logs!$Q$267:'Logs'!$AB$275, "*"&amp;AE$41&amp;"*")</f>
        <v>3</v>
      </c>
      <c r="AG56" s="163" t="s">
        <v>10</v>
      </c>
      <c r="AH56" s="25">
        <f>COUNTIF(Logs!$Z$9:'Logs'!$Z$600,  "*"&amp;AH46&amp;"*") + COUNTIF(Logs!$Z$623:'Logs'!$Z$1001,  "*"&amp;AH46&amp;"*")</f>
        <v>7</v>
      </c>
      <c r="AI56" s="33">
        <f>COUNTIF(Logs!$Z$9:'Logs'!$Z$600, "Attention to Detail") + COUNTIF(Logs!$Z$623:'Logs'!$Z$1001,  "Attention to Detail")</f>
        <v>14</v>
      </c>
      <c r="AJ56" s="587">
        <f>COUNTIF(Logs!$Z$9:'Logs'!$Z$600,  "*"&amp;AJ46&amp;"*") + COUNTIF(Logs!$Z$623:'Logs'!$Z$1001,  "*"&amp;AJ46&amp;"*")</f>
        <v>3</v>
      </c>
      <c r="AK56" s="66">
        <f>COUNTIF(Logs!$Z$9:'Logs'!$Z$600,  "*"&amp;AK46&amp;"*") + COUNTIF(Logs!$Z$623:'Logs'!$Z$1001,  "*"&amp;AK46&amp;"*")</f>
        <v>4</v>
      </c>
      <c r="AL56" s="642">
        <f>COUNTIF(Logs!$Z$9:'Logs'!$Z$600,  "*"&amp;AL46&amp;"*") + COUNTIF(Logs!$Z$623:'Logs'!$Z$1001,  "*"&amp;AL46&amp;"*")</f>
        <v>6</v>
      </c>
      <c r="AM56">
        <f>COUNTIF(Logs!$Z$9:'Logs'!$Z$600,  "*"&amp;AM46&amp;"*") + COUNTIF(Logs!$Z$623:'Logs'!$Z$1001,  "*"&amp;AM46&amp;"*")</f>
        <v>5</v>
      </c>
      <c r="AN56" s="588">
        <f>COUNTIF(Logs!$Z$9:'Logs'!$Z$600,  "*"&amp;AN46&amp;"*") + COUNTIF(Logs!$Z$623:'Logs'!$Z$1001,  "*"&amp;AN46&amp;"*")</f>
        <v>2</v>
      </c>
      <c r="AO56" s="233">
        <f>COUNTIF(Logs!$Z$9:'Logs'!$Z$600,  "*"&amp;AO46&amp;"*") + COUNTIF(Logs!$Z$623:'Logs'!$Z$1001,  "*"&amp;AO46&amp;"*")</f>
        <v>2</v>
      </c>
      <c r="AP56" s="36">
        <f>COUNTIF(Logs!$Z$9:'Logs'!$Z$600,  "*"&amp;AP46&amp;"*") + COUNTIF(Logs!$Z$623:'Logs'!$Z$1001,  "*"&amp;AP46&amp;"*")</f>
        <v>15</v>
      </c>
      <c r="AQ56" s="577">
        <f>COUNTIF(Logs!$Z$9:'Logs'!$Z$600,  "*"&amp;AQ46&amp;"*") + COUNTIF(Logs!$Z$623:'Logs'!$Z$1001,  "*"&amp;AQ46&amp;"*")</f>
        <v>1</v>
      </c>
      <c r="AR56">
        <f>COUNTIF(Logs!$Z$9:'Logs'!$Z$600,  "*"&amp;AR46&amp;"*") + COUNTIF(Logs!$Z$623:'Logs'!$Z$1001,  "*"&amp;AR46&amp;"*")</f>
        <v>9</v>
      </c>
      <c r="AS56">
        <f>COUNTIF(Logs!$Z$9:'Logs'!$Z$600,  "*"&amp;AS46&amp;"*") + COUNTIF(Logs!$Z$623:'Logs'!$Z$1001,  "*"&amp;AS46&amp;"*")</f>
        <v>0</v>
      </c>
      <c r="AT56" s="242">
        <f>COUNTIF(Logs!$Z$9:'Logs'!$Z$600,  "*"&amp;AT46&amp;"*") + COUNTIF(Logs!$Z$623:'Logs'!$Z$1001,  "*"&amp;AT46&amp;"*")</f>
        <v>6</v>
      </c>
      <c r="AU56" s="8">
        <f>COUNTIF(Logs!$Z$9:'Logs'!$Z$600,  "*"&amp;AU46&amp;"*") + COUNTIF(Logs!$Z$623:'Logs'!$Z$1001,  "*"&amp;AU46&amp;"*")</f>
        <v>10</v>
      </c>
      <c r="AV56" s="576">
        <f>COUNTIF(Logs!$Z$9:'Logs'!$Z$600,  "*"&amp;AV46&amp;"*") + COUNTIF(Logs!$Z$623:'Logs'!$Z$1001,  "*"&amp;AV46&amp;"*")</f>
        <v>3</v>
      </c>
      <c r="AW56" s="498">
        <f>COUNTIF(Logs!$Z$9:'Logs'!$Z$600,  "*"&amp;AW46&amp;"*") + COUNTIF(Logs!$Z$623:'Logs'!$Z$1001,  "*"&amp;AW46&amp;"*")</f>
        <v>2</v>
      </c>
      <c r="AX56" s="575">
        <f>COUNTIF(Logs!$Z$9:'Logs'!$Z$600,  "*"&amp;AX46&amp;"*") + COUNTIF(Logs!$Z$623:'Logs'!$Z$1001,  "*"&amp;AX46&amp;"*")</f>
        <v>4</v>
      </c>
      <c r="AY56" s="499">
        <f>COUNTIF(Logs!$Z$9:'Logs'!$Z$600,  "*"&amp;AY46&amp;"*") + COUNTIF(Logs!$Z$623:'Logs'!$Z$1001,  "*"&amp;AY46&amp;"*")</f>
        <v>2</v>
      </c>
      <c r="AZ56" s="500">
        <f>COUNTIF(Logs!$Z$9:'Logs'!$Z$600,  "*"&amp;AZ46&amp;"*") + COUNTIF(Logs!$Z$623:'Logs'!$Z$1001,  "*"&amp;AZ46&amp;"*")</f>
        <v>2</v>
      </c>
      <c r="BA56" s="574">
        <f>COUNTIF(Logs!$Z$9:'Logs'!$Z$600, BA$46) + COUNTIF(Logs!$Z$623:'Logs'!$Z$1001, BA$46)</f>
        <v>3</v>
      </c>
      <c r="BB56" s="589">
        <f>COUNTIF(Logs!$Z$9:'Logs'!$Z$600,  "*"&amp;BB46&amp;"*") + COUNTIF(Logs!$Z$623:'Logs'!$Z$1001,  "*"&amp;BB46&amp;"*")</f>
        <v>2</v>
      </c>
      <c r="BC56" s="34">
        <f>COUNTIF(Logs!$Z$9:'Logs'!$Z$600,  "*"&amp;BC46&amp;"*") + COUNTIF(Logs!$Z$623:'Logs'!$Z$1001,  "*"&amp;BC46&amp;"*")</f>
        <v>27</v>
      </c>
      <c r="BD56" s="10">
        <f>COUNTIF(Logs!$Z$9:'Logs'!$Z$600,  "*"&amp;BD46&amp;"*") + COUNTIF(Logs!$Z$623:'Logs'!$Z$1001,  "*"&amp;BD46&amp;"*")</f>
        <v>2</v>
      </c>
      <c r="BE56" s="39">
        <f>COUNTIF(Logs!$Z$9:'Logs'!$Z$600,  "*"&amp;BE46&amp;"*") + COUNTIF(Logs!$Z$623:'Logs'!$Z$1001,  "*"&amp;BE46&amp;"*")</f>
        <v>22</v>
      </c>
      <c r="BF56" s="361">
        <f>COUNTIF(Logs!$Z$9:'Logs'!$Z$600,  "*"&amp;BF46&amp;"*") + COUNTIF(Logs!$Z$623:'Logs'!$Z$1001,  "*"&amp;BF46&amp;"*")</f>
        <v>1</v>
      </c>
      <c r="BG56">
        <f>COUNTIF(Logs!$Z$9:'Logs'!$Z$600,  "*"&amp;BG46&amp;"*") + COUNTIF(Logs!$Z$623:'Logs'!$Z$1001,  "*"&amp;BG46&amp;"*")</f>
        <v>0</v>
      </c>
      <c r="BH56" s="590">
        <f>COUNTIF(Logs!$Z$9:'Logs'!$Z$600,  "*"&amp;BH46&amp;"*") + COUNTIF(Logs!$Z$623:'Logs'!$Z$1001,  "*"&amp;BH46&amp;"*")</f>
        <v>7</v>
      </c>
      <c r="BI56" s="329">
        <f>COUNTIF(Logs!$Z$9:'Logs'!$Z$600,  "*"&amp;BI46&amp;"*") + COUNTIF(Logs!$Z$623:'Logs'!$Z$1001,  "*"&amp;BI46&amp;"*")</f>
        <v>19</v>
      </c>
      <c r="BJ56" s="35">
        <f>SUM(Table37[[#This Row],[Animals]:[Travel Issues]])</f>
        <v>180</v>
      </c>
    </row>
    <row r="57" spans="2:62">
      <c r="B57" s="163" t="s">
        <v>141</v>
      </c>
      <c r="C57" s="291">
        <f t="shared" si="0"/>
        <v>52</v>
      </c>
      <c r="D57" s="25">
        <f>COUNTIF(Logs!$Q$285:'Logs'!$AB$293, "*"&amp;D$41&amp;"*")</f>
        <v>2</v>
      </c>
      <c r="E57" s="33">
        <f>COUNTIF(Logs!$Q$285:'Logs'!$AB$293, "Attention to Detail")</f>
        <v>2</v>
      </c>
      <c r="F57" s="1306">
        <f>COUNTIF(Logs!$Q$285:'Logs'!$AB$293, "*"&amp;F$41&amp;"*")</f>
        <v>2</v>
      </c>
      <c r="G57" s="1307">
        <f>COUNTIF(Logs!$Q$285:'Logs'!$AB$293, "*"&amp;G$41&amp;"*")</f>
        <v>0</v>
      </c>
      <c r="H57" s="642">
        <f>COUNTIF(Logs!$Q$285:'Logs'!$AB$293, "*"&amp;H$41&amp;"*")</f>
        <v>1</v>
      </c>
      <c r="I57">
        <f>COUNTIF(Logs!$Q$285:'Logs'!$AB$293, "*"&amp;I$41&amp;"*")</f>
        <v>1</v>
      </c>
      <c r="J57" s="1308">
        <f>COUNTIF(Logs!$Q$285:'Logs'!$AB$293, "*"&amp;J$41&amp;"*")</f>
        <v>1</v>
      </c>
      <c r="K57" s="233">
        <f>COUNTIF(Logs!$Q$285:'Logs'!$AB$293, "*"&amp;K$41&amp;"*")</f>
        <v>0</v>
      </c>
      <c r="L57" s="36">
        <f>COUNTIF(Logs!$Q$285:'Logs'!$AB$293, "*"&amp;L$41&amp;"*")</f>
        <v>4</v>
      </c>
      <c r="M57" s="234">
        <f>COUNTIF(Logs!$Q$285:'Logs'!$AB$293, "*"&amp;M$41&amp;"*")</f>
        <v>0</v>
      </c>
      <c r="N57" s="37">
        <f>COUNTIF(Logs!$Q$285:'Logs'!$AB$293, "*"&amp;N$41&amp;"*")</f>
        <v>1</v>
      </c>
      <c r="O57" s="37">
        <f>COUNTIF(Logs!$Q$285:'Logs'!$AB$293, "*"&amp;O$41&amp;"*")</f>
        <v>0</v>
      </c>
      <c r="P57" s="242">
        <f>COUNTIF(Logs!$Q$285:'Logs'!$AB$293, "Hand Eye Coordination")</f>
        <v>3</v>
      </c>
      <c r="Q57" s="8">
        <f>COUNTIF(Logs!$Q$285:'Logs'!$AB$293, "*"&amp;Q$41&amp;"*")</f>
        <v>3</v>
      </c>
      <c r="R57" s="238">
        <f>COUNTIF(Logs!$Q$285:'Logs'!$AB$293, "*"&amp;R$41&amp;"*")</f>
        <v>1</v>
      </c>
      <c r="S57" s="498">
        <f>COUNTIF(Logs!$Q$285:'Logs'!$AB$293, "*"&amp;S$41&amp;"*")</f>
        <v>1</v>
      </c>
      <c r="T57" s="1309">
        <f>COUNTIF(Logs!$Q$285:'Logs'!$AB$293,"Memorization")</f>
        <v>1</v>
      </c>
      <c r="U57" s="499">
        <f>COUNTIF(Logs!$Q$285:'Logs'!$AB$293, "*"&amp;U$41&amp;"*")</f>
        <v>1</v>
      </c>
      <c r="V57" s="500">
        <f>COUNTIF(Logs!$Q$285:'Logs'!$AB$293, "*"&amp;V$41&amp;"*")</f>
        <v>1</v>
      </c>
      <c r="W57" s="501">
        <f>COUNTIF(Logs!$Q$285:'Logs'!$AB$293, W$41)</f>
        <v>0</v>
      </c>
      <c r="X57" s="276">
        <f>COUNTIF(Logs!$Q$285:'Logs'!$AB$293, "*"&amp;X$41&amp;"*")</f>
        <v>1</v>
      </c>
      <c r="Y57" s="34">
        <f>COUNTIF(Logs!$Q$285:'Logs'!$AB$293, "Physical Strength")</f>
        <v>4</v>
      </c>
      <c r="Z57" s="10">
        <f>COUNTIF(Logs!$Q$285:'Logs'!$AB$293, "*"&amp;Z$41&amp;"*")</f>
        <v>3</v>
      </c>
      <c r="AA57" s="39">
        <f>COUNTIF(Logs!$Q$285:'Logs'!$AB$293, "*"&amp;AA$41&amp;"*")</f>
        <v>7</v>
      </c>
      <c r="AB57" s="361">
        <f>COUNTIF(Logs!$Q$285:'Logs'!$AB$293, "*"&amp;AB$41&amp;"*")</f>
        <v>1</v>
      </c>
      <c r="AC57" s="1310">
        <f>COUNTIF(Logs!$Q$285:'Logs'!$AB$293, "*"&amp;AC$41&amp;"*")</f>
        <v>0</v>
      </c>
      <c r="AD57" s="279">
        <f>COUNTIF(Logs!$Q$285:'Logs'!$AB$293, "*"&amp;AD$41&amp;"*")</f>
        <v>2</v>
      </c>
      <c r="AE57" s="280">
        <f>COUNTIF(Logs!$Q$285:'Logs'!$AB$293, "*"&amp;AE$41&amp;"*")</f>
        <v>9</v>
      </c>
      <c r="AG57" s="163" t="s">
        <v>36</v>
      </c>
      <c r="AH57" s="25">
        <f>COUNTIF(Logs!$AA$9:'Logs'!$AA$210,  "*"&amp;AH46&amp;"*") + COUNTIF(Logs!$AA$250:'Logs'!$AA$569,  "*"&amp;AH46&amp;"*") + COUNTIF(Logs!$AA$623:'Logs'!$AA$632,  "*"&amp;AH46&amp;"*")+COUNTIF(Logs!$AA$655:'Logs'!$AA$1001,  "*"&amp;AH46&amp;"*")</f>
        <v>5</v>
      </c>
      <c r="AI57" s="33">
        <f>COUNTIF(Logs!$AA$9:'Logs'!$AA$210, "Attention to Detail") + COUNTIF(Logs!$AA$250:'Logs'!$AA$569, "Attention to Detail") + COUNTIF(Logs!$AA$623:'Logs'!$AA$632,  "Attention to Detail")+COUNTIF(Logs!$AA$655:'Logs'!$AA$1001,  "Attention to Detail")</f>
        <v>13</v>
      </c>
      <c r="AJ57" s="587">
        <f>COUNTIF(Logs!$AA$9:'Logs'!$AA$210,  "*"&amp;AJ46&amp;"*") + COUNTIF(Logs!$AA$250:'Logs'!$AA$569,  "*"&amp;AJ46&amp;"*") + COUNTIF(Logs!$AA$623:'Logs'!$AA$632,  "*"&amp;AJ46&amp;"*")+COUNTIF(Logs!$AA$655:'Logs'!$AA$1001,  "*"&amp;AJ46&amp;"*")</f>
        <v>4</v>
      </c>
      <c r="AK57" s="66">
        <f>COUNTIF(Logs!$AA$9:'Logs'!$AA$210,  "*"&amp;AK46&amp;"*") + COUNTIF(Logs!$AA$250:'Logs'!$AA$569,  "*"&amp;AK46&amp;"*") + COUNTIF(Logs!$AA$623:'Logs'!$AA$632,  "*"&amp;AK46&amp;"*")+COUNTIF(Logs!$AA$655:'Logs'!$AA$1001,  "*"&amp;AK46&amp;"*")</f>
        <v>2</v>
      </c>
      <c r="AL57" s="642">
        <f>COUNTIF(Logs!$AA$9:'Logs'!$AA$210,  "*"&amp;AL46&amp;"*") + COUNTIF(Logs!$AA$250:'Logs'!$AA$569,  "*"&amp;AL46&amp;"*") + COUNTIF(Logs!$AA$623:'Logs'!$AA$632,  "*"&amp;AL46&amp;"*")+COUNTIF(Logs!$AA$655:'Logs'!$AA$1001,  "*"&amp;AL46&amp;"*")</f>
        <v>4</v>
      </c>
      <c r="AM57">
        <f>COUNTIF(Logs!$AA$9:'Logs'!$AA$210,  "*"&amp;AM46&amp;"*") + COUNTIF(Logs!$AA$250:'Logs'!$AA$569,  "*"&amp;AM46&amp;"*") + COUNTIF(Logs!$AA$623:'Logs'!$AA$632,  "*"&amp;AM46&amp;"*")+COUNTIF(Logs!$AA$655:'Logs'!$AA$1001,  "*"&amp;AM46&amp;"*")</f>
        <v>6</v>
      </c>
      <c r="AN57" s="588">
        <f>COUNTIF(Logs!$AA$9:'Logs'!$AA$210,  "*"&amp;AN46&amp;"*") + COUNTIF(Logs!$AA$250:'Logs'!$AA$569,  "*"&amp;AN46&amp;"*") + COUNTIF(Logs!$AA$623:'Logs'!$AA$632,  "*"&amp;AN46&amp;"*")+COUNTIF(Logs!$AA$655:'Logs'!$AA$1001,  "*"&amp;AN46&amp;"*")</f>
        <v>1</v>
      </c>
      <c r="AO57" s="233">
        <f>COUNTIF(Logs!$AA$9:'Logs'!$AA$210,  "*"&amp;AO46&amp;"*") + COUNTIF(Logs!$AA$250:'Logs'!$AA$569,  "*"&amp;AO46&amp;"*") + COUNTIF(Logs!$AA$623:'Logs'!$AA$632,  "*"&amp;AO46&amp;"*")+COUNTIF(Logs!$AA$655:'Logs'!$AA$1001,  "*"&amp;AO46&amp;"*")</f>
        <v>4</v>
      </c>
      <c r="AP57" s="36">
        <f>COUNTIF(Logs!$AA$9:'Logs'!$AA$210,  "*"&amp;AP46&amp;"*") + COUNTIF(Logs!$AA$250:'Logs'!$AA$569,  "*"&amp;AP46&amp;"*") + COUNTIF(Logs!$AA$623:'Logs'!$AA$632,  "*"&amp;AP46&amp;"*")+COUNTIF(Logs!$AA$655:'Logs'!$AA$1001,  "*"&amp;AP46&amp;"*")</f>
        <v>12</v>
      </c>
      <c r="AQ57" s="577">
        <f>COUNTIF(Logs!$AA$9:'Logs'!$AA$210,  "*"&amp;AQ46&amp;"*") + COUNTIF(Logs!$AA$250:'Logs'!$AA$569,  "*"&amp;AQ46&amp;"*") + COUNTIF(Logs!$AA$623:'Logs'!$AA$632,  "*"&amp;AQ46&amp;"*")+COUNTIF(Logs!$AA$655:'Logs'!$AA$1001,  "*"&amp;AQ46&amp;"*")</f>
        <v>0</v>
      </c>
      <c r="AR57">
        <f>COUNTIF(Logs!$AA$9:'Logs'!$AA$210,  "*"&amp;AR46&amp;"*") + COUNTIF(Logs!$AA$250:'Logs'!$AA$569,  "*"&amp;AR46&amp;"*") + COUNTIF(Logs!$AA$623:'Logs'!$AA$632,  "*"&amp;AR46&amp;"*")+COUNTIF(Logs!$AA$655:'Logs'!$AA$1001,  "*"&amp;AR46&amp;"*")</f>
        <v>7</v>
      </c>
      <c r="AS57">
        <f>COUNTIF(Logs!$AA$9:'Logs'!$AA$210,  "*"&amp;AS46&amp;"*") + COUNTIF(Logs!$AA$250:'Logs'!$AA$569,  "*"&amp;AS46&amp;"*") + COUNTIF(Logs!$AA$623:'Logs'!$AA$632,  "*"&amp;AS46&amp;"*")+COUNTIF(Logs!$AA$655:'Logs'!$AA$1001,  "*"&amp;AS46&amp;"*")</f>
        <v>1</v>
      </c>
      <c r="AT57" s="242">
        <f>COUNTIF(Logs!$AA$9:'Logs'!$AA$210,  "*"&amp;AT46&amp;"*") + COUNTIF(Logs!$AA$250:'Logs'!$AA$569,  "*"&amp;AT46&amp;"*") + COUNTIF(Logs!$AA$623:'Logs'!$AA$632,  "*"&amp;AT46&amp;"*")+COUNTIF(Logs!$AA$655:'Logs'!$AA$1001,  "*"&amp;AT46&amp;"*")</f>
        <v>8</v>
      </c>
      <c r="AU57" s="8">
        <f>COUNTIF(Logs!$AA$9:'Logs'!$AA$210,  "*"&amp;AU46&amp;"*") + COUNTIF(Logs!$AA$250:'Logs'!$AA$569,  "*"&amp;AU46&amp;"*") + COUNTIF(Logs!$AA$623:'Logs'!$AA$632,  "*"&amp;AU46&amp;"*")+COUNTIF(Logs!$AA$655:'Logs'!$AA$1001,  "*"&amp;AU46&amp;"*")</f>
        <v>5</v>
      </c>
      <c r="AV57" s="576">
        <f>COUNTIF(Logs!$AA$9:'Logs'!$AA$210,  "*"&amp;AV46&amp;"*") + COUNTIF(Logs!$AA$250:'Logs'!$AA$569,  "*"&amp;AV46&amp;"*") + COUNTIF(Logs!$AA$623:'Logs'!$AA$632,  "*"&amp;AV46&amp;"*")+COUNTIF(Logs!$AA$655:'Logs'!$AA$1001,  "*"&amp;AV46&amp;"*")</f>
        <v>6</v>
      </c>
      <c r="AW57" s="498">
        <f>COUNTIF(Logs!$AA$9:'Logs'!$AA$210,  "*"&amp;AW46&amp;"*") + COUNTIF(Logs!$AA$250:'Logs'!$AA$569,  "*"&amp;AW46&amp;"*") + COUNTIF(Logs!$AA$623:'Logs'!$AA$632,  "*"&amp;AW46&amp;"*")+COUNTIF(Logs!$AA$655:'Logs'!$AA$1001,  "*"&amp;AW46&amp;"*")</f>
        <v>0</v>
      </c>
      <c r="AX57" s="575">
        <f>COUNTIF(Logs!$AA$9:'Logs'!$AA$210,  "*"&amp;AX46&amp;"*") + COUNTIF(Logs!$AA$250:'Logs'!$AA$569,  "*"&amp;AX46&amp;"*") + COUNTIF(Logs!$AA$623:'Logs'!$AA$632,  "*"&amp;AX46&amp;"*")+COUNTIF(Logs!$AA$655:'Logs'!$AA$1001,  "*"&amp;AX46&amp;"*")</f>
        <v>4</v>
      </c>
      <c r="AY57" s="499">
        <f>COUNTIF(Logs!$AA$9:'Logs'!$AA$210,  "*"&amp;AY46&amp;"*") + COUNTIF(Logs!$AA$250:'Logs'!$AA$569,  "*"&amp;AY46&amp;"*") + COUNTIF(Logs!$AA$623:'Logs'!$AA$632,  "*"&amp;AY46&amp;"*")+COUNTIF(Logs!$AA$655:'Logs'!$AA$1001,  "*"&amp;AY46&amp;"*")</f>
        <v>0</v>
      </c>
      <c r="AZ57" s="500">
        <f>COUNTIF(Logs!$AA$9:'Logs'!$AA$210,  "*"&amp;AZ46&amp;"*") + COUNTIF(Logs!$AA$250:'Logs'!$AA$569,  "*"&amp;AZ46&amp;"*") + COUNTIF(Logs!$AA$623:'Logs'!$AA$632,  "*"&amp;AZ46&amp;"*")+COUNTIF(Logs!$AA$655:'Logs'!$AA$1001,  "*"&amp;AZ46&amp;"*")</f>
        <v>0</v>
      </c>
      <c r="BA57" s="574">
        <f>COUNTIF(Logs!$AA$9:'Logs'!$AA$210,  BA$46) + COUNTIF(Logs!$AA$250:'Logs'!$AA$569,  BA$46) + COUNTIF(Logs!$AA$623:'Logs'!$AA$632,  BA$46)+COUNTIF(Logs!$AA$655:'Logs'!$AA$1001,  BA$46)</f>
        <v>4</v>
      </c>
      <c r="BB57" s="589">
        <f>COUNTIF(Logs!$AA$9:'Logs'!$AA$210,  "*"&amp;BB46&amp;"*") + COUNTIF(Logs!$AA$250:'Logs'!$AA$569,  "*"&amp;BB46&amp;"*") + COUNTIF(Logs!$AA$623:'Logs'!$AA$632,  "*"&amp;BB46&amp;"*")+COUNTIF(Logs!$AA$655:'Logs'!$AA$1001,  "*"&amp;BB46&amp;"*")</f>
        <v>2</v>
      </c>
      <c r="BC57" s="34">
        <f>COUNTIF(Logs!$AA$9:'Logs'!$AA$210,  "*"&amp;BC46&amp;"*") + COUNTIF(Logs!$AA$250:'Logs'!$AA$569,  "*"&amp;BC46&amp;"*") + COUNTIF(Logs!$AA$623:'Logs'!$AA$632,  "*"&amp;BC46&amp;"*")+COUNTIF(Logs!$AA$655:'Logs'!$AA$1001,  "*"&amp;BC46&amp;"*")</f>
        <v>21</v>
      </c>
      <c r="BD57" s="10">
        <f>COUNTIF(Logs!$AA$9:'Logs'!$AA$210,  "*"&amp;BD46&amp;"*") + COUNTIF(Logs!$AA$250:'Logs'!$AA$569,  "*"&amp;BD46&amp;"*") + COUNTIF(Logs!$AA$623:'Logs'!$AA$632,  "*"&amp;BD46&amp;"*")+COUNTIF(Logs!$AA$655:'Logs'!$AA$1001,  "*"&amp;BD46&amp;"*")</f>
        <v>7</v>
      </c>
      <c r="BE57" s="39">
        <f>COUNTIF(Logs!$AA$9:'Logs'!$AA$210,  "*"&amp;BE46&amp;"*") + COUNTIF(Logs!$AA$250:'Logs'!$AA$569,  "*"&amp;BE46&amp;"*") + COUNTIF(Logs!$AA$623:'Logs'!$AA$632,  "*"&amp;BE46&amp;"*")+COUNTIF(Logs!$AA$655:'Logs'!$AA$1001,  "*"&amp;BE46&amp;"*")</f>
        <v>15</v>
      </c>
      <c r="BF57" s="361">
        <f>COUNTIF(Logs!$AA$9:'Logs'!$AA$210,  "*"&amp;BF46&amp;"*") + COUNTIF(Logs!$AA$250:'Logs'!$AA$569,  "*"&amp;BF46&amp;"*") + COUNTIF(Logs!$AA$623:'Logs'!$AA$632,  "*"&amp;BF46&amp;"*")+COUNTIF(Logs!$AA$655:'Logs'!$AA$1001,  "*"&amp;BF46&amp;"*")</f>
        <v>3</v>
      </c>
      <c r="BG57">
        <f>COUNTIF(Logs!$AA$9:'Logs'!$AA$210,  "*"&amp;BG46&amp;"*") + COUNTIF(Logs!$AA$250:'Logs'!$AA$569,  "*"&amp;BG46&amp;"*") + COUNTIF(Logs!$AA$623:'Logs'!$AA$632,  "*"&amp;BG46&amp;"*")+COUNTIF(Logs!$AA$655:'Logs'!$AA$1001,  "*"&amp;BG46&amp;"*")</f>
        <v>0</v>
      </c>
      <c r="BH57" s="590">
        <f>COUNTIF(Logs!$AA$9:'Logs'!$AA$210,  "*"&amp;BH46&amp;"*") + COUNTIF(Logs!$AA$250:'Logs'!$AA$569,  "*"&amp;BH46&amp;"*") + COUNTIF(Logs!$AA$623:'Logs'!$AA$632,  "*"&amp;BH46&amp;"*")+COUNTIF(Logs!$AA$655:'Logs'!$AA$1001,  "*"&amp;BH46&amp;"*")</f>
        <v>4</v>
      </c>
      <c r="BI57" s="329">
        <f>COUNTIF(Logs!$AA$9:'Logs'!$AA$210,  "*"&amp;BI46&amp;"*") + COUNTIF(Logs!$AA$250:'Logs'!$AA$569,  "*"&amp;BI46&amp;"*") + COUNTIF(Logs!$AA$623:'Logs'!$AA$632,  "*"&amp;BI46&amp;"*")+COUNTIF(Logs!$AA$655:'Logs'!$AA$1001,  "*"&amp;BI46&amp;"*")</f>
        <v>21</v>
      </c>
      <c r="BJ57" s="35">
        <f>SUM(Table37[[#This Row],[Animals]:[Travel Issues]])</f>
        <v>159</v>
      </c>
    </row>
    <row r="58" spans="2:62">
      <c r="B58" s="163" t="s">
        <v>142</v>
      </c>
      <c r="C58" s="291">
        <f t="shared" si="0"/>
        <v>67</v>
      </c>
      <c r="D58" s="25">
        <f>COUNTIF(Logs!$Q$302:'Logs'!$AB$310, "*"&amp;D$41&amp;"*")</f>
        <v>1</v>
      </c>
      <c r="E58" s="33">
        <f>COUNTIF(Logs!$Q$302:'Logs'!$AB$310, "Attention to Detail")</f>
        <v>4</v>
      </c>
      <c r="F58" s="1306">
        <f>COUNTIF(Logs!$Q$302:'Logs'!$AB$310, "*"&amp;F$41&amp;"*")</f>
        <v>5</v>
      </c>
      <c r="G58" s="1307">
        <f>COUNTIF(Logs!$Q$302:'Logs'!$AB$310, "*"&amp;G$41&amp;"*")</f>
        <v>1</v>
      </c>
      <c r="H58" s="642">
        <f>COUNTIF(Logs!$Q$302:'Logs'!$AB$310, "*"&amp;H$41&amp;"*")</f>
        <v>4</v>
      </c>
      <c r="I58">
        <f>COUNTIF(Logs!$Q$302:'Logs'!$AB$310, "*"&amp;I$41&amp;"*")</f>
        <v>0</v>
      </c>
      <c r="J58" s="1308">
        <f>COUNTIF(Logs!$Q$302:'Logs'!$AB$310, "*"&amp;J$41&amp;"*")</f>
        <v>0</v>
      </c>
      <c r="K58" s="233">
        <f>COUNTIF(Logs!$Q$302:'Logs'!$AB$310, "*"&amp;K$41&amp;"*")</f>
        <v>0</v>
      </c>
      <c r="L58" s="36">
        <f>COUNTIF(Logs!$Q$302:'Logs'!$AB$310, "*"&amp;L$41&amp;"*")</f>
        <v>6</v>
      </c>
      <c r="M58" s="234">
        <f>COUNTIF(Logs!$Q$302:'Logs'!$AB$310, "*"&amp;M$41&amp;"*")</f>
        <v>0</v>
      </c>
      <c r="N58" s="37">
        <f>COUNTIF(Logs!$Q$302:'Logs'!$AB$310, "*"&amp;N$41&amp;"*")</f>
        <v>3</v>
      </c>
      <c r="O58" s="37">
        <f>COUNTIF(Logs!$Q$302:'Logs'!$AB$310, "*"&amp;O$41&amp;"*")</f>
        <v>1</v>
      </c>
      <c r="P58" s="242">
        <f>COUNTIF(Logs!$Q$302:'Logs'!$AB$310, "Hand Eye Coordination")</f>
        <v>3</v>
      </c>
      <c r="Q58" s="8">
        <f>COUNTIF(Logs!$Q$302:'Logs'!$AB$310, "*"&amp;Q$41&amp;"*")</f>
        <v>3</v>
      </c>
      <c r="R58" s="238">
        <f>COUNTIF(Logs!$Q$302:'Logs'!$AB$310, "*"&amp;R$41&amp;"*")</f>
        <v>0</v>
      </c>
      <c r="S58" s="498">
        <f>COUNTIF(Logs!$Q$302:'Logs'!$AB$310, "*"&amp;S$41&amp;"*")</f>
        <v>0</v>
      </c>
      <c r="T58" s="1309">
        <f>COUNTIF(Logs!$Q$302:'Logs'!$AB$310, "Memorization")</f>
        <v>2</v>
      </c>
      <c r="U58" s="499">
        <f>COUNTIF(Logs!$Q$302:'Logs'!$AB$310, "*"&amp;U$41&amp;"*")</f>
        <v>2</v>
      </c>
      <c r="V58" s="500">
        <f>COUNTIF(Logs!$Q$302:'Logs'!$AB$310, "*"&amp;V$41&amp;"*")</f>
        <v>1</v>
      </c>
      <c r="W58" s="501">
        <f>COUNTIF(Logs!$Q$302:'Logs'!$AB$310, W$41)</f>
        <v>1</v>
      </c>
      <c r="X58" s="276">
        <f>COUNTIF(Logs!$Q$302:'Logs'!$AB$310, "*"&amp;X$41&amp;"*")</f>
        <v>0</v>
      </c>
      <c r="Y58" s="34">
        <f>COUNTIF(Logs!$Q$302:'Logs'!$AB$310, "Physical Strength")</f>
        <v>9</v>
      </c>
      <c r="Z58" s="10">
        <f>COUNTIF(Logs!$Q$302:'Logs'!$AB$310, "*"&amp;Z$41&amp;"*")</f>
        <v>5</v>
      </c>
      <c r="AA58" s="39">
        <f>COUNTIF(Logs!$Q$302:'Logs'!$AB$310, "*"&amp;AA$41&amp;"*")</f>
        <v>7</v>
      </c>
      <c r="AB58" s="361">
        <f>COUNTIF(Logs!$Q$302:'Logs'!$AB$310, "*"&amp;AB$41&amp;"*")</f>
        <v>1</v>
      </c>
      <c r="AC58" s="1310">
        <f>COUNTIF(Logs!$Q$302:'Logs'!$AB$310, "*"&amp;AC$41&amp;"*")</f>
        <v>0</v>
      </c>
      <c r="AD58" s="279">
        <f>COUNTIF(Logs!$Q$302:'Logs'!$AB$310, "*"&amp;AD$41&amp;"*")</f>
        <v>0</v>
      </c>
      <c r="AE58" s="280">
        <f>COUNTIF(Logs!$Q$302:'Logs'!$AB$310, "*"&amp;AE$41&amp;"*")</f>
        <v>8</v>
      </c>
      <c r="AG58" s="163" t="s">
        <v>37</v>
      </c>
      <c r="AH58" s="25">
        <f>COUNTIF(Logs!$AB$9:'Logs'!$AB$90,  "*"&amp;AH46&amp;"*") + COUNTIF(Logs!$AB$120:'Logs'!$AB$129,  "*"&amp;AH46&amp;"*")+ COUNTIF(Logs!$AB$159:'Logs'!$AB$168,  "*"&amp;AH46&amp;"*")+ COUNTIF(Logs!$AB$198:'Logs'!$AB$207,  "*"&amp;AH46&amp;"*")</f>
        <v>1</v>
      </c>
      <c r="AI58" s="33">
        <f>COUNTIF(Logs!$AB$9:'Logs'!$AB$90,  "Attention to Detail") + COUNTIF(Logs!$AB$120:'Logs'!$AB$129,  "Attention to Detail")+ COUNTIF(Logs!$AB$159:'Logs'!$AB$168,  "Attention to Detail")+ COUNTIF(Logs!$AB$198:'Logs'!$AB$207,   "Attention to Detail")</f>
        <v>1</v>
      </c>
      <c r="AJ58" s="587">
        <f>COUNTIF(Logs!$AB$9:'Logs'!$AB$90,  "*"&amp;AJ46&amp;"*") + COUNTIF(Logs!$AB$120:'Logs'!$AB$129,  "*"&amp;AJ46&amp;"*")+ COUNTIF(Logs!$AB$159:'Logs'!$AB$168,  "*"&amp;AJ46&amp;"*")+ COUNTIF(Logs!$AB$198:'Logs'!$AB$207,  "*"&amp;AJ46&amp;"*")</f>
        <v>2</v>
      </c>
      <c r="AK58" s="66">
        <f>COUNTIF(Logs!$AB$9:'Logs'!$AB$90,  "*"&amp;AK46&amp;"*") + COUNTIF(Logs!$AB$120:'Logs'!$AB$129,  "*"&amp;AK46&amp;"*")+ COUNTIF(Logs!$AB$159:'Logs'!$AB$168,  "*"&amp;AK46&amp;"*")+ COUNTIF(Logs!$AB$198:'Logs'!$AB$207,  "*"&amp;AK46&amp;"*")</f>
        <v>3</v>
      </c>
      <c r="AL58" s="642">
        <f>COUNTIF(Logs!$AB$9:'Logs'!$AB$90,  "*"&amp;AL46&amp;"*") + COUNTIF(Logs!$AB$120:'Logs'!$AB$129,  "*"&amp;AL46&amp;"*")+ COUNTIF(Logs!$AB$159:'Logs'!$AB$168,  "*"&amp;AL46&amp;"*")+ COUNTIF(Logs!$AB$198:'Logs'!$AB$207,  "*"&amp;AL46&amp;"*")</f>
        <v>2</v>
      </c>
      <c r="AM58">
        <f>COUNTIF(Logs!$AB$9:'Logs'!$AB$90,  "*"&amp;AM46&amp;"*") + COUNTIF(Logs!$AB$120:'Logs'!$AB$129,  "*"&amp;AM46&amp;"*")+ COUNTIF(Logs!$AB$159:'Logs'!$AB$168,  "*"&amp;AM46&amp;"*")+ COUNTIF(Logs!$AB$198:'Logs'!$AB$207,  "*"&amp;AM46&amp;"*")</f>
        <v>0</v>
      </c>
      <c r="AN58" s="588">
        <f>COUNTIF(Logs!$AB$9:'Logs'!$AB$90,  "*"&amp;AN46&amp;"*") + COUNTIF(Logs!$AB$120:'Logs'!$AB$129,  "*"&amp;AN46&amp;"*")+ COUNTIF(Logs!$AB$159:'Logs'!$AB$168,  "*"&amp;AN46&amp;"*")+ COUNTIF(Logs!$AB$198:'Logs'!$AB$207,  "*"&amp;AN46&amp;"*")</f>
        <v>0</v>
      </c>
      <c r="AO58" s="233">
        <f>COUNTIF(Logs!$AB$9:'Logs'!$AB$90,  "*"&amp;AO46&amp;"*") + COUNTIF(Logs!$AB$120:'Logs'!$AB$129,  "*"&amp;AO46&amp;"*")+ COUNTIF(Logs!$AB$159:'Logs'!$AB$168,  "*"&amp;AO46&amp;"*")+ COUNTIF(Logs!$AB$198:'Logs'!$AB$207,  "*"&amp;AO46&amp;"*")</f>
        <v>0</v>
      </c>
      <c r="AP58" s="36">
        <f>COUNTIF(Logs!$AB$9:'Logs'!$AB$90,  "*"&amp;AP46&amp;"*") + COUNTIF(Logs!$AB$120:'Logs'!$AB$129,  "*"&amp;AP46&amp;"*")+ COUNTIF(Logs!$AB$159:'Logs'!$AB$168,  "*"&amp;AP46&amp;"*")+ COUNTIF(Logs!$AB$198:'Logs'!$AB$207,  "*"&amp;AP46&amp;"*")</f>
        <v>5</v>
      </c>
      <c r="AQ58" s="577">
        <f>COUNTIF(Logs!$AB$9:'Logs'!$AB$90,  "*"&amp;AQ46&amp;"*") + COUNTIF(Logs!$AB$120:'Logs'!$AB$129,  "*"&amp;AQ46&amp;"*")+ COUNTIF(Logs!$AB$159:'Logs'!$AB$168,  "*"&amp;AQ46&amp;"*")+ COUNTIF(Logs!$AB$198:'Logs'!$AB$207,  "*"&amp;AQ46&amp;"*")</f>
        <v>1</v>
      </c>
      <c r="AR58">
        <f>COUNTIF(Logs!$AB$9:'Logs'!$AB$90,  "*"&amp;AR46&amp;"*") + COUNTIF(Logs!$AB$120:'Logs'!$AB$129,  "*"&amp;AR46&amp;"*")+ COUNTIF(Logs!$AB$159:'Logs'!$AB$168,  "*"&amp;AR46&amp;"*")+ COUNTIF(Logs!$AB$198:'Logs'!$AB$207,  "*"&amp;AR46&amp;"*")</f>
        <v>0</v>
      </c>
      <c r="AS58">
        <f>COUNTIF(Logs!$AB$9:'Logs'!$AB$90,  "*"&amp;AS46&amp;"*") + COUNTIF(Logs!$AB$120:'Logs'!$AB$129,  "*"&amp;AS46&amp;"*")+ COUNTIF(Logs!$AB$159:'Logs'!$AB$168,  "*"&amp;AS46&amp;"*")+ COUNTIF(Logs!$AB$198:'Logs'!$AB$207,  "*"&amp;AS46&amp;"*")</f>
        <v>0</v>
      </c>
      <c r="AT58" s="242">
        <f>COUNTIF(Logs!$AB$9:'Logs'!$AB$90,   "Hand Eye Coordination") + COUNTIF(Logs!$AB$120:'Logs'!$AB$129,   "Hand Eye Coordination")+ COUNTIF(Logs!$AB$159:'Logs'!$AB$168,   "Hand Eye Coordination")+ COUNTIF(Logs!$AB$198:'Logs'!$AB$207,   "Hand Eye Coordination")</f>
        <v>0</v>
      </c>
      <c r="AU58" s="8">
        <f>COUNTIF(Logs!$AB$9:'Logs'!$AB$90,  "*"&amp;AU46&amp;"*") + COUNTIF(Logs!$AB$120:'Logs'!$AB$129,  "*"&amp;AU46&amp;"*")+ COUNTIF(Logs!$AB$159:'Logs'!$AB$168,  "*"&amp;AU46&amp;"*")+ COUNTIF(Logs!$AB$198:'Logs'!$AB$207,  "*"&amp;AU46&amp;"*")</f>
        <v>1</v>
      </c>
      <c r="AV58" s="576">
        <f>COUNTIF(Logs!$AB$9:'Logs'!$AB$90,  "*"&amp;AV46&amp;"*") + COUNTIF(Logs!$AB$120:'Logs'!$AB$129,  "*"&amp;AV46&amp;"*")+ COUNTIF(Logs!$AB$159:'Logs'!$AB$168,  "*"&amp;AV46&amp;"*")+ COUNTIF(Logs!$AB$198:'Logs'!$AB$207,  "*"&amp;AV46&amp;"*")</f>
        <v>0</v>
      </c>
      <c r="AW58" s="498">
        <f>COUNTIF(Logs!$AB$9:'Logs'!$AB$90,  "*"&amp;AW46&amp;"*") + COUNTIF(Logs!$AB$120:'Logs'!$AB$129,  "*"&amp;AW46&amp;"*")+ COUNTIF(Logs!$AB$159:'Logs'!$AB$168,  "*"&amp;AW46&amp;"*")+ COUNTIF(Logs!$AB$198:'Logs'!$AB$207,  "*"&amp;AW46&amp;"*")</f>
        <v>0</v>
      </c>
      <c r="AX58" s="575">
        <f>COUNTIF(Logs!$AB$9:'Logs'!$AB$90,  "*"&amp;AX46&amp;"*") + COUNTIF(Logs!$AB$120:'Logs'!$AB$129,  "*"&amp;AX46&amp;"*")+ COUNTIF(Logs!$AB$159:'Logs'!$AB$168,  "*"&amp;AX46&amp;"*")+ COUNTIF(Logs!$AB$198:'Logs'!$AB$207,  "*"&amp;AX46&amp;"*")</f>
        <v>0</v>
      </c>
      <c r="AY58" s="499">
        <f>COUNTIF(Logs!$AB$9:'Logs'!$AB$90,  "*"&amp;AY46&amp;"*") + COUNTIF(Logs!$AB$120:'Logs'!$AB$129,  "*"&amp;AY46&amp;"*")+ COUNTIF(Logs!$AB$159:'Logs'!$AB$168,  "*"&amp;AY46&amp;"*")+ COUNTIF(Logs!$AB$198:'Logs'!$AB$207,  "*"&amp;AY46&amp;"*")</f>
        <v>0</v>
      </c>
      <c r="AZ58" s="500">
        <f>COUNTIF(Logs!$AB$9:'Logs'!$AB$90,  "*"&amp;AZ46&amp;"*") + COUNTIF(Logs!$AB$120:'Logs'!$AB$129,  "*"&amp;AZ46&amp;"*")+ COUNTIF(Logs!$AB$159:'Logs'!$AB$168,  "*"&amp;AZ46&amp;"*")+ COUNTIF(Logs!$AB$198:'Logs'!$AB$207,  "*"&amp;AZ46&amp;"*")</f>
        <v>1</v>
      </c>
      <c r="BA58" s="574">
        <f>COUNTIF(Logs!$AB$9:'Logs'!$AB$90, BA$46) + COUNTIF(Logs!$AB$120:'Logs'!$AB$129, BA$46)+ COUNTIF(Logs!$AB$159:'Logs'!$AB$168, BA$46)+ COUNTIF(Logs!$AB$198:'Logs'!$AB$207,  BA$46)</f>
        <v>0</v>
      </c>
      <c r="BB58" s="589">
        <f>COUNTIF(Logs!$AB$9:'Logs'!$AB$90,  "*"&amp;BB46&amp;"*") + COUNTIF(Logs!$AB$120:'Logs'!$AB$129,  "*"&amp;BB46&amp;"*")+ COUNTIF(Logs!$AB$159:'Logs'!$AB$168,  "*"&amp;BB46&amp;"*")+ COUNTIF(Logs!$AB$198:'Logs'!$AB$207,  "*"&amp;BB46&amp;"*")</f>
        <v>0</v>
      </c>
      <c r="BC58" s="34">
        <f>COUNTIF(Logs!$AB$9:'Logs'!$AB$90,  "Physical Strength") + COUNTIF(Logs!$AB$120:'Logs'!$AB$129,  "Physical Strength")+ COUNTIF(Logs!$AB$159:'Logs'!$AB$168,  "Physical Strength")+ COUNTIF(Logs!$AB$198:'Logs'!$AB$207,  "Physical Strength")</f>
        <v>6</v>
      </c>
      <c r="BD58" s="10">
        <f>COUNTIF(Logs!$AB$9:'Logs'!$AB$90,  "*"&amp;BD46&amp;"*") + COUNTIF(Logs!$AB$120:'Logs'!$AB$129,  "*"&amp;BD46&amp;"*")+ COUNTIF(Logs!$AB$159:'Logs'!$AB$168,  "*"&amp;BD46&amp;"*")+ COUNTIF(Logs!$AB$198:'Logs'!$AB$207,  "*"&amp;BD46&amp;"*")</f>
        <v>0</v>
      </c>
      <c r="BE58" s="39">
        <f>COUNTIF(Logs!$AB$9:'Logs'!$AB$90,  "*"&amp;BE46&amp;"*") + COUNTIF(Logs!$AB$120:'Logs'!$AB$129,  "*"&amp;BE46&amp;"*")+ COUNTIF(Logs!$AB$159:'Logs'!$AB$168,  "*"&amp;BE46&amp;"*")+ COUNTIF(Logs!$AB$198:'Logs'!$AB$207,  "*"&amp;BE46&amp;"*")</f>
        <v>7</v>
      </c>
      <c r="BF58" s="361">
        <f>COUNTIF(Logs!$AB$9:'Logs'!$AB$90,  "*"&amp;BF46&amp;"*") + COUNTIF(Logs!$AB$120:'Logs'!$AB$129,  "*"&amp;BF46&amp;"*")+ COUNTIF(Logs!$AB$159:'Logs'!$AB$168,  "*"&amp;BF46&amp;"*")+ COUNTIF(Logs!$AB$198:'Logs'!$AB$207,  "*"&amp;BF46&amp;"*")</f>
        <v>0</v>
      </c>
      <c r="BG58">
        <f>COUNTIF(Logs!$AB$9:'Logs'!$AB$90,  "*"&amp;BG46&amp;"*") + COUNTIF(Logs!$AB$120:'Logs'!$AB$129,  "*"&amp;BG46&amp;"*")+ COUNTIF(Logs!$AB$159:'Logs'!$AB$168,  "*"&amp;BG46&amp;"*")+ COUNTIF(Logs!$AB$198:'Logs'!$AB$207,  "*"&amp;BG46&amp;"*")</f>
        <v>0</v>
      </c>
      <c r="BH58" s="590">
        <f>COUNTIF(Logs!$AB$9:'Logs'!$AB$90,  "*"&amp;BH46&amp;"*") + COUNTIF(Logs!$AB$120:'Logs'!$AB$129,  "*"&amp;BH46&amp;"*")+ COUNTIF(Logs!$AB$159:'Logs'!$AB$168,  "*"&amp;BH46&amp;"*")+ COUNTIF(Logs!$AB$198:'Logs'!$AB$207,  "*"&amp;BH46&amp;"*")</f>
        <v>2</v>
      </c>
      <c r="BI58" s="329">
        <f>COUNTIF(Logs!$AB$9:'Logs'!$AB$90,  "*"&amp;BI46&amp;"*") + COUNTIF(Logs!$AB$120:'Logs'!$AB$129,  "*"&amp;BI46&amp;"*")+ COUNTIF(Logs!$AB$159:'Logs'!$AB$168,  "*"&amp;BI46&amp;"*")+ COUNTIF(Logs!$AB$198:'Logs'!$AB$207,  "*"&amp;BI46&amp;"*")</f>
        <v>6</v>
      </c>
      <c r="BJ58" s="35">
        <f>SUM(Table37[[#This Row],[Animals]:[Travel Issues]])</f>
        <v>38</v>
      </c>
    </row>
    <row r="59" spans="2:62">
      <c r="B59" s="163" t="s">
        <v>143</v>
      </c>
      <c r="C59" s="291">
        <f t="shared" si="0"/>
        <v>62</v>
      </c>
      <c r="D59" s="25">
        <f>COUNTIF(Logs!$Q$320:'Logs'!$AB$328, "*"&amp;D$41&amp;"*")</f>
        <v>1</v>
      </c>
      <c r="E59" s="33">
        <f>COUNTIF(Logs!$Q$320:'Logs'!$AB$328, "Attention to Detail")</f>
        <v>7</v>
      </c>
      <c r="F59" s="1306">
        <f>COUNTIF(Logs!$Q$320:'Logs'!$AB$328, "*"&amp;F$41&amp;"*")</f>
        <v>0</v>
      </c>
      <c r="G59" s="1307">
        <f>COUNTIF(Logs!$Q$320:'Logs'!$AB$328, "*"&amp;G$41&amp;"*")</f>
        <v>2</v>
      </c>
      <c r="H59" s="642">
        <f>COUNTIF(Logs!$Q$320:'Logs'!$AB$328, "*"&amp;H$41&amp;"*")</f>
        <v>2</v>
      </c>
      <c r="I59">
        <f>COUNTIF(Logs!$Q$320:'Logs'!$AB$328, "*"&amp;I$41&amp;"*")</f>
        <v>3</v>
      </c>
      <c r="J59" s="1308">
        <f>COUNTIF(Logs!$Q$320:'Logs'!$AB$328, "*"&amp;J$41&amp;"*")</f>
        <v>0</v>
      </c>
      <c r="K59" s="233">
        <f>COUNTIF(Logs!$Q$320:'Logs'!$AB$328, "*"&amp;K$41&amp;"*")</f>
        <v>3</v>
      </c>
      <c r="L59" s="36">
        <f>COUNTIF(Logs!$Q$320:'Logs'!$AB$328, "*"&amp;L$41&amp;"*")</f>
        <v>5</v>
      </c>
      <c r="M59" s="234">
        <f>COUNTIF(Logs!$Q$320:'Logs'!$AB$328, "*"&amp;M$41&amp;"*")</f>
        <v>0</v>
      </c>
      <c r="N59" s="37">
        <f>COUNTIF(Logs!$Q$320:'Logs'!$AB$328, "*"&amp;N$41&amp;"*")</f>
        <v>2</v>
      </c>
      <c r="O59" s="37">
        <f>COUNTIF(Logs!$Q$320:'Logs'!$AB$328, "*"&amp;O$41&amp;"*")</f>
        <v>0</v>
      </c>
      <c r="P59" s="242">
        <f>COUNTIF(Logs!$Q$320:'Logs'!$AB$328, "Hand Eye Coordination")</f>
        <v>1</v>
      </c>
      <c r="Q59" s="8">
        <f>COUNTIF(Logs!$Q$320:'Logs'!$AB$328, "*"&amp;Q$41&amp;"*")</f>
        <v>1</v>
      </c>
      <c r="R59" s="238">
        <f>COUNTIF(Logs!$Q$320:'Logs'!$AB$328, "*"&amp;R$41&amp;"*")</f>
        <v>0</v>
      </c>
      <c r="S59" s="498">
        <f>COUNTIF(Logs!$Q$320:'Logs'!$AB$328, "*"&amp;S$41&amp;"*")</f>
        <v>1</v>
      </c>
      <c r="T59" s="1309">
        <f>COUNTIF(Logs!$Q$320:'Logs'!$AB$328, "Memorization")</f>
        <v>2</v>
      </c>
      <c r="U59" s="499">
        <f>COUNTIF(Logs!$Q$320:'Logs'!$AB$328, "*"&amp;U$41&amp;"*")</f>
        <v>0</v>
      </c>
      <c r="V59" s="500">
        <f>COUNTIF(Logs!$Q$320:'Logs'!$AB$328, "*"&amp;V$41&amp;"*")</f>
        <v>0</v>
      </c>
      <c r="W59" s="501">
        <f>COUNTIF(Logs!$Q$320:'Logs'!$AB$328, W$41)</f>
        <v>2</v>
      </c>
      <c r="X59" s="276">
        <f>COUNTIF(Logs!$Q$320:'Logs'!$AB$328, "*"&amp;X$41&amp;"*")</f>
        <v>3</v>
      </c>
      <c r="Y59" s="34">
        <f>COUNTIF(Logs!$Q$320:'Logs'!$AB$328, "Physical Strength")</f>
        <v>7</v>
      </c>
      <c r="Z59" s="10">
        <f>COUNTIF(Logs!$Q$320:'Logs'!$AB$328, "*"&amp;Z$41&amp;"*")</f>
        <v>4</v>
      </c>
      <c r="AA59" s="39">
        <f>COUNTIF(Logs!$Q$320:'Logs'!$AB$328, "*"&amp;AA$41&amp;"*")</f>
        <v>7</v>
      </c>
      <c r="AB59" s="361">
        <f>COUNTIF(Logs!$Q$320:'Logs'!$AB$328, "*"&amp;AB$41&amp;"*")</f>
        <v>1</v>
      </c>
      <c r="AC59" s="1310">
        <f>COUNTIF(Logs!$Q$320:'Logs'!$AB$328, "*"&amp;AC$41&amp;"*")</f>
        <v>0</v>
      </c>
      <c r="AD59" s="279">
        <f>COUNTIF(Logs!$Q$320:'Logs'!$AB$328, "*"&amp;AD$41&amp;"*")</f>
        <v>0</v>
      </c>
      <c r="AE59" s="280">
        <f>COUNTIF(Logs!$Q$320:'Logs'!$AB$328, "*"&amp;AE$41&amp;"*")</f>
        <v>8</v>
      </c>
      <c r="AG59" s="526" t="s">
        <v>59</v>
      </c>
      <c r="AH59" s="25">
        <f>COUNTIF(Logs!$AC$9:'Logs'!$AC$1001, "*"&amp;AH$46&amp;"*")+COUNTIF(Logs!$AB$101:'Logs'!$AB$110, "*"&amp;AH$46&amp;"*")+COUNTIF(Logs!$AB$139:'Logs'!$AB$147, "*"&amp;AH$46&amp;"*")+COUNTIF(Logs!$AB$177:'Logs'!$AB$188, "*"&amp;AH$46&amp;"*")+COUNTIF(Logs!$AA$215:'Logs'!$AA$241, "*"&amp;AH$46&amp;"*")+COUNTIF(Logs!$AB$250:'Logs'!$AB$1001, "*"&amp;AH$46&amp;"*")+COUNTIF(Logs!$AA$571:'Logs'!$AA$599, "*"&amp;AH$46&amp;"*")+COUNTIF(Logs!$Z$607:'Logs'!$Z$615, "*"&amp;AH$46&amp;"*")+COUNTIF(Logs!$AA$640:'Logs'!$AA$649, "*"&amp;AH$46&amp;"*")</f>
        <v>2</v>
      </c>
      <c r="AI59" s="33">
        <f>COUNTIF(Logs!$AC$9:'Logs'!$AC$1001,"Attention to Detail")+COUNTIF(Logs!$AB$101:'Logs'!$AB$110, "Attention to Detail")+COUNTIF(Logs!$AB$139:'Logs'!$AB$147, "Attention to Detail")+COUNTIF(Logs!$AB$177:'Logs'!$AB$188,"Attention to Detail")+COUNTIF(Logs!$AA$215:'Logs'!$AA$241,"Attention to Detail")+COUNTIF(Logs!$AB$250:'Logs'!$AB$1001,"Attention to Detail")+COUNTIF(Logs!$AA$571:'Logs'!$AA$599, "Attention to Detail")+COUNTIF(Logs!$Z$607:'Logs'!$Z$615, "Attention to Detail")+COUNTIF(Logs!$AA$640:'Logs'!$AA$649, "Attention to Detail")</f>
        <v>11</v>
      </c>
      <c r="AJ59" s="587">
        <f>COUNTIF(Logs!$AC$9:'Logs'!$AC$1001, "*"&amp;AJ$46&amp;"*")+COUNTIF(Logs!$AB$101:'Logs'!$AB$110, "*"&amp;AJ$46&amp;"*")+COUNTIF(Logs!$AB$139:'Logs'!$AB$147, "*"&amp;AJ$46&amp;"*")+COUNTIF(Logs!$AB$177:'Logs'!$AB$188, "*"&amp;AJ$46&amp;"*")+COUNTIF(Logs!$AA$215:'Logs'!$AA$241, "*"&amp;AJ$46&amp;"*")+COUNTIF(Logs!$AB$250:'Logs'!$AB$1001, "*"&amp;AJ$46&amp;"*")+COUNTIF(Logs!$AA$571:'Logs'!$AA$599, "*"&amp;AJ$46&amp;"*")+COUNTIF(Logs!$Z$607:'Logs'!$Z$615, "*"&amp;AJ$46&amp;"*")+COUNTIF(Logs!$AA$640:'Logs'!$AA$649, "*"&amp;AJ$46&amp;"*")</f>
        <v>3</v>
      </c>
      <c r="AK59" s="66">
        <f>COUNTIF(Logs!$AC$9:'Logs'!$AC$1001, "*"&amp;AK$46&amp;"*")+COUNTIF(Logs!$AB$101:'Logs'!$AB$110, "*"&amp;AK$46&amp;"*")+COUNTIF(Logs!$AB$139:'Logs'!$AB$147, "*"&amp;AK$46&amp;"*")+COUNTIF(Logs!$AB$177:'Logs'!$AB$188, "*"&amp;AK$46&amp;"*")+COUNTIF(Logs!$AA$215:'Logs'!$AA$241, "*"&amp;AK$46&amp;"*")+COUNTIF(Logs!$AB$250:'Logs'!$AB$1001, "*"&amp;AK$46&amp;"*")+COUNTIF(Logs!$AA$571:'Logs'!$AA$599, "*"&amp;AK$46&amp;"*")+COUNTIF(Logs!$Z$607:'Logs'!$Z$615, "*"&amp;AK$46&amp;"*")+COUNTIF(Logs!$AA$640:'Logs'!$AA$649, "*"&amp;AK$46&amp;"*")</f>
        <v>2</v>
      </c>
      <c r="AL59" s="642">
        <f>COUNTIF(Logs!$AC$9:'Logs'!$AC$1001, "*"&amp;AL$46&amp;"*")+COUNTIF(Logs!$AB$101:'Logs'!$AB$110, "*"&amp;AL$46&amp;"*")+COUNTIF(Logs!$AB$139:'Logs'!$AB$147, "*"&amp;AL$46&amp;"*")+COUNTIF(Logs!$AB$177:'Logs'!$AB$188, "*"&amp;AL$46&amp;"*")+COUNTIF(Logs!$AA$215:'Logs'!$AA$241, "*"&amp;AL$46&amp;"*")+COUNTIF(Logs!$AB$250:'Logs'!$AB$1001, "*"&amp;AL$46&amp;"*")+COUNTIF(Logs!$AA$571:'Logs'!$AA$599, "*"&amp;AL$46&amp;"*")+COUNTIF(Logs!$Z$607:'Logs'!$Z$615, "*"&amp;AL$46&amp;"*")+COUNTIF(Logs!$AA$640:'Logs'!$AA$649, "*"&amp;AL$46&amp;"*")</f>
        <v>4</v>
      </c>
      <c r="AM59">
        <f>COUNTIF(Logs!$AC$9:'Logs'!$AC$1001, "*"&amp;AM$46&amp;"*")+COUNTIF(Logs!$AB$101:'Logs'!$AB$110, "*"&amp;AM$46&amp;"*")+COUNTIF(Logs!$AB$139:'Logs'!$AB$147, "*"&amp;AM$46&amp;"*")+COUNTIF(Logs!$AB$177:'Logs'!$AB$188, "*"&amp;AM$46&amp;"*")+COUNTIF(Logs!$AA$215:'Logs'!$AA$241, "*"&amp;AM$46&amp;"*")+COUNTIF(Logs!$AB$250:'Logs'!$AB$1001, "*"&amp;AM$46&amp;"*")+COUNTIF(Logs!$AA$571:'Logs'!$AA$599, "*"&amp;AM$46&amp;"*")+COUNTIF(Logs!$Z$607:'Logs'!$Z$615, "*"&amp;AM$46&amp;"*")+COUNTIF(Logs!$AA$640:'Logs'!$AA$649, "*"&amp;AM$46&amp;"*")</f>
        <v>2</v>
      </c>
      <c r="AN59" s="588">
        <f>COUNTIF(Logs!$AC$9:'Logs'!$AC$1001, "*"&amp;AN$46&amp;"*")+COUNTIF(Logs!$AB$101:'Logs'!$AB$110, "*"&amp;AN$46&amp;"*")+COUNTIF(Logs!$AB$139:'Logs'!$AB$147, "*"&amp;AN$46&amp;"*")+COUNTIF(Logs!$AB$177:'Logs'!$AB$188, "*"&amp;AN$46&amp;"*")+COUNTIF(Logs!$AA$215:'Logs'!$AA$241, "*"&amp;AN$46&amp;"*")+COUNTIF(Logs!$AB$250:'Logs'!$AB$1001, "*"&amp;AN$46&amp;"*")+COUNTIF(Logs!$AA$571:'Logs'!$AA$599, "*"&amp;AN$46&amp;"*")+COUNTIF(Logs!$Z$607:'Logs'!$Z$615, "*"&amp;AN$46&amp;"*")+COUNTIF(Logs!$AA$640:'Logs'!$AA$649, "*"&amp;AN$46&amp;"*")</f>
        <v>0</v>
      </c>
      <c r="AO59" s="233">
        <f>COUNTIF(Logs!$AC$9:'Logs'!$AC$1001, "*"&amp;AO$46&amp;"*")+COUNTIF(Logs!$AB$101:'Logs'!$AB$110, "*"&amp;AO$46&amp;"*")+COUNTIF(Logs!$AB$139:'Logs'!$AB$147, "*"&amp;AO$46&amp;"*")+COUNTIF(Logs!$AB$177:'Logs'!$AB$188, "*"&amp;AO$46&amp;"*")+COUNTIF(Logs!$AA$215:'Logs'!$AA$241, "*"&amp;AO$46&amp;"*")+COUNTIF(Logs!$AB$250:'Logs'!$AB$1001, "*"&amp;AO$46&amp;"*")+COUNTIF(Logs!$AA$571:'Logs'!$AA$599, "*"&amp;AO$46&amp;"*")+COUNTIF(Logs!$Z$607:'Logs'!$Z$615, "*"&amp;AO$46&amp;"*")+COUNTIF(Logs!$AA$640:'Logs'!$AA$649, "*"&amp;AO$46&amp;"*")</f>
        <v>0</v>
      </c>
      <c r="AP59" s="36">
        <f>COUNTIF(Logs!$AC$9:'Logs'!$AC$1001, "*"&amp;AP$46&amp;"*")+COUNTIF(Logs!$AB$101:'Logs'!$AB$110, "*"&amp;AP$46&amp;"*")+COUNTIF(Logs!$AB$139:'Logs'!$AB$147, "*"&amp;AP$46&amp;"*")+COUNTIF(Logs!$AB$177:'Logs'!$AB$188, "*"&amp;AP$46&amp;"*")+COUNTIF(Logs!$AA$215:'Logs'!$AA$241, "*"&amp;AP$46&amp;"*")+COUNTIF(Logs!$AB$250:'Logs'!$AB$1001, "*"&amp;AP$46&amp;"*")+COUNTIF(Logs!$AA$571:'Logs'!$AA$599, "*"&amp;AP$46&amp;"*")+COUNTIF(Logs!$Z$607:'Logs'!$Z$615, "*"&amp;AP$46&amp;"*")+COUNTIF(Logs!$AA$640:'Logs'!$AA$649, "*"&amp;AP$46&amp;"*")</f>
        <v>15</v>
      </c>
      <c r="AQ59" s="577">
        <f>COUNTIF(Logs!$AC$9:'Logs'!$AC$1001, "*"&amp;AQ$46&amp;"*")+COUNTIF(Logs!$AB$101:'Logs'!$AB$110, "*"&amp;AQ$46&amp;"*")+COUNTIF(Logs!$AB$139:'Logs'!$AB$147, "*"&amp;AQ$46&amp;"*")+COUNTIF(Logs!$AB$177:'Logs'!$AB$188, "*"&amp;AQ$46&amp;"*")+COUNTIF(Logs!$AA$215:'Logs'!$AA$241, "*"&amp;AQ$46&amp;"*")+COUNTIF(Logs!$AB$250:'Logs'!$AB$1001, "*"&amp;AQ$46&amp;"*")+COUNTIF(Logs!$AA$571:'Logs'!$AA$599, "*"&amp;AQ$46&amp;"*")+COUNTIF(Logs!$Z$607:'Logs'!$Z$615, "*"&amp;AQ$46&amp;"*")+COUNTIF(Logs!$AA$640:'Logs'!$AA$649, "*"&amp;AQ$46&amp;"*")</f>
        <v>2</v>
      </c>
      <c r="AR59">
        <f>COUNTIF(Logs!$AC$9:'Logs'!$AC$1001, "*"&amp;AR$46&amp;"*")+COUNTIF(Logs!$AB$101:'Logs'!$AB$110, "*"&amp;AR$46&amp;"*")+COUNTIF(Logs!$AB$139:'Logs'!$AB$147, "*"&amp;AR$46&amp;"*")+COUNTIF(Logs!$AB$177:'Logs'!$AB$188, "*"&amp;AR$46&amp;"*")+COUNTIF(Logs!$AA$215:'Logs'!$AA$241, "*"&amp;AR$46&amp;"*")+COUNTIF(Logs!$AB$250:'Logs'!$AB$1001, "*"&amp;AR$46&amp;"*")+COUNTIF(Logs!$AA$571:'Logs'!$AA$599, "*"&amp;AR$46&amp;"*")+COUNTIF(Logs!$Z$607:'Logs'!$Z$615, "*"&amp;AR$46&amp;"*")+COUNTIF(Logs!$AA$640:'Logs'!$AA$649, "*"&amp;AR$46&amp;"*")</f>
        <v>2</v>
      </c>
      <c r="AS59">
        <f>COUNTIF(Logs!$AC$9:'Logs'!$AC$1001, "*"&amp;AS$46&amp;"*")+COUNTIF(Logs!$AB$101:'Logs'!$AB$110, "*"&amp;AS$46&amp;"*")+COUNTIF(Logs!$AB$139:'Logs'!$AB$147, "*"&amp;AS$46&amp;"*")+COUNTIF(Logs!$AB$177:'Logs'!$AB$188, "*"&amp;AS$46&amp;"*")+COUNTIF(Logs!$AA$215:'Logs'!$AA$241, "*"&amp;AS$46&amp;"*")+COUNTIF(Logs!$AB$250:'Logs'!$AB$1001, "*"&amp;AS$46&amp;"*")+COUNTIF(Logs!$AA$571:'Logs'!$AA$599, "*"&amp;AS$46&amp;"*")+COUNTIF(Logs!$Z$607:'Logs'!$Z$615, "*"&amp;AS$46&amp;"*")+COUNTIF(Logs!$AA$640:'Logs'!$AA$649, "*"&amp;AS$46&amp;"*")</f>
        <v>4</v>
      </c>
      <c r="AT59" s="242">
        <f>COUNTIF(Logs!$AC$9:'Logs'!$AC$1001, "*"&amp;AT$46&amp;"*")+COUNTIF(Logs!$AB$101:'Logs'!$AB$110, "*"&amp;AT$46&amp;"*")+COUNTIF(Logs!$AB$139:'Logs'!$AB$147, "*"&amp;AT$46&amp;"*")+COUNTIF(Logs!$AB$177:'Logs'!$AB$188, "*"&amp;AT$46&amp;"*")+COUNTIF(Logs!$AA$215:'Logs'!$AA$241, "*"&amp;AT$46&amp;"*")+COUNTIF(Logs!$AB$250:'Logs'!$AB$1001, "*"&amp;AT$46&amp;"*")+COUNTIF(Logs!$AA$571:'Logs'!$AA$599, "*"&amp;AT$46&amp;"*")+COUNTIF(Logs!$Z$607:'Logs'!$Z$615, "*"&amp;AT$46&amp;"*")+COUNTIF(Logs!$AA$640:'Logs'!$AA$649, "*"&amp;AT$46&amp;"*")</f>
        <v>7</v>
      </c>
      <c r="AU59" s="8">
        <f>COUNTIF(Logs!$AC$9:'Logs'!$AC$1001, "*"&amp;AU$46&amp;"*")+COUNTIF(Logs!$AB$101:'Logs'!$AB$110, "*"&amp;AU$46&amp;"*")+COUNTIF(Logs!$AB$139:'Logs'!$AB$147, "*"&amp;AU$46&amp;"*")+COUNTIF(Logs!$AB$177:'Logs'!$AB$188, "*"&amp;AU$46&amp;"*")+COUNTIF(Logs!$AA$215:'Logs'!$AA$241, "*"&amp;AU$46&amp;"*")+COUNTIF(Logs!$AB$250:'Logs'!$AB$1001, "*"&amp;AU$46&amp;"*")+COUNTIF(Logs!$AA$571:'Logs'!$AA$599, "*"&amp;AU$46&amp;"*")+COUNTIF(Logs!$Z$607:'Logs'!$Z$615, "*"&amp;AU$46&amp;"*")+COUNTIF(Logs!$AA$640:'Logs'!$AA$649, "*"&amp;AU$46&amp;"*")</f>
        <v>23</v>
      </c>
      <c r="AV59" s="576">
        <f>COUNTIF(Logs!$AC$9:'Logs'!$AC$1001, "*"&amp;AV$46&amp;"*")+COUNTIF(Logs!$AB$101:'Logs'!$AB$110, "*"&amp;AV$46&amp;"*")+COUNTIF(Logs!$AB$139:'Logs'!$AB$147, "*"&amp;AV$46&amp;"*")+COUNTIF(Logs!$AB$177:'Logs'!$AB$188, "*"&amp;AV$46&amp;"*")+COUNTIF(Logs!$AA$215:'Logs'!$AA$241, "*"&amp;AV$46&amp;"*")+COUNTIF(Logs!$AB$250:'Logs'!$AB$1001, "*"&amp;AV$46&amp;"*")+COUNTIF(Logs!$AA$571:'Logs'!$AA$599, "*"&amp;AV$46&amp;"*")+COUNTIF(Logs!$Z$607:'Logs'!$Z$615, "*"&amp;AV$46&amp;"*")+COUNTIF(Logs!$AA$640:'Logs'!$AA$649, "*"&amp;AV$46&amp;"*")</f>
        <v>2</v>
      </c>
      <c r="AW59" s="498">
        <f>COUNTIF(Logs!$AC$9:'Logs'!$AC$1001, "*"&amp;AW$46&amp;"*")+COUNTIF(Logs!$AB$101:'Logs'!$AB$110, "*"&amp;AW$46&amp;"*")+COUNTIF(Logs!$AB$139:'Logs'!$AB$147, "*"&amp;AW$46&amp;"*")+COUNTIF(Logs!$AB$177:'Logs'!$AB$188, "*"&amp;AW$46&amp;"*")+COUNTIF(Logs!$AA$215:'Logs'!$AA$241, "*"&amp;AW$46&amp;"*")+COUNTIF(Logs!$AB$250:'Logs'!$AB$1001, "*"&amp;AW$46&amp;"*")+COUNTIF(Logs!$AA$571:'Logs'!$AA$599, "*"&amp;AW$46&amp;"*")+COUNTIF(Logs!$Z$607:'Logs'!$Z$615, "*"&amp;AW$46&amp;"*")+COUNTIF(Logs!$AA$640:'Logs'!$AA$649, "*"&amp;AW$46&amp;"*")</f>
        <v>1</v>
      </c>
      <c r="AX59" s="575">
        <f>COUNTIF(Logs!$AC$9:'Logs'!$AC$1001, "*"&amp;AX$46&amp;"*")+COUNTIF(Logs!$AB$101:'Logs'!$AB$110, "*"&amp;AX$46&amp;"*")+COUNTIF(Logs!$AB$139:'Logs'!$AB$147, "*"&amp;AX$46&amp;"*")+COUNTIF(Logs!$AB$177:'Logs'!$AB$188, "*"&amp;AX$46&amp;"*")+COUNTIF(Logs!$AA$215:'Logs'!$AA$241, "*"&amp;AX$46&amp;"*")+COUNTIF(Logs!$AB$250:'Logs'!$AB$1001, "*"&amp;AX$46&amp;"*")+COUNTIF(Logs!$AA$571:'Logs'!$AA$599, "*"&amp;AX$46&amp;"*")+COUNTIF(Logs!$Z$607:'Logs'!$Z$615, "*"&amp;AX$46&amp;"*")+COUNTIF(Logs!$AA$640:'Logs'!$AA$649, "*"&amp;AX$46&amp;"*")</f>
        <v>25</v>
      </c>
      <c r="AY59" s="499">
        <f>COUNTIF(Logs!$AC$9:'Logs'!$AC$1001, "*"&amp;AY$46&amp;"*")+COUNTIF(Logs!$AB$101:'Logs'!$AB$110, "*"&amp;AY$46&amp;"*")+COUNTIF(Logs!$AB$139:'Logs'!$AB$147, "*"&amp;AY$46&amp;"*")+COUNTIF(Logs!$AB$177:'Logs'!$AB$188, "*"&amp;AY$46&amp;"*")+COUNTIF(Logs!$AA$215:'Logs'!$AA$241, "*"&amp;AY$46&amp;"*")+COUNTIF(Logs!$AB$250:'Logs'!$AB$1001, "*"&amp;AY$46&amp;"*")+COUNTIF(Logs!$AA$571:'Logs'!$AA$599, "*"&amp;AY$46&amp;"*")+COUNTIF(Logs!$Z$607:'Logs'!$Z$615, "*"&amp;AY$46&amp;"*")+COUNTIF(Logs!$AA$640:'Logs'!$AA$649, "*"&amp;AY$46&amp;"*")</f>
        <v>0</v>
      </c>
      <c r="AZ59" s="500">
        <f>COUNTIF(Logs!$AC$9:'Logs'!$AC$1001, "*"&amp;AZ$46&amp;"*")+COUNTIF(Logs!$AB$101:'Logs'!$AB$110, "*"&amp;AZ$46&amp;"*")+COUNTIF(Logs!$AB$139:'Logs'!$AB$147, "*"&amp;AZ$46&amp;"*")+COUNTIF(Logs!$AB$177:'Logs'!$AB$188, "*"&amp;AZ$46&amp;"*")+COUNTIF(Logs!$AA$215:'Logs'!$AA$241, "*"&amp;AZ$46&amp;"*")+COUNTIF(Logs!$AB$250:'Logs'!$AB$1001, "*"&amp;AZ$46&amp;"*")+COUNTIF(Logs!$AA$571:'Logs'!$AA$599, "*"&amp;AZ$46&amp;"*")+COUNTIF(Logs!$Z$607:'Logs'!$Z$615, "*"&amp;AZ$46&amp;"*")+COUNTIF(Logs!$AA$640:'Logs'!$AA$649, "*"&amp;AZ$46&amp;"*")</f>
        <v>2</v>
      </c>
      <c r="BA59" s="574">
        <f>COUNTIF(Logs!$AC$9:'Logs'!$AC$1001,BA$46)+COUNTIF(Logs!$AB$101:'Logs'!$AB$110, BA$46)+COUNTIF(Logs!$AB$139:'Logs'!$AB$147,BA$46)+COUNTIF(Logs!$AB$177:'Logs'!$AB$188, BA$46)+COUNTIF(Logs!$AA$215:'Logs'!$AA$241, BA$46)+COUNTIF(Logs!$AB$250:'Logs'!$AB$1001,BA$46)+COUNTIF(Logs!$AA$571:'Logs'!$AA$599,BA$46)+COUNTIF(Logs!$Z$607:'Logs'!$Z$615, BA$46)+COUNTIF(Logs!$AA$640:'Logs'!$AA$649, BA$46)</f>
        <v>3</v>
      </c>
      <c r="BB59" s="589">
        <f>COUNTIF(Logs!$AC$9:'Logs'!$AC$1001, "*"&amp;BB$46&amp;"*")+COUNTIF(Logs!$AB$101:'Logs'!$AB$110, "*"&amp;BB$46&amp;"*")+COUNTIF(Logs!$AB$139:'Logs'!$AB$147, "*"&amp;BB$46&amp;"*")+COUNTIF(Logs!$AB$177:'Logs'!$AB$188, "*"&amp;BB$46&amp;"*")+COUNTIF(Logs!$AA$215:'Logs'!$AA$241, "*"&amp;BB$46&amp;"*")+COUNTIF(Logs!$AB$250:'Logs'!$AB$1001, "*"&amp;BB$46&amp;"*")+COUNTIF(Logs!$AA$571:'Logs'!$AA$599, "*"&amp;BB$46&amp;"*")+COUNTIF(Logs!$Z$607:'Logs'!$Z$615, "*"&amp;BB$46&amp;"*")+COUNTIF(Logs!$AA$640:'Logs'!$AA$649, "*"&amp;BB$46&amp;"*")</f>
        <v>0</v>
      </c>
      <c r="BC59" s="34">
        <f>COUNTIF(Logs!$AC$9:'Logs'!$AC$1001, "*"&amp;BC$46&amp;"*")+COUNTIF(Logs!$AB$101:'Logs'!$AB$110, "*"&amp;BC$46&amp;"*")+COUNTIF(Logs!$AB$139:'Logs'!$AB$147, "*"&amp;BC$46&amp;"*")+COUNTIF(Logs!$AB$177:'Logs'!$AB$188, "*"&amp;BC$46&amp;"*")+COUNTIF(Logs!$AA$215:'Logs'!$AA$241, "*"&amp;BC$46&amp;"*")+COUNTIF(Logs!$AB$250:'Logs'!$AB$1001, "*"&amp;BC$46&amp;"*")+COUNTIF(Logs!$AA$571:'Logs'!$AA$599, "*"&amp;BC$46&amp;"*")+COUNTIF(Logs!$Z$607:'Logs'!$Z$615, "*"&amp;BC$46&amp;"*")+COUNTIF(Logs!$AA$640:'Logs'!$AA$649, "*"&amp;BC$46&amp;"*")</f>
        <v>28</v>
      </c>
      <c r="BD59" s="10">
        <f>COUNTIF(Logs!$AC$9:'Logs'!$AC$1001, "*"&amp;BD$46&amp;"*")+COUNTIF(Logs!$AB$101:'Logs'!$AB$110, "*"&amp;BD$46&amp;"*")+COUNTIF(Logs!$AB$139:'Logs'!$AB$147, "*"&amp;BD$46&amp;"*")+COUNTIF(Logs!$AB$177:'Logs'!$AB$188, "*"&amp;BD$46&amp;"*")+COUNTIF(Logs!$AA$215:'Logs'!$AA$241, "*"&amp;BD$46&amp;"*")+COUNTIF(Logs!$AB$250:'Logs'!$AB$1001, "*"&amp;BD$46&amp;"*")+COUNTIF(Logs!$AA$571:'Logs'!$AA$599, "*"&amp;BD$46&amp;"*")+COUNTIF(Logs!$Z$607:'Logs'!$Z$615, "*"&amp;BD$46&amp;"*")+COUNTIF(Logs!$AA$640:'Logs'!$AA$649, "*"&amp;BD$46&amp;"*")</f>
        <v>16</v>
      </c>
      <c r="BE59" s="39">
        <f>COUNTIF(Logs!$AC$9:'Logs'!$AC$1001, "*"&amp;BE$46&amp;"*")+COUNTIF(Logs!$AB$101:'Logs'!$AB$110, "*"&amp;BE$46&amp;"*")+COUNTIF(Logs!$AB$139:'Logs'!$AB$147, "*"&amp;BE$46&amp;"*")+COUNTIF(Logs!$AB$177:'Logs'!$AB$188, "*"&amp;BE$46&amp;"*")+COUNTIF(Logs!$AA$215:'Logs'!$AA$241, "*"&amp;BE$46&amp;"*")+COUNTIF(Logs!$AB$250:'Logs'!$AB$1001, "*"&amp;BE$46&amp;"*")+COUNTIF(Logs!$AA$571:'Logs'!$AA$599, "*"&amp;BE$46&amp;"*")+COUNTIF(Logs!$Z$607:'Logs'!$Z$615, "*"&amp;BE$46&amp;"*")+COUNTIF(Logs!$AA$640:'Logs'!$AA$649, "*"&amp;BE$46&amp;"*")</f>
        <v>17</v>
      </c>
      <c r="BF59" s="361">
        <f>COUNTIF(Logs!$AC$9:'Logs'!$AC$1001, "*"&amp;BF$46&amp;"*")+COUNTIF(Logs!$AB$101:'Logs'!$AB$110, "*"&amp;BF$46&amp;"*")+COUNTIF(Logs!$AB$139:'Logs'!$AB$147, "*"&amp;BF$46&amp;"*")+COUNTIF(Logs!$AB$177:'Logs'!$AB$188, "*"&amp;BF$46&amp;"*")+COUNTIF(Logs!$AA$215:'Logs'!$AA$241, "*"&amp;BF$46&amp;"*")+COUNTIF(Logs!$AB$250:'Logs'!$AB$1001, "*"&amp;BF$46&amp;"*")+COUNTIF(Logs!$AA$571:'Logs'!$AA$599, "*"&amp;BF$46&amp;"*")+COUNTIF(Logs!$Z$607:'Logs'!$Z$615, "*"&amp;BF$46&amp;"*")+COUNTIF(Logs!$AA$640:'Logs'!$AA$649, "*"&amp;BF$46&amp;"*")</f>
        <v>0</v>
      </c>
      <c r="BG59">
        <f>COUNTIF(Logs!$AC$9:'Logs'!$AC$1001, "*"&amp;BG$46&amp;"*")+COUNTIF(Logs!$AB$101:'Logs'!$AB$110, "*"&amp;BG$46&amp;"*")+COUNTIF(Logs!$AB$139:'Logs'!$AB$147, "*"&amp;BG$46&amp;"*")+COUNTIF(Logs!$AB$177:'Logs'!$AB$188, "*"&amp;BG$46&amp;"*")+COUNTIF(Logs!$AA$215:'Logs'!$AA$241, "*"&amp;BG$46&amp;"*")+COUNTIF(Logs!$AB$250:'Logs'!$AB$1001, "*"&amp;BG$46&amp;"*")+COUNTIF(Logs!$AA$571:'Logs'!$AA$599, "*"&amp;BG$46&amp;"*")+COUNTIF(Logs!$Z$607:'Logs'!$Z$615, "*"&amp;BG$46&amp;"*")+COUNTIF(Logs!$AA$640:'Logs'!$AA$649, "*"&amp;BG$46&amp;"*")</f>
        <v>0</v>
      </c>
      <c r="BH59" s="590">
        <f>COUNTIF(Logs!$AC$9:'Logs'!$AC$1001, "*"&amp;BH$46&amp;"*")+COUNTIF(Logs!$AB$101:'Logs'!$AB$110, "*"&amp;BH$46&amp;"*")+COUNTIF(Logs!$AB$139:'Logs'!$AB$147, "*"&amp;BH$46&amp;"*")+COUNTIF(Logs!$AB$177:'Logs'!$AB$188, "*"&amp;BH$46&amp;"*")+COUNTIF(Logs!$AA$215:'Logs'!$AA$241, "*"&amp;BH$46&amp;"*")+COUNTIF(Logs!$AB$250:'Logs'!$AB$1001, "*"&amp;BH$46&amp;"*")+COUNTIF(Logs!$AA$571:'Logs'!$AA$599, "*"&amp;BH$46&amp;"*")+COUNTIF(Logs!$Z$607:'Logs'!$Z$615, "*"&amp;BH$46&amp;"*")+COUNTIF(Logs!$AA$640:'Logs'!$AA$649, "*"&amp;BH$46&amp;"*")</f>
        <v>4</v>
      </c>
      <c r="BI59" s="329">
        <f>COUNTIF(Logs!$AC$9:'Logs'!$AC$1001, "*"&amp;BI$46&amp;"*")+COUNTIF(Logs!$AB$101:'Logs'!$AB$110, "*"&amp;BI$46&amp;"*")+COUNTIF(Logs!$AB$139:'Logs'!$AB$147, "*"&amp;BI$46&amp;"*")+COUNTIF(Logs!$AB$177:'Logs'!$AB$188, "*"&amp;BI$46&amp;"*")+COUNTIF(Logs!$AA$215:'Logs'!$AA$241, "*"&amp;BI$46&amp;"*")+COUNTIF(Logs!$AB$250:'Logs'!$AB$1001, "*"&amp;BI$46&amp;"*")+COUNTIF(Logs!$AA$571:'Logs'!$AA$599, "*"&amp;BI$46&amp;"*")+COUNTIF(Logs!$Z$607:'Logs'!$Z$615, "*"&amp;BI$46&amp;"*")+COUNTIF(Logs!$AA$640:'Logs'!$AA$649, "*"&amp;BI$46&amp;"*")</f>
        <v>21</v>
      </c>
      <c r="BJ59" s="35">
        <f>SUM(Table37[[#This Row],[Animals]:[Travel Issues]])</f>
        <v>196</v>
      </c>
    </row>
    <row r="60" spans="2:62">
      <c r="B60" s="163" t="s">
        <v>144</v>
      </c>
      <c r="C60" s="291">
        <f t="shared" si="0"/>
        <v>67</v>
      </c>
      <c r="D60" s="25">
        <f>COUNTIF(Logs!$Q$338:'Logs'!$AB$346, "*"&amp;D$41&amp;"*")</f>
        <v>3</v>
      </c>
      <c r="E60" s="33">
        <f>COUNTIF(Logs!$Q$338:'Logs'!$AB$346, "Attention to Detail")</f>
        <v>3</v>
      </c>
      <c r="F60" s="1306">
        <f>COUNTIF(Logs!$Q$338:'Logs'!$AB$346, "*"&amp;F$41&amp;"*")</f>
        <v>1</v>
      </c>
      <c r="G60" s="1307">
        <f>COUNTIF(Logs!$Q$338:'Logs'!$AB$346, "*"&amp;G$41&amp;"*")</f>
        <v>3</v>
      </c>
      <c r="H60" s="642">
        <f>COUNTIF(Logs!$Q$338:'Logs'!$AB$346, "*"&amp;H$41&amp;"*")</f>
        <v>7</v>
      </c>
      <c r="I60">
        <f>COUNTIF(Logs!$Q$338:'Logs'!$AB$346, "*"&amp;I$41&amp;"*")</f>
        <v>1</v>
      </c>
      <c r="J60" s="1308">
        <f>COUNTIF(Logs!$Q$338:'Logs'!$AB$346, "*"&amp;J$41&amp;"*")</f>
        <v>0</v>
      </c>
      <c r="K60" s="233">
        <f>COUNTIF(Logs!$Q$338:'Logs'!$AB$346, "*"&amp;K$41&amp;"*")</f>
        <v>2</v>
      </c>
      <c r="L60" s="36">
        <f>COUNTIF(Logs!$Q$338:'Logs'!$AB$346, "*"&amp;L$41&amp;"*")</f>
        <v>4</v>
      </c>
      <c r="M60" s="234">
        <f>COUNTIF(Logs!$Q$338:'Logs'!$AB$346, "*"&amp;M$41&amp;"*")</f>
        <v>0</v>
      </c>
      <c r="N60" s="37">
        <f>COUNTIF(Logs!$Q$338:'Logs'!$AB$346, "*"&amp;N$41&amp;"*")</f>
        <v>0</v>
      </c>
      <c r="O60" s="37">
        <f>COUNTIF(Logs!$Q$338:'Logs'!$AB$346, "*"&amp;O$41&amp;"*")</f>
        <v>1</v>
      </c>
      <c r="P60" s="242">
        <f>COUNTIF(Logs!$Q$338:'Logs'!$AB$346, "Hand Eye Coordination")</f>
        <v>1</v>
      </c>
      <c r="Q60" s="8">
        <f>COUNTIF(Logs!$Q$338:'Logs'!$AB$346, "*"&amp;Q$41&amp;"*")</f>
        <v>4</v>
      </c>
      <c r="R60" s="238">
        <f>COUNTIF(Logs!$Q$338:'Logs'!$AB$346, "*"&amp;R$41&amp;"*")</f>
        <v>1</v>
      </c>
      <c r="S60" s="498">
        <f>COUNTIF(Logs!$Q$338:'Logs'!$AB$346, "*"&amp;S$41&amp;"*")</f>
        <v>0</v>
      </c>
      <c r="T60" s="1309">
        <f>COUNTIF(Logs!$Q$338:'Logs'!$AB$346, "Memorization")</f>
        <v>5</v>
      </c>
      <c r="U60" s="499">
        <f>COUNTIF(Logs!$Q$338:'Logs'!$AB$346, "*"&amp;U$41&amp;"*")</f>
        <v>1</v>
      </c>
      <c r="V60" s="500">
        <f>COUNTIF(Logs!$Q$338:'Logs'!$AB$346, "*"&amp;V$41&amp;"*")</f>
        <v>1</v>
      </c>
      <c r="W60" s="501">
        <f>COUNTIF(Logs!$Q$338:'Logs'!$AB$346, W$41)</f>
        <v>1</v>
      </c>
      <c r="X60" s="276">
        <f>COUNTIF(Logs!$Q$338:'Logs'!$AB$346, "*"&amp;X$41&amp;"*")</f>
        <v>0</v>
      </c>
      <c r="Y60" s="34">
        <f>COUNTIF(Logs!$Q$338:'Logs'!$AB$346, "Physical Strength")</f>
        <v>7</v>
      </c>
      <c r="Z60" s="10">
        <f>COUNTIF(Logs!$Q$338:'Logs'!$AB$346, "*"&amp;Z$41&amp;"*")</f>
        <v>6</v>
      </c>
      <c r="AA60" s="39">
        <f>COUNTIF(Logs!$Q$338:'Logs'!$AB$346, "*"&amp;AA$41&amp;"*")</f>
        <v>6</v>
      </c>
      <c r="AB60" s="361">
        <f>COUNTIF(Logs!$Q$338:'Logs'!$AB$346, "*"&amp;AB$41&amp;"*")</f>
        <v>0</v>
      </c>
      <c r="AC60" s="1310">
        <f>COUNTIF(Logs!$Q$338:'Logs'!$AB$346, "*"&amp;AC$41&amp;"*")</f>
        <v>0</v>
      </c>
      <c r="AD60" s="279">
        <f>COUNTIF(Logs!$Q$338:'Logs'!$AB$346, "*"&amp;AD$41&amp;"*")</f>
        <v>0</v>
      </c>
      <c r="AE60" s="280">
        <f>COUNTIF(Logs!$Q$338:'Logs'!$AB$346, "*"&amp;AE$41&amp;"*")</f>
        <v>9</v>
      </c>
      <c r="AG60" s="272" t="s">
        <v>200</v>
      </c>
      <c r="AH60" s="25">
        <f>SUM(Table37[Animals])</f>
        <v>93</v>
      </c>
      <c r="AI60" s="33">
        <f>SUM(Table37[ATD])</f>
        <v>186</v>
      </c>
      <c r="AJ60" s="587">
        <f>SUM(Table37[Balance])</f>
        <v>49</v>
      </c>
      <c r="AK60" s="66">
        <f>SUM(Table37[Biking])</f>
        <v>43</v>
      </c>
      <c r="AL60" s="642">
        <f>SUM(Table37[Building])</f>
        <v>87</v>
      </c>
      <c r="AM60">
        <f>SUM(Table37[Cooking])</f>
        <v>44</v>
      </c>
      <c r="AN60" s="588">
        <f>SUM(Table37[Counting])</f>
        <v>11</v>
      </c>
      <c r="AO60" s="233">
        <f>SUM(Table37[Dancing])</f>
        <v>44</v>
      </c>
      <c r="AP60" s="36">
        <f>SUM(Table37[Driving])</f>
        <v>202</v>
      </c>
      <c r="AQ60" s="577">
        <f>SUM(Table37[Flags])</f>
        <v>8</v>
      </c>
      <c r="AR60">
        <f>SUM(Table37[Food])</f>
        <v>66</v>
      </c>
      <c r="AS60">
        <f>SUM(Table37[Geography])</f>
        <v>7</v>
      </c>
      <c r="AT60" s="242">
        <f>SUM(Table37[Hand Eye Coordination])</f>
        <v>78</v>
      </c>
      <c r="AU60" s="8">
        <f>SUM(Table37[Heights])</f>
        <v>122</v>
      </c>
      <c r="AV60" s="576">
        <f>SUM(Table37[Language])</f>
        <v>43</v>
      </c>
      <c r="AW60" s="498">
        <f>SUM(Table37[Math])</f>
        <v>15</v>
      </c>
      <c r="AX60" s="575">
        <f>SUM(Table37[Memorization])</f>
        <v>69</v>
      </c>
      <c r="AY60" s="499">
        <f>SUM(Table37[Music])</f>
        <v>20</v>
      </c>
      <c r="AZ60" s="500">
        <f>SUM(Table37[Navigation])</f>
        <v>23</v>
      </c>
      <c r="BA60" s="574">
        <f>SUM(Table37[Pain])</f>
        <v>29</v>
      </c>
      <c r="BB60" s="589">
        <f>SUM(Table37[Painting])</f>
        <v>16</v>
      </c>
      <c r="BC60" s="34">
        <f>SUM(Table37[Physical Strength])</f>
        <v>311</v>
      </c>
      <c r="BD60" s="10">
        <f>SUM(Table37[Puzzle])</f>
        <v>81</v>
      </c>
      <c r="BE60" s="39">
        <f>SUM(Table37[Searching])</f>
        <v>227</v>
      </c>
      <c r="BF60" s="361">
        <f>SUM(Table37[Selling])</f>
        <v>19</v>
      </c>
      <c r="BG60">
        <f>SUM(Table37[Singing])</f>
        <v>12</v>
      </c>
      <c r="BH60" s="590">
        <f>SUM(Table37[Swimming])</f>
        <v>37</v>
      </c>
      <c r="BI60" s="329">
        <f>SUM(Table37[Travel Issues])</f>
        <v>290</v>
      </c>
      <c r="BJ60" s="564">
        <f>SUM(Table37[[#Totals],[Animals]:[Travel Issues]])</f>
        <v>2232</v>
      </c>
    </row>
    <row r="61" spans="2:62">
      <c r="B61" s="163" t="s">
        <v>145</v>
      </c>
      <c r="C61" s="291">
        <f t="shared" si="0"/>
        <v>65</v>
      </c>
      <c r="D61" s="25">
        <f>COUNTIF(Logs!$Q$356:'Logs'!$AB$364, "*"&amp;D$41&amp;"*")</f>
        <v>3</v>
      </c>
      <c r="E61" s="33">
        <f>COUNTIF(Logs!$Q$356:'Logs'!$AB$364, "Attention to Detail")</f>
        <v>9</v>
      </c>
      <c r="F61" s="1306">
        <f>COUNTIF(Logs!$Q$356:'Logs'!$AB$364, "*"&amp;F$41&amp;"*")</f>
        <v>2</v>
      </c>
      <c r="G61" s="1307">
        <f>COUNTIF(Logs!$Q$356:'Logs'!$AB$364, "*"&amp;G$41&amp;"*")</f>
        <v>1</v>
      </c>
      <c r="H61" s="642">
        <f>COUNTIF(Logs!$Q$356:'Logs'!$AB$364, "*"&amp;H$41&amp;"*")</f>
        <v>4</v>
      </c>
      <c r="I61">
        <f>COUNTIF(Logs!$Q$356:'Logs'!$AB$364, "*"&amp;I$41&amp;"*")</f>
        <v>1</v>
      </c>
      <c r="J61" s="1308">
        <f>COUNTIF(Logs!$Q$356:'Logs'!$AB$364, "*"&amp;J$41&amp;"*")</f>
        <v>0</v>
      </c>
      <c r="K61" s="233">
        <f>COUNTIF(Logs!$Q$356:'Logs'!$AB$364, "*"&amp;K$41&amp;"*")</f>
        <v>2</v>
      </c>
      <c r="L61" s="36">
        <f>COUNTIF(Logs!$Q$356:'Logs'!$AB$364, "*"&amp;L$41&amp;"*")</f>
        <v>7</v>
      </c>
      <c r="M61" s="234">
        <f>COUNTIF(Logs!$Q$356:'Logs'!$AB$364, "*"&amp;M$41&amp;"*")</f>
        <v>0</v>
      </c>
      <c r="N61" s="37">
        <f>COUNTIF(Logs!$Q$356:'Logs'!$AB$364, "*"&amp;N$41&amp;"*")</f>
        <v>2</v>
      </c>
      <c r="O61" s="37">
        <f>COUNTIF(Logs!$Q$356:'Logs'!$AB$364, "*"&amp;O$41&amp;"*")</f>
        <v>0</v>
      </c>
      <c r="P61" s="242">
        <f>COUNTIF(Logs!$Q$356:'Logs'!$AB$364, "Hand Eye Coordination")</f>
        <v>4</v>
      </c>
      <c r="Q61" s="8">
        <f>COUNTIF(Logs!$Q$356:'Logs'!$AB$364, "*"&amp;Q$41&amp;"*")</f>
        <v>3</v>
      </c>
      <c r="R61" s="238">
        <f>COUNTIF(Logs!$Q$356:'Logs'!$AB$364, "*"&amp;R$41&amp;"*")</f>
        <v>0</v>
      </c>
      <c r="S61" s="498">
        <f>COUNTIF(Logs!$Q$356:'Logs'!$AB$364, "*"&amp;S$41&amp;"*")</f>
        <v>1</v>
      </c>
      <c r="T61" s="1309">
        <f>COUNTIF(Logs!$Q$356:'Logs'!$AB$364, "Memorization")</f>
        <v>1</v>
      </c>
      <c r="U61" s="499">
        <f>COUNTIF(Logs!$Q$356:'Logs'!$AB$364, "*"&amp;U$41&amp;"*")</f>
        <v>0</v>
      </c>
      <c r="V61" s="500">
        <f>COUNTIF(Logs!$Q$356:'Logs'!$AB$364, "*"&amp;V$41&amp;"*")</f>
        <v>0</v>
      </c>
      <c r="W61" s="501">
        <f>COUNTIF(Logs!$Q$356:'Logs'!$AB$364, W$41)</f>
        <v>1</v>
      </c>
      <c r="X61" s="276">
        <f>COUNTIF(Logs!$Q$356:'Logs'!$AB$364, "*"&amp;X$41&amp;"*")</f>
        <v>1</v>
      </c>
      <c r="Y61" s="34">
        <f>COUNTIF(Logs!$Q$356:'Logs'!$AB$364, "Physical Strength")</f>
        <v>8</v>
      </c>
      <c r="Z61" s="10">
        <f>COUNTIF(Logs!$Q$356:'Logs'!$AB$364, "*"&amp;Z$41&amp;"*")</f>
        <v>2</v>
      </c>
      <c r="AA61" s="39">
        <f>COUNTIF(Logs!$Q$356:'Logs'!$AB$364, "*"&amp;AA$41&amp;"*")</f>
        <v>4</v>
      </c>
      <c r="AB61" s="361">
        <f>COUNTIF(Logs!$Q$356:'Logs'!$AB$364, "*"&amp;AB$41&amp;"*")</f>
        <v>1</v>
      </c>
      <c r="AC61" s="1310">
        <f>COUNTIF(Logs!$Q$356:'Logs'!$AB$364, "*"&amp;AC$41&amp;"*")</f>
        <v>1</v>
      </c>
      <c r="AD61" s="279">
        <f>COUNTIF(Logs!$Q$356:'Logs'!$AB$364, "*"&amp;AD$41&amp;"*")</f>
        <v>0</v>
      </c>
      <c r="AE61" s="280">
        <f>COUNTIF(Logs!$Q$356:'Logs'!$AB$364, "*"&amp;AE$41&amp;"*")</f>
        <v>7</v>
      </c>
      <c r="AV61" s="591"/>
      <c r="AW61" s="564"/>
    </row>
    <row r="62" spans="2:62">
      <c r="B62" s="163" t="s">
        <v>146</v>
      </c>
      <c r="C62" s="291">
        <f t="shared" si="0"/>
        <v>59</v>
      </c>
      <c r="D62" s="25">
        <f>COUNTIF(Logs!$Q$374:'Logs'!$AB$382, "*"&amp;D$41&amp;"*")</f>
        <v>2</v>
      </c>
      <c r="E62" s="33">
        <f>COUNTIF(Logs!$Q$374:'Logs'!$AB$382,  "Attention to Detail")</f>
        <v>6</v>
      </c>
      <c r="F62" s="1306">
        <f>COUNTIF(Logs!$Q$374:'Logs'!$AB$382, "*"&amp;F$41&amp;"*")</f>
        <v>2</v>
      </c>
      <c r="G62" s="1307">
        <f>COUNTIF(Logs!$Q$374:'Logs'!$AB$382, "*"&amp;G$41&amp;"*")</f>
        <v>0</v>
      </c>
      <c r="H62" s="642">
        <f>COUNTIF(Logs!$Q$374:'Logs'!$AB$382, "*"&amp;H$41&amp;"*")</f>
        <v>3</v>
      </c>
      <c r="I62">
        <f>COUNTIF(Logs!$Q$374:'Logs'!$AB$382, "*"&amp;I$41&amp;"*")</f>
        <v>2</v>
      </c>
      <c r="J62" s="1308">
        <f>COUNTIF(Logs!$Q$374:'Logs'!$AB$382, "*"&amp;J$41&amp;"*")</f>
        <v>0</v>
      </c>
      <c r="K62" s="233">
        <f>COUNTIF(Logs!$Q$374:'Logs'!$AB$382, "*"&amp;K$41&amp;"*")</f>
        <v>3</v>
      </c>
      <c r="L62" s="36">
        <f>COUNTIF(Logs!$Q$374:'Logs'!$AB$382, "*"&amp;L$41&amp;"*")</f>
        <v>2</v>
      </c>
      <c r="M62" s="234">
        <f>COUNTIF(Logs!$Q$374:'Logs'!$AB$382, "*"&amp;M$41&amp;"*")</f>
        <v>0</v>
      </c>
      <c r="N62" s="37">
        <f>COUNTIF(Logs!$Q$374:'Logs'!$AB$382, "*"&amp;N$41&amp;"*")</f>
        <v>4</v>
      </c>
      <c r="O62" s="37">
        <f>COUNTIF(Logs!$Q$374:'Logs'!$AB$382, "*"&amp;O$41&amp;"*")</f>
        <v>0</v>
      </c>
      <c r="P62" s="242">
        <f>COUNTIF(Logs!$Q$374:'Logs'!$AB$382, "Hand Eye Coordination")</f>
        <v>2</v>
      </c>
      <c r="Q62" s="8">
        <f>COUNTIF(Logs!$Q$374:'Logs'!$AB$382, "*"&amp;Q$41&amp;"*")</f>
        <v>1</v>
      </c>
      <c r="R62" s="238">
        <f>COUNTIF(Logs!$Q$374:'Logs'!$AB$382, "*"&amp;R$41&amp;"*")</f>
        <v>2</v>
      </c>
      <c r="S62" s="498">
        <f>COUNTIF(Logs!$Q$374:'Logs'!$AB$382, "*"&amp;S$41&amp;"*")</f>
        <v>1</v>
      </c>
      <c r="T62" s="1309">
        <f>COUNTIF(Logs!$Q$374:'Logs'!$AB$382, "Memorization")</f>
        <v>1</v>
      </c>
      <c r="U62" s="499">
        <f>COUNTIF(Logs!$Q$374:'Logs'!$AB$382, "*"&amp;U$41&amp;"*")</f>
        <v>0</v>
      </c>
      <c r="V62" s="500">
        <f>COUNTIF(Logs!$Q$374:'Logs'!$AB$382, "*"&amp;V$41&amp;"*")</f>
        <v>0</v>
      </c>
      <c r="W62" s="501">
        <f>COUNTIF(Logs!$Q$374:'Logs'!$AB$382, W$41)</f>
        <v>1</v>
      </c>
      <c r="X62" s="276">
        <f>COUNTIF(Logs!$Q$374:'Logs'!$AB$382, "*"&amp;X$41&amp;"*")</f>
        <v>0</v>
      </c>
      <c r="Y62" s="34">
        <f>COUNTIF(Logs!$Q$374:'Logs'!$AB$382, "Physical Strength")</f>
        <v>10</v>
      </c>
      <c r="Z62" s="10">
        <f>COUNTIF(Logs!$Q$374:'Logs'!$AB$382, "*"&amp;Z$41&amp;"*")</f>
        <v>3</v>
      </c>
      <c r="AA62" s="39">
        <f>COUNTIF(Logs!$Q$374:'Logs'!$AB$382, "*"&amp;AA$41&amp;"*")</f>
        <v>4</v>
      </c>
      <c r="AB62" s="361">
        <f>COUNTIF(Logs!$Q$374:'Logs'!$AB$382, "*"&amp;AB$41&amp;"*")</f>
        <v>1</v>
      </c>
      <c r="AC62" s="1310">
        <f>COUNTIF(Logs!$Q$374:'Logs'!$AB$382, "*"&amp;AC$41&amp;"*")</f>
        <v>0</v>
      </c>
      <c r="AD62" s="279">
        <f>COUNTIF(Logs!$Q$374:'Logs'!$AB$382, "*"&amp;AD$41&amp;"*")</f>
        <v>1</v>
      </c>
      <c r="AE62" s="280">
        <f>COUNTIF(Logs!$Q$374:'Logs'!$AB$382, "*"&amp;AE$41&amp;"*")</f>
        <v>8</v>
      </c>
      <c r="AV62" s="592"/>
      <c r="AW62" s="564"/>
    </row>
    <row r="63" spans="2:62">
      <c r="B63" s="163" t="s">
        <v>147</v>
      </c>
      <c r="C63" s="291">
        <f t="shared" si="0"/>
        <v>56</v>
      </c>
      <c r="D63" s="25">
        <f>COUNTIF(Logs!$Q$393:'Logs'!$AB$401, "*"&amp;D$41&amp;"*")</f>
        <v>4</v>
      </c>
      <c r="E63" s="33">
        <f>COUNTIF(Logs!$Q$393:'Logs'!$AB$401,  "Attention to Detail")</f>
        <v>6</v>
      </c>
      <c r="F63" s="1306">
        <f>COUNTIF(Logs!$Q$393:'Logs'!$AB$401, "*"&amp;F$41&amp;"*")</f>
        <v>2</v>
      </c>
      <c r="G63" s="1307">
        <f>COUNTIF(Logs!$Q$393:'Logs'!$AB$401, "*"&amp;G$41&amp;"*")</f>
        <v>0</v>
      </c>
      <c r="H63" s="642">
        <f>COUNTIF(Logs!$Q$393:'Logs'!$AB$401, "*"&amp;H$41&amp;"*")</f>
        <v>3</v>
      </c>
      <c r="I63">
        <f>COUNTIF(Logs!$Q$393:'Logs'!$AB$401, "*"&amp;I$41&amp;"*")</f>
        <v>1</v>
      </c>
      <c r="J63" s="1308">
        <f>COUNTIF(Logs!$Q$393:'Logs'!$AB$401, "*"&amp;J$41&amp;"*")</f>
        <v>0</v>
      </c>
      <c r="K63" s="233">
        <f>COUNTIF(Logs!$Q$393:'Logs'!$AB$401, "*"&amp;K$41&amp;"*")</f>
        <v>1</v>
      </c>
      <c r="L63" s="36">
        <f>COUNTIF(Logs!$Q$393:'Logs'!$AB$401, "*"&amp;L$41&amp;"*")</f>
        <v>4</v>
      </c>
      <c r="M63" s="234">
        <f>COUNTIF(Logs!$Q$393:'Logs'!$AB$401, "*"&amp;M$41&amp;"*")</f>
        <v>0</v>
      </c>
      <c r="N63" s="37">
        <f>COUNTIF(Logs!$Q$393:'Logs'!$AB$401, "*"&amp;N$41&amp;"*")</f>
        <v>1</v>
      </c>
      <c r="O63" s="37">
        <f>COUNTIF(Logs!$Q$393:'Logs'!$AB$401, "*"&amp;O$41&amp;"*")</f>
        <v>1</v>
      </c>
      <c r="P63" s="242">
        <f>COUNTIF(Logs!$Q$393:'Logs'!$AB$401, "Hand Eye Coordination")</f>
        <v>3</v>
      </c>
      <c r="Q63" s="8">
        <f>COUNTIF(Logs!$Q$393:'Logs'!$AB$401, "*"&amp;Q$41&amp;"*")</f>
        <v>4</v>
      </c>
      <c r="R63" s="238">
        <f>COUNTIF(Logs!$Q$393:'Logs'!$AB$401, "*"&amp;R$41&amp;"*")</f>
        <v>0</v>
      </c>
      <c r="S63" s="498">
        <f>COUNTIF(Logs!$Q$393:'Logs'!$AB$401, "*"&amp;S$41&amp;"*")</f>
        <v>0</v>
      </c>
      <c r="T63" s="1309">
        <f>COUNTIF(Logs!$Q$393:'Logs'!$AB$401, "Memorization")</f>
        <v>3</v>
      </c>
      <c r="U63" s="499">
        <f>COUNTIF(Logs!$Q$393:'Logs'!$AB$401, "*"&amp;U$41&amp;"*")</f>
        <v>1</v>
      </c>
      <c r="V63" s="500">
        <f>COUNTIF(Logs!$Q$393:'Logs'!$AB$401, "*"&amp;V$41&amp;"*")</f>
        <v>0</v>
      </c>
      <c r="W63" s="501">
        <f>COUNTIF(Logs!$Q$393:'Logs'!$AB$401, W$41)</f>
        <v>0</v>
      </c>
      <c r="X63" s="276">
        <f>COUNTIF(Logs!$Q$393:'Logs'!$AB$401, "*"&amp;X$41&amp;"*")</f>
        <v>1</v>
      </c>
      <c r="Y63" s="34">
        <f>COUNTIF(Logs!$Q$393:'Logs'!$AB$401, "Physical Strength")</f>
        <v>9</v>
      </c>
      <c r="Z63" s="10">
        <f>COUNTIF(Logs!$Q$393:'Logs'!$AB$401, "*"&amp;Z$41&amp;"*")</f>
        <v>1</v>
      </c>
      <c r="AA63" s="39">
        <f>COUNTIF(Logs!$Q$393:'Logs'!$AB$401, "*"&amp;AA$41&amp;"*")</f>
        <v>6</v>
      </c>
      <c r="AB63" s="361">
        <f>COUNTIF(Logs!$Q$393:'Logs'!$AB$401, "*"&amp;AB$41&amp;"*")</f>
        <v>0</v>
      </c>
      <c r="AC63" s="1310">
        <f>COUNTIF(Logs!$Q$393:'Logs'!$AB$401, "*"&amp;AC$41&amp;"*")</f>
        <v>0</v>
      </c>
      <c r="AD63" s="279">
        <f>COUNTIF(Logs!$Q$393:'Logs'!$AB$401, "*"&amp;AD$41&amp;"*")</f>
        <v>1</v>
      </c>
      <c r="AE63" s="280">
        <f>COUNTIF(Logs!$Q$393:'Logs'!$AB$401, "*"&amp;AE$41&amp;"*")</f>
        <v>4</v>
      </c>
      <c r="AV63" s="592"/>
      <c r="AW63" s="564"/>
    </row>
    <row r="64" spans="2:62">
      <c r="B64" s="163" t="s">
        <v>148</v>
      </c>
      <c r="C64" s="291">
        <f t="shared" si="0"/>
        <v>55</v>
      </c>
      <c r="D64" s="25">
        <f>COUNTIF(Logs!$Q$411:'Logs'!$AB$419, "*"&amp;D$41&amp;"*")</f>
        <v>2</v>
      </c>
      <c r="E64" s="33">
        <f>COUNTIF(Logs!$Q$411:'Logs'!$AB$419,  "Attention to Detail")</f>
        <v>7</v>
      </c>
      <c r="F64" s="1306">
        <f>COUNTIF(Logs!$Q$411:'Logs'!$AB$419, "*"&amp;F$41&amp;"*")</f>
        <v>0</v>
      </c>
      <c r="G64" s="1307">
        <f>COUNTIF(Logs!$Q$411:'Logs'!$AB$419, "*"&amp;G$41&amp;"*")</f>
        <v>0</v>
      </c>
      <c r="H64" s="642">
        <f>COUNTIF(Logs!$Q$411:'Logs'!$AB$419, "*"&amp;H$41&amp;"*")</f>
        <v>3</v>
      </c>
      <c r="I64">
        <f>COUNTIF(Logs!$Q$411:'Logs'!$AB$419, "*"&amp;I$41&amp;"*")</f>
        <v>2</v>
      </c>
      <c r="J64" s="1308">
        <f>COUNTIF(Logs!$Q$411:'Logs'!$AB$419, "*"&amp;J$41&amp;"*")</f>
        <v>0</v>
      </c>
      <c r="K64" s="233">
        <f>COUNTIF(Logs!$Q$411:'Logs'!$AB$419, "*"&amp;K$41&amp;"*")</f>
        <v>1</v>
      </c>
      <c r="L64" s="36">
        <f>COUNTIF(Logs!$Q$411:'Logs'!$AB$419, "*"&amp;L$41&amp;"*")</f>
        <v>2</v>
      </c>
      <c r="M64" s="234">
        <f>COUNTIF(Logs!$Q$411:'Logs'!$AB$419, "*"&amp;M$41&amp;"*")</f>
        <v>0</v>
      </c>
      <c r="N64" s="37">
        <f>COUNTIF(Logs!$Q$411:'Logs'!$AB$419, "*"&amp;N$41&amp;"*")</f>
        <v>1</v>
      </c>
      <c r="O64" s="37">
        <f>COUNTIF(Logs!$Q$411:'Logs'!$AB$419, "*"&amp;O$41&amp;"*")</f>
        <v>0</v>
      </c>
      <c r="P64" s="242">
        <f>COUNTIF(Logs!$Q$411:'Logs'!$AB$419, "Hand Eye Coordination")</f>
        <v>2</v>
      </c>
      <c r="Q64" s="8">
        <f>COUNTIF(Logs!$Q$411:'Logs'!$AB$419, "*"&amp;Q$41&amp;"*")</f>
        <v>5</v>
      </c>
      <c r="R64" s="238">
        <f>COUNTIF(Logs!$Q$411:'Logs'!$AB$419, "*"&amp;R$41&amp;"*")</f>
        <v>1</v>
      </c>
      <c r="S64" s="498">
        <f>COUNTIF(Logs!$Q$411:'Logs'!$AB$419, "*"&amp;S$41&amp;"*")</f>
        <v>1</v>
      </c>
      <c r="T64" s="1309">
        <f>COUNTIF(Logs!$Q$411:'Logs'!$AB$419, "Memorization")</f>
        <v>2</v>
      </c>
      <c r="U64" s="499">
        <f>COUNTIF(Logs!$Q$411:'Logs'!$AB$419, "*"&amp;U$41&amp;"*")</f>
        <v>1</v>
      </c>
      <c r="V64" s="500">
        <f>COUNTIF(Logs!$Q$411:'Logs'!$AB$419, "*"&amp;V$41&amp;"*")</f>
        <v>0</v>
      </c>
      <c r="W64" s="501">
        <f>COUNTIF(Logs!$Q$411:'Logs'!$AB$419, W$41)</f>
        <v>0</v>
      </c>
      <c r="X64" s="276">
        <f>COUNTIF(Logs!$Q$411:'Logs'!$AB$419, "*"&amp;X$41&amp;"*")</f>
        <v>0</v>
      </c>
      <c r="Y64" s="34">
        <f>COUNTIF(Logs!$Q$411:'Logs'!$AB$419, "Physical Strength")</f>
        <v>9</v>
      </c>
      <c r="Z64" s="10">
        <f>COUNTIF(Logs!$Q$411:'Logs'!$AB$419, "*"&amp;Z$41&amp;"*")</f>
        <v>2</v>
      </c>
      <c r="AA64" s="39">
        <f>COUNTIF(Logs!$Q$411:'Logs'!$AB$419, "*"&amp;AA$41&amp;"*")</f>
        <v>7</v>
      </c>
      <c r="AB64" s="361">
        <f>COUNTIF(Logs!$Q$411:'Logs'!$AB$419, "*"&amp;AB$41&amp;"*")</f>
        <v>0</v>
      </c>
      <c r="AC64" s="1310">
        <f>COUNTIF(Logs!$Q$411:'Logs'!$AB$419, "*"&amp;AC$41&amp;"*")</f>
        <v>1</v>
      </c>
      <c r="AD64" s="279">
        <f>COUNTIF(Logs!$Q$411:'Logs'!$AB$419, "*"&amp;AD$41&amp;"*")</f>
        <v>2</v>
      </c>
      <c r="AE64" s="280">
        <f>COUNTIF(Logs!$Q$411:'Logs'!$AB$419, "*"&amp;AE$41&amp;"*")</f>
        <v>4</v>
      </c>
      <c r="AV64" s="592"/>
      <c r="AW64" s="564"/>
    </row>
    <row r="65" spans="2:49">
      <c r="B65" s="163" t="s">
        <v>125</v>
      </c>
      <c r="C65" s="291">
        <f t="shared" si="0"/>
        <v>56</v>
      </c>
      <c r="D65" s="25">
        <f>COUNTIF(Logs!$Q$429:'Logs'!$AB$437, "*"&amp;D$41&amp;"*")</f>
        <v>4</v>
      </c>
      <c r="E65" s="33">
        <f>COUNTIF(Logs!$Q$429:'Logs'!$AB$437, "Attention to Detail")</f>
        <v>8</v>
      </c>
      <c r="F65" s="1306">
        <f>COUNTIF(Logs!$Q$429:'Logs'!$AB$437, "*"&amp;F$41&amp;"*")</f>
        <v>0</v>
      </c>
      <c r="G65" s="1307">
        <f>COUNTIF(Logs!$Q$429:'Logs'!$AB$437, "*"&amp;G$41&amp;"*")</f>
        <v>0</v>
      </c>
      <c r="H65" s="642">
        <f>COUNTIF(Logs!$Q$429:'Logs'!$AB$437, "*"&amp;H$41&amp;"*")</f>
        <v>2</v>
      </c>
      <c r="I65">
        <f>COUNTIF(Logs!$Q$429:'Logs'!$AB$437, "*"&amp;I$41&amp;"*")</f>
        <v>0</v>
      </c>
      <c r="J65" s="1308">
        <f>COUNTIF(Logs!$Q$429:'Logs'!$AB$437, "*"&amp;J$41&amp;"*")</f>
        <v>1</v>
      </c>
      <c r="K65" s="233">
        <f>COUNTIF(Logs!$Q$429:'Logs'!$AB$437, "*"&amp;K$41&amp;"*")</f>
        <v>3</v>
      </c>
      <c r="L65" s="36">
        <f>COUNTIF(Logs!$Q$429:'Logs'!$AB$437, "*"&amp;L$41&amp;"*")</f>
        <v>2</v>
      </c>
      <c r="M65" s="234">
        <f>COUNTIF(Logs!$Q$429:'Logs'!$AB$437, "*"&amp;M$41&amp;"*")</f>
        <v>0</v>
      </c>
      <c r="N65" s="37">
        <f>COUNTIF(Logs!$Q$429:'Logs'!$AB$437, "*"&amp;N$41&amp;"*")</f>
        <v>0</v>
      </c>
      <c r="O65" s="37">
        <f>COUNTIF(Logs!$Q$429:'Logs'!$AB$437, "*"&amp;O$41&amp;"*")</f>
        <v>0</v>
      </c>
      <c r="P65" s="242">
        <f>COUNTIF(Logs!$Q$429:'Logs'!$AB$437, "Hand Eye Coordination")</f>
        <v>6</v>
      </c>
      <c r="Q65" s="8">
        <f>COUNTIF(Logs!$Q$429:'Logs'!$AB$437, "*"&amp;Q$41&amp;"*")</f>
        <v>2</v>
      </c>
      <c r="R65" s="238">
        <f>COUNTIF(Logs!$Q$429:'Logs'!$AB$437, "*"&amp;R$41&amp;"*")</f>
        <v>1</v>
      </c>
      <c r="S65" s="498">
        <f>COUNTIF(Logs!$Q$429:'Logs'!$AB$437, "*"&amp;S$41&amp;"*")</f>
        <v>2</v>
      </c>
      <c r="T65" s="1309">
        <f>COUNTIF(Logs!$Q$429:'Logs'!$AB$437, "Memorization")</f>
        <v>2</v>
      </c>
      <c r="U65" s="499">
        <f>COUNTIF(Logs!$Q$429:'Logs'!$AB$437, "*"&amp;U$41&amp;"*")</f>
        <v>1</v>
      </c>
      <c r="V65" s="500">
        <f>COUNTIF(Logs!$Q$429:'Logs'!$AB$437, "*"&amp;V$41&amp;"*")</f>
        <v>0</v>
      </c>
      <c r="W65" s="501">
        <f>COUNTIF(Logs!$Q$429:'Logs'!$AB$437, W$41)</f>
        <v>0</v>
      </c>
      <c r="X65" s="276">
        <f>COUNTIF(Logs!$Q$429:'Logs'!$AB$437, "*"&amp;X$41&amp;"*")</f>
        <v>0</v>
      </c>
      <c r="Y65" s="34">
        <f>COUNTIF(Logs!$Q$429:'Logs'!$AB$437, "Physical Strength")</f>
        <v>7</v>
      </c>
      <c r="Z65" s="10">
        <f>COUNTIF(Logs!$Q$429:'Logs'!$AB$437, "*"&amp;Z$41&amp;"*")</f>
        <v>1</v>
      </c>
      <c r="AA65" s="39">
        <f>COUNTIF(Logs!$Q$429:'Logs'!$AB$437, "*"&amp;AA$41&amp;"*")</f>
        <v>6</v>
      </c>
      <c r="AB65" s="361">
        <f>COUNTIF(Logs!$Q$429:'Logs'!$AB$437, "*"&amp;AB$41&amp;"*")</f>
        <v>0</v>
      </c>
      <c r="AC65" s="1310">
        <f>COUNTIF(Logs!$Q$429:'Logs'!$AB$437, "*"&amp;AC$41&amp;"*")</f>
        <v>0</v>
      </c>
      <c r="AD65" s="279">
        <f>COUNTIF(Logs!$Q$429:'Logs'!$AB$437, "*"&amp;AD$41&amp;"*")</f>
        <v>0</v>
      </c>
      <c r="AE65" s="280">
        <f>COUNTIF(Logs!$Q$429:'Logs'!$AB$437, "*"&amp;AE$41&amp;"*")</f>
        <v>8</v>
      </c>
      <c r="AV65" s="592"/>
      <c r="AW65" s="564"/>
    </row>
    <row r="66" spans="2:49">
      <c r="B66" s="163" t="s">
        <v>116</v>
      </c>
      <c r="C66" s="291">
        <f t="shared" si="0"/>
        <v>56</v>
      </c>
      <c r="D66" s="25">
        <f>COUNTIF(Logs!$Q$447:'Logs'!$AB$455, "*"&amp;D$41&amp;"*")</f>
        <v>3</v>
      </c>
      <c r="E66" s="33">
        <f>COUNTIF(Logs!$Q$447:'Logs'!$AB$455, "Attention to Detail")</f>
        <v>9</v>
      </c>
      <c r="F66" s="1306">
        <f>COUNTIF(Logs!$Q$447:'Logs'!$AB$455, "*"&amp;F$41&amp;"*")</f>
        <v>3</v>
      </c>
      <c r="G66" s="1307">
        <f>COUNTIF(Logs!$Q$447:'Logs'!$AB$455, "*"&amp;G$41&amp;"*")</f>
        <v>1</v>
      </c>
      <c r="H66" s="642">
        <f>COUNTIF(Logs!$Q$447:'Logs'!$AB$455, "*"&amp;H$41&amp;"*")</f>
        <v>2</v>
      </c>
      <c r="I66">
        <f>COUNTIF(Logs!$Q$447:'Logs'!$AB$455, "*"&amp;I$41&amp;"*")</f>
        <v>0</v>
      </c>
      <c r="J66" s="1308">
        <f>COUNTIF(Logs!$Q$447:'Logs'!$AB$455, "*"&amp;J$41&amp;"*")</f>
        <v>0</v>
      </c>
      <c r="K66" s="233">
        <f>COUNTIF(Logs!$Q$447:'Logs'!$AB$455, "*"&amp;K$41&amp;"*")</f>
        <v>0</v>
      </c>
      <c r="L66" s="36">
        <f>COUNTIF(Logs!$Q$447:'Logs'!$AB$455, "*"&amp;L$41&amp;"*")</f>
        <v>4</v>
      </c>
      <c r="M66" s="234">
        <f>COUNTIF(Logs!$Q$447:'Logs'!$AB$455, "*"&amp;M$41&amp;"*")</f>
        <v>0</v>
      </c>
      <c r="N66" s="37">
        <f>COUNTIF(Logs!$Q$447:'Logs'!$AB$455, "*"&amp;N$41&amp;"*")</f>
        <v>0</v>
      </c>
      <c r="O66" s="37">
        <f>COUNTIF(Logs!$Q$447:'Logs'!$AB$455, "*"&amp;O$41&amp;"*")</f>
        <v>1</v>
      </c>
      <c r="P66" s="242">
        <f>COUNTIF(Logs!$Q$447:'Logs'!$AB$455, "Hand Eye Coordination")</f>
        <v>1</v>
      </c>
      <c r="Q66" s="8">
        <f>COUNTIF(Logs!$Q$447:'Logs'!$AB$455, "*"&amp;Q$41&amp;"*")</f>
        <v>4</v>
      </c>
      <c r="R66" s="238">
        <f>COUNTIF(Logs!$Q$447:'Logs'!$AB$455, "*"&amp;R$41&amp;"*")</f>
        <v>1</v>
      </c>
      <c r="S66" s="498">
        <f>COUNTIF(Logs!$Q$447:'Logs'!$AB$455, "*"&amp;S$41&amp;"*")</f>
        <v>0</v>
      </c>
      <c r="T66" s="1309">
        <f>COUNTIF(Logs!$Q$447:'Logs'!$AB$455,"Memorization")</f>
        <v>2</v>
      </c>
      <c r="U66" s="499">
        <f>COUNTIF(Logs!$Q$447:'Logs'!$AB$455, "*"&amp;U$41&amp;"*")</f>
        <v>1</v>
      </c>
      <c r="V66" s="500">
        <f>COUNTIF(Logs!$Q$447:'Logs'!$AB$455, "*"&amp;V$41&amp;"*")</f>
        <v>0</v>
      </c>
      <c r="W66" s="501">
        <f>COUNTIF(Logs!$Q$447:'Logs'!$AB$455, W$41)</f>
        <v>1</v>
      </c>
      <c r="X66" s="276">
        <f>COUNTIF(Logs!$Q$447:'Logs'!$AB$455, "*"&amp;X$41&amp;"*")</f>
        <v>1</v>
      </c>
      <c r="Y66" s="34">
        <f>COUNTIF(Logs!$Q$447:'Logs'!$AB$455,"Physical Strength")</f>
        <v>10</v>
      </c>
      <c r="Z66" s="10">
        <f>COUNTIF(Logs!$Q$447:'Logs'!$AB$455, "*"&amp;Z$41&amp;"*")</f>
        <v>1</v>
      </c>
      <c r="AA66" s="39">
        <f>COUNTIF(Logs!$Q$447:'Logs'!$AB$455, "*"&amp;AA$41&amp;"*")</f>
        <v>4</v>
      </c>
      <c r="AB66" s="361">
        <f>COUNTIF(Logs!$Q$447:'Logs'!$AB$455, "*"&amp;AB$41&amp;"*")</f>
        <v>0</v>
      </c>
      <c r="AC66" s="1310">
        <f>COUNTIF(Logs!$Q$447:'Logs'!$AB$455, "*"&amp;AC$41&amp;"*")</f>
        <v>0</v>
      </c>
      <c r="AD66" s="279">
        <f>COUNTIF(Logs!$Q$447:'Logs'!$AB$455, "*"&amp;AD$41&amp;"*")</f>
        <v>1</v>
      </c>
      <c r="AE66" s="280">
        <f>COUNTIF(Logs!$Q$447:'Logs'!$AB$455, "*"&amp;AE$41&amp;"*")</f>
        <v>6</v>
      </c>
      <c r="AV66" s="591"/>
      <c r="AW66" s="564"/>
    </row>
    <row r="67" spans="2:49">
      <c r="B67" s="163" t="s">
        <v>104</v>
      </c>
      <c r="C67" s="291">
        <f t="shared" si="0"/>
        <v>66</v>
      </c>
      <c r="D67" s="25">
        <f>COUNTIF(Logs!$Q$465:'Logs'!$AB$473, "*"&amp;D$41&amp;"*")</f>
        <v>4</v>
      </c>
      <c r="E67" s="33">
        <f>COUNTIF(Logs!$Q$465:'Logs'!$AB$473, "Attention to Detail")</f>
        <v>4</v>
      </c>
      <c r="F67" s="1306">
        <f>COUNTIF(Logs!$Q$465:'Logs'!$AB$473, "*"&amp;F$41&amp;"*")</f>
        <v>3</v>
      </c>
      <c r="G67" s="1307">
        <f>COUNTIF(Logs!$Q$465:'Logs'!$AB$473, "*"&amp;G$41&amp;"*")</f>
        <v>0</v>
      </c>
      <c r="H67" s="642">
        <f>COUNTIF(Logs!$Q$465:'Logs'!$AB$473, "*"&amp;H$41&amp;"*")</f>
        <v>4</v>
      </c>
      <c r="I67">
        <f>COUNTIF(Logs!$Q$465:'Logs'!$AB$473, "*"&amp;I$41&amp;"*")</f>
        <v>2</v>
      </c>
      <c r="J67" s="1308">
        <f>COUNTIF(Logs!$Q$465:'Logs'!$AB$473, "*"&amp;J$41&amp;"*")</f>
        <v>0</v>
      </c>
      <c r="K67" s="233">
        <f>COUNTIF(Logs!$Q$465:'Logs'!$AB$473, "*"&amp;K$41&amp;"*")</f>
        <v>3</v>
      </c>
      <c r="L67" s="36">
        <f>COUNTIF(Logs!$Q$465:'Logs'!$AB$473, "*"&amp;L$41&amp;"*")</f>
        <v>3</v>
      </c>
      <c r="M67" s="234">
        <f>COUNTIF(Logs!$Q$465:'Logs'!$AB$473, "*"&amp;M$41&amp;"*")</f>
        <v>0</v>
      </c>
      <c r="N67" s="37">
        <f>COUNTIF(Logs!$Q$465:'Logs'!$AB$473, "*"&amp;N$41&amp;"*")</f>
        <v>3</v>
      </c>
      <c r="O67" s="37">
        <f>COUNTIF(Logs!$Q$465:'Logs'!$AB$473, "*"&amp;O$41&amp;"*")</f>
        <v>0</v>
      </c>
      <c r="P67" s="242">
        <f>COUNTIF(Logs!$Q$465:'Logs'!$AB$473, "Hand Eye Coordination")</f>
        <v>4</v>
      </c>
      <c r="Q67" s="8">
        <f>COUNTIF(Logs!$Q$465:'Logs'!$AB$473, "*"&amp;Q$41&amp;"*")</f>
        <v>4</v>
      </c>
      <c r="R67" s="238">
        <f>COUNTIF(Logs!$Q$465:'Logs'!$AB$473, "*"&amp;R$41&amp;"*")</f>
        <v>3</v>
      </c>
      <c r="S67" s="498">
        <f>COUNTIF(Logs!$Q$465:'Logs'!$AB$473, "*"&amp;S$41&amp;"*")</f>
        <v>1</v>
      </c>
      <c r="T67" s="1309">
        <f>COUNTIF(Logs!$Q$465:'Logs'!$AB$473, "Memorization")</f>
        <v>1</v>
      </c>
      <c r="U67" s="499">
        <f>COUNTIF(Logs!$Q$465:'Logs'!$AB$473, "*"&amp;U$41&amp;"*")</f>
        <v>0</v>
      </c>
      <c r="V67" s="500">
        <f>COUNTIF(Logs!$Q$465:'Logs'!$AB$473, "*"&amp;V$41&amp;"*")</f>
        <v>1</v>
      </c>
      <c r="W67" s="501">
        <f>COUNTIF(Logs!$Q$465:'Logs'!$AB$473,W$41)</f>
        <v>0</v>
      </c>
      <c r="X67" s="276">
        <f>COUNTIF(Logs!$Q$465:'Logs'!$AB$473, "*"&amp;X$41&amp;"*")</f>
        <v>0</v>
      </c>
      <c r="Y67" s="34">
        <f>COUNTIF(Logs!$Q$465:'Logs'!$AB$473, "Physical Strength")</f>
        <v>8</v>
      </c>
      <c r="Z67" s="10">
        <f>COUNTIF(Logs!$Q$465:'Logs'!$AB$473, "*"&amp;Z$41&amp;"*")</f>
        <v>3</v>
      </c>
      <c r="AA67" s="39">
        <f>COUNTIF(Logs!$Q$465:'Logs'!$AB$473, "*"&amp;AA$41&amp;"*")</f>
        <v>4</v>
      </c>
      <c r="AB67" s="361">
        <f>COUNTIF(Logs!$Q$465:'Logs'!$AB$473, "*"&amp;AB$41&amp;"*")</f>
        <v>0</v>
      </c>
      <c r="AC67" s="1310">
        <f>COUNTIF(Logs!$Q$465:'Logs'!$AB$473, "*"&amp;AC$41&amp;"*")</f>
        <v>0</v>
      </c>
      <c r="AD67" s="279">
        <f>COUNTIF(Logs!$Q$465:'Logs'!$AB$473, "*"&amp;AD$41&amp;"*")</f>
        <v>1</v>
      </c>
      <c r="AE67" s="280">
        <f>COUNTIF(Logs!$Q$465:'Logs'!$AB$473, "*"&amp;AE$41&amp;"*")</f>
        <v>10</v>
      </c>
      <c r="AV67" s="592"/>
      <c r="AW67" s="564"/>
    </row>
    <row r="68" spans="2:49">
      <c r="B68" s="163" t="s">
        <v>95</v>
      </c>
      <c r="C68" s="291">
        <f t="shared" si="0"/>
        <v>50</v>
      </c>
      <c r="D68" s="25">
        <f>COUNTIF(Logs!$Q$483:'Logs'!$AB$491, "*"&amp;D$41&amp;"*")</f>
        <v>2</v>
      </c>
      <c r="E68" s="33">
        <f>COUNTIF(Logs!$Q$483:'Logs'!$AB$491, "Attention to Detail")</f>
        <v>7</v>
      </c>
      <c r="F68" s="1306">
        <f>COUNTIF(Logs!$Q$483:'Logs'!$AB$491, "*"&amp;F$41&amp;"*")</f>
        <v>1</v>
      </c>
      <c r="G68" s="1307">
        <f>COUNTIF(Logs!$Q$483:'Logs'!$AB$491, "*"&amp;G$41&amp;"*")</f>
        <v>1</v>
      </c>
      <c r="H68" s="642">
        <f>COUNTIF(Logs!$Q$483:'Logs'!$AB$491, "*"&amp;H$41&amp;"*")</f>
        <v>2</v>
      </c>
      <c r="I68">
        <f>COUNTIF(Logs!$Q$483:'Logs'!$AB$491, "*"&amp;I$41&amp;"*")</f>
        <v>3</v>
      </c>
      <c r="J68" s="1308">
        <f>COUNTIF(Logs!$Q$483:'Logs'!$AB$491, "*"&amp;J$41&amp;"*")</f>
        <v>0</v>
      </c>
      <c r="K68" s="233">
        <f>COUNTIF(Logs!$Q$483:'Logs'!$AB$491, "*"&amp;K$41&amp;"*")</f>
        <v>1</v>
      </c>
      <c r="L68" s="36">
        <f>COUNTIF(Logs!$Q$483:'Logs'!$AB$491, "*"&amp;L$41&amp;"*")</f>
        <v>1</v>
      </c>
      <c r="M68" s="234">
        <f>COUNTIF(Logs!$Q$483:'Logs'!$AB$491, "*"&amp;M$41&amp;"*")</f>
        <v>1</v>
      </c>
      <c r="N68" s="37">
        <f>COUNTIF(Logs!$Q$483:'Logs'!$AB$491, "*"&amp;N$41&amp;"*")</f>
        <v>1</v>
      </c>
      <c r="O68" s="37">
        <f>COUNTIF(Logs!$Q$483:'Logs'!$AB$491, "*"&amp;O$41&amp;"*")</f>
        <v>0</v>
      </c>
      <c r="P68" s="242">
        <f>COUNTIF(Logs!$Q$483:'Logs'!$AB$491, "Hand Eye Coordination")</f>
        <v>0</v>
      </c>
      <c r="Q68" s="8">
        <f>COUNTIF(Logs!$Q$483:'Logs'!$AB$491, "*"&amp;Q$41&amp;"*")</f>
        <v>3</v>
      </c>
      <c r="R68" s="238">
        <f>COUNTIF(Logs!$Q$483:'Logs'!$AB$491, "*"&amp;R$41&amp;"*")</f>
        <v>1</v>
      </c>
      <c r="S68" s="498">
        <f>COUNTIF(Logs!$Q$483:'Logs'!$AB$491, "*"&amp;S$41&amp;"*")</f>
        <v>0</v>
      </c>
      <c r="T68" s="1309">
        <f>COUNTIF(Logs!$Q$483:'Logs'!$AB$491, "Memorization")</f>
        <v>1</v>
      </c>
      <c r="U68" s="499">
        <f>COUNTIF(Logs!$Q$483:'Logs'!$AB$491, "*"&amp;U$41&amp;"*")</f>
        <v>1</v>
      </c>
      <c r="V68" s="500">
        <f>COUNTIF(Logs!$Q$483:'Logs'!$AB$491, "*"&amp;V$41&amp;"*")</f>
        <v>1</v>
      </c>
      <c r="W68" s="501">
        <f>COUNTIF(Logs!$Q$483:'Logs'!$AB$491, W$41)</f>
        <v>0</v>
      </c>
      <c r="X68" s="276">
        <f>COUNTIF(Logs!$Q$483:'Logs'!$AB$491, "*"&amp;X$41&amp;"*")</f>
        <v>0</v>
      </c>
      <c r="Y68" s="34">
        <f>COUNTIF(Logs!$Q$483:'Logs'!$AB$491, "Physical Strength")</f>
        <v>10</v>
      </c>
      <c r="Z68" s="10">
        <f>COUNTIF(Logs!$Q$483:'Logs'!$AB$491, "*"&amp;Z$41&amp;"*")</f>
        <v>1</v>
      </c>
      <c r="AA68" s="39">
        <f>COUNTIF(Logs!$Q$483:'Logs'!$AB$491, "*"&amp;AA$41&amp;"*")</f>
        <v>2</v>
      </c>
      <c r="AB68" s="361">
        <f>COUNTIF(Logs!$Q$483:'Logs'!$AB$491, "*"&amp;AB$41&amp;"*")</f>
        <v>0</v>
      </c>
      <c r="AC68" s="1310">
        <f>COUNTIF(Logs!$Q$483:'Logs'!$AB$491, "*"&amp;AC$41&amp;"*")</f>
        <v>1</v>
      </c>
      <c r="AD68" s="279">
        <f>COUNTIF(Logs!$Q$483:'Logs'!$AB$491, "*"&amp;AD$41&amp;"*")</f>
        <v>1</v>
      </c>
      <c r="AE68" s="280">
        <f>COUNTIF(Logs!$Q$483:'Logs'!$AB$491, "*"&amp;AE$41&amp;"*")</f>
        <v>8</v>
      </c>
      <c r="AV68" s="591"/>
      <c r="AW68" s="564"/>
    </row>
    <row r="69" spans="2:49">
      <c r="B69" s="163" t="s">
        <v>85</v>
      </c>
      <c r="C69" s="291">
        <f t="shared" si="0"/>
        <v>49</v>
      </c>
      <c r="D69" s="25">
        <f>COUNTIF(Logs!$Q$501:'Logs'!$AB$509, "*"&amp;D$41&amp;"*")</f>
        <v>3</v>
      </c>
      <c r="E69" s="33">
        <f>COUNTIF(Logs!$Q$501:'Logs'!$AB$509, "Attention to Detail")</f>
        <v>5</v>
      </c>
      <c r="F69" s="1306">
        <f>COUNTIF(Logs!$Q$501:'Logs'!$AB$509, "*"&amp;F$41&amp;"*")</f>
        <v>1</v>
      </c>
      <c r="G69" s="1307">
        <f>COUNTIF(Logs!$Q$501:'Logs'!$AB$509, "*"&amp;G$41&amp;"*")</f>
        <v>1</v>
      </c>
      <c r="H69" s="642">
        <f>COUNTIF(Logs!$Q$501:'Logs'!$AB$509, "*"&amp;H$41&amp;"*")</f>
        <v>5</v>
      </c>
      <c r="I69">
        <f>COUNTIF(Logs!$Q$501:'Logs'!$AB$509, "*"&amp;I$41&amp;"*")</f>
        <v>2</v>
      </c>
      <c r="J69" s="1308">
        <f>COUNTIF(Logs!$Q$501:'Logs'!$AB$509, "*"&amp;J$41&amp;"*")</f>
        <v>1</v>
      </c>
      <c r="K69" s="233">
        <f>COUNTIF(Logs!$Q$501:'Logs'!$AB$509, "*"&amp;K$41&amp;"*")</f>
        <v>1</v>
      </c>
      <c r="L69" s="36">
        <f>COUNTIF(Logs!$Q$501:'Logs'!$AB$509, "*"&amp;L$41&amp;"*")</f>
        <v>0</v>
      </c>
      <c r="M69" s="234">
        <f>COUNTIF(Logs!$Q$501:'Logs'!$AB$509, "*"&amp;M$41&amp;"*")</f>
        <v>1</v>
      </c>
      <c r="N69" s="37">
        <f>COUNTIF(Logs!$Q$501:'Logs'!$AB$509, "*"&amp;N$41&amp;"*")</f>
        <v>1</v>
      </c>
      <c r="O69" s="37">
        <f>COUNTIF(Logs!$Q$501:'Logs'!$AB$509, "*"&amp;O$41&amp;"*")</f>
        <v>1</v>
      </c>
      <c r="P69" s="242">
        <f>COUNTIF(Logs!$Q$501:'Logs'!$AB$509, "Hand Eye Coordination")</f>
        <v>0</v>
      </c>
      <c r="Q69" s="8">
        <f>COUNTIF(Logs!$Q$501:'Logs'!$AB$509, "*"&amp;Q$41&amp;"*")</f>
        <v>3</v>
      </c>
      <c r="R69" s="238">
        <f>COUNTIF(Logs!$Q$501:'Logs'!$AB$509, "*"&amp;R$41&amp;"*")</f>
        <v>0</v>
      </c>
      <c r="S69" s="498">
        <f>COUNTIF(Logs!$Q$501:'Logs'!$AB$509, "*"&amp;S$41&amp;"*")</f>
        <v>0</v>
      </c>
      <c r="T69" s="1309">
        <f>COUNTIF(Logs!$Q$501:'Logs'!$AB$509, "Memorization")</f>
        <v>2</v>
      </c>
      <c r="U69" s="499">
        <f>COUNTIF(Logs!$Q$501:'Logs'!$AB$509, "*"&amp;U$41&amp;"*")</f>
        <v>0</v>
      </c>
      <c r="V69" s="500">
        <f>COUNTIF(Logs!$Q$501:'Logs'!$AB$509, "*"&amp;V$41&amp;"*")</f>
        <v>0</v>
      </c>
      <c r="W69" s="501">
        <f>COUNTIF(Logs!$Q$501:'Logs'!$AB$509, W$41)</f>
        <v>0</v>
      </c>
      <c r="X69" s="276">
        <f>COUNTIF(Logs!$Q$501:'Logs'!$AB$509, "*"&amp;X$41&amp;"*")</f>
        <v>0</v>
      </c>
      <c r="Y69" s="34">
        <f>COUNTIF(Logs!$Q$501:'Logs'!$AB$509, "Physical Strength")</f>
        <v>9</v>
      </c>
      <c r="Z69" s="10">
        <f>COUNTIF(Logs!$Q$501:'Logs'!$AB$509, "*"&amp;Z$41&amp;"*")</f>
        <v>2</v>
      </c>
      <c r="AA69" s="39">
        <f>COUNTIF(Logs!$Q$501:'Logs'!$AB$509, "*"&amp;AA$41&amp;"*")</f>
        <v>4</v>
      </c>
      <c r="AB69" s="361">
        <f>COUNTIF(Logs!$Q$501:'Logs'!$AB$509, "*"&amp;AB$41&amp;"*")</f>
        <v>1</v>
      </c>
      <c r="AC69" s="1310">
        <f>COUNTIF(Logs!$Q$501:'Logs'!$AB$509, "*"&amp;AC$41&amp;"*")</f>
        <v>0</v>
      </c>
      <c r="AD69" s="279">
        <f>COUNTIF(Logs!$Q$501:'Logs'!$AB$509, "*"&amp;AD$41&amp;"*")</f>
        <v>1</v>
      </c>
      <c r="AE69" s="280">
        <f>COUNTIF(Logs!$Q$501:'Logs'!$AB$509, "*"&amp;AE$41&amp;"*")</f>
        <v>5</v>
      </c>
      <c r="AV69" s="591"/>
      <c r="AW69" s="564"/>
    </row>
    <row r="70" spans="2:49">
      <c r="B70" s="163" t="s">
        <v>66</v>
      </c>
      <c r="C70" s="291">
        <f t="shared" si="0"/>
        <v>47</v>
      </c>
      <c r="D70" s="25">
        <f>COUNTIF(Logs!$Q$519:'Logs'!$AB$527, "*"&amp;D$41&amp;"*")</f>
        <v>0</v>
      </c>
      <c r="E70" s="33">
        <f>COUNTIF(Logs!$Q$519:'Logs'!$AB$527,  "Attention to Detail")</f>
        <v>5</v>
      </c>
      <c r="F70" s="1306">
        <f>COUNTIF(Logs!$Q$519:'Logs'!$AB$527, "*"&amp;F$41&amp;"*")</f>
        <v>0</v>
      </c>
      <c r="G70" s="1307">
        <f>COUNTIF(Logs!$Q$519:'Logs'!$AB$527, "*"&amp;G$41&amp;"*")</f>
        <v>1</v>
      </c>
      <c r="H70" s="642">
        <f>COUNTIF(Logs!$Q$519:'Logs'!$AB$527, "*"&amp;H$41&amp;"*")</f>
        <v>3</v>
      </c>
      <c r="I70">
        <f>COUNTIF(Logs!$Q$519:'Logs'!$AB$527, "*"&amp;I$41&amp;"*")</f>
        <v>3</v>
      </c>
      <c r="J70" s="1308">
        <f>COUNTIF(Logs!$Q$519:'Logs'!$AB$527, "*"&amp;J$41&amp;"*")</f>
        <v>0</v>
      </c>
      <c r="K70" s="233">
        <f>COUNTIF(Logs!$Q$519:'Logs'!$AB$527, "*"&amp;K$41&amp;"*")</f>
        <v>1</v>
      </c>
      <c r="L70" s="36">
        <f>COUNTIF(Logs!$Q$519:'Logs'!$AB$527, "*"&amp;L$41&amp;"*")</f>
        <v>1</v>
      </c>
      <c r="M70" s="234">
        <f>COUNTIF(Logs!$Q$519:'Logs'!$AB$527, "*"&amp;M$41&amp;"*")</f>
        <v>1</v>
      </c>
      <c r="N70" s="37">
        <f>COUNTIF(Logs!$Q$519:'Logs'!$AB$527, "*"&amp;N$41&amp;"*")</f>
        <v>2</v>
      </c>
      <c r="O70" s="37">
        <f>COUNTIF(Logs!$Q$519:'Logs'!$AB$527, "*"&amp;O$41&amp;"*")</f>
        <v>0</v>
      </c>
      <c r="P70" s="242">
        <f>COUNTIF(Logs!$Q$519:'Logs'!$AB$527, "Hand Eye Coordination")</f>
        <v>1</v>
      </c>
      <c r="Q70" s="8">
        <f>COUNTIF(Logs!$Q$519:'Logs'!$AB$527, "*"&amp;Q$41&amp;"*")</f>
        <v>2</v>
      </c>
      <c r="R70" s="238">
        <f>COUNTIF(Logs!$Q$519:'Logs'!$AB$527, "*"&amp;R$41&amp;"*")</f>
        <v>2</v>
      </c>
      <c r="S70" s="498">
        <f>COUNTIF(Logs!$Q$519:'Logs'!$AB$527, "*"&amp;S$41&amp;"*")</f>
        <v>0</v>
      </c>
      <c r="T70" s="1309">
        <f>COUNTIF(Logs!$Q$519:'Logs'!$AB$527,"Memorization")</f>
        <v>2</v>
      </c>
      <c r="U70" s="499">
        <f>COUNTIF(Logs!$Q$519:'Logs'!$AB$527, "*"&amp;U$41&amp;"*")</f>
        <v>1</v>
      </c>
      <c r="V70" s="500">
        <f>COUNTIF(Logs!$Q$519:'Logs'!$AB$527, "*"&amp;V$41&amp;"*")</f>
        <v>0</v>
      </c>
      <c r="W70" s="501">
        <f>COUNTIF(Logs!$Q$519:'Logs'!$AB$527, W$41)</f>
        <v>0</v>
      </c>
      <c r="X70" s="276">
        <f>COUNTIF(Logs!$Q$519:'Logs'!$AB$527, "*"&amp;X$41&amp;"*")</f>
        <v>1</v>
      </c>
      <c r="Y70" s="34">
        <f>COUNTIF(Logs!$Q$519:'Logs'!$AB$527,"Physical Strength")</f>
        <v>11</v>
      </c>
      <c r="Z70" s="10">
        <f>COUNTIF(Logs!$Q$519:'Logs'!$AB$527, "*"&amp;Z$41&amp;"*")</f>
        <v>1</v>
      </c>
      <c r="AA70" s="39">
        <f>COUNTIF(Logs!$Q$519:'Logs'!$AB$527, "*"&amp;AA$41&amp;"*")</f>
        <v>2</v>
      </c>
      <c r="AB70" s="361">
        <f>COUNTIF(Logs!$Q$519:'Logs'!$AB$527, "*"&amp;AB$41&amp;"*")</f>
        <v>0</v>
      </c>
      <c r="AC70" s="1310">
        <f>COUNTIF(Logs!$Q$519:'Logs'!$AB$527, "*"&amp;AC$41&amp;"*")</f>
        <v>1</v>
      </c>
      <c r="AD70" s="279">
        <f>COUNTIF(Logs!$Q$519:'Logs'!$AB$527, "*"&amp;AD$41&amp;"*")</f>
        <v>0</v>
      </c>
      <c r="AE70" s="280">
        <f>COUNTIF(Logs!$Q$519:'Logs'!$AB$527, "*"&amp;AE$41&amp;"*")</f>
        <v>6</v>
      </c>
      <c r="AV70" s="592"/>
      <c r="AW70" s="564"/>
    </row>
    <row r="71" spans="2:49">
      <c r="B71" s="163" t="s">
        <v>65</v>
      </c>
      <c r="C71" s="291">
        <f t="shared" si="0"/>
        <v>64</v>
      </c>
      <c r="D71" s="25">
        <f>COUNTIF(Logs!$Q$537:'Logs'!$AB$545, "*"&amp;D$41&amp;"*")</f>
        <v>3</v>
      </c>
      <c r="E71" s="33">
        <f>COUNTIF(Logs!$Q$537:'Logs'!$AB$545,  "Attention to Detail")</f>
        <v>10</v>
      </c>
      <c r="F71" s="1306">
        <f>COUNTIF(Logs!$Q$537:'Logs'!$AB$545, "*"&amp;F$41&amp;"*")</f>
        <v>0</v>
      </c>
      <c r="G71" s="1307">
        <f>COUNTIF(Logs!$Q$537:'Logs'!$AB$545, "*"&amp;G$41&amp;"*")</f>
        <v>0</v>
      </c>
      <c r="H71" s="642">
        <f>COUNTIF(Logs!$Q$537:'Logs'!$AB$545, "*"&amp;H$41&amp;"*")</f>
        <v>3</v>
      </c>
      <c r="I71">
        <f>COUNTIF(Logs!$Q$537:'Logs'!$AB$545, "*"&amp;I$41&amp;"*")</f>
        <v>2</v>
      </c>
      <c r="J71" s="1308">
        <f>COUNTIF(Logs!$Q$537:'Logs'!$AB$545, "*"&amp;J$41&amp;"*")</f>
        <v>0</v>
      </c>
      <c r="K71" s="233">
        <f>COUNTIF(Logs!$Q$537:'Logs'!$AB$545, "*"&amp;K$41&amp;"*")</f>
        <v>1</v>
      </c>
      <c r="L71" s="36">
        <f>COUNTIF(Logs!$Q$537:'Logs'!$AB$545, "*"&amp;L$41&amp;"*")</f>
        <v>5</v>
      </c>
      <c r="M71" s="234">
        <f>COUNTIF(Logs!$Q$537:'Logs'!$AB$545, "*"&amp;M$41&amp;"*")</f>
        <v>0</v>
      </c>
      <c r="N71" s="37">
        <f>COUNTIF(Logs!$Q$537:'Logs'!$AB$545, "*"&amp;N$41&amp;"*")</f>
        <v>3</v>
      </c>
      <c r="O71" s="37">
        <f>COUNTIF(Logs!$Q$537:'Logs'!$AB$545, "*"&amp;O$41&amp;"*")</f>
        <v>0</v>
      </c>
      <c r="P71" s="242">
        <f>COUNTIF(Logs!$Q$537:'Logs'!$AB$545, "Hand Eye Coordination")</f>
        <v>0</v>
      </c>
      <c r="Q71" s="8">
        <f>COUNTIF(Logs!$Q$537:'Logs'!$AB$545, "*"&amp;Q$41&amp;"*")</f>
        <v>3</v>
      </c>
      <c r="R71" s="238">
        <f>COUNTIF(Logs!$Q$537:'Logs'!$AB$545, "*"&amp;R$41&amp;"*")</f>
        <v>2</v>
      </c>
      <c r="S71" s="498">
        <f>COUNTIF(Logs!$Q$537:'Logs'!$AB$545, "*"&amp;S$41&amp;"*")</f>
        <v>2</v>
      </c>
      <c r="T71" s="1309">
        <f>COUNTIF(Logs!$Q$537:'Logs'!$AB$545, "Memorization")</f>
        <v>3</v>
      </c>
      <c r="U71" s="499">
        <f>COUNTIF(Logs!$Q$537:'Logs'!$AB$545, "*"&amp;U$41&amp;"*")</f>
        <v>0</v>
      </c>
      <c r="V71" s="500">
        <f>COUNTIF(Logs!$Q$537:'Logs'!$AB$545, "*"&amp;V$41&amp;"*")</f>
        <v>0</v>
      </c>
      <c r="W71" s="501">
        <f>COUNTIF(Logs!$Q$537:'Logs'!$AB$545, W$41)</f>
        <v>0</v>
      </c>
      <c r="X71" s="276">
        <f>COUNTIF(Logs!$Q$537:'Logs'!$AB$545, "*"&amp;X$41&amp;"*")</f>
        <v>0</v>
      </c>
      <c r="Y71" s="34">
        <f>COUNTIF(Logs!$Q$537:'Logs'!$AB$545,"Physical Strength")</f>
        <v>9</v>
      </c>
      <c r="Z71" s="10">
        <f>COUNTIF(Logs!$Q$537:'Logs'!$AB$545, "*"&amp;Z$41&amp;"*")</f>
        <v>3</v>
      </c>
      <c r="AA71" s="39">
        <f>COUNTIF(Logs!$Q$537:'Logs'!$AB$545, "*"&amp;AA$41&amp;"*")</f>
        <v>8</v>
      </c>
      <c r="AB71" s="361">
        <f>COUNTIF(Logs!$Q$537:'Logs'!$AB$545, "*"&amp;AB$41&amp;"*")</f>
        <v>0</v>
      </c>
      <c r="AC71" s="1310">
        <f>COUNTIF(Logs!$Q$537:'Logs'!$AB$545, "*"&amp;AC$41&amp;"*")</f>
        <v>1</v>
      </c>
      <c r="AD71" s="279">
        <f>COUNTIF(Logs!$Q$537:'Logs'!$AB$545, "*"&amp;AD$41&amp;"*")</f>
        <v>0</v>
      </c>
      <c r="AE71" s="280">
        <f>COUNTIF(Logs!$Q$537:'Logs'!$AB$545, "*"&amp;AE$41&amp;"*")</f>
        <v>6</v>
      </c>
    </row>
    <row r="72" spans="2:49">
      <c r="B72" s="163" t="s">
        <v>60</v>
      </c>
      <c r="C72" s="291">
        <f t="shared" si="0"/>
        <v>59</v>
      </c>
      <c r="D72" s="25">
        <f>COUNTIF(Logs!$Q$555:'Logs'!$AB$563, "*"&amp;D$41&amp;"*")</f>
        <v>2</v>
      </c>
      <c r="E72" s="33">
        <f>COUNTIF(Logs!$Q$555:'Logs'!$AB$563, "Attention to Detail")</f>
        <v>8</v>
      </c>
      <c r="F72" s="1306">
        <f>COUNTIF(Logs!$Q$555:'Logs'!$AB$563, "*"&amp;F$41&amp;"*")</f>
        <v>1</v>
      </c>
      <c r="G72" s="1307">
        <f>COUNTIF(Logs!$Q$555:'Logs'!$AB$563, "*"&amp;G$41&amp;"*")</f>
        <v>1</v>
      </c>
      <c r="H72" s="642">
        <f>COUNTIF(Logs!$Q$555:'Logs'!$AB$563, "*"&amp;H$41&amp;"*")</f>
        <v>4</v>
      </c>
      <c r="I72">
        <f>COUNTIF(Logs!$Q$555:'Logs'!$AB$563, "*"&amp;I$41&amp;"*")</f>
        <v>2</v>
      </c>
      <c r="J72" s="1308">
        <f>COUNTIF(Logs!$Q$555:'Logs'!$AB$563, "*"&amp;J$41&amp;"*")</f>
        <v>0</v>
      </c>
      <c r="K72" s="233">
        <f>COUNTIF(Logs!$Q$555:'Logs'!$AB$563, "*"&amp;K$41&amp;"*")</f>
        <v>1</v>
      </c>
      <c r="L72" s="36">
        <f>COUNTIF(Logs!$Q$555:'Logs'!$AB$563, "*"&amp;L$41&amp;"*")</f>
        <v>3</v>
      </c>
      <c r="M72" s="234">
        <f>COUNTIF(Logs!$Q$555:'Logs'!$AB$563, "*"&amp;M$41&amp;"*")</f>
        <v>0</v>
      </c>
      <c r="N72" s="37">
        <f>COUNTIF(Logs!$Q$555:'Logs'!$AB$563, "*"&amp;N$41&amp;"*")</f>
        <v>2</v>
      </c>
      <c r="O72" s="37">
        <f>COUNTIF(Logs!$Q$555:'Logs'!$AB$563, "*"&amp;O$41&amp;"*")</f>
        <v>0</v>
      </c>
      <c r="P72" s="242">
        <f>COUNTIF(Logs!$Q$555:'Logs'!$AB$563, "Hand Eye Coordination")</f>
        <v>1</v>
      </c>
      <c r="Q72" s="8">
        <f>COUNTIF(Logs!$Q$555:'Logs'!$AB$563, "*"&amp;Q$41&amp;"*")</f>
        <v>3</v>
      </c>
      <c r="R72" s="238">
        <f>COUNTIF(Logs!$Q$555:'Logs'!$AB$563, "*"&amp;R$41&amp;"*")</f>
        <v>2</v>
      </c>
      <c r="S72" s="498">
        <f>COUNTIF(Logs!$Q$555:'Logs'!$AB$563, "*"&amp;S$41&amp;"*")</f>
        <v>0</v>
      </c>
      <c r="T72" s="1309">
        <f>COUNTIF(Logs!$Q$555:'Logs'!$AB$563, "Memorization")</f>
        <v>4</v>
      </c>
      <c r="U72" s="499">
        <f>COUNTIF(Logs!$Q$555:'Logs'!$AB$563, "*"&amp;U$41&amp;"*")</f>
        <v>1</v>
      </c>
      <c r="V72" s="500">
        <f>COUNTIF(Logs!$Q$555:'Logs'!$AB$563, "*"&amp;V$41&amp;"*")</f>
        <v>0</v>
      </c>
      <c r="W72" s="501">
        <f>COUNTIF(Logs!$Q$555:'Logs'!$AB$563,W$41)</f>
        <v>0</v>
      </c>
      <c r="X72" s="276">
        <f>COUNTIF(Logs!$Q$555:'Logs'!$AB$563, "*"&amp;X$41&amp;"*")</f>
        <v>0</v>
      </c>
      <c r="Y72" s="34">
        <f>COUNTIF(Logs!$Q$555:'Logs'!$AB$563, "Physical Strength")</f>
        <v>7</v>
      </c>
      <c r="Z72" s="10">
        <f>COUNTIF(Logs!$Q$555:'Logs'!$AB$563, "*"&amp;Z$41&amp;"*")</f>
        <v>3</v>
      </c>
      <c r="AA72" s="39">
        <f>COUNTIF(Logs!$Q$555:'Logs'!$AB$563, "*"&amp;AA$41&amp;"*")</f>
        <v>5</v>
      </c>
      <c r="AB72" s="361">
        <f>COUNTIF(Logs!$Q$555:'Logs'!$AB$563, "*"&amp;AB$41&amp;"*")</f>
        <v>0</v>
      </c>
      <c r="AC72" s="1310">
        <f>COUNTIF(Logs!$Q$555:'Logs'!$AB$563, "*"&amp;AC$41&amp;"*")</f>
        <v>0</v>
      </c>
      <c r="AD72" s="279">
        <f>COUNTIF(Logs!$Q$555:'Logs'!$AB$563, "*"&amp;AD$41&amp;"*")</f>
        <v>0</v>
      </c>
      <c r="AE72" s="280">
        <f>COUNTIF(Logs!$Q$555:'Logs'!$AB$563, "*"&amp;AE$41&amp;"*")</f>
        <v>9</v>
      </c>
    </row>
    <row r="73" spans="2:49">
      <c r="B73" s="163" t="s">
        <v>35</v>
      </c>
      <c r="C73" s="291">
        <f t="shared" si="0"/>
        <v>50</v>
      </c>
      <c r="D73" s="25">
        <f>COUNTIF(Logs!$Q$572:'Logs'!$AA$581, "*"&amp;D$41&amp;"*")</f>
        <v>2</v>
      </c>
      <c r="E73" s="33">
        <f>COUNTIF(Logs!$Q$572:'Logs'!$AA$581, "Attention to Detail")</f>
        <v>9</v>
      </c>
      <c r="F73" s="1306">
        <f>COUNTIF(Logs!$Q$572:'Logs'!$AA$581, "*"&amp;F$41&amp;"*")</f>
        <v>2</v>
      </c>
      <c r="G73" s="1307">
        <f>COUNTIF(Logs!$Q$572:'Logs'!$AA$581, "*"&amp;G$41&amp;"*")</f>
        <v>0</v>
      </c>
      <c r="H73" s="642">
        <f>COUNTIF(Logs!$Q$572:'Logs'!$AA$581, "*"&amp;H$41&amp;"*")</f>
        <v>3</v>
      </c>
      <c r="I73">
        <f>COUNTIF(Logs!$Q$572:'Logs'!$AA$581, "*"&amp;I$41&amp;"*")</f>
        <v>2</v>
      </c>
      <c r="J73" s="1308">
        <f>COUNTIF(Logs!$Q$572:'Logs'!$AA$581, "*"&amp;J$41&amp;"*")</f>
        <v>0</v>
      </c>
      <c r="K73" s="233">
        <f>COUNTIF(Logs!$Q$572:'Logs'!$AA$581, "*"&amp;K$41&amp;"*")</f>
        <v>1</v>
      </c>
      <c r="L73" s="36">
        <f>COUNTIF(Logs!$Q$572:'Logs'!$AA$581, "*"&amp;L$41&amp;"*")</f>
        <v>1</v>
      </c>
      <c r="M73" s="234">
        <f>COUNTIF(Logs!$Q$572:'Logs'!$AA$581, "*"&amp;M$41&amp;"*")</f>
        <v>0</v>
      </c>
      <c r="N73" s="37">
        <f>COUNTIF(Logs!$Q$572:'Logs'!$AA$581, "*"&amp;N$41&amp;"*")</f>
        <v>2</v>
      </c>
      <c r="O73" s="37">
        <f>COUNTIF(Logs!$Q$572:'Logs'!$AA$581, "*"&amp;O$41&amp;"*")</f>
        <v>1</v>
      </c>
      <c r="P73" s="242">
        <f>COUNTIF(Logs!$Q$572:'Logs'!$AA$581, "Hand Eye Coordination")</f>
        <v>3</v>
      </c>
      <c r="Q73" s="8">
        <f>COUNTIF(Logs!$Q$572:'Logs'!$AA$581, "*"&amp;Q$41&amp;"*")</f>
        <v>2</v>
      </c>
      <c r="R73" s="238">
        <f>COUNTIF(Logs!$Q$572:'Logs'!$AA$581, "*"&amp;R$41&amp;"*")</f>
        <v>2</v>
      </c>
      <c r="S73" s="498">
        <f>COUNTIF(Logs!$Q$572:'Logs'!$AA$581, "*"&amp;S$41&amp;"*")</f>
        <v>0</v>
      </c>
      <c r="T73" s="1309">
        <f>COUNTIF(Logs!$Q$572:'Logs'!$AA$581, "Memorization")</f>
        <v>4</v>
      </c>
      <c r="U73" s="499">
        <f>COUNTIF(Logs!$Q$572:'Logs'!$AA$581, "*"&amp;U$41&amp;"*")</f>
        <v>1</v>
      </c>
      <c r="V73" s="500">
        <f>COUNTIF(Logs!$Q$572:'Logs'!$AA$581, "*"&amp;V$41&amp;"*")</f>
        <v>1</v>
      </c>
      <c r="W73" s="501">
        <f>COUNTIF(Logs!$Q$572:'Logs'!$AA$581, W$41)</f>
        <v>0</v>
      </c>
      <c r="X73" s="276">
        <f>COUNTIF(Logs!$Q$572:'Logs'!$AA$581, "*"&amp;X$41&amp;"*")</f>
        <v>0</v>
      </c>
      <c r="Y73" s="34">
        <f>COUNTIF(Logs!$Q$572:'Logs'!$AA$581, "Physical Strength")</f>
        <v>3</v>
      </c>
      <c r="Z73" s="10">
        <f>COUNTIF(Logs!$Q$572:'Logs'!$AA$581, "*"&amp;Z$41&amp;"*")</f>
        <v>3</v>
      </c>
      <c r="AA73" s="39">
        <f>COUNTIF(Logs!$Q$572:'Logs'!$AA$581, "*"&amp;AA$41&amp;"*")</f>
        <v>4</v>
      </c>
      <c r="AB73" s="361">
        <f>COUNTIF(Logs!$Q$572:'Logs'!$AA$581, "*"&amp;AB$41&amp;"*")</f>
        <v>0</v>
      </c>
      <c r="AC73" s="1310">
        <f>COUNTIF(Logs!$Q$572:'Logs'!$AA$581, "*"&amp;AC$41&amp;"*")</f>
        <v>1</v>
      </c>
      <c r="AD73" s="279">
        <f>COUNTIF(Logs!$Q$572:'Logs'!$AA$581, "*"&amp;AD$41&amp;"*")</f>
        <v>0</v>
      </c>
      <c r="AE73" s="280">
        <f>COUNTIF(Logs!$Q$572:'Logs'!$AA$581, "*"&amp;AE$41&amp;"*")</f>
        <v>3</v>
      </c>
    </row>
    <row r="74" spans="2:49">
      <c r="B74" s="163" t="s">
        <v>11</v>
      </c>
      <c r="C74" s="291">
        <f t="shared" si="0"/>
        <v>54</v>
      </c>
      <c r="D74" s="25">
        <f>COUNTIF(Logs!$Q$591:'Logs'!$AA$598, "*"&amp;D$41&amp;"*")</f>
        <v>1</v>
      </c>
      <c r="E74" s="33">
        <f>COUNTIF(Logs!$Q$591:'Logs'!$AA$598, "Attention to Detail")</f>
        <v>9</v>
      </c>
      <c r="F74" s="1306">
        <f>COUNTIF(Logs!$Q$591:'Logs'!$AA$598, "*"&amp;F$41&amp;"*")</f>
        <v>0</v>
      </c>
      <c r="G74" s="1307">
        <f>COUNTIF(Logs!$Q$591:'Logs'!$AA$598, "*"&amp;G$41&amp;"*")</f>
        <v>0</v>
      </c>
      <c r="H74" s="642">
        <f>COUNTIF(Logs!$Q$591:'Logs'!$AA$598, "*"&amp;H$41&amp;"*")</f>
        <v>1</v>
      </c>
      <c r="I74">
        <f>COUNTIF(Logs!$Q$591:'Logs'!$AA$598, "*"&amp;I$41&amp;"*")</f>
        <v>3</v>
      </c>
      <c r="J74" s="1308">
        <f>COUNTIF(Logs!$Q$591:'Logs'!$AA$598, "*"&amp;J$41&amp;"*")</f>
        <v>1</v>
      </c>
      <c r="K74" s="233">
        <f>COUNTIF(Logs!$Q$591:'Logs'!$AA$598, "*"&amp;K$41&amp;"*")</f>
        <v>0</v>
      </c>
      <c r="L74" s="36">
        <f>COUNTIF(Logs!$Q$591:'Logs'!$AA$598, "*"&amp;L$41&amp;"*")</f>
        <v>8</v>
      </c>
      <c r="M74" s="234">
        <f>COUNTIF(Logs!$Q$591:'Logs'!$AA$598, "*"&amp;M$41&amp;"*")</f>
        <v>1</v>
      </c>
      <c r="N74" s="37">
        <f>COUNTIF(Logs!$Q$591:'Logs'!$AA$598, "*"&amp;N$41&amp;"*")</f>
        <v>2</v>
      </c>
      <c r="O74" s="37">
        <f>COUNTIF(Logs!$Q$591:'Logs'!$AA$598, "*"&amp;O$41&amp;"*")</f>
        <v>0</v>
      </c>
      <c r="P74" s="242">
        <f>COUNTIF(Logs!$Q$591:'Logs'!$AA$598, "Hand Eye Coordination")</f>
        <v>1</v>
      </c>
      <c r="Q74" s="8">
        <f>COUNTIF(Logs!$Q$591:'Logs'!$AA$598, "*"&amp;Q$41&amp;"*")</f>
        <v>1</v>
      </c>
      <c r="R74" s="238">
        <f>COUNTIF(Logs!$Q$591:'Logs'!$AA$598, "*"&amp;R$41&amp;"*")</f>
        <v>0</v>
      </c>
      <c r="S74" s="498">
        <f>COUNTIF(Logs!$Q$591:'Logs'!$AA$598, "*"&amp;S$41&amp;"*")</f>
        <v>0</v>
      </c>
      <c r="T74" s="1309">
        <f>COUNTIF(Logs!$Q$591:'Logs'!$AA$598, "Memorization")</f>
        <v>2</v>
      </c>
      <c r="U74" s="499">
        <f>COUNTIF(Logs!$Q$591:'Logs'!$AA$598, "*"&amp;U$41&amp;"*")</f>
        <v>1</v>
      </c>
      <c r="V74" s="500">
        <f>COUNTIF(Logs!$Q$591:'Logs'!$AA$598, "*"&amp;V$41&amp;"*")</f>
        <v>0</v>
      </c>
      <c r="W74" s="501">
        <f>COUNTIF(Logs!$Q$591:'Logs'!$AA$598, W$41)</f>
        <v>0</v>
      </c>
      <c r="X74" s="276">
        <f>COUNTIF(Logs!$Q$591:'Logs'!$AA$598, "*"&amp;X$41&amp;"*")</f>
        <v>0</v>
      </c>
      <c r="Y74" s="34">
        <f>COUNTIF(Logs!$Q$591:'Logs'!$AA$598, "Physical Strength")</f>
        <v>8</v>
      </c>
      <c r="Z74" s="10">
        <f>COUNTIF(Logs!$Q$591:'Logs'!$AA$598, "*"&amp;Z$41&amp;"*")</f>
        <v>2</v>
      </c>
      <c r="AA74" s="39">
        <f>COUNTIF(Logs!$Q$591:'Logs'!$AA$598, "*"&amp;AA$41&amp;"*")</f>
        <v>6</v>
      </c>
      <c r="AB74" s="361">
        <f>COUNTIF(Logs!$Q$591:'Logs'!$AA$598, "*"&amp;AB$41&amp;"*")</f>
        <v>0</v>
      </c>
      <c r="AC74" s="1310">
        <f>COUNTIF(Logs!$Q$591:'Logs'!$AA$598, "*"&amp;AC$41&amp;"*")</f>
        <v>1</v>
      </c>
      <c r="AD74" s="279">
        <f>COUNTIF(Logs!$Q$591:'Logs'!$AA$598, "*"&amp;AD$41&amp;"*")</f>
        <v>0</v>
      </c>
      <c r="AE74" s="280">
        <f>COUNTIF(Logs!$Q$591:'Logs'!$AA$598, "*"&amp;AE$41&amp;"*")</f>
        <v>6</v>
      </c>
    </row>
    <row r="75" spans="2:49">
      <c r="B75" s="163" t="s">
        <v>198</v>
      </c>
      <c r="C75" s="291">
        <f t="shared" si="0"/>
        <v>51</v>
      </c>
      <c r="D75" s="25">
        <f>COUNTIF(Logs!$Q$607:'Logs'!$Z$615, "*"&amp;D$41&amp;"*")</f>
        <v>1</v>
      </c>
      <c r="E75" s="33">
        <f>COUNTIF(Logs!$Q$607:'Logs'!$Z$615, "Attention to Detail")</f>
        <v>4</v>
      </c>
      <c r="F75" s="1306">
        <f>COUNTIF(Logs!$Q$607:'Logs'!$Z$615, "*"&amp;F$41&amp;"*")</f>
        <v>1</v>
      </c>
      <c r="G75" s="1307">
        <f>COUNTIF(Logs!$Q$607:'Logs'!$Z$615, "*"&amp;G$41&amp;"*")</f>
        <v>1</v>
      </c>
      <c r="H75" s="642">
        <f>COUNTIF(Logs!$Q$607:'Logs'!$Z$615, "*"&amp;H$41&amp;"*")</f>
        <v>3</v>
      </c>
      <c r="I75">
        <f>COUNTIF(Logs!$Q$607:'Logs'!$Z$615, "*"&amp;I$41&amp;"*")</f>
        <v>1</v>
      </c>
      <c r="J75" s="1308">
        <f>COUNTIF(Logs!$Q$607:'Logs'!$Z$615, "*"&amp;J$41&amp;"*")</f>
        <v>0</v>
      </c>
      <c r="K75" s="233">
        <f>COUNTIF(Logs!$Q$607:'Logs'!$Z$615, "*"&amp;K$41&amp;"*")</f>
        <v>2</v>
      </c>
      <c r="L75" s="36">
        <f>COUNTIF(Logs!$Q$607:'Logs'!$Z$615, "*"&amp;L$41&amp;"*")</f>
        <v>7</v>
      </c>
      <c r="M75" s="234">
        <f>COUNTIF(Logs!$Q$607:'Logs'!$Z$615, "*"&amp;M$41&amp;"*")</f>
        <v>0</v>
      </c>
      <c r="N75" s="37">
        <f>COUNTIF(Logs!$Q$607:'Logs'!$Z$615, "*"&amp;N$41&amp;"*")</f>
        <v>1</v>
      </c>
      <c r="O75" s="37">
        <f>COUNTIF(Logs!$Q$607:'Logs'!$Z$615, "*"&amp;O$41&amp;"*")</f>
        <v>0</v>
      </c>
      <c r="P75" s="242">
        <f>COUNTIF(Logs!$Q$607:'Logs'!$Z$615, "Hand Eye Coordination")</f>
        <v>2</v>
      </c>
      <c r="Q75" s="8">
        <f>COUNTIF(Logs!$Q$607:'Logs'!$Z$615, "*"&amp;Q$41&amp;"*")</f>
        <v>2</v>
      </c>
      <c r="R75" s="238">
        <f>COUNTIF(Logs!$Q$607:'Logs'!$Z$615, "*"&amp;R$41&amp;"*")</f>
        <v>2</v>
      </c>
      <c r="S75" s="498">
        <f>COUNTIF(Logs!$Q$607:'Logs'!$Z$615, "*"&amp;S$41&amp;"*")</f>
        <v>0</v>
      </c>
      <c r="T75" s="1309">
        <f>COUNTIF(Logs!$Q$607:'Logs'!$Z$615, "Memorization")</f>
        <v>6</v>
      </c>
      <c r="U75" s="499">
        <f>COUNTIF(Logs!$Q$607:'Logs'!$Z$615, "*"&amp;U$41&amp;"*")</f>
        <v>1</v>
      </c>
      <c r="V75" s="500">
        <f>COUNTIF(Logs!$Q$607:'Logs'!$Z$615, "*"&amp;V$41&amp;"*")</f>
        <v>0</v>
      </c>
      <c r="W75" s="501">
        <f>COUNTIF(Logs!$Q$607:'Logs'!$Z$615, W$41)</f>
        <v>0</v>
      </c>
      <c r="X75" s="276">
        <f>COUNTIF(Logs!$Q$607:'Logs'!$Z$615, "*"&amp;X$41&amp;"*")</f>
        <v>0</v>
      </c>
      <c r="Y75" s="34">
        <f>COUNTIF(Logs!$Q$607:'Logs'!$Z$615, "Physical Strength")</f>
        <v>5</v>
      </c>
      <c r="Z75" s="10">
        <f>COUNTIF(Logs!$Q$607:'Logs'!$Z$615, "*"&amp;Z$41&amp;"*")</f>
        <v>1</v>
      </c>
      <c r="AA75" s="39">
        <f>COUNTIF(Logs!$Q$607:'Logs'!$Z$615, "*"&amp;AA$41&amp;"*")</f>
        <v>1</v>
      </c>
      <c r="AB75" s="361">
        <f>COUNTIF(Logs!$Q$607:'Logs'!$Z$615, "*"&amp;AB$41&amp;"*")</f>
        <v>0</v>
      </c>
      <c r="AC75" s="1310">
        <f>COUNTIF(Logs!$Q$607:'Logs'!$Z$615, "*"&amp;AC$41&amp;"*")</f>
        <v>1</v>
      </c>
      <c r="AD75" s="279">
        <f>COUNTIF(Logs!$Q$607:'Logs'!$Z$615, "*"&amp;AD$41&amp;"*")</f>
        <v>1</v>
      </c>
      <c r="AE75" s="280">
        <f>COUNTIF(Logs!$Q$607:'Logs'!$Z$615, "*"&amp;AE$41&amp;"*")</f>
        <v>8</v>
      </c>
    </row>
    <row r="76" spans="2:49">
      <c r="B76" s="163" t="s">
        <v>184</v>
      </c>
      <c r="C76" s="291">
        <f t="shared" si="0"/>
        <v>70</v>
      </c>
      <c r="D76" s="25">
        <f>COUNTIF(Logs!$Q$623:'Logs'!$AB$631, "*"&amp;D$41&amp;"*")</f>
        <v>0</v>
      </c>
      <c r="E76" s="33">
        <f>COUNTIF(Logs!$Q$623:'Logs'!$AB$631, "Attention to Detail")</f>
        <v>9</v>
      </c>
      <c r="F76" s="1306">
        <f>COUNTIF(Logs!$Q$623:'Logs'!$AB$631, "*"&amp;F$41&amp;"*")</f>
        <v>1</v>
      </c>
      <c r="G76" s="1307">
        <f>COUNTIF(Logs!$Q$623:'Logs'!$AB$631, "*"&amp;G$41&amp;"*")</f>
        <v>2</v>
      </c>
      <c r="H76" s="642">
        <f>COUNTIF(Logs!$Q$623:'Logs'!$AB$631, "*"&amp;H$41&amp;"*")</f>
        <v>3</v>
      </c>
      <c r="I76">
        <f>COUNTIF(Logs!$Q$623:'Logs'!$AB$631, "*"&amp;I$41&amp;"*")</f>
        <v>0</v>
      </c>
      <c r="J76" s="1308">
        <f>COUNTIF(Logs!$Q$623:'Logs'!$AB$631, "*"&amp;J$41&amp;"*")</f>
        <v>0</v>
      </c>
      <c r="K76" s="233">
        <f>COUNTIF(Logs!$Q$623:'Logs'!$AB$631, "*"&amp;K$41&amp;"*")</f>
        <v>3</v>
      </c>
      <c r="L76" s="36">
        <f>COUNTIF(Logs!$Q$623:'Logs'!$AB$631, "*"&amp;L$41&amp;"*")</f>
        <v>6</v>
      </c>
      <c r="M76" s="234">
        <f>COUNTIF(Logs!$Q$623:'Logs'!$AB$631, "*"&amp;M$41&amp;"*")</f>
        <v>0</v>
      </c>
      <c r="N76" s="37">
        <f>COUNTIF(Logs!$Q$623:'Logs'!$AB$631, "*"&amp;N$41&amp;"*")</f>
        <v>2</v>
      </c>
      <c r="O76" s="37">
        <f>COUNTIF(Logs!$Q$623:'Logs'!$AB$631, "*"&amp;O$41&amp;"*")</f>
        <v>0</v>
      </c>
      <c r="P76" s="242">
        <f>COUNTIF(Logs!$Q$623:'Logs'!$AB$631, "Hand Eye Coordination")</f>
        <v>2</v>
      </c>
      <c r="Q76" s="8">
        <f>COUNTIF(Logs!$Q$623:'Logs'!$AB$631, "*"&amp;Q$41&amp;"*")</f>
        <v>5</v>
      </c>
      <c r="R76" s="238">
        <f>COUNTIF(Logs!$Q$623:'Logs'!$AB$631, "*"&amp;R$41&amp;"*")</f>
        <v>1</v>
      </c>
      <c r="S76" s="498">
        <f>COUNTIF(Logs!$Q$623:'Logs'!$AB$631, "*"&amp;S$41&amp;"*")</f>
        <v>1</v>
      </c>
      <c r="T76" s="1309">
        <f>COUNTIF(Logs!$Q$623:'Logs'!$AB$631, "Memorization")</f>
        <v>3</v>
      </c>
      <c r="U76" s="499">
        <f>COUNTIF(Logs!$Q$623:'Logs'!$AB$631, "*"&amp;U$41&amp;"*")</f>
        <v>0</v>
      </c>
      <c r="V76" s="500">
        <f>COUNTIF(Logs!$Q$623:'Logs'!$AB$631, "*"&amp;V$41&amp;"*")</f>
        <v>0</v>
      </c>
      <c r="W76" s="501">
        <f>COUNTIF(Logs!$Q$623:'Logs'!$AB$631, W$41)</f>
        <v>2</v>
      </c>
      <c r="X76" s="276">
        <f>COUNTIF(Logs!$Q$623:'Logs'!$AB$631, "*"&amp;X$41&amp;"*")</f>
        <v>0</v>
      </c>
      <c r="Y76" s="34">
        <f>COUNTIF(Logs!$Q$623:'Logs'!$AB$631,"Physical Strength")</f>
        <v>8</v>
      </c>
      <c r="Z76" s="10">
        <f>COUNTIF(Logs!$Q$623:'Logs'!$AB$631, "*"&amp;Z$41&amp;"*")</f>
        <v>3</v>
      </c>
      <c r="AA76" s="39">
        <f>COUNTIF(Logs!$Q$623:'Logs'!$AB$631, "*"&amp;AA$41&amp;"*")</f>
        <v>9</v>
      </c>
      <c r="AB76" s="361">
        <f>COUNTIF(Logs!$Q$623:'Logs'!$AB$631, "*"&amp;AB$41&amp;"*")</f>
        <v>0</v>
      </c>
      <c r="AC76" s="1310">
        <f>COUNTIF(Logs!$Q$623:'Logs'!$AB$631, "*"&amp;AC$41&amp;"*")</f>
        <v>0</v>
      </c>
      <c r="AD76" s="279">
        <f>COUNTIF(Logs!$Q$623:'Logs'!$AB$631, "*"&amp;AD$41&amp;"*")</f>
        <v>1</v>
      </c>
      <c r="AE76" s="280">
        <f>COUNTIF(Logs!$Q$623:'Logs'!$AB$631, "*"&amp;AE$41&amp;"*")</f>
        <v>9</v>
      </c>
    </row>
    <row r="77" spans="2:49">
      <c r="B77" s="273" t="s">
        <v>563</v>
      </c>
      <c r="C77" s="291">
        <f t="shared" si="0"/>
        <v>63</v>
      </c>
      <c r="D77" s="25">
        <f>COUNTIF(Logs!$Q$640:'Logs'!$AB$648, "*"&amp;D$41&amp;"*")</f>
        <v>0</v>
      </c>
      <c r="E77" s="33">
        <f>COUNTIF(Logs!$Q$640:'Logs'!$AB$648, "Attention to Detail")</f>
        <v>8</v>
      </c>
      <c r="F77" s="1306">
        <f>COUNTIF(Logs!$Q$640:'Logs'!$AB$648, "*"&amp;F$41&amp;"*")</f>
        <v>2</v>
      </c>
      <c r="G77" s="1307">
        <f>COUNTIF(Logs!$Q$640:'Logs'!$AB$648, "*"&amp;G$41&amp;"*")</f>
        <v>0</v>
      </c>
      <c r="H77" s="642">
        <f>COUNTIF(Logs!$Q$640:'Logs'!$AB$648, "*"&amp;H$41&amp;"*")</f>
        <v>2</v>
      </c>
      <c r="I77">
        <f>COUNTIF(Logs!$Q$640:'Logs'!$AB$648, "*"&amp;I$41&amp;"*")</f>
        <v>2</v>
      </c>
      <c r="J77" s="1308">
        <f>COUNTIF(Logs!$Q$640:'Logs'!$AB$648, "*"&amp;J$41&amp;"*")</f>
        <v>0</v>
      </c>
      <c r="K77" s="233">
        <f>COUNTIF(Logs!$Q$640:'Logs'!$AB$648, "*"&amp;K$41&amp;"*")</f>
        <v>1</v>
      </c>
      <c r="L77" s="36">
        <f>COUNTIF(Logs!$Q$640:'Logs'!$AB$648, "*"&amp;L$41&amp;"*")</f>
        <v>7</v>
      </c>
      <c r="M77" s="234">
        <f>COUNTIF(Logs!$Q$640:'Logs'!$AB$648, "*"&amp;M$41&amp;"*")</f>
        <v>0</v>
      </c>
      <c r="N77" s="37">
        <f>COUNTIF(Logs!$Q$640:'Logs'!$AB$648, "*"&amp;N$41&amp;"*")</f>
        <v>0</v>
      </c>
      <c r="O77" s="37">
        <f>COUNTIF(Logs!$Q$640:'Logs'!$AB$648, "*"&amp;O$41&amp;"*")</f>
        <v>0</v>
      </c>
      <c r="P77" s="242">
        <f>COUNTIF(Logs!$Q$640:'Logs'!$AB$648, "Hand Eye Coordination")</f>
        <v>5</v>
      </c>
      <c r="Q77" s="8">
        <f>COUNTIF(Logs!$Q$640:'Logs'!$AB$648, "*"&amp;Q$41&amp;"*")</f>
        <v>0</v>
      </c>
      <c r="R77" s="238">
        <f>COUNTIF(Logs!$Q$640:'Logs'!$AB$648, "*"&amp;R$41&amp;"*")</f>
        <v>0</v>
      </c>
      <c r="S77" s="498">
        <f>COUNTIF(Logs!$Q$640:'Logs'!$AB$648, "*"&amp;S$41&amp;"*")</f>
        <v>0</v>
      </c>
      <c r="T77" s="1309">
        <f>COUNTIF(Logs!$Q$640:'Logs'!$AB$648, "Memorization")</f>
        <v>5</v>
      </c>
      <c r="U77" s="499">
        <f>COUNTIF(Logs!$Q$640:'Logs'!$AB$648, "*"&amp;U$41&amp;"*")</f>
        <v>2</v>
      </c>
      <c r="V77" s="500">
        <f>COUNTIF(Logs!$Q$640:'Logs'!$AB$648, "*"&amp;V$41&amp;"*")</f>
        <v>0</v>
      </c>
      <c r="W77" s="501">
        <f>COUNTIF(Logs!$Q$640:'Logs'!$AB$648, W$41)</f>
        <v>0</v>
      </c>
      <c r="X77" s="276">
        <f>COUNTIF(Logs!$Q$640:'Logs'!$AB$648, "*"&amp;X$41&amp;"*")</f>
        <v>1</v>
      </c>
      <c r="Y77" s="34">
        <f>COUNTIF(Logs!$Q$640:'Logs'!$AB$648,"Physical Strength")</f>
        <v>10</v>
      </c>
      <c r="Z77" s="10">
        <f>COUNTIF(Logs!$Q$640:'Logs'!$AB$648, "*"&amp;Z$41&amp;"*")</f>
        <v>3</v>
      </c>
      <c r="AA77" s="39">
        <f>COUNTIF(Logs!$Q$640:'Logs'!$AB$648, "*"&amp;AA$41&amp;"*")</f>
        <v>3</v>
      </c>
      <c r="AB77" s="361">
        <f>COUNTIF(Logs!$Q$640:'Logs'!$AB$648, "*"&amp;AB$41&amp;"*")</f>
        <v>1</v>
      </c>
      <c r="AC77" s="1310">
        <f>COUNTIF(Logs!$Q$640:'Logs'!$AB$648, "*"&amp;AC$41&amp;"*")</f>
        <v>1</v>
      </c>
      <c r="AD77" s="279">
        <f>COUNTIF(Logs!$Q$640:'Logs'!$AB$648, "*"&amp;AD$41&amp;"*")</f>
        <v>2</v>
      </c>
      <c r="AE77" s="280">
        <f>COUNTIF(Logs!$Q$640:'Logs'!$AB$648, "*"&amp;AE$41&amp;"*")</f>
        <v>8</v>
      </c>
    </row>
    <row r="78" spans="2:49">
      <c r="B78" s="288" t="s">
        <v>1742</v>
      </c>
      <c r="C78" s="291">
        <f>SUM($D78:$AE78)</f>
        <v>68</v>
      </c>
      <c r="D78" s="25">
        <f>COUNTIF(Logs!$Q$655:'Logs'!$AB$662, "*"&amp;D$41&amp;"*")</f>
        <v>1</v>
      </c>
      <c r="E78" s="33">
        <f>COUNTIF(Logs!$Q$655:'Logs'!$AB$662,"*Attention to Detail*")</f>
        <v>8</v>
      </c>
      <c r="F78" s="1311">
        <f>COUNTIF(Logs!$Q$655:'Logs'!$AB$662, "*"&amp;F$41&amp;"*")</f>
        <v>3</v>
      </c>
      <c r="G78" s="66">
        <f>COUNTIF(Logs!$Q$655:'Logs'!$AB$662, "*"&amp;G$41&amp;"*")</f>
        <v>0</v>
      </c>
      <c r="H78" s="642">
        <f>COUNTIF(Logs!$Q$655:'Logs'!$AB$662, "*"&amp;H$41&amp;"*")</f>
        <v>1</v>
      </c>
      <c r="I78" s="37">
        <f>COUNTIF(Logs!$Q$655:'Logs'!$AB$662, "*"&amp;I$41&amp;"*")</f>
        <v>1</v>
      </c>
      <c r="J78" s="1311">
        <f>COUNTIF(Logs!$Q$655:'Logs'!$AB$662, "*"&amp;J$41&amp;"*")</f>
        <v>0</v>
      </c>
      <c r="K78" s="233">
        <f>COUNTIF(Logs!$Q$655:'Logs'!$AB$662, "*"&amp;K$41&amp;"*")</f>
        <v>2</v>
      </c>
      <c r="L78" s="36">
        <f>COUNTIF(Logs!$Q$655:'Logs'!$AB$662, "*"&amp;L$41&amp;"*")</f>
        <v>7</v>
      </c>
      <c r="M78" s="577">
        <f>COUNTIF(Logs!$Q$655:'Logs'!$AB$662, "*"&amp;M$41&amp;"*")</f>
        <v>0</v>
      </c>
      <c r="N78" s="37">
        <f>COUNTIF(Logs!$Q$655:'Logs'!$AB$662, "*"&amp;N$41&amp;"*")</f>
        <v>2</v>
      </c>
      <c r="O78" s="37">
        <f>COUNTIF(Logs!$Q$655:'Logs'!$AB$662, "*"&amp;O$41&amp;"*")</f>
        <v>0</v>
      </c>
      <c r="P78" s="242">
        <f>COUNTIF(Logs!$Q$655:'Logs'!$AB$662, "*Hand Eye Coordination*")</f>
        <v>3</v>
      </c>
      <c r="Q78" s="8">
        <f>COUNTIF(Logs!$Q$655:'Logs'!$AB$662, "*"&amp;Q$41&amp;"*")</f>
        <v>2</v>
      </c>
      <c r="R78" s="576">
        <f>COUNTIF(Logs!$Q$655:'Logs'!$AB$662, "*"&amp;R$41&amp;"*")</f>
        <v>3</v>
      </c>
      <c r="S78" s="498">
        <f>COUNTIF(Logs!$Q$655:'Logs'!$AB$662, "*"&amp;S$41&amp;"*")</f>
        <v>0</v>
      </c>
      <c r="T78" s="575">
        <f>COUNTIF(Logs!$Q$655:'Logs'!$AB$662, "*Memorization*")</f>
        <v>4</v>
      </c>
      <c r="U78" s="499">
        <f>COUNTIF(Logs!$Q$655:'Logs'!$AB$662, "*"&amp;U$41&amp;"*")</f>
        <v>1</v>
      </c>
      <c r="V78" s="500">
        <f>COUNTIF(Logs!$Q$655:'Logs'!$AB$662, "*"&amp;V$41&amp;"*")</f>
        <v>0</v>
      </c>
      <c r="W78" s="574">
        <f>COUNTIF(Logs!$Q$655:'Logs'!$AB$662, W$41)</f>
        <v>1</v>
      </c>
      <c r="X78" s="276">
        <f>COUNTIF(Logs!$Q$655:'Logs'!$AB$662, "*"&amp;X$41&amp;"*")</f>
        <v>0</v>
      </c>
      <c r="Y78" s="403">
        <f>COUNTIF(Logs!$Q$655:'Logs'!$AB$662, "*Physical Strength*")</f>
        <v>9</v>
      </c>
      <c r="Z78" s="10">
        <f>COUNTIF(Logs!$Q$655:'Logs'!$AB$662, "*"&amp;Z$41&amp;"*")</f>
        <v>3</v>
      </c>
      <c r="AA78" s="39">
        <f>COUNTIF(Logs!$Q$655:'Logs'!$AB$662, "*"&amp;AA$41&amp;"*")</f>
        <v>4</v>
      </c>
      <c r="AB78" s="361">
        <f>COUNTIF(Logs!$Q$655:'Logs'!$AB$662, "*"&amp;AB$41&amp;"*")</f>
        <v>0</v>
      </c>
      <c r="AC78" s="1310">
        <f>COUNTIF(Logs!$Q$655:'Logs'!$AB$662, "*"&amp;AC$41&amp;"*")</f>
        <v>1</v>
      </c>
      <c r="AD78" s="1312">
        <f>COUNTIF(Logs!$Q$655:'Logs'!$AB$662, "*"&amp;AD$41&amp;"*")</f>
        <v>2</v>
      </c>
      <c r="AE78" s="1313">
        <f>COUNTIF(Logs!$Q$655:'Logs'!$AB$662, "*Travel Issues*")</f>
        <v>10</v>
      </c>
    </row>
    <row r="79" spans="2:49" ht="16.5" thickBot="1">
      <c r="B79" s="1280" t="s">
        <v>2056</v>
      </c>
      <c r="C79" s="1281">
        <f>SUM($D79:$AE79)</f>
        <v>78</v>
      </c>
      <c r="D79" s="1282">
        <f>COUNTIF(Logs!$Q$671:'Logs'!$AB$681, "*"&amp;D$41&amp;"*")</f>
        <v>2</v>
      </c>
      <c r="E79" s="1283">
        <f>COUNTIF(Logs!$Q$671:'Logs'!$AB$681, "Attention to Detail")</f>
        <v>7</v>
      </c>
      <c r="F79" s="1284">
        <f>COUNTIF(Logs!$Q$671:'Logs'!$AB$681, "*"&amp;F$41&amp;"*")</f>
        <v>3</v>
      </c>
      <c r="G79" s="1285">
        <f>COUNTIF(Logs!$Q$671:'Logs'!$AB$681, "*"&amp;G$41&amp;"*")</f>
        <v>1</v>
      </c>
      <c r="H79" s="1286">
        <f>COUNTIF(Logs!$Q$671:'Logs'!$AB$681, "*"&amp;H$41&amp;"*")</f>
        <v>4</v>
      </c>
      <c r="I79" s="1287">
        <f>COUNTIF(Logs!$Q$671:'Logs'!$AB$681, "*"&amp;I$41&amp;"*")</f>
        <v>2</v>
      </c>
      <c r="J79" s="1284">
        <f>COUNTIF(Logs!$Q$671:'Logs'!$AB$681, "*"&amp;J$41&amp;"*")</f>
        <v>0</v>
      </c>
      <c r="K79" s="1288">
        <f>COUNTIF(Logs!$Q$671:'Logs'!$AB$681, "*"&amp;K$41&amp;"*")</f>
        <v>3</v>
      </c>
      <c r="L79" s="1289">
        <f>COUNTIF(Logs!$Q$671:'Logs'!$AB$681, "*"&amp;L$41&amp;"*")</f>
        <v>5</v>
      </c>
      <c r="M79" s="1290">
        <f>COUNTIF(Logs!$Q$671:'Logs'!$AB$681, "*"&amp;M$41&amp;"*")</f>
        <v>0</v>
      </c>
      <c r="N79" s="1108">
        <f>COUNTIF(Logs!$Q$671:'Logs'!$AB$681, "*"&amp;N$41&amp;"*")</f>
        <v>3</v>
      </c>
      <c r="O79" s="1108">
        <f>COUNTIF(Logs!$Q$671:'Logs'!$AB$681, "*"&amp;O$41&amp;"*")</f>
        <v>0</v>
      </c>
      <c r="P79" s="1291">
        <f>COUNTIF(Logs!$Q$671:'Logs'!$AB$681, "Hand Eye Coordination")</f>
        <v>5</v>
      </c>
      <c r="Q79" s="1292">
        <f>COUNTIF(Logs!$Q$671:'Logs'!$AB$681, "*"&amp;Q$41&amp;"*")</f>
        <v>3</v>
      </c>
      <c r="R79" s="1293">
        <f>COUNTIF(Logs!$Q$671:'Logs'!$AB$681, "*"&amp;R$41&amp;"*")</f>
        <v>3</v>
      </c>
      <c r="S79" s="1294">
        <f>COUNTIF(Logs!$Q$671:'Logs'!$AB$681, "*"&amp;S$41&amp;"*")</f>
        <v>0</v>
      </c>
      <c r="T79" s="1295">
        <f>COUNTIF(Logs!$Q$671:'Logs'!$AB$681, "Memorization")</f>
        <v>4</v>
      </c>
      <c r="U79" s="1296">
        <f>COUNTIF(Logs!$Q$671:'Logs'!$AB$681, "*"&amp;U$41&amp;"*")</f>
        <v>1</v>
      </c>
      <c r="V79" s="1285">
        <f>COUNTIF(Logs!$Q$671:'Logs'!$AB$681, "*"&amp;V$41&amp;"*")</f>
        <v>1</v>
      </c>
      <c r="W79" s="1297">
        <f>COUNTIF(Logs!$Q$671:'Logs'!$AB$681, "*"&amp;W$41&amp;"*")</f>
        <v>1</v>
      </c>
      <c r="X79" s="1298">
        <f>COUNTIF(Logs!$Q$671:'Logs'!$AB$681, "*"&amp;X$41&amp;"*")</f>
        <v>0</v>
      </c>
      <c r="Y79" s="1299">
        <f>COUNTIF(Logs!$Q$671:'Logs'!$AB$681, "Physical Strength")</f>
        <v>7</v>
      </c>
      <c r="Z79" s="1300">
        <f>COUNTIF(Logs!$Q$671:'Logs'!$AB$681, "*"&amp;Z$41&amp;"*")</f>
        <v>4</v>
      </c>
      <c r="AA79" s="1301">
        <f>COUNTIF(Logs!$Q$671:'Logs'!$AB$681, "*"&amp;AA$41&amp;"*")</f>
        <v>6</v>
      </c>
      <c r="AB79" s="1302">
        <f>COUNTIF(Logs!$Q$671:'Logs'!$AB$681, "*"&amp;AB$41&amp;"*")</f>
        <v>1</v>
      </c>
      <c r="AC79" s="1303">
        <f>COUNTIF(Logs!$Q$671:'Logs'!$AB$681, "*"&amp;AC$41&amp;"*")</f>
        <v>0</v>
      </c>
      <c r="AD79" s="1304">
        <f>COUNTIF(Logs!$Q$671:'Logs'!$AB$681, "*"&amp;AD$41&amp;"*")</f>
        <v>0</v>
      </c>
      <c r="AE79" s="1305">
        <f>COUNTIF(Logs!$Q$671:'Logs'!$AB$681, "*"&amp;AE$41&amp;"*")</f>
        <v>12</v>
      </c>
    </row>
    <row r="80" spans="2:49">
      <c r="B80" s="272" t="s">
        <v>182</v>
      </c>
      <c r="C80" s="291">
        <f t="shared" si="0"/>
        <v>2231</v>
      </c>
      <c r="D80" s="1279">
        <f t="shared" ref="D80:AE80" si="1">SUM(D$42:D$79)</f>
        <v>93</v>
      </c>
      <c r="E80" s="1279">
        <f t="shared" si="1"/>
        <v>186</v>
      </c>
      <c r="F80" s="1279">
        <f t="shared" si="1"/>
        <v>49</v>
      </c>
      <c r="G80" s="1279">
        <f t="shared" si="1"/>
        <v>43</v>
      </c>
      <c r="H80" s="1279">
        <f t="shared" si="1"/>
        <v>86</v>
      </c>
      <c r="I80" s="1279">
        <f t="shared" si="1"/>
        <v>44</v>
      </c>
      <c r="J80" s="1279">
        <f t="shared" si="1"/>
        <v>11</v>
      </c>
      <c r="K80" s="1279">
        <f t="shared" si="1"/>
        <v>44</v>
      </c>
      <c r="L80" s="1279">
        <f t="shared" si="1"/>
        <v>202</v>
      </c>
      <c r="M80" s="1279">
        <f t="shared" si="1"/>
        <v>8</v>
      </c>
      <c r="N80" s="1279">
        <f t="shared" si="1"/>
        <v>66</v>
      </c>
      <c r="O80" s="1279">
        <f t="shared" si="1"/>
        <v>7</v>
      </c>
      <c r="P80" s="1279">
        <f t="shared" si="1"/>
        <v>78</v>
      </c>
      <c r="Q80" s="1279">
        <f t="shared" si="1"/>
        <v>122</v>
      </c>
      <c r="R80" s="1279">
        <f t="shared" si="1"/>
        <v>43</v>
      </c>
      <c r="S80" s="1279">
        <f t="shared" si="1"/>
        <v>15</v>
      </c>
      <c r="T80" s="1279">
        <f t="shared" si="1"/>
        <v>69</v>
      </c>
      <c r="U80" s="1279">
        <f t="shared" si="1"/>
        <v>20</v>
      </c>
      <c r="V80" s="1279">
        <f t="shared" si="1"/>
        <v>23</v>
      </c>
      <c r="W80" s="1279">
        <f t="shared" si="1"/>
        <v>29</v>
      </c>
      <c r="X80" s="1279">
        <f t="shared" si="1"/>
        <v>16</v>
      </c>
      <c r="Y80" s="1279">
        <f t="shared" si="1"/>
        <v>311</v>
      </c>
      <c r="Z80" s="1279">
        <f t="shared" si="1"/>
        <v>81</v>
      </c>
      <c r="AA80" s="1279">
        <f t="shared" si="1"/>
        <v>227</v>
      </c>
      <c r="AB80" s="1279">
        <f t="shared" si="1"/>
        <v>19</v>
      </c>
      <c r="AC80" s="1279">
        <f t="shared" si="1"/>
        <v>12</v>
      </c>
      <c r="AD80" s="1279">
        <f t="shared" si="1"/>
        <v>37</v>
      </c>
      <c r="AE80" s="1279">
        <f t="shared" si="1"/>
        <v>290</v>
      </c>
    </row>
    <row r="81" spans="2:43">
      <c r="B81" s="288" t="s">
        <v>333</v>
      </c>
      <c r="C81" s="1314">
        <f>AVERAGE(C42:C79)</f>
        <v>58.710526315789473</v>
      </c>
      <c r="D81" s="1315">
        <f t="shared" ref="D81:AE81" si="2">AVERAGE(D$42:D$79)</f>
        <v>2.4473684210526314</v>
      </c>
      <c r="E81" s="1315">
        <f t="shared" si="2"/>
        <v>4.8947368421052628</v>
      </c>
      <c r="F81" s="1315">
        <f t="shared" si="2"/>
        <v>1.2894736842105263</v>
      </c>
      <c r="G81" s="1315">
        <f t="shared" si="2"/>
        <v>1.131578947368421</v>
      </c>
      <c r="H81" s="1315">
        <f t="shared" si="2"/>
        <v>2.263157894736842</v>
      </c>
      <c r="I81" s="1315">
        <f t="shared" si="2"/>
        <v>1.1578947368421053</v>
      </c>
      <c r="J81" s="1315">
        <f t="shared" si="2"/>
        <v>0.28947368421052633</v>
      </c>
      <c r="K81" s="1315">
        <f t="shared" si="2"/>
        <v>1.1578947368421053</v>
      </c>
      <c r="L81" s="1315">
        <f t="shared" si="2"/>
        <v>5.3157894736842106</v>
      </c>
      <c r="M81" s="1315">
        <f t="shared" si="2"/>
        <v>0.21052631578947367</v>
      </c>
      <c r="N81" s="1315">
        <f t="shared" si="2"/>
        <v>1.736842105263158</v>
      </c>
      <c r="O81" s="1315">
        <f t="shared" si="2"/>
        <v>0.18421052631578946</v>
      </c>
      <c r="P81" s="1315">
        <f t="shared" si="2"/>
        <v>2.0526315789473686</v>
      </c>
      <c r="Q81" s="1315">
        <f t="shared" si="2"/>
        <v>3.2105263157894739</v>
      </c>
      <c r="R81" s="1315">
        <f t="shared" si="2"/>
        <v>1.131578947368421</v>
      </c>
      <c r="S81" s="1315">
        <f t="shared" si="2"/>
        <v>0.39473684210526316</v>
      </c>
      <c r="T81" s="1315">
        <f t="shared" si="2"/>
        <v>1.8157894736842106</v>
      </c>
      <c r="U81" s="1315">
        <f t="shared" si="2"/>
        <v>0.52631578947368418</v>
      </c>
      <c r="V81" s="1315">
        <f t="shared" si="2"/>
        <v>0.60526315789473684</v>
      </c>
      <c r="W81" s="1315">
        <f t="shared" si="2"/>
        <v>0.76315789473684215</v>
      </c>
      <c r="X81" s="1315">
        <f t="shared" si="2"/>
        <v>0.42105263157894735</v>
      </c>
      <c r="Y81" s="1315">
        <f t="shared" si="2"/>
        <v>8.1842105263157894</v>
      </c>
      <c r="Z81" s="1315">
        <f t="shared" si="2"/>
        <v>2.1315789473684212</v>
      </c>
      <c r="AA81" s="1315">
        <f t="shared" si="2"/>
        <v>5.9736842105263159</v>
      </c>
      <c r="AB81" s="1315">
        <f t="shared" si="2"/>
        <v>0.5</v>
      </c>
      <c r="AC81" s="1315">
        <f t="shared" si="2"/>
        <v>0.31578947368421051</v>
      </c>
      <c r="AD81" s="1315">
        <f t="shared" si="2"/>
        <v>0.97368421052631582</v>
      </c>
      <c r="AE81" s="1315">
        <f t="shared" si="2"/>
        <v>7.6315789473684212</v>
      </c>
    </row>
    <row r="82" spans="2:43">
      <c r="B82" s="288" t="s">
        <v>1276</v>
      </c>
      <c r="C82">
        <f>MAX(C42:C79)</f>
        <v>78</v>
      </c>
      <c r="D82" s="289">
        <f t="shared" ref="D82:AE82" si="3">MAX(D$42:D$79)</f>
        <v>6</v>
      </c>
      <c r="E82" s="289">
        <f t="shared" si="3"/>
        <v>10</v>
      </c>
      <c r="F82" s="289">
        <f t="shared" si="3"/>
        <v>5</v>
      </c>
      <c r="G82" s="289">
        <f t="shared" si="3"/>
        <v>4</v>
      </c>
      <c r="H82" s="289">
        <f t="shared" si="3"/>
        <v>7</v>
      </c>
      <c r="I82" s="289">
        <f t="shared" si="3"/>
        <v>3</v>
      </c>
      <c r="J82" s="289">
        <f t="shared" si="3"/>
        <v>1</v>
      </c>
      <c r="K82" s="289">
        <f t="shared" si="3"/>
        <v>3</v>
      </c>
      <c r="L82" s="289">
        <f t="shared" si="3"/>
        <v>11</v>
      </c>
      <c r="M82" s="289">
        <f t="shared" si="3"/>
        <v>1</v>
      </c>
      <c r="N82" s="289">
        <f t="shared" si="3"/>
        <v>4</v>
      </c>
      <c r="O82" s="289">
        <f t="shared" si="3"/>
        <v>1</v>
      </c>
      <c r="P82" s="289">
        <f t="shared" si="3"/>
        <v>6</v>
      </c>
      <c r="Q82" s="289">
        <f t="shared" si="3"/>
        <v>6</v>
      </c>
      <c r="R82" s="289">
        <f t="shared" si="3"/>
        <v>4</v>
      </c>
      <c r="S82" s="289">
        <f t="shared" si="3"/>
        <v>2</v>
      </c>
      <c r="T82" s="289">
        <f t="shared" si="3"/>
        <v>6</v>
      </c>
      <c r="U82" s="289">
        <f t="shared" si="3"/>
        <v>2</v>
      </c>
      <c r="V82" s="289">
        <f t="shared" si="3"/>
        <v>3</v>
      </c>
      <c r="W82" s="289">
        <f t="shared" si="3"/>
        <v>3</v>
      </c>
      <c r="X82" s="289">
        <f t="shared" si="3"/>
        <v>3</v>
      </c>
      <c r="Y82" s="289">
        <f t="shared" si="3"/>
        <v>11</v>
      </c>
      <c r="Z82" s="289">
        <f t="shared" si="3"/>
        <v>6</v>
      </c>
      <c r="AA82" s="289">
        <f t="shared" si="3"/>
        <v>10</v>
      </c>
      <c r="AB82" s="289">
        <f t="shared" si="3"/>
        <v>2</v>
      </c>
      <c r="AC82" s="289">
        <f t="shared" si="3"/>
        <v>1</v>
      </c>
      <c r="AD82" s="289">
        <f t="shared" si="3"/>
        <v>3</v>
      </c>
      <c r="AE82" s="289">
        <f t="shared" si="3"/>
        <v>12</v>
      </c>
    </row>
    <row r="83" spans="2:43">
      <c r="B83" s="288" t="s">
        <v>1277</v>
      </c>
      <c r="C83">
        <f>MODE(C42:C79)</f>
        <v>54</v>
      </c>
      <c r="D83" s="289">
        <f t="shared" ref="D83:AE83" si="4">MODE(D$42:D$79)</f>
        <v>2</v>
      </c>
      <c r="E83" s="289">
        <f t="shared" si="4"/>
        <v>9</v>
      </c>
      <c r="F83" s="289">
        <f t="shared" si="4"/>
        <v>0</v>
      </c>
      <c r="G83" s="289">
        <f t="shared" si="4"/>
        <v>1</v>
      </c>
      <c r="H83" s="289">
        <f t="shared" si="4"/>
        <v>1</v>
      </c>
      <c r="I83" s="289">
        <f t="shared" si="4"/>
        <v>0</v>
      </c>
      <c r="J83" s="289">
        <f t="shared" si="4"/>
        <v>0</v>
      </c>
      <c r="K83" s="289">
        <f t="shared" si="4"/>
        <v>1</v>
      </c>
      <c r="L83" s="289">
        <f t="shared" si="4"/>
        <v>7</v>
      </c>
      <c r="M83" s="289">
        <f t="shared" si="4"/>
        <v>0</v>
      </c>
      <c r="N83" s="289">
        <f t="shared" si="4"/>
        <v>2</v>
      </c>
      <c r="O83" s="289">
        <f t="shared" si="4"/>
        <v>0</v>
      </c>
      <c r="P83" s="289">
        <f t="shared" si="4"/>
        <v>1</v>
      </c>
      <c r="Q83" s="289">
        <f t="shared" si="4"/>
        <v>3</v>
      </c>
      <c r="R83" s="289">
        <f t="shared" si="4"/>
        <v>0</v>
      </c>
      <c r="S83" s="289">
        <f t="shared" si="4"/>
        <v>0</v>
      </c>
      <c r="T83" s="289">
        <f t="shared" si="4"/>
        <v>1</v>
      </c>
      <c r="U83" s="289">
        <f t="shared" si="4"/>
        <v>0</v>
      </c>
      <c r="V83" s="289">
        <f t="shared" si="4"/>
        <v>0</v>
      </c>
      <c r="W83" s="289">
        <f t="shared" si="4"/>
        <v>0</v>
      </c>
      <c r="X83" s="289">
        <f t="shared" si="4"/>
        <v>0</v>
      </c>
      <c r="Y83" s="289">
        <f t="shared" si="4"/>
        <v>9</v>
      </c>
      <c r="Z83" s="289">
        <f t="shared" si="4"/>
        <v>1</v>
      </c>
      <c r="AA83" s="289">
        <f t="shared" si="4"/>
        <v>8</v>
      </c>
      <c r="AB83" s="289">
        <f t="shared" si="4"/>
        <v>0</v>
      </c>
      <c r="AC83" s="289">
        <f t="shared" si="4"/>
        <v>0</v>
      </c>
      <c r="AD83" s="289">
        <f t="shared" si="4"/>
        <v>1</v>
      </c>
      <c r="AE83" s="289">
        <f t="shared" si="4"/>
        <v>8</v>
      </c>
    </row>
    <row r="84" spans="2:43" ht="18.75">
      <c r="B84" s="40" t="s">
        <v>2046</v>
      </c>
    </row>
    <row r="85" spans="2:43" ht="18.75">
      <c r="B85" s="40"/>
      <c r="AO85" s="1632" t="s">
        <v>25</v>
      </c>
      <c r="AP85" s="1633"/>
      <c r="AQ85" s="35">
        <f>SUM(Y$42:Y$79)</f>
        <v>311</v>
      </c>
    </row>
    <row r="86" spans="2:43" ht="18.75">
      <c r="B86" s="40"/>
      <c r="AO86" s="1634" t="s">
        <v>21</v>
      </c>
      <c r="AP86" s="1635"/>
      <c r="AQ86" s="35">
        <f>SUM(AE$42:AE$79)</f>
        <v>290</v>
      </c>
    </row>
    <row r="87" spans="2:43" ht="18.75">
      <c r="B87" s="40"/>
      <c r="AO87" s="1636" t="s">
        <v>24</v>
      </c>
      <c r="AP87" s="1637"/>
      <c r="AQ87" s="35">
        <f>SUM(L$42:L$79)</f>
        <v>202</v>
      </c>
    </row>
    <row r="88" spans="2:43" ht="18.75">
      <c r="B88" s="40"/>
      <c r="AO88" s="1638" t="s">
        <v>44</v>
      </c>
      <c r="AP88" s="1639"/>
      <c r="AQ88" s="35">
        <f>SUM(AA$42:AA$79)</f>
        <v>227</v>
      </c>
    </row>
    <row r="89" spans="2:43" ht="18.75">
      <c r="B89" s="40"/>
      <c r="AO89" s="1640" t="s">
        <v>22</v>
      </c>
      <c r="AP89" s="1641"/>
      <c r="AQ89" s="35">
        <f>SUM(E$42:E$79)</f>
        <v>186</v>
      </c>
    </row>
    <row r="90" spans="2:43" ht="18.75">
      <c r="B90" s="40"/>
      <c r="AO90" s="1642" t="s">
        <v>26</v>
      </c>
      <c r="AP90" s="1643"/>
      <c r="AQ90" s="35">
        <f>SUM(Q$42:Q$79)</f>
        <v>122</v>
      </c>
    </row>
    <row r="91" spans="2:43" ht="18.75">
      <c r="B91" s="40"/>
      <c r="AO91" s="1644" t="s">
        <v>27</v>
      </c>
      <c r="AP91" s="1645"/>
      <c r="AQ91" s="35">
        <f>SUM(D$42:D$79)</f>
        <v>93</v>
      </c>
    </row>
    <row r="92" spans="2:43" ht="18.75">
      <c r="B92" s="40"/>
      <c r="AO92" s="1646" t="s">
        <v>20</v>
      </c>
      <c r="AP92" s="1647"/>
      <c r="AQ92" s="35">
        <f>SUM(Z$42:Z$79)</f>
        <v>81</v>
      </c>
    </row>
    <row r="93" spans="2:43" ht="18.75">
      <c r="B93" s="40"/>
      <c r="AO93" s="1648" t="s">
        <v>1272</v>
      </c>
      <c r="AP93" s="1649"/>
      <c r="AQ93" s="35">
        <f>SUM(T$42:T$79)</f>
        <v>69</v>
      </c>
    </row>
    <row r="94" spans="2:43" ht="18.75">
      <c r="B94" s="40"/>
      <c r="AO94" s="1650" t="s">
        <v>29</v>
      </c>
      <c r="AP94" s="1651"/>
      <c r="AQ94" s="35">
        <f>SUM(N$42:N$79)</f>
        <v>66</v>
      </c>
    </row>
    <row r="95" spans="2:43" ht="18.75">
      <c r="B95" s="40"/>
      <c r="AO95" s="1652" t="s">
        <v>47</v>
      </c>
      <c r="AP95" s="1653"/>
      <c r="AQ95" s="35">
        <f>SUM($H42:$H79)</f>
        <v>86</v>
      </c>
    </row>
    <row r="96" spans="2:43" ht="18.75">
      <c r="B96" s="40"/>
      <c r="AO96" s="1654" t="s">
        <v>244</v>
      </c>
      <c r="AP96" s="1655"/>
      <c r="AQ96" s="35">
        <f>SUM(P$42:P$79)</f>
        <v>78</v>
      </c>
    </row>
    <row r="97" spans="2:43" ht="18.75">
      <c r="B97" s="40"/>
      <c r="AO97" s="1656" t="s">
        <v>120</v>
      </c>
      <c r="AP97" s="1657"/>
      <c r="AQ97" s="35">
        <f>SUM(G$42:G$79)</f>
        <v>43</v>
      </c>
    </row>
    <row r="98" spans="2:43" ht="18.75">
      <c r="B98" s="40"/>
      <c r="AO98" s="1658" t="s">
        <v>155</v>
      </c>
      <c r="AP98" s="1659"/>
      <c r="AQ98" s="35">
        <f>SUM(K$42:K$79)</f>
        <v>44</v>
      </c>
    </row>
    <row r="99" spans="2:43" ht="18.75">
      <c r="B99" s="40"/>
      <c r="AO99" s="1660" t="s">
        <v>43</v>
      </c>
      <c r="AP99" s="1661"/>
      <c r="AQ99" s="35">
        <f>SUM(F$42:F$79)</f>
        <v>49</v>
      </c>
    </row>
    <row r="100" spans="2:43" ht="18.75">
      <c r="B100" s="40"/>
      <c r="AO100" s="1662" t="s">
        <v>216</v>
      </c>
      <c r="AP100" s="1663"/>
      <c r="AQ100" s="35">
        <f>SUM(AD$42:AD$79)</f>
        <v>37</v>
      </c>
    </row>
    <row r="101" spans="2:43" ht="18.75">
      <c r="B101" s="40"/>
      <c r="AO101" s="1664" t="s">
        <v>109</v>
      </c>
      <c r="AP101" s="1665"/>
      <c r="AQ101" s="35">
        <f>SUM(R$42:R$79)</f>
        <v>43</v>
      </c>
    </row>
    <row r="102" spans="2:43" ht="18.75">
      <c r="B102" s="40"/>
      <c r="AO102" s="1666" t="s">
        <v>124</v>
      </c>
      <c r="AP102" s="1667"/>
      <c r="AQ102" s="35">
        <f>SUM(W$42:W$79)</f>
        <v>29</v>
      </c>
    </row>
    <row r="103" spans="2:43" ht="18.75">
      <c r="B103" s="40"/>
      <c r="AO103" s="1668" t="s">
        <v>46</v>
      </c>
      <c r="AP103" s="1669"/>
      <c r="AQ103" s="35">
        <f>SUM(I$42:I$79)</f>
        <v>44</v>
      </c>
    </row>
    <row r="104" spans="2:43" ht="18.75">
      <c r="B104" s="40"/>
      <c r="AO104" s="1670" t="s">
        <v>68</v>
      </c>
      <c r="AP104" s="1671"/>
      <c r="AQ104" s="35">
        <f>SUM(U$42:U$79)</f>
        <v>20</v>
      </c>
    </row>
    <row r="105" spans="2:43" ht="18.75">
      <c r="B105" s="40"/>
      <c r="AO105" s="1678" t="s">
        <v>114</v>
      </c>
      <c r="AP105" s="1679"/>
      <c r="AQ105" s="35">
        <f>SUM(S$42:S$79)</f>
        <v>15</v>
      </c>
    </row>
    <row r="106" spans="2:43" ht="18.75">
      <c r="B106" s="40"/>
      <c r="AO106" s="1680" t="s">
        <v>234</v>
      </c>
      <c r="AP106" s="1681"/>
      <c r="AQ106" s="35">
        <f>SUM(V$42:V$79)</f>
        <v>23</v>
      </c>
    </row>
    <row r="107" spans="2:43" ht="18.75">
      <c r="B107" s="40"/>
      <c r="AO107" s="1682" t="s">
        <v>74</v>
      </c>
      <c r="AP107" s="1683"/>
      <c r="AQ107" s="35">
        <f>SUM(X$42:X$79)</f>
        <v>16</v>
      </c>
    </row>
    <row r="108" spans="2:43" ht="18.75">
      <c r="B108" s="40"/>
      <c r="AO108" s="1684" t="s">
        <v>339</v>
      </c>
      <c r="AP108" s="1685"/>
      <c r="AQ108" s="35">
        <f>SUM(AB$42:AB$79)</f>
        <v>19</v>
      </c>
    </row>
    <row r="109" spans="2:43" ht="18.75">
      <c r="B109" s="40"/>
      <c r="AO109" s="1686" t="s">
        <v>73</v>
      </c>
      <c r="AP109" s="1687"/>
      <c r="AQ109" s="35">
        <f>SUM(AC$42:AC$79)</f>
        <v>12</v>
      </c>
    </row>
    <row r="110" spans="2:43" ht="18.75">
      <c r="B110" s="40"/>
      <c r="AO110" s="1672" t="s">
        <v>23</v>
      </c>
      <c r="AP110" s="1673"/>
      <c r="AQ110" s="35">
        <f>SUM(M$42:M$79)</f>
        <v>8</v>
      </c>
    </row>
    <row r="111" spans="2:43" ht="18.75">
      <c r="B111" s="40"/>
      <c r="AO111" s="1674" t="s">
        <v>93</v>
      </c>
      <c r="AP111" s="1675"/>
      <c r="AQ111" s="35">
        <f>SUM(O$42:O$79)</f>
        <v>7</v>
      </c>
    </row>
    <row r="112" spans="2:43" ht="18.75">
      <c r="B112" s="40"/>
      <c r="AO112" s="1676" t="s">
        <v>397</v>
      </c>
      <c r="AP112" s="1677"/>
      <c r="AQ112" s="35">
        <f>SUM(J$42:J$79)</f>
        <v>11</v>
      </c>
    </row>
    <row r="113" spans="2:30" ht="18.75">
      <c r="B113" s="40" t="s">
        <v>2045</v>
      </c>
    </row>
    <row r="114" spans="2:30">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row>
    <row r="115" spans="2:30">
      <c r="C115" s="281"/>
      <c r="D115" s="56"/>
      <c r="E115" s="282"/>
      <c r="F115" s="281"/>
      <c r="G115" s="281"/>
      <c r="H115" s="56"/>
      <c r="I115" s="282"/>
      <c r="J115" s="281"/>
      <c r="K115" s="281"/>
      <c r="L115" s="281"/>
      <c r="M115" s="56"/>
      <c r="N115" s="56"/>
      <c r="O115" s="281"/>
      <c r="P115" s="281"/>
      <c r="Q115" s="283"/>
      <c r="R115" s="281"/>
      <c r="S115" s="56"/>
      <c r="T115" s="56"/>
      <c r="U115" s="281"/>
      <c r="V115" s="56"/>
      <c r="W115" s="281"/>
      <c r="X115" s="56"/>
      <c r="Y115" s="281"/>
      <c r="Z115" s="56"/>
      <c r="AA115" s="281"/>
      <c r="AB115" s="56"/>
      <c r="AC115" s="56"/>
      <c r="AD115" s="56"/>
    </row>
    <row r="246" hidden="1"/>
    <row r="247" hidden="1"/>
    <row r="248" hidden="1"/>
    <row r="250" hidden="1"/>
    <row r="251" hidden="1"/>
    <row r="252" hidden="1"/>
    <row r="253" hidden="1"/>
    <row r="254" hidden="1"/>
    <row r="255" hidden="1"/>
    <row r="256" hidden="1"/>
    <row r="257" spans="2:30" hidden="1"/>
    <row r="258" spans="2:30" hidden="1"/>
    <row r="259" spans="2:30" ht="18.75">
      <c r="B259" s="40"/>
      <c r="C259" s="12"/>
    </row>
    <row r="260" spans="2:30">
      <c r="B260" s="317"/>
      <c r="C260" s="281"/>
      <c r="D260" s="56"/>
      <c r="E260" s="282"/>
      <c r="F260" s="281"/>
      <c r="G260" s="281"/>
      <c r="H260" s="56"/>
      <c r="I260" s="282"/>
      <c r="J260" s="281"/>
      <c r="K260" s="281"/>
      <c r="L260" s="281"/>
      <c r="M260" s="56"/>
      <c r="N260" s="56"/>
      <c r="O260" s="281"/>
      <c r="P260" s="281"/>
      <c r="Q260" s="283"/>
      <c r="R260" s="281"/>
      <c r="S260" s="56"/>
      <c r="T260" s="56"/>
      <c r="U260" s="281"/>
      <c r="V260" s="56"/>
      <c r="W260" s="281"/>
      <c r="X260" s="56"/>
      <c r="Y260" s="281"/>
      <c r="Z260" s="56"/>
      <c r="AA260" s="281"/>
      <c r="AB260" s="56"/>
      <c r="AC260" s="56"/>
      <c r="AD260" s="56"/>
    </row>
    <row r="265" spans="2:30" hidden="1"/>
    <row r="266" spans="2:30" hidden="1"/>
    <row r="267" spans="2:30" hidden="1"/>
    <row r="268" spans="2:30" hidden="1"/>
    <row r="269" spans="2:30" hidden="1"/>
    <row r="270" spans="2:30" hidden="1"/>
    <row r="271" spans="2:30" hidden="1"/>
    <row r="272" spans="2:30" hidden="1"/>
    <row r="273" hidden="1"/>
    <row r="274" hidden="1"/>
    <row r="275" hidden="1"/>
    <row r="276" hidden="1"/>
    <row r="284" hidden="1"/>
    <row r="285" hidden="1"/>
    <row r="286" hidden="1"/>
    <row r="287" hidden="1"/>
    <row r="288" hidden="1"/>
    <row r="289" hidden="1"/>
    <row r="290" hidden="1"/>
    <row r="291" hidden="1"/>
    <row r="292" hidden="1"/>
    <row r="293" hidden="1"/>
    <row r="294" hidden="1"/>
    <row r="301" hidden="1"/>
    <row r="302" hidden="1"/>
    <row r="303" hidden="1"/>
    <row r="304" hidden="1"/>
    <row r="305" hidden="1"/>
    <row r="306" hidden="1"/>
    <row r="307" hidden="1"/>
    <row r="308" hidden="1"/>
    <row r="309" hidden="1"/>
    <row r="310" hidden="1"/>
    <row r="311" hidden="1"/>
    <row r="312" hidden="1"/>
    <row r="319" hidden="1"/>
    <row r="320" hidden="1"/>
    <row r="321" hidden="1"/>
    <row r="322" hidden="1"/>
    <row r="323" hidden="1"/>
    <row r="324" hidden="1"/>
    <row r="325" hidden="1"/>
    <row r="326" hidden="1"/>
    <row r="327" hidden="1"/>
    <row r="328" hidden="1"/>
    <row r="329" hidden="1"/>
    <row r="330" hidden="1"/>
    <row r="331" hidden="1"/>
    <row r="332" hidden="1"/>
    <row r="340" hidden="1"/>
    <row r="341" hidden="1"/>
    <row r="342" hidden="1"/>
    <row r="343" hidden="1"/>
    <row r="344" hidden="1"/>
    <row r="345" hidden="1"/>
    <row r="346" hidden="1"/>
    <row r="347" hidden="1"/>
    <row r="348" hidden="1"/>
    <row r="349" hidden="1"/>
    <row r="350" hidden="1"/>
    <row r="351" hidden="1"/>
    <row r="358" hidden="1"/>
    <row r="359" hidden="1"/>
    <row r="360" hidden="1"/>
    <row r="361" hidden="1"/>
    <row r="362" hidden="1"/>
    <row r="363" hidden="1"/>
    <row r="364" hidden="1"/>
    <row r="365" hidden="1"/>
    <row r="366" hidden="1"/>
    <row r="367" hidden="1"/>
    <row r="368" hidden="1"/>
    <row r="369" hidden="1"/>
    <row r="370" hidden="1"/>
    <row r="377" hidden="1"/>
    <row r="378" hidden="1"/>
    <row r="379" hidden="1"/>
    <row r="380" hidden="1"/>
    <row r="381" hidden="1"/>
    <row r="382" hidden="1"/>
    <row r="383" hidden="1"/>
    <row r="384" hidden="1"/>
    <row r="385" hidden="1"/>
    <row r="386" hidden="1"/>
    <row r="387" hidden="1"/>
    <row r="388" hidden="1"/>
    <row r="389" hidden="1"/>
    <row r="390" hidden="1"/>
    <row r="397" hidden="1"/>
    <row r="398" hidden="1"/>
    <row r="399" hidden="1"/>
    <row r="400" hidden="1"/>
    <row r="401" hidden="1"/>
    <row r="402" hidden="1"/>
    <row r="403" hidden="1"/>
    <row r="404" hidden="1"/>
    <row r="405" hidden="1"/>
    <row r="406" hidden="1"/>
    <row r="407" hidden="1"/>
    <row r="408" hidden="1"/>
    <row r="416" hidden="1"/>
    <row r="417" hidden="1"/>
    <row r="418" hidden="1"/>
    <row r="419" hidden="1"/>
    <row r="420" hidden="1"/>
    <row r="421" hidden="1"/>
    <row r="422" hidden="1"/>
    <row r="423" hidden="1"/>
    <row r="424" hidden="1"/>
    <row r="425" hidden="1"/>
    <row r="426" hidden="1"/>
    <row r="427" hidden="1"/>
    <row r="428" hidden="1"/>
    <row r="429" hidden="1"/>
    <row r="435" hidden="1"/>
    <row r="436" hidden="1"/>
    <row r="437" hidden="1"/>
    <row r="438" hidden="1"/>
    <row r="439" hidden="1"/>
    <row r="440" hidden="1"/>
    <row r="441" hidden="1"/>
    <row r="442" hidden="1"/>
    <row r="443" hidden="1"/>
    <row r="444" hidden="1"/>
    <row r="445" hidden="1"/>
    <row r="446" hidden="1"/>
    <row r="453" hidden="1"/>
    <row r="454" hidden="1"/>
    <row r="455" hidden="1"/>
    <row r="456" hidden="1"/>
    <row r="457" hidden="1"/>
    <row r="458" hidden="1"/>
    <row r="459" hidden="1"/>
    <row r="460" hidden="1"/>
    <row r="461" hidden="1"/>
    <row r="462" hidden="1"/>
    <row r="463" hidden="1"/>
    <row r="464" hidden="1"/>
    <row r="471" hidden="1"/>
    <row r="472" hidden="1"/>
    <row r="473" hidden="1"/>
    <row r="474" hidden="1"/>
    <row r="475" hidden="1"/>
    <row r="476" hidden="1"/>
    <row r="477" hidden="1"/>
    <row r="478" hidden="1"/>
    <row r="479" hidden="1"/>
    <row r="480" hidden="1"/>
    <row r="481" hidden="1"/>
    <row r="488" hidden="1"/>
    <row r="489" hidden="1"/>
    <row r="490" hidden="1"/>
    <row r="491" hidden="1"/>
    <row r="492" hidden="1"/>
    <row r="493" hidden="1"/>
    <row r="494" hidden="1"/>
    <row r="495" hidden="1"/>
    <row r="496" hidden="1"/>
    <row r="497" hidden="1"/>
    <row r="498" hidden="1"/>
    <row r="506" hidden="1"/>
    <row r="507" hidden="1"/>
    <row r="508" hidden="1"/>
    <row r="509" hidden="1"/>
    <row r="510" hidden="1"/>
    <row r="511" hidden="1"/>
    <row r="512" hidden="1"/>
    <row r="513" hidden="1"/>
    <row r="514" hidden="1"/>
    <row r="515" hidden="1"/>
    <row r="516" hidden="1"/>
    <row r="522" hidden="1"/>
    <row r="523" hidden="1"/>
    <row r="524" hidden="1"/>
    <row r="525" hidden="1"/>
    <row r="526" hidden="1"/>
    <row r="527" hidden="1"/>
    <row r="528" hidden="1"/>
    <row r="529" hidden="1"/>
    <row r="530" hidden="1"/>
    <row r="531" hidden="1"/>
    <row r="532" hidden="1"/>
    <row r="533" hidden="1"/>
    <row r="541" hidden="1"/>
    <row r="542" hidden="1"/>
    <row r="543" hidden="1"/>
    <row r="544" hidden="1"/>
    <row r="545" hidden="1"/>
    <row r="546" hidden="1"/>
    <row r="547" hidden="1"/>
    <row r="548" hidden="1"/>
    <row r="549" hidden="1"/>
    <row r="550" hidden="1"/>
    <row r="551" hidden="1"/>
    <row r="559" hidden="1"/>
    <row r="560" hidden="1"/>
    <row r="561" hidden="1"/>
    <row r="562" hidden="1"/>
    <row r="563" hidden="1"/>
    <row r="564" hidden="1"/>
    <row r="565" hidden="1"/>
    <row r="566" hidden="1"/>
    <row r="567" hidden="1"/>
    <row r="568" hidden="1"/>
    <row r="569" hidden="1"/>
    <row r="577" hidden="1"/>
    <row r="578" hidden="1"/>
    <row r="579" hidden="1"/>
    <row r="580" hidden="1"/>
    <row r="581" hidden="1"/>
    <row r="582" hidden="1"/>
    <row r="583" hidden="1"/>
    <row r="584" hidden="1"/>
    <row r="585" hidden="1"/>
    <row r="586" hidden="1"/>
    <row r="587" hidden="1"/>
    <row r="595" hidden="1"/>
    <row r="596" hidden="1"/>
    <row r="597" hidden="1"/>
    <row r="598" hidden="1"/>
    <row r="599" hidden="1"/>
    <row r="600" hidden="1"/>
    <row r="601" hidden="1"/>
    <row r="602" hidden="1"/>
    <row r="603" hidden="1"/>
    <row r="604" hidden="1"/>
    <row r="605" hidden="1"/>
    <row r="613" hidden="1"/>
    <row r="614" hidden="1"/>
    <row r="615" hidden="1"/>
    <row r="616" hidden="1"/>
    <row r="617" hidden="1"/>
    <row r="618" hidden="1"/>
    <row r="619" hidden="1"/>
    <row r="620" hidden="1"/>
    <row r="621" hidden="1"/>
    <row r="622" hidden="1"/>
    <row r="623" hidden="1"/>
    <row r="624" hidden="1"/>
    <row r="631" hidden="1"/>
    <row r="632" hidden="1"/>
    <row r="633" hidden="1"/>
    <row r="634" hidden="1"/>
    <row r="635" hidden="1"/>
    <row r="636" hidden="1"/>
    <row r="637" hidden="1"/>
    <row r="638" hidden="1"/>
    <row r="639" hidden="1"/>
    <row r="640" hidden="1"/>
    <row r="641" hidden="1"/>
    <row r="642" hidden="1"/>
    <row r="649" hidden="1"/>
    <row r="650" hidden="1"/>
    <row r="651" hidden="1"/>
    <row r="652" hidden="1"/>
    <row r="653" hidden="1"/>
    <row r="654" hidden="1"/>
    <row r="655" hidden="1"/>
    <row r="656" hidden="1"/>
    <row r="657" hidden="1"/>
    <row r="658" hidden="1"/>
    <row r="659" hidden="1"/>
    <row r="660" hidden="1"/>
    <row r="666" hidden="1"/>
    <row r="667" hidden="1"/>
    <row r="668" hidden="1"/>
    <row r="669" hidden="1"/>
    <row r="670" hidden="1"/>
    <row r="671" hidden="1"/>
    <row r="672" hidden="1"/>
    <row r="673" hidden="1"/>
    <row r="674" hidden="1"/>
    <row r="675" hidden="1"/>
    <row r="676" hidden="1"/>
    <row r="677" hidden="1"/>
    <row r="678" hidden="1"/>
    <row r="685" hidden="1"/>
    <row r="686" hidden="1"/>
    <row r="687" hidden="1"/>
    <row r="688" hidden="1"/>
    <row r="689" hidden="1"/>
    <row r="690" hidden="1"/>
    <row r="691" hidden="1"/>
    <row r="692" hidden="1"/>
    <row r="693" hidden="1"/>
    <row r="694" hidden="1"/>
    <row r="695" hidden="1"/>
    <row r="696" hidden="1"/>
    <row r="702" hidden="1"/>
    <row r="703" hidden="1"/>
    <row r="704" hidden="1"/>
    <row r="705" hidden="1"/>
    <row r="706" hidden="1"/>
    <row r="707" hidden="1"/>
    <row r="708" hidden="1"/>
    <row r="709" hidden="1"/>
    <row r="710" hidden="1"/>
    <row r="711" hidden="1"/>
    <row r="712" hidden="1"/>
    <row r="713" hidden="1"/>
    <row r="714" hidden="1"/>
    <row r="720" hidden="1"/>
    <row r="721" hidden="1"/>
    <row r="722" hidden="1"/>
    <row r="723" hidden="1"/>
    <row r="724" hidden="1"/>
    <row r="725" hidden="1"/>
    <row r="726" hidden="1"/>
    <row r="727" hidden="1"/>
    <row r="728" hidden="1"/>
    <row r="729" hidden="1"/>
    <row r="730" hidden="1"/>
    <row r="731" hidden="1"/>
    <row r="732" hidden="1"/>
    <row r="737" hidden="1"/>
    <row r="738" hidden="1"/>
    <row r="739" hidden="1"/>
    <row r="740" hidden="1"/>
    <row r="741" hidden="1"/>
    <row r="742" hidden="1"/>
    <row r="743" hidden="1"/>
    <row r="744" hidden="1"/>
    <row r="745" hidden="1"/>
    <row r="746" hidden="1"/>
    <row r="747" hidden="1"/>
    <row r="748" hidden="1"/>
    <row r="749" hidden="1"/>
    <row r="750" hidden="1"/>
    <row r="755" hidden="1"/>
    <row r="756" hidden="1"/>
    <row r="757" hidden="1"/>
    <row r="758" hidden="1"/>
    <row r="759" hidden="1"/>
    <row r="760" hidden="1"/>
    <row r="761" hidden="1"/>
    <row r="762" hidden="1"/>
    <row r="763" hidden="1"/>
    <row r="764" hidden="1"/>
    <row r="765" hidden="1"/>
    <row r="766" hidden="1"/>
    <row r="767" hidden="1"/>
    <row r="768" hidden="1"/>
    <row r="776" hidden="1"/>
    <row r="777" hidden="1"/>
    <row r="778" hidden="1"/>
    <row r="779" hidden="1"/>
    <row r="780" hidden="1"/>
    <row r="781" hidden="1"/>
    <row r="782" hidden="1"/>
    <row r="783" hidden="1"/>
    <row r="784" hidden="1"/>
    <row r="785" hidden="1"/>
    <row r="786" hidden="1"/>
    <row r="793" hidden="1"/>
    <row r="794" hidden="1"/>
    <row r="795" hidden="1"/>
    <row r="796" hidden="1"/>
    <row r="797" hidden="1"/>
    <row r="798" hidden="1"/>
    <row r="799" hidden="1"/>
    <row r="800" hidden="1"/>
    <row r="801" hidden="1"/>
    <row r="802" hidden="1"/>
    <row r="803" hidden="1"/>
    <row r="808" hidden="1"/>
    <row r="809" hidden="1"/>
    <row r="810" hidden="1"/>
    <row r="811" hidden="1"/>
    <row r="812" hidden="1"/>
    <row r="813" hidden="1"/>
    <row r="814" hidden="1"/>
    <row r="815" hidden="1"/>
    <row r="816" hidden="1"/>
    <row r="817" hidden="1"/>
    <row r="818" hidden="1"/>
    <row r="819" hidden="1"/>
    <row r="820" hidden="1"/>
    <row r="821" hidden="1"/>
    <row r="822" hidden="1"/>
    <row r="829" hidden="1"/>
    <row r="830" hidden="1"/>
    <row r="831" hidden="1"/>
    <row r="832" hidden="1"/>
    <row r="833" hidden="1"/>
    <row r="834" hidden="1"/>
    <row r="835" hidden="1"/>
    <row r="836" hidden="1"/>
    <row r="837" hidden="1"/>
    <row r="838" hidden="1"/>
    <row r="848" hidden="1"/>
    <row r="849" hidden="1"/>
    <row r="850" hidden="1"/>
    <row r="851" hidden="1"/>
    <row r="852" hidden="1"/>
    <row r="853" hidden="1"/>
    <row r="854" hidden="1"/>
    <row r="864" hidden="1"/>
    <row r="865" hidden="1"/>
    <row r="866" hidden="1"/>
    <row r="867" hidden="1"/>
    <row r="868" hidden="1"/>
    <row r="869" hidden="1"/>
    <row r="870" hidden="1"/>
    <row r="871" hidden="1"/>
  </sheetData>
  <sortState xmlns:xlrd2="http://schemas.microsoft.com/office/spreadsheetml/2017/richdata2" ref="AP86:AQ112">
    <sortCondition descending="1" ref="AQ112"/>
  </sortState>
  <mergeCells count="31">
    <mergeCell ref="AO112:AP112"/>
    <mergeCell ref="AO105:AP105"/>
    <mergeCell ref="AO106:AP106"/>
    <mergeCell ref="AO107:AP107"/>
    <mergeCell ref="AO108:AP108"/>
    <mergeCell ref="AO109:AP109"/>
    <mergeCell ref="AO102:AP102"/>
    <mergeCell ref="AO103:AP103"/>
    <mergeCell ref="AO104:AP104"/>
    <mergeCell ref="AO110:AP110"/>
    <mergeCell ref="AO111:AP111"/>
    <mergeCell ref="AO97:AP97"/>
    <mergeCell ref="AO98:AP98"/>
    <mergeCell ref="AO99:AP99"/>
    <mergeCell ref="AO100:AP100"/>
    <mergeCell ref="AO101:AP101"/>
    <mergeCell ref="AO92:AP92"/>
    <mergeCell ref="AO93:AP93"/>
    <mergeCell ref="AO94:AP94"/>
    <mergeCell ref="AO95:AP95"/>
    <mergeCell ref="AO96:AP96"/>
    <mergeCell ref="AO87:AP87"/>
    <mergeCell ref="AO88:AP88"/>
    <mergeCell ref="AO89:AP89"/>
    <mergeCell ref="AO90:AP90"/>
    <mergeCell ref="AO91:AP91"/>
    <mergeCell ref="B4:D4"/>
    <mergeCell ref="C12:J12"/>
    <mergeCell ref="C15:K15"/>
    <mergeCell ref="AO85:AP85"/>
    <mergeCell ref="AO86:AP86"/>
  </mergeCells>
  <phoneticPr fontId="3" type="noConversion"/>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AB68-A08D-D247-BF83-5825C63CE28E}">
  <sheetPr codeName="Sheet5">
    <tabColor theme="1"/>
  </sheetPr>
  <dimension ref="A4:HH576"/>
  <sheetViews>
    <sheetView topLeftCell="AZ24" workbookViewId="0">
      <selection activeCell="BN37" sqref="BE9:BQ61"/>
    </sheetView>
  </sheetViews>
  <sheetFormatPr defaultColWidth="11" defaultRowHeight="15.75"/>
  <cols>
    <col min="3" max="3" width="17.375" customWidth="1"/>
    <col min="4" max="4" width="19" customWidth="1"/>
    <col min="5" max="5" width="17" customWidth="1"/>
    <col min="6" max="6" width="18" bestFit="1" customWidth="1"/>
    <col min="7" max="7" width="18.375" customWidth="1"/>
    <col min="8" max="8" width="15.875" customWidth="1"/>
    <col min="9" max="9" width="18.375" customWidth="1"/>
    <col min="10" max="10" width="15.875" customWidth="1"/>
    <col min="11" max="11" width="18.375" customWidth="1"/>
    <col min="12" max="12" width="15.875" customWidth="1"/>
    <col min="13" max="13" width="18.375" customWidth="1"/>
    <col min="14" max="14" width="17" customWidth="1"/>
    <col min="15" max="15" width="19.5" customWidth="1"/>
    <col min="16" max="16" width="18.625" customWidth="1"/>
    <col min="17" max="17" width="19.5" customWidth="1"/>
    <col min="18" max="18" width="17" customWidth="1"/>
    <col min="19" max="19" width="19.5" customWidth="1"/>
    <col min="20" max="20" width="18" bestFit="1" customWidth="1"/>
    <col min="21" max="21" width="19.5" customWidth="1"/>
    <col min="22" max="22" width="18" bestFit="1" customWidth="1"/>
    <col min="23" max="23" width="19.5" customWidth="1"/>
    <col min="24" max="24" width="17" customWidth="1"/>
    <col min="25" max="25" width="19.5" customWidth="1"/>
    <col min="26" max="26" width="17" customWidth="1"/>
    <col min="27" max="27" width="19.5" customWidth="1"/>
    <col min="28" max="28" width="17" customWidth="1"/>
    <col min="29" max="29" width="19.5" customWidth="1"/>
    <col min="30" max="30" width="17" customWidth="1"/>
    <col min="31" max="31" width="19.5" customWidth="1"/>
    <col min="32" max="32" width="17" customWidth="1"/>
    <col min="33" max="33" width="19.5" customWidth="1"/>
    <col min="34" max="34" width="17" customWidth="1"/>
    <col min="35" max="35" width="19.5" customWidth="1"/>
    <col min="37" max="37" width="15.375" bestFit="1" customWidth="1"/>
    <col min="40" max="40" width="18.125" customWidth="1"/>
    <col min="43" max="43" width="18" bestFit="1" customWidth="1"/>
    <col min="46" max="46" width="15" bestFit="1" customWidth="1"/>
    <col min="49" max="49" width="13.625" bestFit="1" customWidth="1"/>
    <col min="52" max="52" width="15" bestFit="1" customWidth="1"/>
  </cols>
  <sheetData>
    <row r="4" spans="2:72" ht="33.75">
      <c r="B4" s="1697" t="s">
        <v>449</v>
      </c>
      <c r="C4" s="1697"/>
      <c r="D4" s="1697"/>
      <c r="E4" s="1697"/>
    </row>
    <row r="5" spans="2:72" ht="15.95" customHeight="1">
      <c r="C5" s="47"/>
      <c r="D5" s="47"/>
      <c r="X5" s="59" t="s">
        <v>1221</v>
      </c>
    </row>
    <row r="6" spans="2:72" ht="18" customHeight="1" thickBot="1">
      <c r="C6" s="68" t="s">
        <v>1109</v>
      </c>
      <c r="AK6" s="1481" t="s">
        <v>2792</v>
      </c>
      <c r="AL6" s="1481"/>
      <c r="AM6" s="1481"/>
      <c r="AN6" s="1481"/>
    </row>
    <row r="7" spans="2:72" ht="18" customHeight="1">
      <c r="C7" s="1460" t="s">
        <v>1110</v>
      </c>
      <c r="D7" s="1699" t="s">
        <v>1</v>
      </c>
      <c r="E7" s="1688"/>
      <c r="F7" s="1688" t="s">
        <v>2</v>
      </c>
      <c r="G7" s="1688"/>
      <c r="H7" s="1688" t="s">
        <v>3</v>
      </c>
      <c r="I7" s="1688"/>
      <c r="J7" s="1688" t="s">
        <v>4</v>
      </c>
      <c r="K7" s="1688"/>
      <c r="L7" s="1688" t="s">
        <v>5</v>
      </c>
      <c r="M7" s="1688"/>
      <c r="N7" s="1688" t="s">
        <v>6</v>
      </c>
      <c r="O7" s="1688"/>
      <c r="P7" s="1688" t="s">
        <v>7</v>
      </c>
      <c r="Q7" s="1688"/>
      <c r="R7" s="1688" t="s">
        <v>8</v>
      </c>
      <c r="S7" s="1688"/>
      <c r="T7" s="1688" t="s">
        <v>9</v>
      </c>
      <c r="U7" s="1688"/>
      <c r="V7" s="1688" t="s">
        <v>10</v>
      </c>
      <c r="W7" s="1688"/>
      <c r="X7" s="1461" t="s">
        <v>10</v>
      </c>
      <c r="Y7" s="1462"/>
      <c r="Z7" s="1688" t="s">
        <v>36</v>
      </c>
      <c r="AA7" s="1688"/>
      <c r="AB7" s="1694" t="s">
        <v>36</v>
      </c>
      <c r="AC7" s="1694"/>
      <c r="AD7" s="1688" t="s">
        <v>37</v>
      </c>
      <c r="AE7" s="1688"/>
      <c r="AF7" s="1694" t="s">
        <v>37</v>
      </c>
      <c r="AG7" s="1694"/>
      <c r="AH7" s="1694" t="s">
        <v>344</v>
      </c>
      <c r="AI7" s="1698"/>
      <c r="AK7" s="1458" t="s">
        <v>183</v>
      </c>
      <c r="AL7" s="1459" t="s">
        <v>1199</v>
      </c>
      <c r="AN7" s="1457"/>
      <c r="BD7" s="68" t="s">
        <v>2788</v>
      </c>
    </row>
    <row r="8" spans="2:72" ht="18" customHeight="1">
      <c r="C8" s="1463" t="s">
        <v>183</v>
      </c>
      <c r="D8" s="55" t="s">
        <v>1111</v>
      </c>
      <c r="E8" s="60" t="s">
        <v>1112</v>
      </c>
      <c r="F8" s="55" t="s">
        <v>1905</v>
      </c>
      <c r="G8" s="60" t="s">
        <v>1906</v>
      </c>
      <c r="H8" s="55" t="s">
        <v>1907</v>
      </c>
      <c r="I8" s="60" t="s">
        <v>1908</v>
      </c>
      <c r="J8" s="55" t="s">
        <v>1909</v>
      </c>
      <c r="K8" s="60" t="s">
        <v>1910</v>
      </c>
      <c r="L8" s="55" t="s">
        <v>1911</v>
      </c>
      <c r="M8" s="60" t="s">
        <v>1912</v>
      </c>
      <c r="N8" s="55" t="s">
        <v>1913</v>
      </c>
      <c r="O8" s="60" t="s">
        <v>1914</v>
      </c>
      <c r="P8" s="55" t="s">
        <v>1915</v>
      </c>
      <c r="Q8" s="60" t="s">
        <v>1916</v>
      </c>
      <c r="R8" s="55" t="s">
        <v>1917</v>
      </c>
      <c r="S8" s="60" t="s">
        <v>1918</v>
      </c>
      <c r="T8" s="55" t="s">
        <v>1919</v>
      </c>
      <c r="U8" s="60" t="s">
        <v>1920</v>
      </c>
      <c r="V8" s="55" t="s">
        <v>1921</v>
      </c>
      <c r="W8" s="60" t="s">
        <v>1922</v>
      </c>
      <c r="X8" s="55" t="s">
        <v>1923</v>
      </c>
      <c r="Y8" s="60" t="s">
        <v>1924</v>
      </c>
      <c r="Z8" s="55" t="s">
        <v>1925</v>
      </c>
      <c r="AA8" s="60" t="s">
        <v>1926</v>
      </c>
      <c r="AB8" s="55" t="s">
        <v>1927</v>
      </c>
      <c r="AC8" s="60" t="s">
        <v>1928</v>
      </c>
      <c r="AD8" s="55" t="s">
        <v>1929</v>
      </c>
      <c r="AE8" s="60" t="s">
        <v>1930</v>
      </c>
      <c r="AF8" s="55" t="s">
        <v>1931</v>
      </c>
      <c r="AG8" s="60" t="s">
        <v>1932</v>
      </c>
      <c r="AH8" s="55" t="s">
        <v>1933</v>
      </c>
      <c r="AI8" s="1477" t="s">
        <v>1934</v>
      </c>
      <c r="AK8" s="64" t="s">
        <v>126</v>
      </c>
      <c r="AL8" s="90">
        <v>8</v>
      </c>
      <c r="BD8" s="63" t="s">
        <v>183</v>
      </c>
      <c r="BE8" s="20" t="s">
        <v>1</v>
      </c>
      <c r="BF8" s="20" t="s">
        <v>2</v>
      </c>
      <c r="BG8" s="20" t="s">
        <v>3</v>
      </c>
      <c r="BH8" s="20" t="s">
        <v>4</v>
      </c>
      <c r="BI8" s="20" t="s">
        <v>5</v>
      </c>
      <c r="BJ8" s="20" t="s">
        <v>6</v>
      </c>
      <c r="BK8" s="20" t="s">
        <v>7</v>
      </c>
      <c r="BL8" s="20" t="s">
        <v>8</v>
      </c>
      <c r="BM8" s="20" t="s">
        <v>9</v>
      </c>
      <c r="BN8" s="20" t="s">
        <v>10</v>
      </c>
      <c r="BO8" s="20" t="s">
        <v>36</v>
      </c>
      <c r="BP8" s="20" t="s">
        <v>37</v>
      </c>
      <c r="BQ8" s="20" t="s">
        <v>344</v>
      </c>
      <c r="BS8" s="20" t="s">
        <v>2793</v>
      </c>
      <c r="BT8" s="20"/>
    </row>
    <row r="9" spans="2:72" ht="18" customHeight="1">
      <c r="C9" s="1464" t="s">
        <v>126</v>
      </c>
      <c r="D9" s="52" t="s">
        <v>296</v>
      </c>
      <c r="E9" s="1465" t="s">
        <v>1114</v>
      </c>
      <c r="F9" s="52" t="s">
        <v>270</v>
      </c>
      <c r="G9" s="1465" t="s">
        <v>1115</v>
      </c>
      <c r="H9" s="52" t="s">
        <v>270</v>
      </c>
      <c r="I9" s="1465" t="s">
        <v>1115</v>
      </c>
      <c r="J9" s="52" t="s">
        <v>1116</v>
      </c>
      <c r="K9" s="1465" t="s">
        <v>1117</v>
      </c>
      <c r="L9" s="52" t="s">
        <v>1116</v>
      </c>
      <c r="M9" s="1465" t="s">
        <v>1117</v>
      </c>
      <c r="N9" s="52" t="s">
        <v>304</v>
      </c>
      <c r="O9" s="1465" t="s">
        <v>1143</v>
      </c>
      <c r="P9" s="52" t="s">
        <v>278</v>
      </c>
      <c r="Q9" s="1465" t="s">
        <v>1118</v>
      </c>
      <c r="R9" s="52" t="s">
        <v>278</v>
      </c>
      <c r="S9" s="1465" t="s">
        <v>1118</v>
      </c>
      <c r="T9" s="52" t="s">
        <v>290</v>
      </c>
      <c r="U9" s="536" t="s">
        <v>1973</v>
      </c>
      <c r="V9" s="52" t="s">
        <v>290</v>
      </c>
      <c r="W9" s="536" t="s">
        <v>1973</v>
      </c>
      <c r="X9" s="52"/>
      <c r="Y9" s="1465"/>
      <c r="Z9" s="52" t="s">
        <v>295</v>
      </c>
      <c r="AA9" s="1465" t="s">
        <v>1119</v>
      </c>
      <c r="AB9" s="65"/>
      <c r="AC9" s="1466"/>
      <c r="AD9" s="52" t="s">
        <v>266</v>
      </c>
      <c r="AE9" s="1465" t="s">
        <v>1120</v>
      </c>
      <c r="AF9" s="65"/>
      <c r="AG9" s="1466"/>
      <c r="AH9" s="65" t="s">
        <v>266</v>
      </c>
      <c r="AI9" s="1478" t="s">
        <v>1120</v>
      </c>
      <c r="AJ9" s="52"/>
      <c r="AK9" s="64" t="s">
        <v>127</v>
      </c>
      <c r="AL9" s="53">
        <v>8</v>
      </c>
      <c r="AM9" s="61"/>
      <c r="AO9" s="52"/>
      <c r="AP9" s="52"/>
      <c r="AQ9" s="52"/>
      <c r="AR9" s="52"/>
      <c r="AS9" s="52"/>
      <c r="AT9" s="52"/>
      <c r="AU9" s="52"/>
      <c r="AV9" s="52"/>
      <c r="AW9" s="52"/>
      <c r="AX9" s="52"/>
      <c r="AY9" s="52"/>
      <c r="BB9" s="1456"/>
      <c r="BD9" s="64" t="s">
        <v>126</v>
      </c>
      <c r="BE9" s="52" t="s">
        <v>296</v>
      </c>
      <c r="BF9" s="52" t="s">
        <v>270</v>
      </c>
      <c r="BG9" s="52" t="s">
        <v>270</v>
      </c>
      <c r="BH9" s="52" t="s">
        <v>1116</v>
      </c>
      <c r="BI9" s="52" t="s">
        <v>1116</v>
      </c>
      <c r="BJ9" s="52" t="s">
        <v>304</v>
      </c>
      <c r="BK9" s="52" t="s">
        <v>278</v>
      </c>
      <c r="BL9" s="52" t="s">
        <v>278</v>
      </c>
      <c r="BM9" s="52" t="s">
        <v>290</v>
      </c>
      <c r="BN9" s="52" t="s">
        <v>290</v>
      </c>
      <c r="BO9" s="52" t="s">
        <v>295</v>
      </c>
      <c r="BP9" t="s">
        <v>266</v>
      </c>
      <c r="BQ9" t="s">
        <v>266</v>
      </c>
      <c r="BS9" cm="1">
        <f t="array" ref="BS9">SUMPRODUCT(1/COUNTIFS(BE9:BQ9,BE9:BQ9))</f>
        <v>8</v>
      </c>
    </row>
    <row r="10" spans="2:72" ht="18" customHeight="1">
      <c r="C10" s="1464" t="s">
        <v>127</v>
      </c>
      <c r="D10" s="52" t="s">
        <v>275</v>
      </c>
      <c r="E10" s="1465" t="s">
        <v>1121</v>
      </c>
      <c r="F10" s="52" t="s">
        <v>275</v>
      </c>
      <c r="G10" s="1465" t="s">
        <v>1121</v>
      </c>
      <c r="H10" s="52" t="s">
        <v>1122</v>
      </c>
      <c r="I10" s="1465" t="s">
        <v>1114</v>
      </c>
      <c r="J10" s="52" t="s">
        <v>299</v>
      </c>
      <c r="K10" s="1465" t="s">
        <v>1114</v>
      </c>
      <c r="L10" s="52" t="s">
        <v>290</v>
      </c>
      <c r="M10" s="536" t="s">
        <v>1973</v>
      </c>
      <c r="N10" s="52" t="s">
        <v>290</v>
      </c>
      <c r="O10" s="536" t="s">
        <v>1973</v>
      </c>
      <c r="P10" s="52" t="s">
        <v>295</v>
      </c>
      <c r="Q10" s="1465" t="s">
        <v>1119</v>
      </c>
      <c r="R10" s="52" t="s">
        <v>310</v>
      </c>
      <c r="S10" s="1465" t="s">
        <v>1123</v>
      </c>
      <c r="T10" s="52" t="s">
        <v>310</v>
      </c>
      <c r="U10" s="1465" t="s">
        <v>1123</v>
      </c>
      <c r="V10" s="52" t="s">
        <v>309</v>
      </c>
      <c r="W10" s="1465" t="s">
        <v>1123</v>
      </c>
      <c r="X10" s="52"/>
      <c r="Y10" s="1465"/>
      <c r="Z10" s="52" t="s">
        <v>309</v>
      </c>
      <c r="AA10" s="1465" t="s">
        <v>1123</v>
      </c>
      <c r="AB10" s="65"/>
      <c r="AC10" s="1466"/>
      <c r="AD10" s="52" t="s">
        <v>266</v>
      </c>
      <c r="AE10" s="1465" t="s">
        <v>1120</v>
      </c>
      <c r="AF10" s="65"/>
      <c r="AG10" s="1466"/>
      <c r="AH10" s="65" t="s">
        <v>266</v>
      </c>
      <c r="AI10" s="1478" t="s">
        <v>1120</v>
      </c>
      <c r="AJ10" s="52"/>
      <c r="AK10" s="64" t="s">
        <v>128</v>
      </c>
      <c r="AL10" s="53">
        <v>12</v>
      </c>
      <c r="AM10" s="61"/>
      <c r="AO10" s="52"/>
      <c r="AP10" s="52"/>
      <c r="AQ10" s="52"/>
      <c r="AR10" s="52"/>
      <c r="AS10" s="52"/>
      <c r="AT10" s="52"/>
      <c r="AU10" s="52"/>
      <c r="AV10" s="52"/>
      <c r="AW10" s="52"/>
      <c r="AX10" s="52"/>
      <c r="AY10" s="52"/>
      <c r="BB10" s="1456"/>
      <c r="BD10" s="64" t="s">
        <v>127</v>
      </c>
      <c r="BE10" s="52" t="s">
        <v>275</v>
      </c>
      <c r="BF10" s="52" t="s">
        <v>275</v>
      </c>
      <c r="BG10" s="52" t="s">
        <v>1122</v>
      </c>
      <c r="BH10" s="52" t="s">
        <v>299</v>
      </c>
      <c r="BI10" s="52" t="s">
        <v>290</v>
      </c>
      <c r="BJ10" s="52" t="s">
        <v>290</v>
      </c>
      <c r="BK10" s="52" t="s">
        <v>295</v>
      </c>
      <c r="BL10" s="52" t="s">
        <v>310</v>
      </c>
      <c r="BM10" s="52" t="s">
        <v>310</v>
      </c>
      <c r="BN10" s="52" t="s">
        <v>309</v>
      </c>
      <c r="BO10" s="52" t="s">
        <v>309</v>
      </c>
      <c r="BP10" t="s">
        <v>266</v>
      </c>
      <c r="BQ10" t="s">
        <v>266</v>
      </c>
      <c r="BS10" cm="1">
        <f t="array" ref="BS10">SUMPRODUCT(1/COUNTIFS(BE10:BQ10,BE10:BQ10))</f>
        <v>8</v>
      </c>
    </row>
    <row r="11" spans="2:72" ht="31.5">
      <c r="C11" s="1464" t="s">
        <v>128</v>
      </c>
      <c r="D11" s="52" t="s">
        <v>291</v>
      </c>
      <c r="E11" s="1465" t="s">
        <v>1120</v>
      </c>
      <c r="F11" s="52" t="s">
        <v>291</v>
      </c>
      <c r="G11" s="1465" t="s">
        <v>1120</v>
      </c>
      <c r="H11" s="67" t="s">
        <v>1193</v>
      </c>
      <c r="I11" s="1467" t="s">
        <v>1211</v>
      </c>
      <c r="J11" s="52" t="s">
        <v>272</v>
      </c>
      <c r="K11" s="1465" t="s">
        <v>1115</v>
      </c>
      <c r="L11" s="52" t="s">
        <v>1124</v>
      </c>
      <c r="M11" s="1465" t="s">
        <v>1117</v>
      </c>
      <c r="N11" s="52" t="s">
        <v>1124</v>
      </c>
      <c r="O11" s="1465" t="s">
        <v>1117</v>
      </c>
      <c r="P11" s="67" t="s">
        <v>1173</v>
      </c>
      <c r="Q11" s="1467" t="s">
        <v>1210</v>
      </c>
      <c r="R11" s="52" t="s">
        <v>269</v>
      </c>
      <c r="S11" s="1465" t="s">
        <v>1126</v>
      </c>
      <c r="T11" s="52" t="s">
        <v>269</v>
      </c>
      <c r="U11" s="1465" t="s">
        <v>1126</v>
      </c>
      <c r="V11" s="67" t="s">
        <v>1197</v>
      </c>
      <c r="W11" s="1467" t="s">
        <v>1974</v>
      </c>
      <c r="X11" s="52"/>
      <c r="Y11" s="1465"/>
      <c r="Z11" s="52" t="s">
        <v>281</v>
      </c>
      <c r="AA11" s="1465" t="s">
        <v>1973</v>
      </c>
      <c r="AB11" s="65"/>
      <c r="AC11" s="1466"/>
      <c r="AD11" s="52" t="s">
        <v>281</v>
      </c>
      <c r="AE11" s="1465" t="s">
        <v>1973</v>
      </c>
      <c r="AF11" s="65"/>
      <c r="AG11" s="1466"/>
      <c r="AH11" s="65" t="s">
        <v>266</v>
      </c>
      <c r="AI11" s="1478" t="s">
        <v>1120</v>
      </c>
      <c r="AJ11" s="52"/>
      <c r="AK11" s="64" t="s">
        <v>129</v>
      </c>
      <c r="AL11" s="53">
        <v>9</v>
      </c>
      <c r="AM11" s="61"/>
      <c r="AO11" s="52"/>
      <c r="AP11" s="52"/>
      <c r="AQ11" s="67"/>
      <c r="AR11" s="52"/>
      <c r="AS11" s="52"/>
      <c r="AT11" s="52"/>
      <c r="AU11" s="67"/>
      <c r="AV11" s="52"/>
      <c r="AW11" s="52"/>
      <c r="AX11" s="52"/>
      <c r="AY11" s="52"/>
      <c r="BB11" s="1456"/>
      <c r="BD11" s="64" t="s">
        <v>128</v>
      </c>
      <c r="BE11" s="52" t="s">
        <v>291</v>
      </c>
      <c r="BF11" s="52" t="s">
        <v>291</v>
      </c>
      <c r="BG11" s="67" t="s">
        <v>2790</v>
      </c>
      <c r="BH11" s="52" t="s">
        <v>272</v>
      </c>
      <c r="BI11" s="52" t="s">
        <v>1124</v>
      </c>
      <c r="BJ11" s="52" t="s">
        <v>1124</v>
      </c>
      <c r="BK11" s="67" t="s">
        <v>2791</v>
      </c>
      <c r="BL11" s="52" t="s">
        <v>269</v>
      </c>
      <c r="BM11" s="52" t="s">
        <v>269</v>
      </c>
      <c r="BN11" s="67" t="s">
        <v>2789</v>
      </c>
      <c r="BO11" s="52" t="s">
        <v>281</v>
      </c>
      <c r="BP11" t="s">
        <v>281</v>
      </c>
      <c r="BQ11" t="s">
        <v>266</v>
      </c>
      <c r="BS11" cm="1">
        <f t="array" ref="BS11">SUMPRODUCT(1/COUNTIFS(BE11:BQ11,BE11:BQ11))+COUNTA(BE12:BQ12)</f>
        <v>12</v>
      </c>
    </row>
    <row r="12" spans="2:72" ht="18" customHeight="1">
      <c r="C12" s="1464" t="s">
        <v>129</v>
      </c>
      <c r="D12" s="52" t="s">
        <v>304</v>
      </c>
      <c r="E12" s="1465" t="s">
        <v>1115</v>
      </c>
      <c r="F12" s="52" t="s">
        <v>304</v>
      </c>
      <c r="G12" s="1465" t="s">
        <v>1143</v>
      </c>
      <c r="H12" s="52" t="s">
        <v>315</v>
      </c>
      <c r="I12" s="1465" t="s">
        <v>1127</v>
      </c>
      <c r="J12" s="52" t="s">
        <v>270</v>
      </c>
      <c r="K12" s="1465" t="s">
        <v>1115</v>
      </c>
      <c r="L12" s="52" t="s">
        <v>286</v>
      </c>
      <c r="M12" s="1465" t="s">
        <v>1126</v>
      </c>
      <c r="N12" s="52" t="s">
        <v>278</v>
      </c>
      <c r="O12" s="1465" t="s">
        <v>1118</v>
      </c>
      <c r="P12" s="52" t="s">
        <v>278</v>
      </c>
      <c r="Q12" s="1465" t="s">
        <v>1118</v>
      </c>
      <c r="R12" s="52" t="s">
        <v>1128</v>
      </c>
      <c r="S12" s="1465" t="s">
        <v>1973</v>
      </c>
      <c r="T12" s="52" t="s">
        <v>1128</v>
      </c>
      <c r="U12" s="1465" t="s">
        <v>1973</v>
      </c>
      <c r="V12" s="52" t="s">
        <v>320</v>
      </c>
      <c r="W12" s="1465" t="s">
        <v>1119</v>
      </c>
      <c r="X12" s="52"/>
      <c r="Y12" s="1465"/>
      <c r="Z12" s="52" t="s">
        <v>310</v>
      </c>
      <c r="AA12" s="1465" t="s">
        <v>1123</v>
      </c>
      <c r="AB12" s="65"/>
      <c r="AC12" s="1466"/>
      <c r="AD12" s="52" t="s">
        <v>310</v>
      </c>
      <c r="AE12" s="1465" t="s">
        <v>1123</v>
      </c>
      <c r="AF12" s="65"/>
      <c r="AG12" s="1466"/>
      <c r="AH12" s="65" t="s">
        <v>266</v>
      </c>
      <c r="AI12" s="1478" t="s">
        <v>1120</v>
      </c>
      <c r="AJ12" s="52"/>
      <c r="AK12" s="64" t="s">
        <v>130</v>
      </c>
      <c r="AL12" s="53">
        <v>11</v>
      </c>
      <c r="AM12" s="61"/>
      <c r="AO12" s="52"/>
      <c r="AP12" s="52"/>
      <c r="AQ12" s="52"/>
      <c r="AR12" s="52"/>
      <c r="AS12" s="52"/>
      <c r="AT12" s="52"/>
      <c r="AU12" s="52"/>
      <c r="AV12" s="52"/>
      <c r="AW12" s="52"/>
      <c r="AX12" s="52"/>
      <c r="AY12" s="52"/>
      <c r="BB12" s="1456"/>
      <c r="BG12" t="s">
        <v>268</v>
      </c>
      <c r="BK12" t="s">
        <v>315</v>
      </c>
      <c r="BN12" s="52" t="s">
        <v>123</v>
      </c>
    </row>
    <row r="13" spans="2:72" ht="31.5">
      <c r="C13" s="1464" t="s">
        <v>130</v>
      </c>
      <c r="D13" s="52" t="s">
        <v>1129</v>
      </c>
      <c r="E13" s="1465" t="s">
        <v>1121</v>
      </c>
      <c r="F13" s="52" t="s">
        <v>99</v>
      </c>
      <c r="G13" s="1465" t="s">
        <v>1121</v>
      </c>
      <c r="H13" s="52" t="s">
        <v>99</v>
      </c>
      <c r="I13" s="1465" t="s">
        <v>1121</v>
      </c>
      <c r="J13" s="52" t="s">
        <v>265</v>
      </c>
      <c r="K13" s="1465" t="s">
        <v>1125</v>
      </c>
      <c r="L13" s="52" t="s">
        <v>1130</v>
      </c>
      <c r="M13" s="1465" t="s">
        <v>1117</v>
      </c>
      <c r="N13" s="52" t="s">
        <v>1130</v>
      </c>
      <c r="O13" s="1465" t="s">
        <v>1117</v>
      </c>
      <c r="P13" s="52" t="s">
        <v>314</v>
      </c>
      <c r="Q13" s="1465" t="s">
        <v>1131</v>
      </c>
      <c r="R13" s="52" t="s">
        <v>283</v>
      </c>
      <c r="S13" s="1465" t="s">
        <v>1132</v>
      </c>
      <c r="T13" s="52" t="s">
        <v>278</v>
      </c>
      <c r="U13" s="1465" t="s">
        <v>1118</v>
      </c>
      <c r="V13" s="52" t="s">
        <v>309</v>
      </c>
      <c r="W13" s="1465" t="s">
        <v>1123</v>
      </c>
      <c r="X13" s="52"/>
      <c r="Y13" s="1465"/>
      <c r="Z13" s="52" t="s">
        <v>1133</v>
      </c>
      <c r="AA13" s="1465" t="s">
        <v>1973</v>
      </c>
      <c r="AB13" s="65"/>
      <c r="AC13" s="1466"/>
      <c r="AD13" s="52" t="s">
        <v>1133</v>
      </c>
      <c r="AE13" s="1465" t="s">
        <v>1973</v>
      </c>
      <c r="AF13" s="65"/>
      <c r="AG13" s="1466"/>
      <c r="AH13" s="1468" t="s">
        <v>1196</v>
      </c>
      <c r="AI13" s="1479" t="s">
        <v>1209</v>
      </c>
      <c r="AJ13" s="52"/>
      <c r="AK13" s="64" t="s">
        <v>131</v>
      </c>
      <c r="AL13" s="53">
        <v>11</v>
      </c>
      <c r="AM13" s="61"/>
      <c r="AO13" s="52"/>
      <c r="AP13" s="52"/>
      <c r="AQ13" s="52"/>
      <c r="AR13" s="52"/>
      <c r="AS13" s="52"/>
      <c r="AT13" s="52"/>
      <c r="AU13" s="52"/>
      <c r="AV13" s="52"/>
      <c r="AW13" s="52"/>
      <c r="AX13" s="52"/>
      <c r="AY13" s="52"/>
      <c r="BA13" s="422"/>
      <c r="BB13" s="1456"/>
      <c r="BD13" s="64" t="s">
        <v>129</v>
      </c>
      <c r="BE13" s="52" t="s">
        <v>304</v>
      </c>
      <c r="BF13" s="52" t="s">
        <v>304</v>
      </c>
      <c r="BG13" s="52" t="s">
        <v>315</v>
      </c>
      <c r="BH13" s="52" t="s">
        <v>270</v>
      </c>
      <c r="BI13" s="52" t="s">
        <v>286</v>
      </c>
      <c r="BJ13" s="52" t="s">
        <v>278</v>
      </c>
      <c r="BK13" s="52" t="s">
        <v>278</v>
      </c>
      <c r="BL13" s="52" t="s">
        <v>1128</v>
      </c>
      <c r="BM13" s="52" t="s">
        <v>1128</v>
      </c>
      <c r="BN13" s="52" t="s">
        <v>320</v>
      </c>
      <c r="BO13" s="52" t="s">
        <v>310</v>
      </c>
      <c r="BP13" t="s">
        <v>310</v>
      </c>
      <c r="BQ13" t="s">
        <v>266</v>
      </c>
      <c r="BS13" cm="1">
        <f t="array" ref="BS13">SUMPRODUCT(1/COUNTIFS(BE13:BQ13,BE13:BQ13))</f>
        <v>9</v>
      </c>
    </row>
    <row r="14" spans="2:72" ht="31.5">
      <c r="C14" s="1464" t="s">
        <v>131</v>
      </c>
      <c r="D14" s="52" t="s">
        <v>162</v>
      </c>
      <c r="E14" s="1465" t="s">
        <v>1134</v>
      </c>
      <c r="F14" s="52" t="s">
        <v>306</v>
      </c>
      <c r="G14" s="1465" t="s">
        <v>1134</v>
      </c>
      <c r="H14" s="52" t="s">
        <v>1135</v>
      </c>
      <c r="I14" s="1465" t="s">
        <v>1134</v>
      </c>
      <c r="J14" s="52" t="s">
        <v>1136</v>
      </c>
      <c r="K14" s="1465" t="s">
        <v>1153</v>
      </c>
      <c r="L14" s="52" t="s">
        <v>277</v>
      </c>
      <c r="M14" s="1465" t="s">
        <v>1126</v>
      </c>
      <c r="N14" s="52" t="s">
        <v>1137</v>
      </c>
      <c r="O14" s="1465" t="s">
        <v>1126</v>
      </c>
      <c r="P14" s="52" t="s">
        <v>270</v>
      </c>
      <c r="Q14" s="1465" t="s">
        <v>1115</v>
      </c>
      <c r="R14" s="67" t="s">
        <v>1194</v>
      </c>
      <c r="S14" s="1467" t="s">
        <v>1195</v>
      </c>
      <c r="T14" s="52" t="s">
        <v>303</v>
      </c>
      <c r="U14" s="1465" t="s">
        <v>1118</v>
      </c>
      <c r="V14" s="52" t="s">
        <v>295</v>
      </c>
      <c r="W14" s="1465" t="s">
        <v>1119</v>
      </c>
      <c r="X14" s="52"/>
      <c r="Y14" s="1465"/>
      <c r="Z14" s="52" t="s">
        <v>295</v>
      </c>
      <c r="AA14" s="1465" t="s">
        <v>1119</v>
      </c>
      <c r="AB14" s="65"/>
      <c r="AC14" s="1466"/>
      <c r="AE14" s="62"/>
      <c r="AF14" s="65" t="s">
        <v>266</v>
      </c>
      <c r="AG14" s="1466" t="s">
        <v>1120</v>
      </c>
      <c r="AH14" s="65"/>
      <c r="AI14" s="1478"/>
      <c r="AJ14" s="52"/>
      <c r="AK14" s="64" t="s">
        <v>132</v>
      </c>
      <c r="AL14" s="53">
        <v>11</v>
      </c>
      <c r="AM14" s="61"/>
      <c r="AO14" s="52"/>
      <c r="AP14" s="52"/>
      <c r="AQ14" s="52"/>
      <c r="AR14" s="52"/>
      <c r="AS14" s="52"/>
      <c r="AT14" s="52"/>
      <c r="AU14" s="52"/>
      <c r="AV14" s="67"/>
      <c r="AW14" s="52"/>
      <c r="AX14" s="52"/>
      <c r="AY14" s="52"/>
      <c r="BB14" s="1456"/>
      <c r="BD14" s="64" t="s">
        <v>130</v>
      </c>
      <c r="BE14" s="52" t="s">
        <v>1129</v>
      </c>
      <c r="BF14" s="52" t="s">
        <v>99</v>
      </c>
      <c r="BG14" s="52" t="s">
        <v>99</v>
      </c>
      <c r="BH14" s="52" t="s">
        <v>265</v>
      </c>
      <c r="BI14" s="52" t="s">
        <v>1130</v>
      </c>
      <c r="BJ14" s="52" t="s">
        <v>1130</v>
      </c>
      <c r="BK14" s="52" t="s">
        <v>314</v>
      </c>
      <c r="BL14" s="52" t="s">
        <v>283</v>
      </c>
      <c r="BM14" s="52" t="s">
        <v>278</v>
      </c>
      <c r="BN14" s="52" t="s">
        <v>309</v>
      </c>
      <c r="BO14" s="52" t="s">
        <v>1133</v>
      </c>
      <c r="BP14" t="s">
        <v>1133</v>
      </c>
      <c r="BQ14" s="422" t="s">
        <v>311</v>
      </c>
      <c r="BS14" cm="1">
        <f t="array" ref="BS14">SUMPRODUCT(1/COUNTIFS(BE14:BQ14,BE14:BQ14))+COUNTA(BE15:BQ15)</f>
        <v>11</v>
      </c>
    </row>
    <row r="15" spans="2:72" ht="31.5">
      <c r="C15" s="1464" t="s">
        <v>132</v>
      </c>
      <c r="D15" s="52" t="s">
        <v>300</v>
      </c>
      <c r="E15" s="1465" t="s">
        <v>1121</v>
      </c>
      <c r="F15" s="52" t="s">
        <v>305</v>
      </c>
      <c r="G15" s="1465" t="s">
        <v>1121</v>
      </c>
      <c r="H15" s="52" t="s">
        <v>99</v>
      </c>
      <c r="I15" s="1465" t="s">
        <v>1121</v>
      </c>
      <c r="J15" s="52" t="s">
        <v>99</v>
      </c>
      <c r="K15" s="1465" t="s">
        <v>1121</v>
      </c>
      <c r="L15" s="52" t="s">
        <v>1122</v>
      </c>
      <c r="M15" s="1465" t="s">
        <v>1114</v>
      </c>
      <c r="N15" s="52" t="s">
        <v>312</v>
      </c>
      <c r="O15" s="1465" t="s">
        <v>1114</v>
      </c>
      <c r="P15" s="52" t="s">
        <v>312</v>
      </c>
      <c r="Q15" s="1465" t="s">
        <v>1114</v>
      </c>
      <c r="R15" s="52" t="s">
        <v>278</v>
      </c>
      <c r="S15" s="1465" t="s">
        <v>1118</v>
      </c>
      <c r="T15" s="52" t="s">
        <v>278</v>
      </c>
      <c r="U15" s="1465" t="s">
        <v>1118</v>
      </c>
      <c r="V15" s="52" t="s">
        <v>1138</v>
      </c>
      <c r="W15" s="1465" t="s">
        <v>1132</v>
      </c>
      <c r="X15" s="52"/>
      <c r="Y15" s="1465"/>
      <c r="Z15" s="52" t="s">
        <v>267</v>
      </c>
      <c r="AA15" s="1465" t="s">
        <v>1115</v>
      </c>
      <c r="AB15" s="65"/>
      <c r="AC15" s="1466"/>
      <c r="AD15" s="52" t="s">
        <v>1139</v>
      </c>
      <c r="AE15" s="1465" t="s">
        <v>1166</v>
      </c>
      <c r="AF15" s="65"/>
      <c r="AG15" s="1466"/>
      <c r="AH15" s="1468" t="s">
        <v>1183</v>
      </c>
      <c r="AI15" s="1479" t="s">
        <v>1184</v>
      </c>
      <c r="AJ15" s="52"/>
      <c r="AK15" s="64" t="s">
        <v>133</v>
      </c>
      <c r="AL15" s="53">
        <v>4</v>
      </c>
      <c r="AM15" s="61"/>
      <c r="AO15" s="52"/>
      <c r="AP15" s="52"/>
      <c r="AQ15" s="52"/>
      <c r="AR15" s="52"/>
      <c r="AS15" s="52"/>
      <c r="AT15" s="52"/>
      <c r="AU15" s="52"/>
      <c r="AV15" s="52"/>
      <c r="AW15" s="52"/>
      <c r="AX15" s="52"/>
      <c r="AY15" s="52"/>
      <c r="BA15" s="422"/>
      <c r="BB15" s="1456"/>
      <c r="BQ15" t="s">
        <v>266</v>
      </c>
    </row>
    <row r="16" spans="2:72" ht="31.5">
      <c r="C16" s="1464" t="s">
        <v>133</v>
      </c>
      <c r="D16" s="52" t="s">
        <v>266</v>
      </c>
      <c r="E16" s="1465" t="s">
        <v>1120</v>
      </c>
      <c r="F16" s="52" t="s">
        <v>266</v>
      </c>
      <c r="G16" s="1465" t="s">
        <v>1120</v>
      </c>
      <c r="H16" s="52" t="s">
        <v>266</v>
      </c>
      <c r="I16" s="1465" t="s">
        <v>1120</v>
      </c>
      <c r="J16" s="52" t="s">
        <v>266</v>
      </c>
      <c r="K16" s="1465" t="s">
        <v>1120</v>
      </c>
      <c r="L16" s="52" t="s">
        <v>1140</v>
      </c>
      <c r="M16" s="1465" t="s">
        <v>1141</v>
      </c>
      <c r="N16" s="52" t="s">
        <v>1142</v>
      </c>
      <c r="O16" s="1465" t="s">
        <v>1141</v>
      </c>
      <c r="P16" s="52" t="s">
        <v>266</v>
      </c>
      <c r="Q16" s="1465" t="s">
        <v>1120</v>
      </c>
      <c r="R16" s="52" t="s">
        <v>266</v>
      </c>
      <c r="S16" s="1465" t="s">
        <v>1120</v>
      </c>
      <c r="T16" s="52" t="s">
        <v>266</v>
      </c>
      <c r="U16" s="1465" t="s">
        <v>1120</v>
      </c>
      <c r="V16" s="52" t="s">
        <v>266</v>
      </c>
      <c r="W16" s="1465" t="s">
        <v>1120</v>
      </c>
      <c r="X16" s="52"/>
      <c r="Y16" s="1465"/>
      <c r="Z16" s="52" t="s">
        <v>266</v>
      </c>
      <c r="AA16" s="1465" t="s">
        <v>1120</v>
      </c>
      <c r="AB16" s="65"/>
      <c r="AC16" s="1466"/>
      <c r="AE16" s="62"/>
      <c r="AF16" s="1468" t="s">
        <v>1196</v>
      </c>
      <c r="AG16" s="1469" t="s">
        <v>1209</v>
      </c>
      <c r="AH16" s="65"/>
      <c r="AI16" s="1478"/>
      <c r="AJ16" s="52"/>
      <c r="AK16" s="64" t="s">
        <v>134</v>
      </c>
      <c r="AL16" s="53">
        <v>10</v>
      </c>
      <c r="AM16" s="61"/>
      <c r="AO16" s="52"/>
      <c r="AP16" s="52"/>
      <c r="AQ16" s="52"/>
      <c r="AR16" s="52"/>
      <c r="AS16" s="52"/>
      <c r="AT16" s="52"/>
      <c r="AU16" s="52"/>
      <c r="AV16" s="52"/>
      <c r="AW16" s="52"/>
      <c r="AX16" s="52"/>
      <c r="AY16" s="52"/>
      <c r="AZ16" s="422"/>
      <c r="BB16" s="1456"/>
      <c r="BD16" s="64" t="s">
        <v>131</v>
      </c>
      <c r="BE16" s="52" t="s">
        <v>162</v>
      </c>
      <c r="BF16" s="52" t="s">
        <v>306</v>
      </c>
      <c r="BG16" s="52" t="s">
        <v>1135</v>
      </c>
      <c r="BH16" s="52" t="s">
        <v>1136</v>
      </c>
      <c r="BI16" s="52" t="s">
        <v>277</v>
      </c>
      <c r="BJ16" s="52" t="s">
        <v>1137</v>
      </c>
      <c r="BK16" s="52" t="s">
        <v>270</v>
      </c>
      <c r="BL16" s="67" t="s">
        <v>270</v>
      </c>
      <c r="BM16" s="52" t="s">
        <v>303</v>
      </c>
      <c r="BN16" s="52" t="s">
        <v>295</v>
      </c>
      <c r="BO16" s="52" t="s">
        <v>295</v>
      </c>
      <c r="BP16" t="s">
        <v>266</v>
      </c>
      <c r="BS16" cm="1">
        <f t="array" ref="BS16">SUMPRODUCT(1/COUNTIFS(BE16:BP16,BE16:BP16))+COUNTA(BE17:BQ17)</f>
        <v>11</v>
      </c>
    </row>
    <row r="17" spans="3:71" ht="18" customHeight="1">
      <c r="C17" s="1464" t="s">
        <v>134</v>
      </c>
      <c r="D17" s="52" t="s">
        <v>275</v>
      </c>
      <c r="E17" s="1465" t="s">
        <v>1121</v>
      </c>
      <c r="F17" s="52" t="s">
        <v>275</v>
      </c>
      <c r="G17" s="1465" t="s">
        <v>1121</v>
      </c>
      <c r="H17" s="52" t="s">
        <v>265</v>
      </c>
      <c r="I17" s="1465" t="s">
        <v>1125</v>
      </c>
      <c r="J17" s="52" t="s">
        <v>277</v>
      </c>
      <c r="K17" s="1465" t="s">
        <v>1126</v>
      </c>
      <c r="L17" s="52" t="s">
        <v>304</v>
      </c>
      <c r="M17" s="1465" t="s">
        <v>1143</v>
      </c>
      <c r="N17" s="52" t="s">
        <v>304</v>
      </c>
      <c r="O17" s="1465" t="s">
        <v>1143</v>
      </c>
      <c r="P17" s="52" t="s">
        <v>271</v>
      </c>
      <c r="Q17" s="1465" t="s">
        <v>1143</v>
      </c>
      <c r="R17" s="52" t="s">
        <v>319</v>
      </c>
      <c r="S17" s="1465" t="s">
        <v>1132</v>
      </c>
      <c r="T17" s="52" t="s">
        <v>310</v>
      </c>
      <c r="U17" s="1465" t="s">
        <v>1123</v>
      </c>
      <c r="V17" s="52" t="s">
        <v>310</v>
      </c>
      <c r="W17" s="1465" t="s">
        <v>1123</v>
      </c>
      <c r="X17" s="52"/>
      <c r="Y17" s="1465"/>
      <c r="Z17" s="52" t="s">
        <v>290</v>
      </c>
      <c r="AA17" s="1465" t="s">
        <v>1973</v>
      </c>
      <c r="AB17" s="65"/>
      <c r="AC17" s="1466"/>
      <c r="AD17" s="52" t="s">
        <v>279</v>
      </c>
      <c r="AE17" s="1465" t="s">
        <v>1119</v>
      </c>
      <c r="AF17" s="65"/>
      <c r="AG17" s="1466"/>
      <c r="AH17" s="65" t="s">
        <v>266</v>
      </c>
      <c r="AI17" s="1478" t="s">
        <v>1120</v>
      </c>
      <c r="AJ17" s="52"/>
      <c r="AK17" s="64" t="s">
        <v>135</v>
      </c>
      <c r="AL17" s="53">
        <v>13</v>
      </c>
      <c r="AM17" s="61"/>
      <c r="AO17" s="52"/>
      <c r="AP17" s="52"/>
      <c r="AQ17" s="52"/>
      <c r="AR17" s="52"/>
      <c r="AS17" s="52"/>
      <c r="AT17" s="52"/>
      <c r="AU17" s="52"/>
      <c r="AV17" s="52"/>
      <c r="AW17" s="52"/>
      <c r="AX17" s="52"/>
      <c r="AY17" s="52"/>
      <c r="BB17" s="1456"/>
      <c r="BL17" t="s">
        <v>1207</v>
      </c>
    </row>
    <row r="18" spans="3:71" ht="31.5">
      <c r="C18" s="1464" t="s">
        <v>135</v>
      </c>
      <c r="D18" s="52" t="s">
        <v>295</v>
      </c>
      <c r="E18" s="1465" t="s">
        <v>1119</v>
      </c>
      <c r="F18" s="52" t="s">
        <v>1144</v>
      </c>
      <c r="G18" s="1465" t="s">
        <v>1119</v>
      </c>
      <c r="H18" s="52" t="s">
        <v>281</v>
      </c>
      <c r="I18" s="1465" t="s">
        <v>1973</v>
      </c>
      <c r="J18" s="52" t="s">
        <v>281</v>
      </c>
      <c r="K18" s="1465" t="s">
        <v>1973</v>
      </c>
      <c r="L18" s="52" t="s">
        <v>278</v>
      </c>
      <c r="M18" s="1465" t="s">
        <v>1118</v>
      </c>
      <c r="N18" s="52" t="s">
        <v>1145</v>
      </c>
      <c r="O18" s="1465" t="s">
        <v>1132</v>
      </c>
      <c r="P18" s="52" t="s">
        <v>1146</v>
      </c>
      <c r="Q18" s="1465" t="s">
        <v>1114</v>
      </c>
      <c r="R18" s="52" t="s">
        <v>1147</v>
      </c>
      <c r="S18" s="1465" t="s">
        <v>1114</v>
      </c>
      <c r="T18" s="67" t="s">
        <v>1176</v>
      </c>
      <c r="U18" s="1467" t="s">
        <v>1177</v>
      </c>
      <c r="V18" s="52" t="s">
        <v>1124</v>
      </c>
      <c r="W18" s="1465" t="s">
        <v>1117</v>
      </c>
      <c r="X18" s="52"/>
      <c r="Y18" s="1465"/>
      <c r="Z18" s="52" t="s">
        <v>1148</v>
      </c>
      <c r="AA18" s="1465" t="s">
        <v>1115</v>
      </c>
      <c r="AB18" s="65"/>
      <c r="AC18" s="1466"/>
      <c r="AE18" s="1465"/>
      <c r="AF18" s="1468" t="s">
        <v>1181</v>
      </c>
      <c r="AG18" s="1469" t="s">
        <v>1182</v>
      </c>
      <c r="AH18" s="65"/>
      <c r="AI18" s="1478"/>
      <c r="AJ18" s="52"/>
      <c r="AK18" s="64" t="s">
        <v>136</v>
      </c>
      <c r="AL18" s="53">
        <v>10</v>
      </c>
      <c r="AM18" s="61"/>
      <c r="AO18" s="52"/>
      <c r="AP18" s="52"/>
      <c r="AQ18" s="52"/>
      <c r="AR18" s="52"/>
      <c r="AS18" s="52"/>
      <c r="AT18" s="52"/>
      <c r="AU18" s="52"/>
      <c r="AV18" s="52"/>
      <c r="AW18" s="52"/>
      <c r="AX18" s="52"/>
      <c r="AY18" s="52"/>
      <c r="AZ18" s="422"/>
      <c r="BB18" s="1456"/>
      <c r="BD18" s="64" t="s">
        <v>132</v>
      </c>
      <c r="BE18" s="52" t="s">
        <v>300</v>
      </c>
      <c r="BF18" s="52" t="s">
        <v>305</v>
      </c>
      <c r="BG18" s="52" t="s">
        <v>99</v>
      </c>
      <c r="BH18" s="52" t="s">
        <v>99</v>
      </c>
      <c r="BI18" s="52" t="s">
        <v>1122</v>
      </c>
      <c r="BJ18" s="52" t="s">
        <v>312</v>
      </c>
      <c r="BK18" s="52" t="s">
        <v>312</v>
      </c>
      <c r="BL18" s="52" t="s">
        <v>278</v>
      </c>
      <c r="BM18" s="52" t="s">
        <v>278</v>
      </c>
      <c r="BN18" s="52" t="s">
        <v>1138</v>
      </c>
      <c r="BO18" s="52" t="s">
        <v>267</v>
      </c>
      <c r="BP18" t="s">
        <v>1139</v>
      </c>
      <c r="BQ18" s="422" t="s">
        <v>1200</v>
      </c>
      <c r="BS18" cm="1">
        <f t="array" ref="BS18">SUMPRODUCT(1/COUNTIFS(BE18:BQ18,BE18:BQ18))+COUNTA(BE19:BQ19)</f>
        <v>11</v>
      </c>
    </row>
    <row r="19" spans="3:71" ht="18" customHeight="1">
      <c r="C19" s="1464" t="s">
        <v>136</v>
      </c>
      <c r="D19" s="52" t="s">
        <v>1149</v>
      </c>
      <c r="E19" s="1465" t="s">
        <v>1121</v>
      </c>
      <c r="F19" s="52" t="s">
        <v>305</v>
      </c>
      <c r="G19" s="1465" t="s">
        <v>1121</v>
      </c>
      <c r="H19" s="52" t="s">
        <v>305</v>
      </c>
      <c r="I19" s="1465" t="s">
        <v>1121</v>
      </c>
      <c r="J19" s="52" t="s">
        <v>99</v>
      </c>
      <c r="K19" s="1465" t="s">
        <v>1121</v>
      </c>
      <c r="L19" s="52" t="s">
        <v>302</v>
      </c>
      <c r="M19" s="1465" t="s">
        <v>1131</v>
      </c>
      <c r="N19" s="52" t="s">
        <v>314</v>
      </c>
      <c r="O19" s="1465" t="s">
        <v>1131</v>
      </c>
      <c r="P19" s="52" t="s">
        <v>297</v>
      </c>
      <c r="Q19" s="1465" t="s">
        <v>1125</v>
      </c>
      <c r="R19" s="52" t="s">
        <v>297</v>
      </c>
      <c r="S19" s="1465" t="s">
        <v>1125</v>
      </c>
      <c r="T19" s="52" t="s">
        <v>1128</v>
      </c>
      <c r="U19" s="1465" t="s">
        <v>1973</v>
      </c>
      <c r="V19" s="52" t="s">
        <v>295</v>
      </c>
      <c r="W19" s="1465" t="s">
        <v>1119</v>
      </c>
      <c r="X19" s="52"/>
      <c r="Y19" s="1465"/>
      <c r="Z19" s="52" t="s">
        <v>295</v>
      </c>
      <c r="AA19" s="1465" t="s">
        <v>1119</v>
      </c>
      <c r="AB19" s="65"/>
      <c r="AC19" s="1466"/>
      <c r="AD19" s="52" t="s">
        <v>1150</v>
      </c>
      <c r="AE19" s="1465" t="s">
        <v>1123</v>
      </c>
      <c r="AF19" s="65"/>
      <c r="AG19" s="1466"/>
      <c r="AH19" s="65" t="s">
        <v>266</v>
      </c>
      <c r="AI19" s="1478" t="s">
        <v>1120</v>
      </c>
      <c r="AJ19" s="52"/>
      <c r="AK19" s="64" t="s">
        <v>137</v>
      </c>
      <c r="AL19" s="53">
        <v>10</v>
      </c>
      <c r="BB19" s="1456"/>
      <c r="BQ19" t="s">
        <v>266</v>
      </c>
    </row>
    <row r="20" spans="3:71" ht="18" customHeight="1">
      <c r="C20" s="1464" t="s">
        <v>137</v>
      </c>
      <c r="D20" s="52" t="s">
        <v>1151</v>
      </c>
      <c r="E20" s="1465" t="s">
        <v>1115</v>
      </c>
      <c r="F20" s="52" t="s">
        <v>286</v>
      </c>
      <c r="G20" s="1465" t="s">
        <v>1126</v>
      </c>
      <c r="H20" s="52" t="s">
        <v>1152</v>
      </c>
      <c r="I20" s="1465" t="s">
        <v>1153</v>
      </c>
      <c r="J20" s="52" t="s">
        <v>1152</v>
      </c>
      <c r="K20" s="1465" t="s">
        <v>1153</v>
      </c>
      <c r="L20" s="52" t="s">
        <v>1154</v>
      </c>
      <c r="M20" s="1465" t="s">
        <v>1125</v>
      </c>
      <c r="N20" s="52" t="s">
        <v>285</v>
      </c>
      <c r="O20" s="1465" t="s">
        <v>1143</v>
      </c>
      <c r="P20" s="52" t="s">
        <v>304</v>
      </c>
      <c r="Q20" s="1465" t="s">
        <v>1143</v>
      </c>
      <c r="R20" s="52" t="s">
        <v>278</v>
      </c>
      <c r="S20" s="1465" t="s">
        <v>1118</v>
      </c>
      <c r="T20" s="52" t="s">
        <v>279</v>
      </c>
      <c r="U20" s="1465" t="s">
        <v>1119</v>
      </c>
      <c r="V20" s="52" t="s">
        <v>1155</v>
      </c>
      <c r="W20" s="1465" t="s">
        <v>1119</v>
      </c>
      <c r="X20" s="52"/>
      <c r="Y20" s="1465"/>
      <c r="Z20" s="52"/>
      <c r="AA20" s="1465"/>
      <c r="AB20" s="65" t="s">
        <v>266</v>
      </c>
      <c r="AC20" s="1466" t="s">
        <v>1120</v>
      </c>
      <c r="AD20" s="52"/>
      <c r="AE20" s="1465"/>
      <c r="AF20" s="65"/>
      <c r="AG20" s="1466"/>
      <c r="AH20" s="65"/>
      <c r="AI20" s="1478"/>
      <c r="AJ20" s="52"/>
      <c r="AK20" s="64" t="s">
        <v>138</v>
      </c>
      <c r="AL20" s="53">
        <v>8</v>
      </c>
      <c r="AY20" s="52"/>
      <c r="BB20" s="1456"/>
      <c r="BD20" s="64" t="s">
        <v>133</v>
      </c>
      <c r="BE20" s="52" t="s">
        <v>266</v>
      </c>
      <c r="BF20" s="52" t="s">
        <v>266</v>
      </c>
      <c r="BG20" s="52" t="s">
        <v>266</v>
      </c>
      <c r="BH20" s="52" t="s">
        <v>266</v>
      </c>
      <c r="BI20" s="52" t="s">
        <v>1140</v>
      </c>
      <c r="BJ20" s="52" t="s">
        <v>1142</v>
      </c>
      <c r="BK20" s="52" t="s">
        <v>266</v>
      </c>
      <c r="BL20" s="52" t="s">
        <v>266</v>
      </c>
      <c r="BM20" s="52" t="s">
        <v>266</v>
      </c>
      <c r="BN20" s="52" t="s">
        <v>266</v>
      </c>
      <c r="BO20" s="52" t="s">
        <v>266</v>
      </c>
      <c r="BP20" s="422" t="s">
        <v>311</v>
      </c>
      <c r="BS20" cm="1">
        <f t="array" ref="BS20">SUMPRODUCT(1/COUNTIFS(BE20:BP20,BE20:BP20))+COUNTA(BE21:BQ21)-1</f>
        <v>4</v>
      </c>
    </row>
    <row r="21" spans="3:71" ht="18" customHeight="1">
      <c r="C21" s="1464" t="s">
        <v>138</v>
      </c>
      <c r="D21" s="52" t="s">
        <v>275</v>
      </c>
      <c r="E21" s="1465" t="s">
        <v>1121</v>
      </c>
      <c r="F21" s="52" t="s">
        <v>275</v>
      </c>
      <c r="G21" s="1465" t="s">
        <v>1121</v>
      </c>
      <c r="H21" s="52" t="s">
        <v>1156</v>
      </c>
      <c r="I21" s="1465" t="s">
        <v>1121</v>
      </c>
      <c r="J21" s="52" t="s">
        <v>309</v>
      </c>
      <c r="K21" s="1465" t="s">
        <v>1123</v>
      </c>
      <c r="L21" s="52" t="s">
        <v>280</v>
      </c>
      <c r="M21" s="1465" t="s">
        <v>1973</v>
      </c>
      <c r="N21" s="52" t="s">
        <v>278</v>
      </c>
      <c r="O21" s="1465" t="s">
        <v>1118</v>
      </c>
      <c r="P21" s="52" t="s">
        <v>278</v>
      </c>
      <c r="Q21" s="1465" t="s">
        <v>1118</v>
      </c>
      <c r="R21" s="52" t="s">
        <v>1157</v>
      </c>
      <c r="S21" s="1465" t="s">
        <v>1158</v>
      </c>
      <c r="T21" s="52" t="s">
        <v>265</v>
      </c>
      <c r="U21" s="1465" t="s">
        <v>1125</v>
      </c>
      <c r="V21" s="52" t="s">
        <v>265</v>
      </c>
      <c r="W21" s="1465" t="s">
        <v>1125</v>
      </c>
      <c r="X21" s="52"/>
      <c r="Y21" s="1465"/>
      <c r="Z21" s="52"/>
      <c r="AA21" s="1465"/>
      <c r="AB21" s="65" t="s">
        <v>266</v>
      </c>
      <c r="AC21" s="1466" t="s">
        <v>1120</v>
      </c>
      <c r="AD21" s="52"/>
      <c r="AE21" s="1465"/>
      <c r="AF21" s="65"/>
      <c r="AG21" s="1466"/>
      <c r="AH21" s="65"/>
      <c r="AI21" s="1478"/>
      <c r="AJ21" s="52"/>
      <c r="AK21" s="64" t="s">
        <v>139</v>
      </c>
      <c r="AL21" s="53">
        <v>9</v>
      </c>
      <c r="AY21" s="52"/>
      <c r="BB21" s="1456"/>
      <c r="BP21" t="s">
        <v>266</v>
      </c>
    </row>
    <row r="22" spans="3:71" ht="31.5">
      <c r="C22" s="1464" t="s">
        <v>139</v>
      </c>
      <c r="D22" s="52" t="s">
        <v>269</v>
      </c>
      <c r="E22" s="1465" t="s">
        <v>1126</v>
      </c>
      <c r="F22" s="67" t="s">
        <v>1173</v>
      </c>
      <c r="G22" s="1467" t="s">
        <v>1210</v>
      </c>
      <c r="H22" s="67" t="s">
        <v>1174</v>
      </c>
      <c r="I22" s="1467" t="s">
        <v>1175</v>
      </c>
      <c r="J22" s="52" t="s">
        <v>265</v>
      </c>
      <c r="K22" s="1465" t="s">
        <v>1125</v>
      </c>
      <c r="L22" s="52" t="s">
        <v>265</v>
      </c>
      <c r="M22" s="1465" t="s">
        <v>1125</v>
      </c>
      <c r="N22" s="52" t="s">
        <v>278</v>
      </c>
      <c r="O22" s="1465" t="s">
        <v>1118</v>
      </c>
      <c r="P22" s="52" t="s">
        <v>290</v>
      </c>
      <c r="Q22" s="1465" t="s">
        <v>1973</v>
      </c>
      <c r="R22" s="52" t="s">
        <v>290</v>
      </c>
      <c r="S22" s="1465" t="s">
        <v>1973</v>
      </c>
      <c r="T22" s="52" t="s">
        <v>295</v>
      </c>
      <c r="U22" s="1465" t="s">
        <v>1119</v>
      </c>
      <c r="V22" s="52" t="s">
        <v>295</v>
      </c>
      <c r="W22" s="1465" t="s">
        <v>1119</v>
      </c>
      <c r="Y22" s="62"/>
      <c r="Z22" s="52" t="s">
        <v>295</v>
      </c>
      <c r="AA22" s="1465" t="s">
        <v>1119</v>
      </c>
      <c r="AB22" s="66"/>
      <c r="AC22" s="1470"/>
      <c r="AE22" s="62"/>
      <c r="AF22" s="66" t="s">
        <v>266</v>
      </c>
      <c r="AG22" s="1470" t="s">
        <v>1120</v>
      </c>
      <c r="AH22" s="65"/>
      <c r="AI22" s="1478"/>
      <c r="AJ22" s="52"/>
      <c r="AK22" s="64" t="s">
        <v>140</v>
      </c>
      <c r="AL22" s="53">
        <v>9</v>
      </c>
      <c r="BB22" s="1456"/>
      <c r="BD22" s="64" t="s">
        <v>134</v>
      </c>
      <c r="BE22" s="52" t="s">
        <v>275</v>
      </c>
      <c r="BF22" s="52" t="s">
        <v>275</v>
      </c>
      <c r="BG22" s="52" t="s">
        <v>265</v>
      </c>
      <c r="BH22" s="52" t="s">
        <v>277</v>
      </c>
      <c r="BI22" s="52" t="s">
        <v>304</v>
      </c>
      <c r="BJ22" s="52" t="s">
        <v>304</v>
      </c>
      <c r="BK22" s="52" t="s">
        <v>271</v>
      </c>
      <c r="BL22" s="52" t="s">
        <v>319</v>
      </c>
      <c r="BM22" s="52" t="s">
        <v>310</v>
      </c>
      <c r="BN22" s="52" t="s">
        <v>310</v>
      </c>
      <c r="BO22" s="52" t="s">
        <v>290</v>
      </c>
      <c r="BP22" t="s">
        <v>279</v>
      </c>
      <c r="BQ22" t="s">
        <v>266</v>
      </c>
      <c r="BS22" cm="1">
        <f t="array" ref="BS22">SUMPRODUCT(1/COUNTIFS(BE22:BQ22,BE22:BQ22))</f>
        <v>10</v>
      </c>
    </row>
    <row r="23" spans="3:71" ht="18" customHeight="1">
      <c r="C23" s="1464" t="s">
        <v>140</v>
      </c>
      <c r="D23" s="52" t="s">
        <v>279</v>
      </c>
      <c r="E23" s="1465" t="s">
        <v>1119</v>
      </c>
      <c r="F23" s="52" t="s">
        <v>281</v>
      </c>
      <c r="G23" s="1465" t="s">
        <v>1973</v>
      </c>
      <c r="H23" s="52" t="s">
        <v>281</v>
      </c>
      <c r="I23" s="1465" t="s">
        <v>1973</v>
      </c>
      <c r="J23" s="52" t="s">
        <v>280</v>
      </c>
      <c r="K23" s="1465" t="s">
        <v>1973</v>
      </c>
      <c r="L23" s="52" t="s">
        <v>283</v>
      </c>
      <c r="M23" s="1465" t="s">
        <v>1132</v>
      </c>
      <c r="N23" s="52" t="s">
        <v>283</v>
      </c>
      <c r="O23" s="1465" t="s">
        <v>1132</v>
      </c>
      <c r="P23" s="52" t="s">
        <v>286</v>
      </c>
      <c r="Q23" s="1465" t="s">
        <v>1126</v>
      </c>
      <c r="R23" s="52" t="s">
        <v>1135</v>
      </c>
      <c r="S23" s="1465" t="s">
        <v>1134</v>
      </c>
      <c r="T23" s="52" t="s">
        <v>343</v>
      </c>
      <c r="U23" s="1465" t="s">
        <v>1125</v>
      </c>
      <c r="V23" s="52" t="s">
        <v>288</v>
      </c>
      <c r="W23" s="1465" t="s">
        <v>1126</v>
      </c>
      <c r="X23" s="52"/>
      <c r="Y23" s="1465"/>
      <c r="Z23" s="52" t="s">
        <v>288</v>
      </c>
      <c r="AA23" s="1465" t="s">
        <v>1126</v>
      </c>
      <c r="AB23" s="65"/>
      <c r="AC23" s="1466"/>
      <c r="AD23" s="52"/>
      <c r="AE23" s="1465"/>
      <c r="AF23" s="65" t="s">
        <v>266</v>
      </c>
      <c r="AG23" s="1466" t="s">
        <v>1120</v>
      </c>
      <c r="AH23" s="65"/>
      <c r="AI23" s="1478"/>
      <c r="AJ23" s="52"/>
      <c r="AK23" s="64" t="s">
        <v>141</v>
      </c>
      <c r="AL23" s="53">
        <v>9</v>
      </c>
      <c r="BB23" s="1456"/>
      <c r="BD23" s="64" t="s">
        <v>135</v>
      </c>
      <c r="BE23" s="52" t="s">
        <v>295</v>
      </c>
      <c r="BF23" s="52" t="s">
        <v>1144</v>
      </c>
      <c r="BG23" s="52" t="s">
        <v>281</v>
      </c>
      <c r="BH23" s="52" t="s">
        <v>281</v>
      </c>
      <c r="BI23" s="52" t="s">
        <v>278</v>
      </c>
      <c r="BJ23" s="52" t="s">
        <v>1145</v>
      </c>
      <c r="BK23" s="52" t="s">
        <v>1146</v>
      </c>
      <c r="BL23" s="52" t="s">
        <v>1147</v>
      </c>
      <c r="BM23" s="67" t="s">
        <v>1203</v>
      </c>
      <c r="BN23" s="52" t="s">
        <v>1124</v>
      </c>
      <c r="BO23" s="52" t="s">
        <v>1148</v>
      </c>
      <c r="BP23" s="422" t="s">
        <v>270</v>
      </c>
      <c r="BS23" cm="1">
        <f t="array" ref="BS23">SUMPRODUCT(1/COUNTIFS(BE23:BP23,BE23:BP23))+COUNTA(BE24:BQ24)</f>
        <v>13</v>
      </c>
    </row>
    <row r="24" spans="3:71" ht="18" customHeight="1">
      <c r="C24" s="1464" t="s">
        <v>141</v>
      </c>
      <c r="D24" s="52" t="s">
        <v>305</v>
      </c>
      <c r="E24" s="1465" t="s">
        <v>1121</v>
      </c>
      <c r="F24" s="52" t="s">
        <v>305</v>
      </c>
      <c r="G24" s="1465" t="s">
        <v>1121</v>
      </c>
      <c r="H24" s="52" t="s">
        <v>99</v>
      </c>
      <c r="I24" s="1465" t="s">
        <v>1121</v>
      </c>
      <c r="J24" s="52" t="s">
        <v>277</v>
      </c>
      <c r="K24" s="1465" t="s">
        <v>1126</v>
      </c>
      <c r="L24" s="52" t="s">
        <v>270</v>
      </c>
      <c r="M24" s="1465" t="s">
        <v>1115</v>
      </c>
      <c r="N24" s="52" t="s">
        <v>270</v>
      </c>
      <c r="O24" s="1465" t="s">
        <v>1115</v>
      </c>
      <c r="P24" s="52" t="s">
        <v>1159</v>
      </c>
      <c r="Q24" s="1465" t="s">
        <v>1131</v>
      </c>
      <c r="R24" s="52" t="s">
        <v>1128</v>
      </c>
      <c r="S24" s="1465" t="s">
        <v>1973</v>
      </c>
      <c r="T24" s="52" t="s">
        <v>123</v>
      </c>
      <c r="U24" s="1465" t="s">
        <v>1973</v>
      </c>
      <c r="V24" s="52" t="s">
        <v>295</v>
      </c>
      <c r="W24" s="1465" t="s">
        <v>1119</v>
      </c>
      <c r="X24" s="52"/>
      <c r="Y24" s="1465"/>
      <c r="Z24" s="52" t="s">
        <v>295</v>
      </c>
      <c r="AA24" s="1465" t="s">
        <v>1119</v>
      </c>
      <c r="AB24" s="65"/>
      <c r="AC24" s="1466"/>
      <c r="AD24" s="52"/>
      <c r="AE24" s="1465"/>
      <c r="AF24" s="65" t="s">
        <v>266</v>
      </c>
      <c r="AG24" s="1466" t="s">
        <v>1120</v>
      </c>
      <c r="AH24" s="65"/>
      <c r="AI24" s="1478"/>
      <c r="AJ24" s="52"/>
      <c r="AK24" s="64" t="s">
        <v>142</v>
      </c>
      <c r="AL24" s="90">
        <v>10</v>
      </c>
      <c r="BB24" s="1456"/>
      <c r="BM24" t="s">
        <v>1204</v>
      </c>
      <c r="BP24" t="s">
        <v>266</v>
      </c>
    </row>
    <row r="25" spans="3:71" ht="18" customHeight="1">
      <c r="C25" s="1464" t="s">
        <v>142</v>
      </c>
      <c r="D25" s="52" t="s">
        <v>267</v>
      </c>
      <c r="E25" s="1465" t="s">
        <v>1115</v>
      </c>
      <c r="F25" s="52" t="s">
        <v>318</v>
      </c>
      <c r="G25" s="1465" t="s">
        <v>1153</v>
      </c>
      <c r="H25" s="52" t="s">
        <v>318</v>
      </c>
      <c r="I25" s="1465" t="s">
        <v>1153</v>
      </c>
      <c r="J25" s="52" t="s">
        <v>1135</v>
      </c>
      <c r="K25" s="1465" t="s">
        <v>1134</v>
      </c>
      <c r="L25" s="52" t="s">
        <v>306</v>
      </c>
      <c r="M25" s="1465" t="s">
        <v>1134</v>
      </c>
      <c r="N25" s="52" t="s">
        <v>265</v>
      </c>
      <c r="O25" s="1465" t="s">
        <v>1125</v>
      </c>
      <c r="P25" s="52" t="s">
        <v>265</v>
      </c>
      <c r="Q25" s="1465" t="s">
        <v>1125</v>
      </c>
      <c r="R25" s="52" t="s">
        <v>319</v>
      </c>
      <c r="S25" s="1465" t="s">
        <v>1132</v>
      </c>
      <c r="T25" s="52" t="s">
        <v>313</v>
      </c>
      <c r="U25" s="1465" t="s">
        <v>1118</v>
      </c>
      <c r="V25" s="52" t="s">
        <v>295</v>
      </c>
      <c r="W25" s="1465" t="s">
        <v>1119</v>
      </c>
      <c r="X25" s="52"/>
      <c r="Y25" s="1465"/>
      <c r="Z25" s="52" t="s">
        <v>320</v>
      </c>
      <c r="AA25" s="1465" t="s">
        <v>1119</v>
      </c>
      <c r="AB25" s="65"/>
      <c r="AC25" s="1466"/>
      <c r="AD25" s="52"/>
      <c r="AE25" s="1465"/>
      <c r="AF25" s="65" t="s">
        <v>266</v>
      </c>
      <c r="AG25" s="1466" t="s">
        <v>1120</v>
      </c>
      <c r="AH25" s="65"/>
      <c r="AI25" s="1478"/>
      <c r="AJ25" s="52"/>
      <c r="AK25" s="64" t="s">
        <v>143</v>
      </c>
      <c r="AL25" s="90">
        <v>9</v>
      </c>
      <c r="BB25" s="1456"/>
      <c r="BD25" s="64" t="s">
        <v>136</v>
      </c>
      <c r="BE25" t="s">
        <v>1149</v>
      </c>
      <c r="BF25" t="s">
        <v>305</v>
      </c>
      <c r="BG25" t="s">
        <v>305</v>
      </c>
      <c r="BH25" t="s">
        <v>99</v>
      </c>
      <c r="BI25" t="s">
        <v>302</v>
      </c>
      <c r="BJ25" t="s">
        <v>314</v>
      </c>
      <c r="BK25" t="s">
        <v>297</v>
      </c>
      <c r="BL25" t="s">
        <v>297</v>
      </c>
      <c r="BM25" t="s">
        <v>1128</v>
      </c>
      <c r="BN25" t="s">
        <v>295</v>
      </c>
      <c r="BO25" t="s">
        <v>295</v>
      </c>
      <c r="BP25" t="s">
        <v>1150</v>
      </c>
      <c r="BQ25" t="s">
        <v>266</v>
      </c>
      <c r="BS25" cm="1">
        <f t="array" ref="BS25">SUMPRODUCT(1/COUNTIFS(BE25:BQ25,BE25:BQ25))</f>
        <v>10</v>
      </c>
    </row>
    <row r="26" spans="3:71" ht="31.5">
      <c r="C26" s="1464" t="s">
        <v>143</v>
      </c>
      <c r="D26" s="52" t="s">
        <v>310</v>
      </c>
      <c r="E26" s="1465" t="s">
        <v>1123</v>
      </c>
      <c r="F26" s="52" t="s">
        <v>310</v>
      </c>
      <c r="G26" s="1465" t="s">
        <v>1123</v>
      </c>
      <c r="H26" s="52" t="s">
        <v>279</v>
      </c>
      <c r="I26" s="1465" t="s">
        <v>1119</v>
      </c>
      <c r="J26" s="52" t="s">
        <v>295</v>
      </c>
      <c r="K26" s="1465" t="s">
        <v>1119</v>
      </c>
      <c r="L26" s="52" t="s">
        <v>295</v>
      </c>
      <c r="M26" s="1465" t="s">
        <v>1119</v>
      </c>
      <c r="N26" s="52" t="s">
        <v>278</v>
      </c>
      <c r="O26" s="1465" t="s">
        <v>1118</v>
      </c>
      <c r="P26" s="52" t="s">
        <v>278</v>
      </c>
      <c r="Q26" s="1465" t="s">
        <v>1118</v>
      </c>
      <c r="R26" s="52" t="s">
        <v>315</v>
      </c>
      <c r="S26" s="1465" t="s">
        <v>1126</v>
      </c>
      <c r="T26" s="67" t="s">
        <v>1178</v>
      </c>
      <c r="U26" s="1467" t="s">
        <v>1210</v>
      </c>
      <c r="V26" s="52" t="s">
        <v>269</v>
      </c>
      <c r="W26" s="1465" t="s">
        <v>1126</v>
      </c>
      <c r="X26" s="52"/>
      <c r="Y26" s="1465"/>
      <c r="Z26" s="52" t="s">
        <v>275</v>
      </c>
      <c r="AA26" s="1465" t="s">
        <v>1121</v>
      </c>
      <c r="AB26" s="65"/>
      <c r="AC26" s="1466"/>
      <c r="AD26" s="52"/>
      <c r="AE26" s="1465"/>
      <c r="AF26" s="65" t="s">
        <v>266</v>
      </c>
      <c r="AG26" s="1466" t="s">
        <v>1120</v>
      </c>
      <c r="AH26" s="65"/>
      <c r="AI26" s="1478"/>
      <c r="AJ26" s="52"/>
      <c r="AK26" s="64" t="s">
        <v>144</v>
      </c>
      <c r="AL26" s="90">
        <v>10</v>
      </c>
      <c r="BB26" s="1456"/>
      <c r="BD26" s="64" t="s">
        <v>137</v>
      </c>
      <c r="BE26" t="s">
        <v>1151</v>
      </c>
      <c r="BF26" t="s">
        <v>286</v>
      </c>
      <c r="BG26" t="s">
        <v>1152</v>
      </c>
      <c r="BH26" t="s">
        <v>1152</v>
      </c>
      <c r="BI26" t="s">
        <v>1154</v>
      </c>
      <c r="BJ26" t="s">
        <v>285</v>
      </c>
      <c r="BK26" t="s">
        <v>304</v>
      </c>
      <c r="BL26" t="s">
        <v>278</v>
      </c>
      <c r="BM26" t="s">
        <v>279</v>
      </c>
      <c r="BN26" t="s">
        <v>1155</v>
      </c>
      <c r="BO26" s="52" t="s">
        <v>266</v>
      </c>
      <c r="BS26" cm="1">
        <f t="array" ref="BS26">SUMPRODUCT(1/COUNTIFS(BE26:BO26,BE26:BO26))</f>
        <v>10</v>
      </c>
    </row>
    <row r="27" spans="3:71" ht="31.5">
      <c r="C27" s="1464" t="s">
        <v>144</v>
      </c>
      <c r="D27" s="52" t="s">
        <v>1155</v>
      </c>
      <c r="E27" s="1465" t="s">
        <v>1119</v>
      </c>
      <c r="F27" s="52" t="s">
        <v>294</v>
      </c>
      <c r="G27" s="1465" t="s">
        <v>1973</v>
      </c>
      <c r="H27" s="52" t="s">
        <v>294</v>
      </c>
      <c r="I27" s="1465" t="s">
        <v>1973</v>
      </c>
      <c r="J27" s="52" t="s">
        <v>290</v>
      </c>
      <c r="K27" s="1465" t="s">
        <v>1973</v>
      </c>
      <c r="L27" s="52" t="s">
        <v>290</v>
      </c>
      <c r="M27" s="1465" t="s">
        <v>1973</v>
      </c>
      <c r="N27" s="52" t="s">
        <v>1162</v>
      </c>
      <c r="O27" s="1465" t="s">
        <v>1131</v>
      </c>
      <c r="P27" s="52" t="s">
        <v>1162</v>
      </c>
      <c r="Q27" s="1465" t="s">
        <v>1131</v>
      </c>
      <c r="R27" s="52" t="s">
        <v>1163</v>
      </c>
      <c r="S27" s="1465" t="s">
        <v>1134</v>
      </c>
      <c r="T27" s="67" t="s">
        <v>1185</v>
      </c>
      <c r="U27" s="1467" t="s">
        <v>1210</v>
      </c>
      <c r="V27" s="52" t="s">
        <v>287</v>
      </c>
      <c r="W27" s="1465" t="s">
        <v>1126</v>
      </c>
      <c r="X27" s="52"/>
      <c r="Y27" s="1465"/>
      <c r="Z27" s="67" t="s">
        <v>1179</v>
      </c>
      <c r="AA27" s="1467" t="s">
        <v>1180</v>
      </c>
      <c r="AB27" s="65"/>
      <c r="AC27" s="1466"/>
      <c r="AD27" s="52"/>
      <c r="AE27" s="1465"/>
      <c r="AF27" s="65" t="s">
        <v>266</v>
      </c>
      <c r="AG27" s="1466" t="s">
        <v>1120</v>
      </c>
      <c r="AH27" s="65"/>
      <c r="AI27" s="1478"/>
      <c r="AJ27" s="52"/>
      <c r="AK27" s="64" t="s">
        <v>145</v>
      </c>
      <c r="AL27" s="90">
        <v>10</v>
      </c>
      <c r="BD27" s="64" t="s">
        <v>138</v>
      </c>
      <c r="BE27" t="s">
        <v>275</v>
      </c>
      <c r="BF27" t="s">
        <v>275</v>
      </c>
      <c r="BG27" t="s">
        <v>1156</v>
      </c>
      <c r="BH27" t="s">
        <v>309</v>
      </c>
      <c r="BI27" t="s">
        <v>280</v>
      </c>
      <c r="BJ27" t="s">
        <v>278</v>
      </c>
      <c r="BK27" t="s">
        <v>278</v>
      </c>
      <c r="BL27" t="s">
        <v>1157</v>
      </c>
      <c r="BM27" t="s">
        <v>265</v>
      </c>
      <c r="BN27" t="s">
        <v>265</v>
      </c>
      <c r="BO27" s="52" t="s">
        <v>266</v>
      </c>
      <c r="BS27" cm="1">
        <f t="array" ref="BS27">SUMPRODUCT(1/COUNTIFS(BE27:BO27,BE27:BO27))</f>
        <v>8</v>
      </c>
    </row>
    <row r="28" spans="3:71" ht="31.5">
      <c r="C28" s="1464" t="s">
        <v>145</v>
      </c>
      <c r="D28" s="52" t="s">
        <v>99</v>
      </c>
      <c r="E28" s="1465" t="s">
        <v>1121</v>
      </c>
      <c r="F28" s="52" t="s">
        <v>99</v>
      </c>
      <c r="G28" s="1465" t="s">
        <v>1121</v>
      </c>
      <c r="H28" s="52" t="s">
        <v>276</v>
      </c>
      <c r="I28" s="1465" t="s">
        <v>1121</v>
      </c>
      <c r="J28" s="52" t="s">
        <v>304</v>
      </c>
      <c r="K28" s="1465" t="s">
        <v>1143</v>
      </c>
      <c r="L28" s="67" t="s">
        <v>1186</v>
      </c>
      <c r="M28" s="1465" t="s">
        <v>1126</v>
      </c>
      <c r="N28" s="52" t="s">
        <v>316</v>
      </c>
      <c r="O28" s="1465" t="s">
        <v>1170</v>
      </c>
      <c r="P28" s="52" t="s">
        <v>314</v>
      </c>
      <c r="Q28" s="1465" t="s">
        <v>1131</v>
      </c>
      <c r="R28" s="52" t="s">
        <v>314</v>
      </c>
      <c r="S28" s="1465" t="s">
        <v>1131</v>
      </c>
      <c r="T28" s="52" t="s">
        <v>278</v>
      </c>
      <c r="U28" s="1465" t="s">
        <v>1118</v>
      </c>
      <c r="V28" s="52" t="s">
        <v>278</v>
      </c>
      <c r="W28" s="1465" t="s">
        <v>1118</v>
      </c>
      <c r="X28" s="52"/>
      <c r="Y28" s="1465"/>
      <c r="Z28" s="52" t="s">
        <v>279</v>
      </c>
      <c r="AA28" s="1465" t="s">
        <v>1119</v>
      </c>
      <c r="AB28" s="65"/>
      <c r="AC28" s="1466"/>
      <c r="AD28" s="52"/>
      <c r="AE28" s="1465"/>
      <c r="AF28" s="65" t="s">
        <v>266</v>
      </c>
      <c r="AG28" s="1466" t="s">
        <v>1120</v>
      </c>
      <c r="AH28" s="65"/>
      <c r="AI28" s="1478"/>
      <c r="AJ28" s="52"/>
      <c r="AK28" s="64" t="s">
        <v>146</v>
      </c>
      <c r="AL28" s="53">
        <v>9</v>
      </c>
      <c r="BD28" s="64" t="s">
        <v>139</v>
      </c>
      <c r="BE28" t="s">
        <v>269</v>
      </c>
      <c r="BF28" t="s">
        <v>277</v>
      </c>
      <c r="BG28" t="s">
        <v>277</v>
      </c>
      <c r="BH28" t="s">
        <v>265</v>
      </c>
      <c r="BI28" t="s">
        <v>265</v>
      </c>
      <c r="BJ28" t="s">
        <v>278</v>
      </c>
      <c r="BK28" t="s">
        <v>290</v>
      </c>
      <c r="BL28" t="s">
        <v>290</v>
      </c>
      <c r="BM28" t="s">
        <v>295</v>
      </c>
      <c r="BN28" t="s">
        <v>295</v>
      </c>
      <c r="BO28" t="s">
        <v>295</v>
      </c>
      <c r="BP28" t="s">
        <v>266</v>
      </c>
      <c r="BS28" cm="1">
        <f t="array" ref="BS28">SUMPRODUCT(1/COUNTIFS(BE28:BP28,BE28:BP28))+COUNTA(BE29:BQ29)</f>
        <v>9</v>
      </c>
    </row>
    <row r="29" spans="3:71" ht="20.100000000000001" customHeight="1">
      <c r="C29" s="1464" t="s">
        <v>146</v>
      </c>
      <c r="D29" s="52" t="s">
        <v>295</v>
      </c>
      <c r="E29" s="1465" t="s">
        <v>1119</v>
      </c>
      <c r="F29" s="52" t="s">
        <v>294</v>
      </c>
      <c r="G29" s="1465" t="s">
        <v>1973</v>
      </c>
      <c r="H29" s="52" t="s">
        <v>294</v>
      </c>
      <c r="I29" s="1465" t="s">
        <v>1973</v>
      </c>
      <c r="J29" s="52" t="s">
        <v>313</v>
      </c>
      <c r="K29" s="1465" t="s">
        <v>1118</v>
      </c>
      <c r="L29" s="52" t="s">
        <v>313</v>
      </c>
      <c r="M29" s="1465" t="s">
        <v>1118</v>
      </c>
      <c r="N29" s="52" t="s">
        <v>1138</v>
      </c>
      <c r="O29" s="1465" t="s">
        <v>1132</v>
      </c>
      <c r="P29" s="52" t="s">
        <v>265</v>
      </c>
      <c r="Q29" s="1465" t="s">
        <v>1125</v>
      </c>
      <c r="R29" s="52" t="s">
        <v>265</v>
      </c>
      <c r="S29" s="1465" t="s">
        <v>1125</v>
      </c>
      <c r="T29" s="52" t="s">
        <v>286</v>
      </c>
      <c r="U29" s="1465" t="s">
        <v>1126</v>
      </c>
      <c r="V29" s="52" t="s">
        <v>1148</v>
      </c>
      <c r="W29" s="1465" t="s">
        <v>1115</v>
      </c>
      <c r="X29" s="52"/>
      <c r="Y29" s="1465"/>
      <c r="Z29" s="52" t="s">
        <v>270</v>
      </c>
      <c r="AA29" s="1465" t="s">
        <v>1115</v>
      </c>
      <c r="AB29" s="65"/>
      <c r="AC29" s="1466"/>
      <c r="AD29" s="52"/>
      <c r="AE29" s="1465"/>
      <c r="AF29" s="65" t="s">
        <v>266</v>
      </c>
      <c r="AG29" s="1466" t="s">
        <v>1120</v>
      </c>
      <c r="AH29" s="65"/>
      <c r="AI29" s="1478"/>
      <c r="AJ29" s="52"/>
      <c r="AK29" s="64" t="s">
        <v>147</v>
      </c>
      <c r="AL29" s="53">
        <v>12</v>
      </c>
      <c r="BF29" t="s">
        <v>315</v>
      </c>
      <c r="BG29" t="s">
        <v>1216</v>
      </c>
    </row>
    <row r="30" spans="3:71" ht="31.5">
      <c r="C30" s="1464" t="s">
        <v>147</v>
      </c>
      <c r="D30" s="52" t="s">
        <v>1164</v>
      </c>
      <c r="E30" s="1465" t="s">
        <v>1123</v>
      </c>
      <c r="F30" s="52" t="s">
        <v>1164</v>
      </c>
      <c r="G30" s="1465" t="s">
        <v>1123</v>
      </c>
      <c r="H30" s="52" t="s">
        <v>309</v>
      </c>
      <c r="I30" s="1465" t="s">
        <v>1123</v>
      </c>
      <c r="J30" s="52" t="s">
        <v>294</v>
      </c>
      <c r="K30" s="1465" t="s">
        <v>1973</v>
      </c>
      <c r="L30" s="52" t="s">
        <v>281</v>
      </c>
      <c r="M30" s="1465" t="s">
        <v>1973</v>
      </c>
      <c r="N30" s="52" t="s">
        <v>312</v>
      </c>
      <c r="O30" s="1465" t="s">
        <v>1114</v>
      </c>
      <c r="P30" s="52" t="s">
        <v>312</v>
      </c>
      <c r="Q30" s="1465" t="s">
        <v>1114</v>
      </c>
      <c r="R30" s="52" t="s">
        <v>269</v>
      </c>
      <c r="S30" s="1465" t="s">
        <v>1126</v>
      </c>
      <c r="T30" s="67" t="s">
        <v>1185</v>
      </c>
      <c r="U30" s="1465" t="s">
        <v>1126</v>
      </c>
      <c r="V30" s="52" t="s">
        <v>268</v>
      </c>
      <c r="W30" s="1465" t="s">
        <v>1115</v>
      </c>
      <c r="X30" s="52"/>
      <c r="Y30" s="1465"/>
      <c r="Z30" s="52" t="s">
        <v>1165</v>
      </c>
      <c r="AA30" s="1465" t="s">
        <v>1115</v>
      </c>
      <c r="AB30" s="65"/>
      <c r="AC30" s="1466"/>
      <c r="AD30" s="52"/>
      <c r="AE30" s="1465"/>
      <c r="AF30" s="1471" t="s">
        <v>1220</v>
      </c>
      <c r="AG30" s="1469" t="s">
        <v>1182</v>
      </c>
      <c r="AH30" s="65"/>
      <c r="AI30" s="1478"/>
      <c r="AJ30" s="52"/>
      <c r="AK30" s="64" t="s">
        <v>148</v>
      </c>
      <c r="AL30" s="53">
        <v>8</v>
      </c>
      <c r="AZ30" s="422"/>
      <c r="BD30" s="64" t="s">
        <v>140</v>
      </c>
      <c r="BE30" t="s">
        <v>279</v>
      </c>
      <c r="BF30" t="s">
        <v>281</v>
      </c>
      <c r="BG30" t="s">
        <v>281</v>
      </c>
      <c r="BH30" t="s">
        <v>280</v>
      </c>
      <c r="BI30" t="s">
        <v>283</v>
      </c>
      <c r="BJ30" t="s">
        <v>283</v>
      </c>
      <c r="BK30" t="s">
        <v>286</v>
      </c>
      <c r="BL30" t="s">
        <v>1135</v>
      </c>
      <c r="BM30" t="s">
        <v>343</v>
      </c>
      <c r="BN30" t="s">
        <v>288</v>
      </c>
      <c r="BO30" t="s">
        <v>288</v>
      </c>
      <c r="BP30" t="s">
        <v>266</v>
      </c>
      <c r="BS30" cm="1">
        <f t="array" ref="BS30">SUMPRODUCT(1/COUNTIFS(BE30:BP30,BE30:BP30))</f>
        <v>9</v>
      </c>
    </row>
    <row r="31" spans="3:71" ht="18.95" customHeight="1">
      <c r="C31" s="1464" t="s">
        <v>148</v>
      </c>
      <c r="D31" s="52" t="s">
        <v>305</v>
      </c>
      <c r="E31" s="1465" t="s">
        <v>1121</v>
      </c>
      <c r="F31" s="52" t="s">
        <v>305</v>
      </c>
      <c r="G31" s="1465" t="s">
        <v>1121</v>
      </c>
      <c r="H31" s="52" t="s">
        <v>272</v>
      </c>
      <c r="I31" s="1465" t="s">
        <v>1115</v>
      </c>
      <c r="J31" s="52" t="s">
        <v>306</v>
      </c>
      <c r="K31" s="1465" t="s">
        <v>1134</v>
      </c>
      <c r="L31" s="52" t="s">
        <v>306</v>
      </c>
      <c r="M31" s="1465" t="s">
        <v>1134</v>
      </c>
      <c r="N31" s="52" t="s">
        <v>315</v>
      </c>
      <c r="O31" s="1465" t="s">
        <v>1126</v>
      </c>
      <c r="P31" s="52" t="s">
        <v>283</v>
      </c>
      <c r="Q31" s="1465" t="s">
        <v>1132</v>
      </c>
      <c r="R31" s="52" t="s">
        <v>283</v>
      </c>
      <c r="S31" s="1465" t="s">
        <v>1132</v>
      </c>
      <c r="T31" s="52" t="s">
        <v>294</v>
      </c>
      <c r="U31" s="1465" t="s">
        <v>1973</v>
      </c>
      <c r="V31" s="52" t="s">
        <v>294</v>
      </c>
      <c r="W31" s="1465" t="s">
        <v>1973</v>
      </c>
      <c r="X31" s="52"/>
      <c r="Y31" s="1465"/>
      <c r="Z31" s="52" t="s">
        <v>279</v>
      </c>
      <c r="AA31" s="1465" t="s">
        <v>1119</v>
      </c>
      <c r="AB31" s="65"/>
      <c r="AC31" s="1466"/>
      <c r="AD31" s="52"/>
      <c r="AE31" s="1465"/>
      <c r="AF31" s="65" t="s">
        <v>266</v>
      </c>
      <c r="AG31" s="1466" t="s">
        <v>1120</v>
      </c>
      <c r="AH31" s="65"/>
      <c r="AI31" s="1478"/>
      <c r="AJ31" s="52"/>
      <c r="AK31" s="64" t="s">
        <v>125</v>
      </c>
      <c r="AL31" s="53">
        <v>9</v>
      </c>
      <c r="BD31" s="64" t="s">
        <v>141</v>
      </c>
      <c r="BE31" t="s">
        <v>305</v>
      </c>
      <c r="BF31" t="s">
        <v>305</v>
      </c>
      <c r="BG31" t="s">
        <v>99</v>
      </c>
      <c r="BH31" t="s">
        <v>277</v>
      </c>
      <c r="BI31" t="s">
        <v>270</v>
      </c>
      <c r="BJ31" t="s">
        <v>270</v>
      </c>
      <c r="BK31" t="s">
        <v>1159</v>
      </c>
      <c r="BL31" t="s">
        <v>1128</v>
      </c>
      <c r="BM31" t="s">
        <v>123</v>
      </c>
      <c r="BN31" t="s">
        <v>295</v>
      </c>
      <c r="BO31" t="s">
        <v>295</v>
      </c>
      <c r="BP31" t="s">
        <v>266</v>
      </c>
      <c r="BS31" cm="1">
        <f t="array" ref="BS31">SUMPRODUCT(1/COUNTIFS(BE31:BP31,BE31:BP31))</f>
        <v>9</v>
      </c>
    </row>
    <row r="32" spans="3:71" ht="31.5">
      <c r="C32" s="1464" t="s">
        <v>125</v>
      </c>
      <c r="D32" s="52" t="s">
        <v>295</v>
      </c>
      <c r="E32" s="1465" t="s">
        <v>1119</v>
      </c>
      <c r="F32" s="52" t="s">
        <v>295</v>
      </c>
      <c r="G32" s="1465" t="s">
        <v>1119</v>
      </c>
      <c r="H32" s="52" t="s">
        <v>1128</v>
      </c>
      <c r="I32" s="1465" t="s">
        <v>1973</v>
      </c>
      <c r="J32" s="52" t="s">
        <v>1128</v>
      </c>
      <c r="K32" s="1465" t="s">
        <v>1973</v>
      </c>
      <c r="L32" s="52" t="s">
        <v>303</v>
      </c>
      <c r="M32" s="1465" t="s">
        <v>1118</v>
      </c>
      <c r="N32" s="52" t="s">
        <v>303</v>
      </c>
      <c r="O32" s="1465" t="s">
        <v>1118</v>
      </c>
      <c r="P32" s="52" t="s">
        <v>304</v>
      </c>
      <c r="Q32" s="1465" t="s">
        <v>1143</v>
      </c>
      <c r="R32" s="52" t="s">
        <v>304</v>
      </c>
      <c r="S32" s="1465" t="s">
        <v>1143</v>
      </c>
      <c r="T32" s="52" t="s">
        <v>269</v>
      </c>
      <c r="U32" s="1465" t="s">
        <v>1126</v>
      </c>
      <c r="V32" s="52" t="s">
        <v>1148</v>
      </c>
      <c r="W32" s="1465" t="s">
        <v>1115</v>
      </c>
      <c r="X32" s="52"/>
      <c r="Y32" s="1465"/>
      <c r="Z32" s="67" t="s">
        <v>1187</v>
      </c>
      <c r="AA32" s="1465" t="s">
        <v>1115</v>
      </c>
      <c r="AB32" s="65"/>
      <c r="AC32" s="1466"/>
      <c r="AD32" s="52"/>
      <c r="AE32" s="1465"/>
      <c r="AF32" s="65" t="s">
        <v>266</v>
      </c>
      <c r="AG32" s="1466" t="s">
        <v>1120</v>
      </c>
      <c r="AH32" s="65"/>
      <c r="AI32" s="1478"/>
      <c r="AJ32" s="52"/>
      <c r="AK32" s="64" t="s">
        <v>116</v>
      </c>
      <c r="AL32" s="53">
        <v>11</v>
      </c>
      <c r="BD32" s="64" t="s">
        <v>142</v>
      </c>
      <c r="BE32" t="s">
        <v>267</v>
      </c>
      <c r="BF32" t="s">
        <v>318</v>
      </c>
      <c r="BG32" t="s">
        <v>318</v>
      </c>
      <c r="BH32" t="s">
        <v>1135</v>
      </c>
      <c r="BI32" t="s">
        <v>306</v>
      </c>
      <c r="BJ32" t="s">
        <v>265</v>
      </c>
      <c r="BK32" t="s">
        <v>265</v>
      </c>
      <c r="BL32" t="s">
        <v>319</v>
      </c>
      <c r="BM32" t="s">
        <v>313</v>
      </c>
      <c r="BN32" t="s">
        <v>295</v>
      </c>
      <c r="BO32" t="s">
        <v>320</v>
      </c>
      <c r="BP32" t="s">
        <v>266</v>
      </c>
      <c r="BS32" cm="1">
        <f t="array" ref="BS32">SUMPRODUCT(1/COUNTIFS(BE32:BP32,BE32:BP32))</f>
        <v>10</v>
      </c>
    </row>
    <row r="33" spans="3:71" ht="31.5">
      <c r="C33" s="1464" t="s">
        <v>116</v>
      </c>
      <c r="D33" s="52" t="s">
        <v>301</v>
      </c>
      <c r="E33" s="1465" t="s">
        <v>1166</v>
      </c>
      <c r="F33" s="52" t="s">
        <v>267</v>
      </c>
      <c r="G33" s="1465" t="s">
        <v>1115</v>
      </c>
      <c r="H33" s="52" t="s">
        <v>268</v>
      </c>
      <c r="I33" s="1465" t="s">
        <v>1115</v>
      </c>
      <c r="J33" s="67" t="s">
        <v>1188</v>
      </c>
      <c r="K33" s="1467" t="s">
        <v>1189</v>
      </c>
      <c r="L33" s="52" t="s">
        <v>1124</v>
      </c>
      <c r="M33" s="1465" t="s">
        <v>1117</v>
      </c>
      <c r="N33" s="52" t="s">
        <v>1124</v>
      </c>
      <c r="O33" s="1465" t="s">
        <v>1117</v>
      </c>
      <c r="P33" s="52" t="s">
        <v>304</v>
      </c>
      <c r="Q33" s="1465" t="s">
        <v>1143</v>
      </c>
      <c r="R33" s="52" t="s">
        <v>122</v>
      </c>
      <c r="S33" s="1465" t="s">
        <v>1143</v>
      </c>
      <c r="T33" s="52" t="s">
        <v>123</v>
      </c>
      <c r="U33" s="1465" t="s">
        <v>1973</v>
      </c>
      <c r="V33" s="52" t="s">
        <v>1133</v>
      </c>
      <c r="W33" s="1465" t="s">
        <v>1973</v>
      </c>
      <c r="X33" s="52"/>
      <c r="Y33" s="1465"/>
      <c r="Z33" s="52" t="s">
        <v>1133</v>
      </c>
      <c r="AA33" s="1465" t="s">
        <v>1973</v>
      </c>
      <c r="AB33" s="65"/>
      <c r="AC33" s="1466"/>
      <c r="AD33" s="52"/>
      <c r="AE33" s="1465"/>
      <c r="AF33" s="65" t="s">
        <v>266</v>
      </c>
      <c r="AG33" s="1466" t="s">
        <v>1120</v>
      </c>
      <c r="AH33" s="65"/>
      <c r="AI33" s="1478"/>
      <c r="AJ33" s="52"/>
      <c r="AK33" s="64" t="s">
        <v>104</v>
      </c>
      <c r="AL33" s="53">
        <v>9</v>
      </c>
      <c r="BD33" s="64" t="s">
        <v>143</v>
      </c>
      <c r="BE33" t="s">
        <v>310</v>
      </c>
      <c r="BF33" t="s">
        <v>310</v>
      </c>
      <c r="BG33" t="s">
        <v>279</v>
      </c>
      <c r="BH33" t="s">
        <v>295</v>
      </c>
      <c r="BI33" t="s">
        <v>295</v>
      </c>
      <c r="BJ33" t="s">
        <v>278</v>
      </c>
      <c r="BK33" t="s">
        <v>278</v>
      </c>
      <c r="BL33" t="s">
        <v>315</v>
      </c>
      <c r="BM33" t="s">
        <v>317</v>
      </c>
      <c r="BN33" t="s">
        <v>269</v>
      </c>
      <c r="BO33" t="s">
        <v>275</v>
      </c>
      <c r="BP33" t="s">
        <v>266</v>
      </c>
      <c r="BS33" cm="1">
        <f t="array" ref="BS33">SUMPRODUCT(1/COUNTIFS(BE33:BP33,BE33:BP33))+COUNTA(BE34:BQ34)-1</f>
        <v>9</v>
      </c>
    </row>
    <row r="34" spans="3:71" ht="31.5">
      <c r="C34" s="1464" t="s">
        <v>104</v>
      </c>
      <c r="D34" s="52" t="s">
        <v>279</v>
      </c>
      <c r="E34" s="1465" t="s">
        <v>1119</v>
      </c>
      <c r="F34" s="52" t="s">
        <v>279</v>
      </c>
      <c r="G34" s="1465" t="s">
        <v>1119</v>
      </c>
      <c r="H34" s="52" t="s">
        <v>290</v>
      </c>
      <c r="I34" s="1465" t="s">
        <v>1973</v>
      </c>
      <c r="J34" s="52" t="s">
        <v>290</v>
      </c>
      <c r="K34" s="1465" t="s">
        <v>1973</v>
      </c>
      <c r="L34" s="52" t="s">
        <v>277</v>
      </c>
      <c r="M34" s="1465" t="s">
        <v>1126</v>
      </c>
      <c r="N34" s="67" t="s">
        <v>1192</v>
      </c>
      <c r="O34" s="1467" t="s">
        <v>1211</v>
      </c>
      <c r="P34" s="52" t="s">
        <v>299</v>
      </c>
      <c r="Q34" s="1465" t="s">
        <v>1114</v>
      </c>
      <c r="R34" s="52" t="s">
        <v>299</v>
      </c>
      <c r="S34" s="1465" t="s">
        <v>1114</v>
      </c>
      <c r="T34" s="52" t="s">
        <v>286</v>
      </c>
      <c r="U34" s="1465" t="s">
        <v>1126</v>
      </c>
      <c r="V34" s="52" t="s">
        <v>300</v>
      </c>
      <c r="W34" s="1465" t="s">
        <v>1121</v>
      </c>
      <c r="X34" s="52"/>
      <c r="Y34" s="1465"/>
      <c r="Z34" s="52" t="s">
        <v>300</v>
      </c>
      <c r="AA34" s="1465" t="s">
        <v>1121</v>
      </c>
      <c r="AB34" s="65"/>
      <c r="AC34" s="1466"/>
      <c r="AD34" s="52"/>
      <c r="AE34" s="1465"/>
      <c r="AF34" s="65" t="s">
        <v>266</v>
      </c>
      <c r="AG34" s="1466" t="s">
        <v>1120</v>
      </c>
      <c r="AH34" s="65"/>
      <c r="AI34" s="1478"/>
      <c r="AJ34" s="52"/>
      <c r="AK34" s="64" t="s">
        <v>95</v>
      </c>
      <c r="AL34" s="53">
        <v>9</v>
      </c>
      <c r="BM34" t="s">
        <v>269</v>
      </c>
    </row>
    <row r="35" spans="3:71">
      <c r="C35" s="1464" t="s">
        <v>95</v>
      </c>
      <c r="D35" s="52" t="s">
        <v>275</v>
      </c>
      <c r="E35" s="1465" t="s">
        <v>1121</v>
      </c>
      <c r="F35" s="52" t="s">
        <v>99</v>
      </c>
      <c r="G35" s="1465" t="s">
        <v>1121</v>
      </c>
      <c r="H35" s="52" t="s">
        <v>99</v>
      </c>
      <c r="I35" s="1465" t="s">
        <v>1121</v>
      </c>
      <c r="J35" s="52" t="s">
        <v>296</v>
      </c>
      <c r="K35" s="1465" t="s">
        <v>1114</v>
      </c>
      <c r="L35" s="52" t="s">
        <v>296</v>
      </c>
      <c r="M35" s="1465" t="s">
        <v>1114</v>
      </c>
      <c r="N35" s="52" t="s">
        <v>270</v>
      </c>
      <c r="O35" s="1465" t="s">
        <v>1115</v>
      </c>
      <c r="P35" s="52" t="s">
        <v>286</v>
      </c>
      <c r="Q35" s="1465" t="s">
        <v>1126</v>
      </c>
      <c r="R35" s="52" t="s">
        <v>297</v>
      </c>
      <c r="S35" s="1465" t="s">
        <v>1125</v>
      </c>
      <c r="T35" s="52" t="s">
        <v>278</v>
      </c>
      <c r="U35" s="1465" t="s">
        <v>1118</v>
      </c>
      <c r="V35" s="52" t="s">
        <v>278</v>
      </c>
      <c r="W35" s="1465" t="s">
        <v>1118</v>
      </c>
      <c r="X35" s="52"/>
      <c r="Y35" s="1465"/>
      <c r="Z35" s="67" t="s">
        <v>295</v>
      </c>
      <c r="AA35" s="1467" t="s">
        <v>1119</v>
      </c>
      <c r="AB35" s="65"/>
      <c r="AC35" s="1466"/>
      <c r="AD35" s="52"/>
      <c r="AE35" s="1465"/>
      <c r="AF35" s="65" t="s">
        <v>266</v>
      </c>
      <c r="AG35" s="1466" t="s">
        <v>1120</v>
      </c>
      <c r="AH35" s="65"/>
      <c r="AI35" s="1478"/>
      <c r="AJ35" s="52"/>
      <c r="AK35" s="64" t="s">
        <v>85</v>
      </c>
      <c r="AL35" s="53">
        <v>10</v>
      </c>
      <c r="BD35" s="64" t="s">
        <v>144</v>
      </c>
      <c r="BE35" t="s">
        <v>1155</v>
      </c>
      <c r="BF35" t="s">
        <v>294</v>
      </c>
      <c r="BG35" t="s">
        <v>294</v>
      </c>
      <c r="BH35" t="s">
        <v>290</v>
      </c>
      <c r="BI35" t="s">
        <v>290</v>
      </c>
      <c r="BJ35" t="s">
        <v>1162</v>
      </c>
      <c r="BK35" t="s">
        <v>1162</v>
      </c>
      <c r="BL35" t="s">
        <v>1163</v>
      </c>
      <c r="BM35" t="s">
        <v>277</v>
      </c>
      <c r="BN35" t="s">
        <v>287</v>
      </c>
      <c r="BO35" t="s">
        <v>286</v>
      </c>
      <c r="BP35" t="s">
        <v>266</v>
      </c>
      <c r="BS35" cm="1">
        <f t="array" ref="BS35">SUMPRODUCT(1/COUNTIFS(BE35:BP35,BE35:BP35))+COUNTA(BE36:BQ36)-1</f>
        <v>10</v>
      </c>
    </row>
    <row r="36" spans="3:71" ht="31.5">
      <c r="C36" s="1464" t="s">
        <v>85</v>
      </c>
      <c r="D36" s="52" t="s">
        <v>291</v>
      </c>
      <c r="E36" s="1465" t="s">
        <v>1120</v>
      </c>
      <c r="F36" s="52" t="s">
        <v>273</v>
      </c>
      <c r="G36" s="1465" t="s">
        <v>1121</v>
      </c>
      <c r="H36" s="52" t="s">
        <v>273</v>
      </c>
      <c r="I36" s="1465" t="s">
        <v>1121</v>
      </c>
      <c r="J36" s="67" t="s">
        <v>1190</v>
      </c>
      <c r="K36" s="1467" t="s">
        <v>1191</v>
      </c>
      <c r="L36" s="52" t="s">
        <v>270</v>
      </c>
      <c r="M36" s="1465" t="s">
        <v>1115</v>
      </c>
      <c r="N36" s="52" t="s">
        <v>292</v>
      </c>
      <c r="O36" s="1465" t="s">
        <v>1170</v>
      </c>
      <c r="P36" s="52" t="s">
        <v>293</v>
      </c>
      <c r="Q36" s="1465" t="s">
        <v>1170</v>
      </c>
      <c r="R36" s="52" t="s">
        <v>283</v>
      </c>
      <c r="S36" s="1465" t="s">
        <v>1132</v>
      </c>
      <c r="T36" s="52" t="s">
        <v>294</v>
      </c>
      <c r="U36" s="1465" t="s">
        <v>1973</v>
      </c>
      <c r="V36" s="52" t="s">
        <v>294</v>
      </c>
      <c r="W36" s="1465" t="s">
        <v>1973</v>
      </c>
      <c r="X36" s="52"/>
      <c r="Y36" s="1465"/>
      <c r="Z36" s="52" t="s">
        <v>295</v>
      </c>
      <c r="AA36" s="1465" t="s">
        <v>1119</v>
      </c>
      <c r="AB36" s="65"/>
      <c r="AC36" s="1466"/>
      <c r="AD36" s="52"/>
      <c r="AE36" s="1465"/>
      <c r="AF36" s="65" t="s">
        <v>266</v>
      </c>
      <c r="AG36" s="1466" t="s">
        <v>1120</v>
      </c>
      <c r="AH36" s="65"/>
      <c r="AI36" s="1478"/>
      <c r="AJ36" s="52"/>
      <c r="AK36" s="64" t="s">
        <v>66</v>
      </c>
      <c r="AL36">
        <v>9</v>
      </c>
      <c r="BM36" t="s">
        <v>287</v>
      </c>
      <c r="BO36" t="s">
        <v>1140</v>
      </c>
    </row>
    <row r="37" spans="3:71" ht="18" customHeight="1">
      <c r="C37" s="1464" t="s">
        <v>66</v>
      </c>
      <c r="D37" s="52" t="s">
        <v>1140</v>
      </c>
      <c r="E37" s="1465" t="s">
        <v>1141</v>
      </c>
      <c r="F37" s="52" t="s">
        <v>275</v>
      </c>
      <c r="G37" s="1465" t="s">
        <v>1121</v>
      </c>
      <c r="H37" s="52" t="s">
        <v>314</v>
      </c>
      <c r="I37" s="1465" t="s">
        <v>1131</v>
      </c>
      <c r="J37" s="52" t="s">
        <v>314</v>
      </c>
      <c r="K37" s="1465" t="s">
        <v>1131</v>
      </c>
      <c r="L37" s="52" t="s">
        <v>306</v>
      </c>
      <c r="M37" s="1465" t="s">
        <v>1134</v>
      </c>
      <c r="N37" s="52" t="s">
        <v>304</v>
      </c>
      <c r="O37" s="1465" t="s">
        <v>1143</v>
      </c>
      <c r="P37" s="52" t="s">
        <v>304</v>
      </c>
      <c r="Q37" s="1465" t="s">
        <v>1143</v>
      </c>
      <c r="R37" s="52" t="s">
        <v>271</v>
      </c>
      <c r="S37" s="1465" t="s">
        <v>1143</v>
      </c>
      <c r="T37" s="52" t="s">
        <v>281</v>
      </c>
      <c r="U37" s="1465" t="s">
        <v>1973</v>
      </c>
      <c r="V37" s="52" t="s">
        <v>281</v>
      </c>
      <c r="W37" s="1465" t="s">
        <v>1973</v>
      </c>
      <c r="X37" s="52"/>
      <c r="Y37" s="1465"/>
      <c r="Z37" s="52" t="s">
        <v>320</v>
      </c>
      <c r="AA37" s="1465" t="s">
        <v>1119</v>
      </c>
      <c r="AB37" s="65"/>
      <c r="AC37" s="1466"/>
      <c r="AD37" s="52"/>
      <c r="AE37" s="1465"/>
      <c r="AF37" s="65" t="s">
        <v>266</v>
      </c>
      <c r="AG37" s="1466" t="s">
        <v>1120</v>
      </c>
      <c r="AH37" s="65"/>
      <c r="AI37" s="1478"/>
      <c r="AJ37" s="52"/>
      <c r="AK37" s="64" t="s">
        <v>65</v>
      </c>
      <c r="AL37">
        <v>10</v>
      </c>
      <c r="BD37" s="64" t="s">
        <v>145</v>
      </c>
      <c r="BE37" t="s">
        <v>99</v>
      </c>
      <c r="BF37" t="s">
        <v>99</v>
      </c>
      <c r="BG37" t="s">
        <v>276</v>
      </c>
      <c r="BH37" t="s">
        <v>304</v>
      </c>
      <c r="BI37" t="s">
        <v>315</v>
      </c>
      <c r="BJ37" t="s">
        <v>316</v>
      </c>
      <c r="BK37" t="s">
        <v>314</v>
      </c>
      <c r="BL37" t="s">
        <v>314</v>
      </c>
      <c r="BM37" t="s">
        <v>278</v>
      </c>
      <c r="BN37" t="s">
        <v>278</v>
      </c>
      <c r="BO37" t="s">
        <v>279</v>
      </c>
      <c r="BP37" t="s">
        <v>266</v>
      </c>
      <c r="BS37" cm="1">
        <f t="array" ref="BS37">SUMPRODUCT(1/COUNTIFS(BE37:BP37,BE37:BP37))+COUNTA(BE38:BQ38)</f>
        <v>10</v>
      </c>
    </row>
    <row r="38" spans="3:71" ht="18" customHeight="1">
      <c r="C38" s="1464" t="s">
        <v>65</v>
      </c>
      <c r="D38" s="52" t="s">
        <v>162</v>
      </c>
      <c r="E38" s="1465" t="s">
        <v>1115</v>
      </c>
      <c r="F38" s="52" t="s">
        <v>287</v>
      </c>
      <c r="G38" s="1465" t="s">
        <v>1126</v>
      </c>
      <c r="H38" s="52" t="s">
        <v>1124</v>
      </c>
      <c r="I38" s="1465" t="s">
        <v>1117</v>
      </c>
      <c r="J38" s="52" t="s">
        <v>270</v>
      </c>
      <c r="K38" s="1465" t="s">
        <v>1115</v>
      </c>
      <c r="L38" s="52" t="s">
        <v>270</v>
      </c>
      <c r="M38" s="1465" t="s">
        <v>1115</v>
      </c>
      <c r="N38" s="52" t="s">
        <v>288</v>
      </c>
      <c r="O38" s="1465" t="s">
        <v>1126</v>
      </c>
      <c r="P38" s="52" t="s">
        <v>1171</v>
      </c>
      <c r="Q38" s="1465" t="s">
        <v>1114</v>
      </c>
      <c r="R38" s="52" t="s">
        <v>1171</v>
      </c>
      <c r="S38" s="1465" t="s">
        <v>1114</v>
      </c>
      <c r="T38" s="52" t="s">
        <v>289</v>
      </c>
      <c r="U38" s="1465" t="s">
        <v>1132</v>
      </c>
      <c r="V38" s="52" t="s">
        <v>290</v>
      </c>
      <c r="W38" s="1465" t="s">
        <v>1973</v>
      </c>
      <c r="X38" s="52"/>
      <c r="Y38" s="1465"/>
      <c r="Z38" s="52" t="s">
        <v>295</v>
      </c>
      <c r="AA38" s="1465" t="s">
        <v>1119</v>
      </c>
      <c r="AB38" s="65"/>
      <c r="AC38" s="1466"/>
      <c r="AD38" s="52"/>
      <c r="AE38" s="1465"/>
      <c r="AF38" s="65" t="s">
        <v>266</v>
      </c>
      <c r="AG38" s="1466" t="s">
        <v>1120</v>
      </c>
      <c r="AH38" s="65"/>
      <c r="AI38" s="1478"/>
      <c r="AJ38" s="52"/>
      <c r="AK38" s="64" t="s">
        <v>60</v>
      </c>
      <c r="AL38">
        <v>10</v>
      </c>
      <c r="BI38" t="s">
        <v>277</v>
      </c>
    </row>
    <row r="39" spans="3:71" ht="18.95" customHeight="1">
      <c r="C39" s="1464" t="s">
        <v>60</v>
      </c>
      <c r="D39" s="52" t="s">
        <v>279</v>
      </c>
      <c r="E39" s="1465" t="s">
        <v>1119</v>
      </c>
      <c r="F39" s="52" t="s">
        <v>282</v>
      </c>
      <c r="G39" s="1465" t="s">
        <v>1973</v>
      </c>
      <c r="H39" s="52" t="s">
        <v>281</v>
      </c>
      <c r="I39" s="1465" t="s">
        <v>1973</v>
      </c>
      <c r="J39" s="52" t="s">
        <v>281</v>
      </c>
      <c r="K39" s="1465" t="s">
        <v>1973</v>
      </c>
      <c r="L39" s="52" t="s">
        <v>283</v>
      </c>
      <c r="M39" s="1465" t="s">
        <v>1132</v>
      </c>
      <c r="N39" s="52" t="s">
        <v>284</v>
      </c>
      <c r="O39" s="1465" t="s">
        <v>1131</v>
      </c>
      <c r="P39" s="52" t="s">
        <v>269</v>
      </c>
      <c r="Q39" s="1465" t="s">
        <v>1126</v>
      </c>
      <c r="R39" s="52" t="s">
        <v>269</v>
      </c>
      <c r="S39" s="1465" t="s">
        <v>1126</v>
      </c>
      <c r="T39" s="52" t="s">
        <v>285</v>
      </c>
      <c r="U39" s="1465" t="s">
        <v>1143</v>
      </c>
      <c r="V39" s="52" t="s">
        <v>286</v>
      </c>
      <c r="W39" s="1465" t="s">
        <v>1126</v>
      </c>
      <c r="X39" s="52"/>
      <c r="Y39" s="1465"/>
      <c r="Z39" s="52" t="s">
        <v>267</v>
      </c>
      <c r="AA39" s="1465" t="s">
        <v>1115</v>
      </c>
      <c r="AB39" s="65"/>
      <c r="AC39" s="1466"/>
      <c r="AD39" s="52"/>
      <c r="AE39" s="1465"/>
      <c r="AF39" s="65" t="s">
        <v>266</v>
      </c>
      <c r="AG39" s="1466" t="s">
        <v>1120</v>
      </c>
      <c r="AH39" s="65"/>
      <c r="AI39" s="1478"/>
      <c r="AJ39" s="52"/>
      <c r="AK39" s="64" t="s">
        <v>35</v>
      </c>
      <c r="AL39">
        <v>11</v>
      </c>
      <c r="BD39" s="64" t="s">
        <v>146</v>
      </c>
      <c r="BE39" t="s">
        <v>295</v>
      </c>
      <c r="BF39" t="s">
        <v>294</v>
      </c>
      <c r="BG39" t="s">
        <v>294</v>
      </c>
      <c r="BH39" t="s">
        <v>313</v>
      </c>
      <c r="BI39" t="s">
        <v>313</v>
      </c>
      <c r="BJ39" t="s">
        <v>1138</v>
      </c>
      <c r="BK39" t="s">
        <v>265</v>
      </c>
      <c r="BL39" t="s">
        <v>265</v>
      </c>
      <c r="BM39" t="s">
        <v>286</v>
      </c>
      <c r="BN39" t="s">
        <v>1148</v>
      </c>
      <c r="BO39" t="s">
        <v>270</v>
      </c>
      <c r="BP39" t="s">
        <v>266</v>
      </c>
      <c r="BS39" cm="1">
        <f t="array" ref="BS39">SUMPRODUCT(1/COUNTIFS(BE39:BP39,BE39:BP39))</f>
        <v>9</v>
      </c>
    </row>
    <row r="40" spans="3:71" ht="20.100000000000001" customHeight="1">
      <c r="C40" s="1464" t="s">
        <v>35</v>
      </c>
      <c r="D40" s="52" t="s">
        <v>1172</v>
      </c>
      <c r="E40" s="1465" t="s">
        <v>1166</v>
      </c>
      <c r="F40" s="52" t="s">
        <v>273</v>
      </c>
      <c r="G40" s="1465" t="s">
        <v>1121</v>
      </c>
      <c r="H40" s="52" t="s">
        <v>275</v>
      </c>
      <c r="I40" s="1465" t="s">
        <v>1121</v>
      </c>
      <c r="J40" s="52" t="s">
        <v>276</v>
      </c>
      <c r="K40" s="1465" t="s">
        <v>1121</v>
      </c>
      <c r="L40" s="52" t="s">
        <v>270</v>
      </c>
      <c r="M40" s="1465" t="s">
        <v>1115</v>
      </c>
      <c r="N40" s="52" t="s">
        <v>277</v>
      </c>
      <c r="O40" s="1465" t="s">
        <v>1126</v>
      </c>
      <c r="P40" s="52" t="s">
        <v>1157</v>
      </c>
      <c r="Q40" s="1465" t="s">
        <v>1158</v>
      </c>
      <c r="R40" s="52" t="s">
        <v>278</v>
      </c>
      <c r="S40" s="1465" t="s">
        <v>1118</v>
      </c>
      <c r="T40" s="52" t="s">
        <v>280</v>
      </c>
      <c r="U40" s="1465" t="s">
        <v>1973</v>
      </c>
      <c r="V40" s="52" t="s">
        <v>1133</v>
      </c>
      <c r="W40" s="1465" t="s">
        <v>1973</v>
      </c>
      <c r="X40" s="52"/>
      <c r="Y40" s="1465"/>
      <c r="Z40" s="52"/>
      <c r="AA40" s="1465"/>
      <c r="AB40" s="65" t="s">
        <v>266</v>
      </c>
      <c r="AC40" s="1466" t="s">
        <v>1120</v>
      </c>
      <c r="AD40" s="52"/>
      <c r="AE40" s="1465"/>
      <c r="AF40" s="65"/>
      <c r="AG40" s="1466"/>
      <c r="AH40" s="65"/>
      <c r="AI40" s="1478"/>
      <c r="AJ40" s="52"/>
      <c r="AK40" s="64" t="s">
        <v>11</v>
      </c>
      <c r="AL40">
        <v>7</v>
      </c>
      <c r="BD40" s="64" t="s">
        <v>147</v>
      </c>
      <c r="BE40" t="s">
        <v>1164</v>
      </c>
      <c r="BF40" t="s">
        <v>1164</v>
      </c>
      <c r="BG40" t="s">
        <v>309</v>
      </c>
      <c r="BH40" t="s">
        <v>294</v>
      </c>
      <c r="BI40" t="s">
        <v>281</v>
      </c>
      <c r="BJ40" t="s">
        <v>312</v>
      </c>
      <c r="BK40" t="s">
        <v>312</v>
      </c>
      <c r="BL40" t="s">
        <v>269</v>
      </c>
      <c r="BM40" t="s">
        <v>277</v>
      </c>
      <c r="BN40" t="s">
        <v>268</v>
      </c>
      <c r="BO40" t="s">
        <v>1165</v>
      </c>
      <c r="BP40" s="422" t="s">
        <v>1219</v>
      </c>
      <c r="BS40" cm="1">
        <f t="array" ref="BS40">SUMPRODUCT(1/COUNTIFS(BE40:BP40,BE40:BP40))+COUNTA(BE41:BQ41)</f>
        <v>12</v>
      </c>
    </row>
    <row r="41" spans="3:71" ht="18.95" customHeight="1">
      <c r="C41" s="1464" t="s">
        <v>11</v>
      </c>
      <c r="D41" s="52" t="s">
        <v>267</v>
      </c>
      <c r="E41" s="1465" t="s">
        <v>1115</v>
      </c>
      <c r="F41" s="52" t="s">
        <v>267</v>
      </c>
      <c r="G41" s="1465" t="s">
        <v>1115</v>
      </c>
      <c r="H41" s="52" t="s">
        <v>268</v>
      </c>
      <c r="I41" s="1465" t="s">
        <v>1115</v>
      </c>
      <c r="J41" s="52" t="s">
        <v>269</v>
      </c>
      <c r="K41" s="1465" t="s">
        <v>1126</v>
      </c>
      <c r="L41" s="52" t="s">
        <v>269</v>
      </c>
      <c r="M41" s="1465" t="s">
        <v>1126</v>
      </c>
      <c r="N41" s="52" t="s">
        <v>270</v>
      </c>
      <c r="O41" s="1465" t="s">
        <v>1115</v>
      </c>
      <c r="P41" s="52" t="s">
        <v>270</v>
      </c>
      <c r="Q41" s="1465" t="s">
        <v>1115</v>
      </c>
      <c r="R41" s="52" t="s">
        <v>271</v>
      </c>
      <c r="S41" s="1465" t="s">
        <v>1143</v>
      </c>
      <c r="T41" s="52" t="s">
        <v>271</v>
      </c>
      <c r="U41" s="1465" t="s">
        <v>1143</v>
      </c>
      <c r="V41" s="52" t="s">
        <v>272</v>
      </c>
      <c r="W41" s="1465" t="s">
        <v>1115</v>
      </c>
      <c r="X41" s="52"/>
      <c r="Y41" s="1465"/>
      <c r="Z41" s="52"/>
      <c r="AA41" s="1465"/>
      <c r="AB41" s="65" t="s">
        <v>266</v>
      </c>
      <c r="AC41" s="1466" t="s">
        <v>1120</v>
      </c>
      <c r="AD41" s="52"/>
      <c r="AE41" s="1465"/>
      <c r="AF41" s="65"/>
      <c r="AG41" s="1466"/>
      <c r="AH41" s="65"/>
      <c r="AI41" s="1478"/>
      <c r="AJ41" s="52"/>
      <c r="AK41" s="64" t="s">
        <v>198</v>
      </c>
      <c r="AL41">
        <v>8</v>
      </c>
      <c r="BM41" t="s">
        <v>287</v>
      </c>
      <c r="BP41" t="s">
        <v>266</v>
      </c>
    </row>
    <row r="42" spans="3:71" ht="18" customHeight="1">
      <c r="C42" s="1464" t="s">
        <v>198</v>
      </c>
      <c r="D42" s="52" t="s">
        <v>277</v>
      </c>
      <c r="E42" s="1465" t="s">
        <v>1126</v>
      </c>
      <c r="F42" s="52" t="s">
        <v>315</v>
      </c>
      <c r="G42" s="1465" t="s">
        <v>1126</v>
      </c>
      <c r="H42" s="52" t="s">
        <v>304</v>
      </c>
      <c r="I42" s="1465" t="s">
        <v>1143</v>
      </c>
      <c r="J42" s="52" t="s">
        <v>321</v>
      </c>
      <c r="K42" s="1465" t="s">
        <v>1132</v>
      </c>
      <c r="L42" s="52" t="s">
        <v>321</v>
      </c>
      <c r="M42" s="1465" t="s">
        <v>1132</v>
      </c>
      <c r="N42" s="52" t="s">
        <v>270</v>
      </c>
      <c r="O42" s="1465" t="s">
        <v>1115</v>
      </c>
      <c r="P42" s="52" t="s">
        <v>270</v>
      </c>
      <c r="Q42" s="1465" t="s">
        <v>1115</v>
      </c>
      <c r="R42" s="52" t="s">
        <v>1148</v>
      </c>
      <c r="S42" s="1465" t="s">
        <v>1115</v>
      </c>
      <c r="T42" s="52" t="s">
        <v>162</v>
      </c>
      <c r="U42" s="1465" t="s">
        <v>1115</v>
      </c>
      <c r="V42" s="52"/>
      <c r="W42" s="1467"/>
      <c r="X42" s="65" t="s">
        <v>266</v>
      </c>
      <c r="Y42" s="1466" t="s">
        <v>1120</v>
      </c>
      <c r="Z42" s="52"/>
      <c r="AA42" s="1465"/>
      <c r="AB42" s="65"/>
      <c r="AC42" s="1466"/>
      <c r="AD42" s="52"/>
      <c r="AE42" s="1465"/>
      <c r="AF42" s="65"/>
      <c r="AG42" s="1466"/>
      <c r="AH42" s="65"/>
      <c r="AI42" s="1478"/>
      <c r="AJ42" s="52"/>
      <c r="AK42" s="64" t="s">
        <v>184</v>
      </c>
      <c r="AL42">
        <v>8</v>
      </c>
      <c r="BD42" s="64" t="s">
        <v>148</v>
      </c>
      <c r="BE42" t="s">
        <v>305</v>
      </c>
      <c r="BF42" t="s">
        <v>305</v>
      </c>
      <c r="BG42" t="s">
        <v>272</v>
      </c>
      <c r="BH42" t="s">
        <v>306</v>
      </c>
      <c r="BI42" t="s">
        <v>306</v>
      </c>
      <c r="BJ42" t="s">
        <v>315</v>
      </c>
      <c r="BK42" t="s">
        <v>283</v>
      </c>
      <c r="BL42" t="s">
        <v>283</v>
      </c>
      <c r="BM42" t="s">
        <v>294</v>
      </c>
      <c r="BN42" t="s">
        <v>294</v>
      </c>
      <c r="BO42" t="s">
        <v>279</v>
      </c>
      <c r="BP42" t="s">
        <v>266</v>
      </c>
      <c r="BS42" cm="1">
        <f t="array" ref="BS42">SUMPRODUCT(1/COUNTIFS(BE42:BP42,BE42:BP42))</f>
        <v>8</v>
      </c>
    </row>
    <row r="43" spans="3:71">
      <c r="C43" s="1464" t="s">
        <v>184</v>
      </c>
      <c r="D43" s="52" t="s">
        <v>290</v>
      </c>
      <c r="E43" s="1465" t="s">
        <v>1973</v>
      </c>
      <c r="F43" s="52" t="s">
        <v>290</v>
      </c>
      <c r="G43" s="1465" t="s">
        <v>1973</v>
      </c>
      <c r="H43" s="52" t="s">
        <v>281</v>
      </c>
      <c r="I43" s="1465" t="s">
        <v>1973</v>
      </c>
      <c r="J43" s="52" t="s">
        <v>281</v>
      </c>
      <c r="K43" s="1465" t="s">
        <v>1973</v>
      </c>
      <c r="L43" s="52" t="s">
        <v>278</v>
      </c>
      <c r="M43" s="1465" t="s">
        <v>1118</v>
      </c>
      <c r="N43" s="52" t="s">
        <v>278</v>
      </c>
      <c r="O43" s="1465" t="s">
        <v>1118</v>
      </c>
      <c r="P43" s="52" t="s">
        <v>277</v>
      </c>
      <c r="Q43" s="1465" t="s">
        <v>1126</v>
      </c>
      <c r="R43" s="52" t="s">
        <v>1293</v>
      </c>
      <c r="S43" s="1465" t="s">
        <v>1126</v>
      </c>
      <c r="T43" s="52" t="s">
        <v>1293</v>
      </c>
      <c r="U43" s="1465" t="s">
        <v>1126</v>
      </c>
      <c r="V43" s="52" t="s">
        <v>1135</v>
      </c>
      <c r="W43" s="1465" t="s">
        <v>1134</v>
      </c>
      <c r="X43" s="52"/>
      <c r="Y43" s="1465"/>
      <c r="Z43" s="52" t="s">
        <v>1151</v>
      </c>
      <c r="AA43" s="1465" t="s">
        <v>1115</v>
      </c>
      <c r="AB43" s="65"/>
      <c r="AC43" s="1466"/>
      <c r="AD43" s="52"/>
      <c r="AE43" s="1465"/>
      <c r="AF43" s="65" t="s">
        <v>266</v>
      </c>
      <c r="AG43" s="1466" t="s">
        <v>1120</v>
      </c>
      <c r="AH43" s="65"/>
      <c r="AI43" s="1478"/>
      <c r="AJ43" s="52"/>
      <c r="AK43" s="64" t="s">
        <v>563</v>
      </c>
      <c r="AL43" s="53">
        <v>8</v>
      </c>
      <c r="BD43" s="64" t="s">
        <v>125</v>
      </c>
      <c r="BE43" t="s">
        <v>295</v>
      </c>
      <c r="BF43" t="s">
        <v>295</v>
      </c>
      <c r="BG43" t="s">
        <v>1128</v>
      </c>
      <c r="BH43" t="s">
        <v>1128</v>
      </c>
      <c r="BI43" t="s">
        <v>303</v>
      </c>
      <c r="BJ43" t="s">
        <v>303</v>
      </c>
      <c r="BK43" t="s">
        <v>304</v>
      </c>
      <c r="BL43" t="s">
        <v>304</v>
      </c>
      <c r="BM43" t="s">
        <v>269</v>
      </c>
      <c r="BN43" t="s">
        <v>1148</v>
      </c>
      <c r="BO43" t="s">
        <v>267</v>
      </c>
      <c r="BP43" t="s">
        <v>266</v>
      </c>
      <c r="BS43" cm="1">
        <f t="array" ref="BS43">SUMPRODUCT(1/COUNTIFS(BE43:BP43,BE43:BP43))+COUNTA(BE44:BQ44)</f>
        <v>9</v>
      </c>
    </row>
    <row r="44" spans="3:71" ht="20.100000000000001" customHeight="1">
      <c r="C44" s="1464" t="s">
        <v>563</v>
      </c>
      <c r="D44" s="52" t="s">
        <v>291</v>
      </c>
      <c r="E44" s="1465" t="s">
        <v>1120</v>
      </c>
      <c r="F44" s="52" t="s">
        <v>291</v>
      </c>
      <c r="G44" s="1465" t="s">
        <v>1120</v>
      </c>
      <c r="H44" s="52" t="s">
        <v>273</v>
      </c>
      <c r="I44" s="1465" t="s">
        <v>1121</v>
      </c>
      <c r="J44" s="52" t="s">
        <v>273</v>
      </c>
      <c r="K44" s="1465" t="s">
        <v>1121</v>
      </c>
      <c r="L44" s="52" t="s">
        <v>305</v>
      </c>
      <c r="M44" s="1465" t="s">
        <v>1121</v>
      </c>
      <c r="N44" s="52" t="s">
        <v>99</v>
      </c>
      <c r="O44" s="1465" t="s">
        <v>1121</v>
      </c>
      <c r="P44" s="52" t="s">
        <v>1129</v>
      </c>
      <c r="Q44" s="1465" t="s">
        <v>1121</v>
      </c>
      <c r="R44" s="52" t="s">
        <v>1235</v>
      </c>
      <c r="S44" s="1465" t="s">
        <v>1166</v>
      </c>
      <c r="T44" s="52" t="s">
        <v>1236</v>
      </c>
      <c r="U44" s="1465" t="s">
        <v>1166</v>
      </c>
      <c r="V44" s="52" t="s">
        <v>1236</v>
      </c>
      <c r="W44" s="1465" t="s">
        <v>1166</v>
      </c>
      <c r="X44" s="52"/>
      <c r="Y44" s="1465"/>
      <c r="Z44" s="52"/>
      <c r="AA44" s="1465"/>
      <c r="AB44" s="65" t="s">
        <v>266</v>
      </c>
      <c r="AC44" s="1466" t="s">
        <v>1120</v>
      </c>
      <c r="AD44" s="52"/>
      <c r="AE44" s="1465"/>
      <c r="AF44" s="65"/>
      <c r="AG44" s="1466"/>
      <c r="AH44" s="65"/>
      <c r="AI44" s="1478"/>
      <c r="AJ44" s="52"/>
      <c r="AK44" s="64" t="s">
        <v>1742</v>
      </c>
      <c r="AL44" s="53">
        <v>9</v>
      </c>
      <c r="BO44" t="s">
        <v>1205</v>
      </c>
    </row>
    <row r="45" spans="3:71" ht="15.95" customHeight="1">
      <c r="C45" s="1464" t="s">
        <v>1742</v>
      </c>
      <c r="D45" s="52" t="s">
        <v>295</v>
      </c>
      <c r="E45" s="1465" t="s">
        <v>1119</v>
      </c>
      <c r="F45" s="52" t="s">
        <v>279</v>
      </c>
      <c r="G45" s="1465" t="s">
        <v>1119</v>
      </c>
      <c r="H45" s="52" t="s">
        <v>279</v>
      </c>
      <c r="I45" s="1465" t="s">
        <v>1119</v>
      </c>
      <c r="J45" s="52" t="s">
        <v>294</v>
      </c>
      <c r="K45" s="1465" t="s">
        <v>1973</v>
      </c>
      <c r="L45" s="52" t="s">
        <v>294</v>
      </c>
      <c r="M45" s="1465" t="s">
        <v>1973</v>
      </c>
      <c r="N45" s="52" t="s">
        <v>283</v>
      </c>
      <c r="O45" s="1465" t="s">
        <v>1132</v>
      </c>
      <c r="P45" s="52" t="s">
        <v>1976</v>
      </c>
      <c r="Q45" s="1465" t="s">
        <v>1143</v>
      </c>
      <c r="R45" s="52" t="s">
        <v>1976</v>
      </c>
      <c r="S45" s="1465" t="s">
        <v>1143</v>
      </c>
      <c r="T45" s="52" t="s">
        <v>304</v>
      </c>
      <c r="U45" s="1465" t="s">
        <v>1143</v>
      </c>
      <c r="V45" s="52" t="s">
        <v>270</v>
      </c>
      <c r="W45" s="1465" t="s">
        <v>1115</v>
      </c>
      <c r="X45" s="52"/>
      <c r="Y45" s="1465"/>
      <c r="Z45" s="52" t="s">
        <v>272</v>
      </c>
      <c r="AA45" s="1465" t="s">
        <v>1115</v>
      </c>
      <c r="AB45" s="65"/>
      <c r="AC45" s="1466"/>
      <c r="AD45" s="52"/>
      <c r="AE45" s="1465"/>
      <c r="AF45" s="65" t="s">
        <v>266</v>
      </c>
      <c r="AG45" s="1466" t="s">
        <v>1120</v>
      </c>
      <c r="AH45" s="65"/>
      <c r="AI45" s="1478"/>
      <c r="AK45" s="64" t="s">
        <v>2056</v>
      </c>
      <c r="AL45" s="53">
        <v>9</v>
      </c>
      <c r="BD45" s="64" t="s">
        <v>116</v>
      </c>
      <c r="BE45" t="s">
        <v>301</v>
      </c>
      <c r="BF45" t="s">
        <v>267</v>
      </c>
      <c r="BG45" t="s">
        <v>268</v>
      </c>
      <c r="BH45" t="s">
        <v>286</v>
      </c>
      <c r="BI45" t="s">
        <v>1124</v>
      </c>
      <c r="BJ45" t="s">
        <v>1124</v>
      </c>
      <c r="BK45" t="s">
        <v>304</v>
      </c>
      <c r="BL45" t="s">
        <v>122</v>
      </c>
      <c r="BM45" t="s">
        <v>123</v>
      </c>
      <c r="BN45" t="s">
        <v>1133</v>
      </c>
      <c r="BO45" t="s">
        <v>1133</v>
      </c>
      <c r="BP45" t="s">
        <v>266</v>
      </c>
      <c r="BS45" cm="1">
        <f t="array" ref="BS45">SUMPRODUCT(1/COUNTIFS(BE45:BP45,BE45:BP45))+COUNTA(BE46:BQ46)</f>
        <v>11</v>
      </c>
    </row>
    <row r="46" spans="3:71" ht="15.95" customHeight="1" thickBot="1">
      <c r="C46" s="1472" t="s">
        <v>2056</v>
      </c>
      <c r="D46" s="1473" t="s">
        <v>286</v>
      </c>
      <c r="E46" s="1474" t="s">
        <v>1126</v>
      </c>
      <c r="F46" s="1473" t="s">
        <v>2061</v>
      </c>
      <c r="G46" s="1474" t="s">
        <v>1125</v>
      </c>
      <c r="H46" s="1473" t="s">
        <v>2061</v>
      </c>
      <c r="I46" s="1474" t="s">
        <v>1125</v>
      </c>
      <c r="J46" s="1473" t="s">
        <v>1137</v>
      </c>
      <c r="K46" s="1474" t="s">
        <v>1126</v>
      </c>
      <c r="L46" s="1473" t="s">
        <v>285</v>
      </c>
      <c r="M46" s="1474" t="s">
        <v>1143</v>
      </c>
      <c r="N46" s="1473" t="s">
        <v>285</v>
      </c>
      <c r="O46" s="1474" t="s">
        <v>1143</v>
      </c>
      <c r="P46" s="1473" t="s">
        <v>1216</v>
      </c>
      <c r="Q46" s="1474" t="s">
        <v>1125</v>
      </c>
      <c r="R46" s="1473" t="s">
        <v>1216</v>
      </c>
      <c r="S46" s="1474" t="s">
        <v>1125</v>
      </c>
      <c r="T46" s="1473" t="s">
        <v>271</v>
      </c>
      <c r="U46" s="1474" t="s">
        <v>1143</v>
      </c>
      <c r="V46" s="1473" t="s">
        <v>304</v>
      </c>
      <c r="W46" s="1474" t="s">
        <v>1143</v>
      </c>
      <c r="X46" s="1473"/>
      <c r="Y46" s="1474"/>
      <c r="Z46" s="1473" t="s">
        <v>270</v>
      </c>
      <c r="AA46" s="1474" t="s">
        <v>1115</v>
      </c>
      <c r="AB46" s="1475"/>
      <c r="AC46" s="1476"/>
      <c r="AD46" s="1473"/>
      <c r="AE46" s="1474"/>
      <c r="AF46" s="1475" t="s">
        <v>266</v>
      </c>
      <c r="AG46" s="1476" t="s">
        <v>1120</v>
      </c>
      <c r="AH46" s="1475"/>
      <c r="AI46" s="1480"/>
      <c r="BH46" t="s">
        <v>1135</v>
      </c>
    </row>
    <row r="47" spans="3:71" ht="15.95" customHeight="1">
      <c r="C47" s="54"/>
      <c r="D47" s="47"/>
      <c r="BD47" s="64" t="s">
        <v>104</v>
      </c>
      <c r="BE47" t="s">
        <v>279</v>
      </c>
      <c r="BF47" t="s">
        <v>279</v>
      </c>
      <c r="BG47" t="s">
        <v>290</v>
      </c>
      <c r="BH47" t="s">
        <v>290</v>
      </c>
      <c r="BI47" t="s">
        <v>277</v>
      </c>
      <c r="BJ47" t="s">
        <v>270</v>
      </c>
      <c r="BK47" t="s">
        <v>299</v>
      </c>
      <c r="BL47" t="s">
        <v>299</v>
      </c>
      <c r="BM47" t="s">
        <v>286</v>
      </c>
      <c r="BN47" t="s">
        <v>300</v>
      </c>
      <c r="BO47" t="s">
        <v>300</v>
      </c>
      <c r="BP47" t="s">
        <v>266</v>
      </c>
      <c r="BS47" cm="1">
        <f t="array" ref="BS47">SUMPRODUCT(1/COUNTIFS(BE47:BP47,BE47:BP47))+COUNTA(BE48:BQ48)</f>
        <v>9</v>
      </c>
    </row>
    <row r="48" spans="3:71" ht="15.95" customHeight="1">
      <c r="C48" s="54" t="s">
        <v>2060</v>
      </c>
      <c r="D48" s="47"/>
      <c r="BJ48" t="s">
        <v>298</v>
      </c>
    </row>
    <row r="49" spans="3:71" ht="15.95" customHeight="1">
      <c r="C49" s="54"/>
      <c r="D49" s="47"/>
      <c r="BD49" s="64" t="s">
        <v>95</v>
      </c>
      <c r="BE49" t="s">
        <v>275</v>
      </c>
      <c r="BF49" t="s">
        <v>99</v>
      </c>
      <c r="BG49" t="s">
        <v>99</v>
      </c>
      <c r="BH49" t="s">
        <v>296</v>
      </c>
      <c r="BI49" t="s">
        <v>296</v>
      </c>
      <c r="BJ49" t="s">
        <v>270</v>
      </c>
      <c r="BK49" t="s">
        <v>286</v>
      </c>
      <c r="BL49" t="s">
        <v>297</v>
      </c>
      <c r="BM49" t="s">
        <v>278</v>
      </c>
      <c r="BN49" t="s">
        <v>278</v>
      </c>
      <c r="BO49" t="s">
        <v>295</v>
      </c>
      <c r="BP49" t="s">
        <v>266</v>
      </c>
      <c r="BS49" cm="1">
        <f t="array" ref="BS49">SUMPRODUCT(1/COUNTIFS(BE49:BP49,BE49:BP49))</f>
        <v>9</v>
      </c>
    </row>
    <row r="50" spans="3:71" ht="15.95" customHeight="1">
      <c r="C50" s="54"/>
      <c r="D50" s="47"/>
      <c r="BA50" s="151"/>
      <c r="BD50" s="64" t="s">
        <v>85</v>
      </c>
      <c r="BE50" t="s">
        <v>291</v>
      </c>
      <c r="BF50" t="s">
        <v>273</v>
      </c>
      <c r="BG50" t="s">
        <v>273</v>
      </c>
      <c r="BH50" t="s">
        <v>269</v>
      </c>
      <c r="BI50" t="s">
        <v>270</v>
      </c>
      <c r="BJ50" t="s">
        <v>292</v>
      </c>
      <c r="BK50" t="s">
        <v>293</v>
      </c>
      <c r="BL50" t="s">
        <v>283</v>
      </c>
      <c r="BM50" t="s">
        <v>294</v>
      </c>
      <c r="BN50" t="s">
        <v>294</v>
      </c>
      <c r="BO50" t="s">
        <v>295</v>
      </c>
      <c r="BP50" t="s">
        <v>266</v>
      </c>
      <c r="BS50" cm="1">
        <f t="array" ref="BS50">SUMPRODUCT(1/COUNTIFS(BE50:BP50,BE50:BP50))+COUNTA(BE51:BQ51)-1</f>
        <v>10</v>
      </c>
    </row>
    <row r="51" spans="3:71" ht="15.95" customHeight="1">
      <c r="C51" s="54"/>
      <c r="AF51" s="152"/>
      <c r="BH51" t="s">
        <v>270</v>
      </c>
    </row>
    <row r="52" spans="3:71" ht="15.95" customHeight="1">
      <c r="C52" s="69" t="s">
        <v>1212</v>
      </c>
      <c r="P52" s="69" t="s">
        <v>1222</v>
      </c>
      <c r="BD52" s="53" t="s">
        <v>66</v>
      </c>
      <c r="BE52" t="s">
        <v>1140</v>
      </c>
      <c r="BF52" t="s">
        <v>275</v>
      </c>
      <c r="BG52" t="s">
        <v>314</v>
      </c>
      <c r="BH52" t="s">
        <v>314</v>
      </c>
      <c r="BI52" t="s">
        <v>306</v>
      </c>
      <c r="BJ52" t="s">
        <v>304</v>
      </c>
      <c r="BK52" t="s">
        <v>304</v>
      </c>
      <c r="BL52" t="s">
        <v>271</v>
      </c>
      <c r="BM52" t="s">
        <v>281</v>
      </c>
      <c r="BN52" t="s">
        <v>281</v>
      </c>
      <c r="BO52" t="s">
        <v>320</v>
      </c>
      <c r="BP52" t="s">
        <v>266</v>
      </c>
      <c r="BS52" cm="1">
        <f t="array" ref="BS52">SUMPRODUCT(1/COUNTIFS(BE52:BP52,BE52:BP52))</f>
        <v>9</v>
      </c>
    </row>
    <row r="53" spans="3:71" ht="15.95" customHeight="1">
      <c r="C53" s="91" t="s">
        <v>1198</v>
      </c>
      <c r="D53" s="87" t="s">
        <v>1201</v>
      </c>
      <c r="E53" s="83" t="s">
        <v>1206</v>
      </c>
      <c r="F53" s="87" t="s">
        <v>1198</v>
      </c>
      <c r="G53" s="91" t="s">
        <v>1201</v>
      </c>
      <c r="H53" s="91" t="s">
        <v>1206</v>
      </c>
      <c r="I53" s="91" t="s">
        <v>1198</v>
      </c>
      <c r="J53" s="87" t="s">
        <v>1201</v>
      </c>
      <c r="K53" s="83" t="s">
        <v>1206</v>
      </c>
      <c r="L53" s="91" t="s">
        <v>1198</v>
      </c>
      <c r="M53" s="87" t="s">
        <v>1201</v>
      </c>
      <c r="N53" s="87" t="s">
        <v>1206</v>
      </c>
      <c r="P53" s="1600" t="s">
        <v>1</v>
      </c>
      <c r="Q53" s="1621"/>
      <c r="R53" s="1692"/>
      <c r="S53" s="1689" t="s">
        <v>2</v>
      </c>
      <c r="T53" s="1690"/>
      <c r="U53" s="1691"/>
      <c r="V53" s="1693" t="s">
        <v>3</v>
      </c>
      <c r="W53" s="1621"/>
      <c r="X53" s="1692"/>
      <c r="Y53" s="1689" t="s">
        <v>4</v>
      </c>
      <c r="Z53" s="1690"/>
      <c r="AA53" s="1691"/>
      <c r="AB53" s="1693" t="s">
        <v>5</v>
      </c>
      <c r="AC53" s="1621"/>
      <c r="AD53" s="1692"/>
      <c r="AE53" s="1689" t="s">
        <v>6</v>
      </c>
      <c r="AF53" s="1690"/>
      <c r="AG53" s="1691"/>
      <c r="AH53" s="534" t="s">
        <v>7</v>
      </c>
      <c r="AI53" s="57"/>
      <c r="AJ53" s="538"/>
      <c r="AK53" s="1689" t="s">
        <v>8</v>
      </c>
      <c r="AL53" s="1690"/>
      <c r="AM53" s="1691"/>
      <c r="AN53" s="1693" t="s">
        <v>9</v>
      </c>
      <c r="AO53" s="1621"/>
      <c r="AP53" s="1692"/>
      <c r="AQ53" s="1689" t="s">
        <v>10</v>
      </c>
      <c r="AR53" s="1690"/>
      <c r="AS53" s="1691"/>
      <c r="AT53" s="1693" t="s">
        <v>36</v>
      </c>
      <c r="AU53" s="1621"/>
      <c r="AV53" s="1692"/>
      <c r="AW53" s="1689" t="s">
        <v>37</v>
      </c>
      <c r="AX53" s="1690"/>
      <c r="AY53" s="1690"/>
      <c r="AZ53" s="1695" t="s">
        <v>1218</v>
      </c>
      <c r="BA53" s="1696"/>
      <c r="BB53" s="1696"/>
      <c r="BD53" s="53" t="s">
        <v>65</v>
      </c>
      <c r="BE53" t="s">
        <v>162</v>
      </c>
      <c r="BF53" t="s">
        <v>287</v>
      </c>
      <c r="BG53" t="s">
        <v>1124</v>
      </c>
      <c r="BH53" t="s">
        <v>270</v>
      </c>
      <c r="BI53" t="s">
        <v>270</v>
      </c>
      <c r="BJ53" t="s">
        <v>288</v>
      </c>
      <c r="BK53" t="s">
        <v>1171</v>
      </c>
      <c r="BL53" t="s">
        <v>1171</v>
      </c>
      <c r="BM53" t="s">
        <v>289</v>
      </c>
      <c r="BN53" t="s">
        <v>290</v>
      </c>
      <c r="BO53" t="s">
        <v>295</v>
      </c>
      <c r="BP53" t="s">
        <v>266</v>
      </c>
      <c r="BS53" cm="1">
        <f t="array" ref="BS53">SUMPRODUCT(1/COUNTIFS(BE53:BP53,BE53:BP53))</f>
        <v>10</v>
      </c>
    </row>
    <row r="54" spans="3:71" ht="15.95" customHeight="1">
      <c r="C54" s="135" t="s">
        <v>1202</v>
      </c>
      <c r="D54" s="138">
        <f>SUM(D55:D59)</f>
        <v>162</v>
      </c>
      <c r="E54" s="136">
        <f>D54/D54</f>
        <v>1</v>
      </c>
      <c r="F54" s="75" t="s">
        <v>1120</v>
      </c>
      <c r="G54" s="92">
        <f>COUNTIF(D9:AI46,"*North America*")+COUNTIF(D9:AI46,"*North America**North America*")</f>
        <v>56</v>
      </c>
      <c r="H54" s="116">
        <f>G54/G54</f>
        <v>1</v>
      </c>
      <c r="I54" s="129" t="s">
        <v>1113</v>
      </c>
      <c r="J54" s="134">
        <f>SUM(J55:J58)</f>
        <v>42</v>
      </c>
      <c r="K54" s="110">
        <f>J54/J54</f>
        <v>1</v>
      </c>
      <c r="L54" s="140" t="s">
        <v>1208</v>
      </c>
      <c r="M54" s="611">
        <f>COUNTIF(D9:AI46,"*Asia*")+COUNTIF(D9:AI46,"*Asia**Asia*")-1</f>
        <v>127</v>
      </c>
      <c r="N54" s="1485">
        <f>M54/M54</f>
        <v>1</v>
      </c>
      <c r="P54" s="83" t="s">
        <v>1213</v>
      </c>
      <c r="Q54" s="83" t="s">
        <v>1214</v>
      </c>
      <c r="R54" s="82" t="s">
        <v>1206</v>
      </c>
      <c r="S54" s="169" t="s">
        <v>1213</v>
      </c>
      <c r="T54" s="170" t="s">
        <v>1214</v>
      </c>
      <c r="U54" s="171" t="s">
        <v>1206</v>
      </c>
      <c r="V54" s="91" t="s">
        <v>1213</v>
      </c>
      <c r="W54" s="83" t="s">
        <v>1214</v>
      </c>
      <c r="X54" s="82" t="s">
        <v>1206</v>
      </c>
      <c r="Y54" s="169" t="s">
        <v>1213</v>
      </c>
      <c r="Z54" s="170" t="s">
        <v>1214</v>
      </c>
      <c r="AA54" s="171" t="s">
        <v>1206</v>
      </c>
      <c r="AB54" s="91" t="s">
        <v>1213</v>
      </c>
      <c r="AC54" s="83" t="s">
        <v>1214</v>
      </c>
      <c r="AD54" s="82" t="s">
        <v>1206</v>
      </c>
      <c r="AE54" s="169" t="s">
        <v>1213</v>
      </c>
      <c r="AF54" s="170" t="s">
        <v>1214</v>
      </c>
      <c r="AG54" s="171" t="s">
        <v>1206</v>
      </c>
      <c r="AH54" s="91" t="s">
        <v>1213</v>
      </c>
      <c r="AI54" s="83" t="s">
        <v>1214</v>
      </c>
      <c r="AJ54" s="82" t="s">
        <v>1206</v>
      </c>
      <c r="AK54" s="169" t="s">
        <v>1213</v>
      </c>
      <c r="AL54" s="170" t="s">
        <v>1214</v>
      </c>
      <c r="AM54" s="171" t="s">
        <v>1206</v>
      </c>
      <c r="AN54" s="91" t="s">
        <v>1213</v>
      </c>
      <c r="AO54" s="83" t="s">
        <v>1214</v>
      </c>
      <c r="AP54" s="82" t="s">
        <v>1206</v>
      </c>
      <c r="AQ54" s="169" t="s">
        <v>1213</v>
      </c>
      <c r="AR54" s="170" t="s">
        <v>1214</v>
      </c>
      <c r="AS54" s="171" t="s">
        <v>1206</v>
      </c>
      <c r="AT54" s="91" t="s">
        <v>1213</v>
      </c>
      <c r="AU54" s="83" t="s">
        <v>1214</v>
      </c>
      <c r="AV54" s="82" t="s">
        <v>1206</v>
      </c>
      <c r="AW54" s="169" t="s">
        <v>1213</v>
      </c>
      <c r="AX54" s="170" t="s">
        <v>1214</v>
      </c>
      <c r="AY54" s="170" t="s">
        <v>1206</v>
      </c>
      <c r="AZ54" s="91" t="s">
        <v>1213</v>
      </c>
      <c r="BA54" s="83" t="s">
        <v>1214</v>
      </c>
      <c r="BB54" s="83" t="s">
        <v>1206</v>
      </c>
      <c r="BD54" s="53" t="s">
        <v>60</v>
      </c>
      <c r="BE54" t="s">
        <v>279</v>
      </c>
      <c r="BF54" t="s">
        <v>282</v>
      </c>
      <c r="BG54" t="s">
        <v>281</v>
      </c>
      <c r="BH54" t="s">
        <v>281</v>
      </c>
      <c r="BI54" t="s">
        <v>283</v>
      </c>
      <c r="BJ54" t="s">
        <v>284</v>
      </c>
      <c r="BK54" t="s">
        <v>269</v>
      </c>
      <c r="BL54" t="s">
        <v>269</v>
      </c>
      <c r="BM54" t="s">
        <v>285</v>
      </c>
      <c r="BN54" t="s">
        <v>286</v>
      </c>
      <c r="BO54" t="s">
        <v>267</v>
      </c>
      <c r="BP54" t="s">
        <v>266</v>
      </c>
      <c r="BS54" cm="1">
        <f t="array" ref="BS54">SUMPRODUCT(1/COUNTIFS(BE54:BP54,BE54:BP54))</f>
        <v>10</v>
      </c>
    </row>
    <row r="55" spans="3:71" ht="15.95" customHeight="1">
      <c r="C55" s="539" t="s">
        <v>1126</v>
      </c>
      <c r="D55" s="138">
        <f>COUNTIF($D$9:$AI$46,"*"&amp;$C55&amp;"*")+COUNTIF($D9:AI$46,"*"&amp;$C55&amp;"*"&amp;$C55&amp;"*")</f>
        <v>52</v>
      </c>
      <c r="E55" s="139">
        <f>D55/$D$54</f>
        <v>0.32098765432098764</v>
      </c>
      <c r="F55" s="73" t="s">
        <v>266</v>
      </c>
      <c r="G55" s="92">
        <f>COUNTIF(D9:AI46, "*USA*")</f>
        <v>49</v>
      </c>
      <c r="H55" s="117">
        <f>G55/G54</f>
        <v>0.875</v>
      </c>
      <c r="I55" s="545" t="s">
        <v>1114</v>
      </c>
      <c r="J55" s="543">
        <f>COUNTIF($D$9:$AI$46,I55)+COUNTIF($D$9:$AI$46,"*Southern Africa*""*Southern Africa*")</f>
        <v>16</v>
      </c>
      <c r="K55" s="547">
        <f>$J55/$J$54</f>
        <v>0.38095238095238093</v>
      </c>
      <c r="L55" s="551" t="s">
        <v>1973</v>
      </c>
      <c r="M55" s="549">
        <f>COUNTIF($D$9:$AI$46,L55)+COUNTIF($D$9:$AI$46,"*South East Asia**South East Asia*")+1</f>
        <v>57</v>
      </c>
      <c r="N55" s="1486">
        <f t="shared" ref="N55:N76" si="0">M55/$M$54</f>
        <v>0.44881889763779526</v>
      </c>
      <c r="P55" s="153" t="s">
        <v>1121</v>
      </c>
      <c r="Q55">
        <f>COUNTIF(E9:E46,"*South America*")+COUNTIF(E9:E46,"*South America**South America*")</f>
        <v>10</v>
      </c>
      <c r="R55" s="146">
        <f>$Q55/COUNTA(E$9:E$46)</f>
        <v>0.26315789473684209</v>
      </c>
      <c r="S55" s="172" t="s">
        <v>1121</v>
      </c>
      <c r="T55" s="62">
        <f>COUNTIF(G9:G46,"*South America*")+COUNTIF(G9:G46,"*South America**South America*")</f>
        <v>13</v>
      </c>
      <c r="U55" s="173">
        <f>$T55/COUNTA(G$9:G$46)</f>
        <v>0.34210526315789475</v>
      </c>
      <c r="V55" s="156" t="s">
        <v>1121</v>
      </c>
      <c r="W55">
        <f>COUNTIF(I9:I46,"*South America*")+COUNTIF(I9:I46,"*South America**South America*")</f>
        <v>10</v>
      </c>
      <c r="X55" s="146">
        <f>$W55/COUNTA(I$9:I$46)</f>
        <v>0.26315789473684209</v>
      </c>
      <c r="Y55" s="178" t="s">
        <v>1973</v>
      </c>
      <c r="Z55" s="537">
        <f>COUNTIF($K$9:$K$46,"*"&amp;$Y55&amp;"*")+COUNTIF($K$9:$K$46,"*"&amp;$Y55&amp;"*"&amp;$Y55&amp;"*")</f>
        <v>9</v>
      </c>
      <c r="AA55" s="173">
        <f>$Z55/COUNTA(K$9:K$46)</f>
        <v>0.23684210526315788</v>
      </c>
      <c r="AB55" s="156" t="s">
        <v>1973</v>
      </c>
      <c r="AC55">
        <f>COUNTIF($M$9:$M$46,"*"&amp;$AB55&amp;"*")+COUNTIF($M$9:$M$46,"*"&amp;$AB55&amp;"*"&amp;$AB55&amp;"*")</f>
        <v>5</v>
      </c>
      <c r="AD55" s="146">
        <f>$AC55/COUNTA(M$9:M$46)</f>
        <v>0.13157894736842105</v>
      </c>
      <c r="AE55" s="178" t="s">
        <v>1115</v>
      </c>
      <c r="AF55" s="62">
        <f t="shared" ref="AF55:AF67" si="1">COUNTIF($O$9:$O$46,"*"&amp;$AE55&amp;"*")+COUNTIF($O$9:$O$46,"*"&amp;$AE55&amp;"*"&amp;$AE55&amp;"*")</f>
        <v>6</v>
      </c>
      <c r="AG55" s="173">
        <f>$AF55/COUNTA(O$9:O$46)</f>
        <v>0.15789473684210525</v>
      </c>
      <c r="AH55" s="160" t="s">
        <v>1126</v>
      </c>
      <c r="AI55">
        <f t="shared" ref="AI55:AI61" si="2">COUNTIF($Q$9:$Q$46,"*"&amp;$AH55&amp;"*")+COUNTIF($Q$9:$Q$46,"*"&amp;$AH55&amp;"*"&amp;$AH55&amp;"*")</f>
        <v>6</v>
      </c>
      <c r="AJ55" s="146">
        <f t="shared" ref="AJ55:AJ68" si="3">$AI55/COUNTA(Q$9:Q$46)</f>
        <v>0.15789473684210525</v>
      </c>
      <c r="AK55" s="172" t="s">
        <v>1126</v>
      </c>
      <c r="AL55" s="62">
        <f t="shared" ref="AL55:AL68" si="4">COUNTIF($S$9:$S$46,"*"&amp;$AK55&amp;"*")+COUNTIF($S$9:$S$46,"*"&amp;$AK55&amp;"*"&amp;$AK55&amp;"*")</f>
        <v>5</v>
      </c>
      <c r="AM55" s="173">
        <f>$AL55/COUNTA(S$9:S$46)</f>
        <v>0.13157894736842105</v>
      </c>
      <c r="AN55" s="160" t="s">
        <v>1126</v>
      </c>
      <c r="AO55">
        <f>COUNTIF($U$9:$U$46,"*"&amp;$AN55&amp;"*")+COUNTIF($U$9:$U$46,"*"&amp;$AN55&amp;"*"&amp;$AN55&amp;"*")</f>
        <v>10</v>
      </c>
      <c r="AP55" s="146">
        <f>$AO55/COUNTA(U$9:U$46)</f>
        <v>0.26315789473684209</v>
      </c>
      <c r="AQ55" s="178" t="s">
        <v>1973</v>
      </c>
      <c r="AR55" s="62">
        <f>COUNTIF($W$9:$W$46,"*"&amp;$AQ55&amp;"*")+COUNTIF($W$9:$W$46,"*"&amp;$AQ55&amp;"*"&amp;$AQ55&amp;"*")</f>
        <v>9</v>
      </c>
      <c r="AS55" s="290">
        <f t="shared" ref="AS55:AS67" si="5">$AR55/COUNTA(W$9:W$46)</f>
        <v>0.24324324324324326</v>
      </c>
      <c r="AT55" s="160" t="s">
        <v>1119</v>
      </c>
      <c r="AU55">
        <f t="shared" ref="AU55:AU62" si="6">COUNTIF($AA$9:$AA$46,"*"&amp;$AT55&amp;"*")+COUNTIF($AA$9:$AA$46,"*"&amp;$AT55&amp;"*"&amp;$AT55&amp;"*")</f>
        <v>16</v>
      </c>
      <c r="AV55" s="146">
        <f>$AU55/COUNTA(Z$9:Z$46)</f>
        <v>0.5</v>
      </c>
      <c r="AW55" s="172" t="s">
        <v>1120</v>
      </c>
      <c r="AX55" s="62">
        <f>COUNTIF($AE$9:$AE$46,"*"&amp;$AW55&amp;"*")+COUNTIF($AE$9:$AE$46,"*"&amp;$AW55&amp;"*"&amp;$AW55&amp;"*")</f>
        <v>2</v>
      </c>
      <c r="AY55" s="182">
        <f>$AX55/COUNTA(AD$9:AD$46)</f>
        <v>0.25</v>
      </c>
      <c r="AZ55" s="166" t="s">
        <v>1120</v>
      </c>
      <c r="BA55">
        <f>COUNTIF($AC$9:$AC$46,"*"&amp;$AZ55&amp;"*")+COUNTIF($AC$9:$AC$46,"*"&amp;$AZ55&amp;"*"&amp;$AZ55&amp;"*")+COUNTIF($AG$9:$AG$46,"*"&amp;$AZ55&amp;"*")+COUNTIF($AG$9:$AG$46,"*"&amp;$AZ55&amp;"*"&amp;$AZ55&amp;"*")+COUNTIF($AI$9:$AI$46,"*"&amp;$AZ55&amp;"*")+COUNTIF($AI$9:$AI$46,"*"&amp;$AZ55&amp;"*"&amp;$AZ55&amp;"*")+COUNTIF($Y$9:$Y$46,"*"&amp;$AZ55&amp;"*")+COUNTIF($Y$9:$Y$46,"*"&amp;$AZ55&amp;"*"&amp;$AZ55&amp;"*")</f>
        <v>40</v>
      </c>
      <c r="BB55" s="162">
        <f>$BA55/(COUNTA(C9:C46))</f>
        <v>1.0526315789473684</v>
      </c>
      <c r="BD55" s="53" t="s">
        <v>35</v>
      </c>
      <c r="BE55" t="s">
        <v>1172</v>
      </c>
      <c r="BF55" t="s">
        <v>273</v>
      </c>
      <c r="BG55" t="s">
        <v>275</v>
      </c>
      <c r="BH55" t="s">
        <v>276</v>
      </c>
      <c r="BI55" t="s">
        <v>270</v>
      </c>
      <c r="BJ55" t="s">
        <v>277</v>
      </c>
      <c r="BK55" t="s">
        <v>1157</v>
      </c>
      <c r="BL55" t="s">
        <v>278</v>
      </c>
      <c r="BM55" t="s">
        <v>280</v>
      </c>
      <c r="BN55" t="s">
        <v>1133</v>
      </c>
      <c r="BO55" t="s">
        <v>266</v>
      </c>
      <c r="BS55" cm="1">
        <f t="array" ref="BS55">SUMPRODUCT(1/COUNTIFS(BE55:BO55,BE55:BO55))</f>
        <v>11</v>
      </c>
    </row>
    <row r="56" spans="3:71" ht="15.95" customHeight="1">
      <c r="C56" s="539" t="s">
        <v>1115</v>
      </c>
      <c r="D56" s="138">
        <f>COUNTIF($D$9:$AI$46,"*"&amp;$C56&amp;"*")+COUNTIF($D10:AI$46,"*"&amp;$C56&amp;"*"&amp;$C56&amp;"*")</f>
        <v>50</v>
      </c>
      <c r="E56" s="139">
        <f>D56/$D$54</f>
        <v>0.30864197530864196</v>
      </c>
      <c r="F56" s="86" t="s">
        <v>291</v>
      </c>
      <c r="G56" s="88">
        <f>COUNTIF(D9:AI46, "*Mexico*")</f>
        <v>5</v>
      </c>
      <c r="H56" s="117">
        <f>G56/G54</f>
        <v>8.9285714285714288E-2</v>
      </c>
      <c r="I56" s="545" t="s">
        <v>1131</v>
      </c>
      <c r="J56" s="543">
        <f>COUNTIF($D$9:$AI$46, I56)+COUNTIF($D$9:$AI$46,"*East Africa*""*East Africa*")</f>
        <v>11</v>
      </c>
      <c r="K56" s="547">
        <f>$J56/$J$54</f>
        <v>0.26190476190476192</v>
      </c>
      <c r="L56" s="551" t="s">
        <v>1119</v>
      </c>
      <c r="M56" s="549">
        <f>COUNTIF($D$9:$AI$46,L56)+COUNTIF($D$9:$AI$46,"*East Asia**East Asia*")</f>
        <v>40</v>
      </c>
      <c r="N56" s="1486">
        <f t="shared" si="0"/>
        <v>0.31496062992125984</v>
      </c>
      <c r="P56" s="153" t="s">
        <v>1119</v>
      </c>
      <c r="Q56">
        <f>COUNTIF(E9:E46,"East Asia")</f>
        <v>8</v>
      </c>
      <c r="R56" s="146">
        <f t="shared" ref="R56:R63" si="7">$Q56/COUNTA(E$9:E$44)</f>
        <v>0.22222222222222221</v>
      </c>
      <c r="S56" s="172" t="s">
        <v>1126</v>
      </c>
      <c r="T56" s="62">
        <f>COUNTIF(G9:G46,"*Central Europe*")+COUNTIF(G9:G46,"*Central Europe**Central Europe*")</f>
        <v>5</v>
      </c>
      <c r="U56" s="173">
        <f t="shared" ref="U56:U63" si="8">$T56/COUNTA(G$9:G$44)</f>
        <v>0.1388888888888889</v>
      </c>
      <c r="V56" s="156" t="s">
        <v>1973</v>
      </c>
      <c r="W56">
        <f>COUNTIF($I$9:$I$46,"*"&amp;$V56&amp;"*")+COUNTIF($I$9:$I$46,"*"&amp;$V56&amp;"*"&amp;$V56&amp;"*")</f>
        <v>8</v>
      </c>
      <c r="X56" s="146">
        <f t="shared" ref="X56:X67" si="9">$W56/COUNTA(I$9:I$46)</f>
        <v>0.21052631578947367</v>
      </c>
      <c r="Y56" s="178" t="s">
        <v>1126</v>
      </c>
      <c r="Z56" s="62">
        <f>COUNTIF(K10:K47,"*Central Europe*")+COUNTIF(K10:K47,"*Central Europe**Central Europe*")</f>
        <v>6</v>
      </c>
      <c r="AA56" s="173">
        <f t="shared" ref="AA56:AA70" si="10">$Z56/COUNTA(K$9:K$46)</f>
        <v>0.15789473684210525</v>
      </c>
      <c r="AB56" s="156" t="s">
        <v>1126</v>
      </c>
      <c r="AC56">
        <f>COUNTIF(M9:M45,"*Central Europe*")+COUNTIF(M9:M45,"*Central Europe**Central Europe*")</f>
        <v>5</v>
      </c>
      <c r="AD56" s="146">
        <f t="shared" ref="AD56:AD68" si="11">$AC56/COUNTA(M$9:M$46)</f>
        <v>0.13157894736842105</v>
      </c>
      <c r="AE56" s="178" t="s">
        <v>1118</v>
      </c>
      <c r="AF56" s="62">
        <f t="shared" si="1"/>
        <v>6</v>
      </c>
      <c r="AG56" s="173">
        <f t="shared" ref="AG56:AG67" si="12">$AF56/COUNTA(O$9:O$46)</f>
        <v>0.15789473684210525</v>
      </c>
      <c r="AH56" s="160" t="s">
        <v>1143</v>
      </c>
      <c r="AI56">
        <f t="shared" si="2"/>
        <v>6</v>
      </c>
      <c r="AJ56" s="146">
        <f t="shared" si="3"/>
        <v>0.15789473684210525</v>
      </c>
      <c r="AK56" s="172" t="s">
        <v>1132</v>
      </c>
      <c r="AL56" s="62">
        <f t="shared" si="4"/>
        <v>5</v>
      </c>
      <c r="AM56" s="173">
        <f t="shared" ref="AM56:AM68" si="13">$AL56/COUNTA(S$9:S$46)</f>
        <v>0.13157894736842105</v>
      </c>
      <c r="AN56" s="156" t="s">
        <v>1973</v>
      </c>
      <c r="AO56">
        <f>COUNTIF($U$9:$U$46,"*"&amp;$AN56&amp;"*")+COUNTIF($U$9:$U$46,"*"&amp;$AN56&amp;"*"&amp;$AN56&amp;"*")</f>
        <v>9</v>
      </c>
      <c r="AP56" s="146">
        <f t="shared" ref="AP56:AP66" si="14">$AO56/COUNTA(U$9:U$46)</f>
        <v>0.23684210526315788</v>
      </c>
      <c r="AQ56" s="172" t="s">
        <v>1119</v>
      </c>
      <c r="AR56" s="62">
        <f>COUNTIF($W$9:$W$46,"East Asia")+COUNTIF($W$9:$W$46,"East Asia"*"East Asia")</f>
        <v>7</v>
      </c>
      <c r="AS56" s="290">
        <f t="shared" si="5"/>
        <v>0.1891891891891892</v>
      </c>
      <c r="AT56" s="160" t="s">
        <v>1115</v>
      </c>
      <c r="AU56">
        <f t="shared" si="6"/>
        <v>9</v>
      </c>
      <c r="AV56" s="146">
        <f t="shared" ref="AV56:AV62" si="15">$AU56/COUNTA(Z$9:Z$46)</f>
        <v>0.28125</v>
      </c>
      <c r="AW56" s="172" t="s">
        <v>1123</v>
      </c>
      <c r="AX56" s="62">
        <f>COUNTIF($AE$9:$AE$46,"*"&amp;$AW56&amp;"*")+COUNTIF($AE$9:$AE$46,"*"&amp;$AW56&amp;"*"&amp;$AW56&amp;"*")</f>
        <v>2</v>
      </c>
      <c r="AY56" s="182">
        <f t="shared" ref="AY56:AY59" si="16">$AX56/COUNTA(AD$9:AD$46)</f>
        <v>0.25</v>
      </c>
      <c r="AZ56" s="166" t="s">
        <v>1115</v>
      </c>
      <c r="BA56">
        <f>COUNTIF($AC$9:$AC$46,"*"&amp;$AZ56&amp;"*")+COUNTIF($AC$9:$AC$46,"*"&amp;$AZ56&amp;"*"&amp;$AZ56&amp;"*")+COUNTIF($AG$9:$AG$46,"*"&amp;$AZ56&amp;"*")+COUNTIF($AG$9:$AG$46,"*"&amp;$AZ56&amp;"*"&amp;$AZ56&amp;"*")+COUNTIF($AI$9:$AI$46,"*"&amp;$AZ56&amp;"*")+COUNTIF($AI$9:$AI$46,"*"&amp;$AZ56&amp;"*"&amp;$AZ56&amp;"*")+COUNTIF($Y$9:$Y$46,"*"&amp;$AZ56&amp;"*")+COUNTIF($Y$9:$Y$46,"*"&amp;$AZ56&amp;"*"&amp;$AZ56&amp;"*")</f>
        <v>2</v>
      </c>
      <c r="BB56" s="162">
        <f>$BA56/(COUNTA(C10:C47))</f>
        <v>5.4054054054054057E-2</v>
      </c>
      <c r="BD56" s="53" t="s">
        <v>11</v>
      </c>
      <c r="BE56" t="s">
        <v>267</v>
      </c>
      <c r="BF56" t="s">
        <v>267</v>
      </c>
      <c r="BG56" t="s">
        <v>268</v>
      </c>
      <c r="BH56" t="s">
        <v>269</v>
      </c>
      <c r="BI56" t="s">
        <v>269</v>
      </c>
      <c r="BJ56" t="s">
        <v>270</v>
      </c>
      <c r="BK56" t="s">
        <v>270</v>
      </c>
      <c r="BL56" t="s">
        <v>271</v>
      </c>
      <c r="BM56" t="s">
        <v>271</v>
      </c>
      <c r="BN56" t="s">
        <v>272</v>
      </c>
      <c r="BO56" t="s">
        <v>266</v>
      </c>
      <c r="BS56" cm="1">
        <f t="array" ref="BS56">SUMPRODUCT(1/COUNTIFS(BE56:BO56,BE56:BO56))</f>
        <v>7</v>
      </c>
    </row>
    <row r="57" spans="3:71">
      <c r="C57" s="539" t="s">
        <v>1143</v>
      </c>
      <c r="D57" s="138">
        <f>COUNTIF($D$9:$AI$46,"*"&amp;$C57&amp;"*")+COUNTIF($D11:AI$46,"*"&amp;$C57&amp;"*"&amp;$C57&amp;"*")</f>
        <v>26</v>
      </c>
      <c r="E57" s="139">
        <f>D57/$D$54</f>
        <v>0.16049382716049382</v>
      </c>
      <c r="F57" s="74" t="s">
        <v>311</v>
      </c>
      <c r="G57" s="93">
        <f>COUNTIF(D9:AI46, "*Canada*")</f>
        <v>2</v>
      </c>
      <c r="H57" s="118">
        <f>G57/G54</f>
        <v>3.5714285714285712E-2</v>
      </c>
      <c r="I57" s="545" t="s">
        <v>1117</v>
      </c>
      <c r="J57" s="543">
        <f>COUNTIF($D$9:$AI$46, I57)+COUNTIF($D$9:$AI$46,"*Northern Africa*""*Northern Africa*")</f>
        <v>10</v>
      </c>
      <c r="K57" s="547">
        <f>$J57/$J$54</f>
        <v>0.23809523809523808</v>
      </c>
      <c r="L57" s="551" t="s">
        <v>1118</v>
      </c>
      <c r="M57" s="549">
        <f>COUNTIF($D$9:$AI$46,L57)+COUNTIF($D$9:$AI$46,"*South Asia*""*South Asia*")</f>
        <v>27</v>
      </c>
      <c r="N57" s="1486">
        <f t="shared" si="0"/>
        <v>0.2125984251968504</v>
      </c>
      <c r="P57" s="153" t="s">
        <v>1115</v>
      </c>
      <c r="Q57">
        <f>COUNTIF(E9:E46,"*Western Europe*")+COUNTIF(E9:E46,"*Western Europe**Western Europe*")</f>
        <v>5</v>
      </c>
      <c r="R57" s="146">
        <f t="shared" si="7"/>
        <v>0.1388888888888889</v>
      </c>
      <c r="S57" s="178" t="s">
        <v>1973</v>
      </c>
      <c r="T57" s="62">
        <f>COUNTIF($G$9:$G$46,"*"&amp;$S57&amp;"*")+COUNTIF($G$9:$G$46,"*"&amp;$S57&amp;"*"&amp;$S57&amp;"*")</f>
        <v>5</v>
      </c>
      <c r="U57" s="173">
        <f>$T57/COUNTA(G$9:G$44)</f>
        <v>0.1388888888888889</v>
      </c>
      <c r="V57" s="156" t="s">
        <v>1115</v>
      </c>
      <c r="W57">
        <f>COUNTIF(I9:I46,"*Western Europe*")+COUNTIF(I9:I46,"*Western Europe**Western Europe*")</f>
        <v>6</v>
      </c>
      <c r="X57" s="146">
        <f t="shared" si="9"/>
        <v>0.15789473684210525</v>
      </c>
      <c r="Y57" s="178" t="s">
        <v>1121</v>
      </c>
      <c r="Z57" s="62">
        <f>COUNTIF($K$9:$K$46,"*South America*")+COUNTIF($K$9:$K$46,"*South America**South America*")</f>
        <v>4</v>
      </c>
      <c r="AA57" s="173">
        <f t="shared" si="10"/>
        <v>0.10526315789473684</v>
      </c>
      <c r="AB57" s="156" t="s">
        <v>1115</v>
      </c>
      <c r="AC57">
        <f>COUNTIF(M8:M45,"*Western Europe*")+COUNTIF(M8:M45,"*Western Europe**Western Europe*")</f>
        <v>4</v>
      </c>
      <c r="AD57" s="146">
        <f t="shared" si="11"/>
        <v>0.10526315789473684</v>
      </c>
      <c r="AE57" s="178" t="s">
        <v>1143</v>
      </c>
      <c r="AF57" s="62">
        <f t="shared" si="1"/>
        <v>5</v>
      </c>
      <c r="AG57" s="173">
        <f t="shared" si="12"/>
        <v>0.13157894736842105</v>
      </c>
      <c r="AH57" s="160" t="s">
        <v>1114</v>
      </c>
      <c r="AI57">
        <f t="shared" si="2"/>
        <v>5</v>
      </c>
      <c r="AJ57" s="146">
        <f t="shared" si="3"/>
        <v>0.13157894736842105</v>
      </c>
      <c r="AK57" s="172" t="s">
        <v>1118</v>
      </c>
      <c r="AL57" s="62">
        <f t="shared" si="4"/>
        <v>4</v>
      </c>
      <c r="AM57" s="173">
        <f t="shared" si="13"/>
        <v>0.10526315789473684</v>
      </c>
      <c r="AN57" s="160" t="s">
        <v>1118</v>
      </c>
      <c r="AO57">
        <f>COUNTIF($U$9:$U$46,"*"&amp;$AN57&amp;"*")</f>
        <v>6</v>
      </c>
      <c r="AP57" s="146">
        <f t="shared" si="14"/>
        <v>0.15789473684210525</v>
      </c>
      <c r="AQ57" s="172" t="s">
        <v>1115</v>
      </c>
      <c r="AR57" s="62">
        <f t="shared" ref="AR57:AR67" si="17">COUNTIF($W$9:$W$46,"*"&amp;$AQ57&amp;"*")+COUNTIF($W$9:$W$46,"*"&amp;$AQ57&amp;"*"&amp;$AQ57&amp;"*")</f>
        <v>5</v>
      </c>
      <c r="AS57" s="290">
        <f t="shared" si="5"/>
        <v>0.13513513513513514</v>
      </c>
      <c r="AT57" s="156" t="s">
        <v>1973</v>
      </c>
      <c r="AU57">
        <f t="shared" si="6"/>
        <v>4</v>
      </c>
      <c r="AV57" s="146">
        <f t="shared" si="15"/>
        <v>0.125</v>
      </c>
      <c r="AW57" s="178" t="s">
        <v>1973</v>
      </c>
      <c r="AX57" s="62">
        <f>COUNTIF($AE$9:$AE$46, AW57)+COUNTIF($AE$9:$AE$46,"*"&amp;$AW57&amp;"*"&amp;$AW57&amp;"*")</f>
        <v>2</v>
      </c>
      <c r="AY57" s="182">
        <f t="shared" si="16"/>
        <v>0.25</v>
      </c>
      <c r="AZ57" s="166" t="s">
        <v>1141</v>
      </c>
      <c r="BA57">
        <f>COUNTIF($AC$9:$AC$46,"*"&amp;$AZ57&amp;"*")+COUNTIF($AC$9:$AC$46,"*"&amp;$AZ57&amp;"*"&amp;$AZ57&amp;"*")+COUNTIF($AG$9:$AG$46,"*"&amp;$AZ57&amp;"*")+COUNTIF($AG$9:$AG$46,"*"&amp;$AZ57&amp;"*"&amp;$AZ57&amp;"*")+COUNTIF($AI$9:$AI$46,"*"&amp;$AZ57&amp;"*")+COUNTIF($AI$9:$AI$46,"*"&amp;$AZ57&amp;"*"&amp;$AZ57&amp;"*")+COUNTIF($Y$9:$Y$46,"*"&amp;$AZ57&amp;"*")+COUNTIF($Y$9:$Y$46,"*"&amp;$AZ57&amp;"*"&amp;$AZ57&amp;"*")</f>
        <v>1</v>
      </c>
      <c r="BB57" s="162">
        <f>$BA57/(COUNTA(C11:C48))</f>
        <v>2.7027027027027029E-2</v>
      </c>
      <c r="BD57" s="53" t="s">
        <v>198</v>
      </c>
      <c r="BE57" t="s">
        <v>277</v>
      </c>
      <c r="BF57" t="s">
        <v>315</v>
      </c>
      <c r="BG57" t="s">
        <v>304</v>
      </c>
      <c r="BH57" t="s">
        <v>321</v>
      </c>
      <c r="BI57" t="s">
        <v>321</v>
      </c>
      <c r="BJ57" t="s">
        <v>270</v>
      </c>
      <c r="BK57" t="s">
        <v>270</v>
      </c>
      <c r="BL57" t="s">
        <v>1148</v>
      </c>
      <c r="BM57" t="s">
        <v>162</v>
      </c>
      <c r="BN57" t="s">
        <v>266</v>
      </c>
      <c r="BS57" cm="1">
        <f t="array" ref="BS57">SUMPRODUCT(1/COUNTIFS(BE57:BN57,BE57:BN57))</f>
        <v>8</v>
      </c>
    </row>
    <row r="58" spans="3:71" ht="15.95" customHeight="1">
      <c r="C58" s="539" t="s">
        <v>1125</v>
      </c>
      <c r="D58" s="138">
        <f>COUNTIF($D$9:$AI$46,"*"&amp;$C58&amp;"*")+COUNTIF($D12:AI$46,"*"&amp;$C58&amp;"*"&amp;$C58&amp;"*")</f>
        <v>21</v>
      </c>
      <c r="E58" s="139">
        <f>D58/$D$54</f>
        <v>0.12962962962962962</v>
      </c>
      <c r="F58" s="76" t="s">
        <v>1166</v>
      </c>
      <c r="G58" s="94">
        <f>COUNTIF(D9:AI46,"*Caribbean*")+COUNTIF(D9:AI46,"*Caribbean**Caribbean*")</f>
        <v>6</v>
      </c>
      <c r="H58" s="119">
        <f>G58/G58</f>
        <v>1</v>
      </c>
      <c r="I58" s="546" t="s">
        <v>1153</v>
      </c>
      <c r="J58" s="544">
        <f>COUNTIF(D12:AI49, I58)+COUNTIF($D$9:$AI$46,"*West Africa*""*West Africa*")</f>
        <v>5</v>
      </c>
      <c r="K58" s="548">
        <f>$J58/$J$54</f>
        <v>0.11904761904761904</v>
      </c>
      <c r="L58" s="552" t="s">
        <v>1170</v>
      </c>
      <c r="M58" s="550">
        <f>COUNTIF($D$9:$AI$46,L58)+COUNTIF($D$9:$AI$46,"*West Asia*""*West Asia*")</f>
        <v>3</v>
      </c>
      <c r="N58" s="1487">
        <f t="shared" si="0"/>
        <v>2.3622047244094488E-2</v>
      </c>
      <c r="P58" s="153" t="s">
        <v>1120</v>
      </c>
      <c r="Q58">
        <f>COUNTIF(E9:E46,"*North America*")+COUNTIF(E9:E46,"*North America**North America*")</f>
        <v>4</v>
      </c>
      <c r="R58" s="146">
        <f t="shared" si="7"/>
        <v>0.1111111111111111</v>
      </c>
      <c r="S58" s="172" t="s">
        <v>1119</v>
      </c>
      <c r="T58" s="62">
        <f>COUNTIF(G9:G46,"East Asia")</f>
        <v>4</v>
      </c>
      <c r="U58" s="173">
        <f t="shared" si="8"/>
        <v>0.1111111111111111</v>
      </c>
      <c r="V58" s="156" t="s">
        <v>1119</v>
      </c>
      <c r="W58">
        <f>COUNTIF(I9:I46,"East Asia")</f>
        <v>2</v>
      </c>
      <c r="X58" s="146">
        <f t="shared" si="9"/>
        <v>5.2631578947368418E-2</v>
      </c>
      <c r="Y58" s="178" t="s">
        <v>1115</v>
      </c>
      <c r="Z58" s="62">
        <f>COUNTIF($K$9:$K$46,"*Western Europe*")+COUNTIF($K$9:$K$46,"*Western Europe**Western Europe*")</f>
        <v>4</v>
      </c>
      <c r="AA58" s="173">
        <f t="shared" si="10"/>
        <v>0.10526315789473684</v>
      </c>
      <c r="AB58" s="156" t="s">
        <v>1118</v>
      </c>
      <c r="AC58">
        <f>COUNTIF(M12:M49,"*South Asia*")+COUNTIF(M12:M49,"*South Asia**South Asia*")</f>
        <v>4</v>
      </c>
      <c r="AD58" s="146">
        <f t="shared" si="11"/>
        <v>0.10526315789473684</v>
      </c>
      <c r="AE58" s="178" t="s">
        <v>1126</v>
      </c>
      <c r="AF58" s="62">
        <f t="shared" si="1"/>
        <v>4</v>
      </c>
      <c r="AG58" s="173">
        <f t="shared" si="12"/>
        <v>0.10526315789473684</v>
      </c>
      <c r="AH58" s="160" t="s">
        <v>1118</v>
      </c>
      <c r="AI58">
        <f t="shared" si="2"/>
        <v>4</v>
      </c>
      <c r="AJ58" s="146">
        <f t="shared" si="3"/>
        <v>0.10526315789473684</v>
      </c>
      <c r="AK58" s="172" t="s">
        <v>1143</v>
      </c>
      <c r="AL58" s="62">
        <f t="shared" si="4"/>
        <v>5</v>
      </c>
      <c r="AM58" s="173">
        <f t="shared" si="13"/>
        <v>0.13157894736842105</v>
      </c>
      <c r="AN58" s="160" t="s">
        <v>1143</v>
      </c>
      <c r="AO58">
        <f>COUNTIF($U$9:$U$46,"*"&amp;$AN58&amp;"*")+COUNTIF($U$9:$U$46,"*"&amp;$AN58&amp;"*"&amp;$AN58&amp;"*")</f>
        <v>4</v>
      </c>
      <c r="AP58" s="146">
        <f t="shared" si="14"/>
        <v>0.10526315789473684</v>
      </c>
      <c r="AQ58" s="172" t="s">
        <v>1126</v>
      </c>
      <c r="AR58" s="62">
        <f t="shared" si="17"/>
        <v>4</v>
      </c>
      <c r="AS58" s="290">
        <f t="shared" si="5"/>
        <v>0.10810810810810811</v>
      </c>
      <c r="AT58" s="160" t="s">
        <v>1126</v>
      </c>
      <c r="AU58">
        <f t="shared" si="6"/>
        <v>2</v>
      </c>
      <c r="AV58" s="146">
        <f t="shared" si="15"/>
        <v>6.25E-2</v>
      </c>
      <c r="AW58" s="172" t="s">
        <v>1166</v>
      </c>
      <c r="AX58" s="62">
        <f>COUNTIF($AE$9:$AE$46,"*"&amp;$AW58&amp;"*")+COUNTIF($AE$9:$AE$46,"*"&amp;$AW58&amp;"*"&amp;$AW58&amp;"*")</f>
        <v>1</v>
      </c>
      <c r="AY58" s="182">
        <f t="shared" si="16"/>
        <v>0.125</v>
      </c>
      <c r="BD58" s="53" t="s">
        <v>184</v>
      </c>
      <c r="BE58" t="s">
        <v>290</v>
      </c>
      <c r="BF58" t="s">
        <v>290</v>
      </c>
      <c r="BG58" t="s">
        <v>281</v>
      </c>
      <c r="BH58" t="s">
        <v>281</v>
      </c>
      <c r="BI58" t="s">
        <v>278</v>
      </c>
      <c r="BJ58" t="s">
        <v>278</v>
      </c>
      <c r="BK58" t="s">
        <v>277</v>
      </c>
      <c r="BL58" t="s">
        <v>1293</v>
      </c>
      <c r="BM58" t="s">
        <v>1293</v>
      </c>
      <c r="BN58" t="s">
        <v>1135</v>
      </c>
      <c r="BO58" t="s">
        <v>1151</v>
      </c>
      <c r="BP58" t="s">
        <v>266</v>
      </c>
      <c r="BS58" cm="1">
        <f t="array" ref="BS58">SUMPRODUCT(1/COUNTIFS(BE58:BP58,BE58:BP58))</f>
        <v>8</v>
      </c>
    </row>
    <row r="59" spans="3:71" ht="15.95" customHeight="1">
      <c r="C59" s="540" t="s">
        <v>1134</v>
      </c>
      <c r="D59" s="541">
        <f>COUNTIF($D$9:$AI$46,"*"&amp;$C59&amp;"*")+COUNTIF($D13:AI$46,"*"&amp;$C59&amp;"*"&amp;$C59&amp;"*")</f>
        <v>13</v>
      </c>
      <c r="E59" s="542">
        <f>D59/$D$54</f>
        <v>8.0246913580246909E-2</v>
      </c>
      <c r="F59" s="185" t="s">
        <v>1236</v>
      </c>
      <c r="G59" s="77">
        <f>COUNTIF(D9:AI46, "*Dominican Republic*")</f>
        <v>2</v>
      </c>
      <c r="H59" s="120">
        <f>G59/G58</f>
        <v>0.33333333333333331</v>
      </c>
      <c r="I59" s="101" t="s">
        <v>1124</v>
      </c>
      <c r="J59" s="101">
        <f>COUNTIF(D9:AI46, "*Morocco*")</f>
        <v>6</v>
      </c>
      <c r="K59" s="111">
        <f>J59/J54</f>
        <v>0.14285714285714285</v>
      </c>
      <c r="L59" s="141" t="s">
        <v>295</v>
      </c>
      <c r="M59" s="141">
        <f>COUNTIF($D$9:$AI$46, L59)</f>
        <v>22</v>
      </c>
      <c r="N59" s="1488">
        <f t="shared" si="0"/>
        <v>0.17322834645669291</v>
      </c>
      <c r="P59" s="153" t="s">
        <v>1126</v>
      </c>
      <c r="Q59">
        <f>COUNTIF(E9:E46,"*Central Europe*")+COUNTIF(E9:E46,"*Central Europe**Central Europe*")</f>
        <v>3</v>
      </c>
      <c r="R59" s="146">
        <f t="shared" si="7"/>
        <v>8.3333333333333329E-2</v>
      </c>
      <c r="S59" s="172" t="s">
        <v>1120</v>
      </c>
      <c r="T59" s="62">
        <f>COUNTIF(G9:G46,"*North America*")+COUNTIF(G9:G46,"*North America**North America*")</f>
        <v>3</v>
      </c>
      <c r="U59" s="173">
        <f>$T59/COUNTA(G$9:G$46)</f>
        <v>7.8947368421052627E-2</v>
      </c>
      <c r="V59" s="156" t="s">
        <v>1127</v>
      </c>
      <c r="W59">
        <f>COUNTIF(I10:I47,"*Central Europe*")+COUNTIF(I10:I47,"*Central Europe**Central Europe*")</f>
        <v>2</v>
      </c>
      <c r="X59" s="146">
        <f t="shared" si="9"/>
        <v>5.2631578947368418E-2</v>
      </c>
      <c r="Y59" s="178" t="s">
        <v>1134</v>
      </c>
      <c r="Z59" s="62">
        <f>COUNTIF(K10:K47,"*Northern Europe*")+COUNTIF(K10:K47,"*Northern Europe**Northern Europe*")</f>
        <v>3</v>
      </c>
      <c r="AA59" s="173">
        <f t="shared" si="10"/>
        <v>7.8947368421052627E-2</v>
      </c>
      <c r="AB59" s="156" t="s">
        <v>1132</v>
      </c>
      <c r="AC59">
        <f>COUNTIF(M9:M46,"*Middle East*")+COUNTIF(M9:M46,"*Middle East**Middle East*")</f>
        <v>3</v>
      </c>
      <c r="AD59" s="146">
        <f t="shared" si="11"/>
        <v>7.8947368421052627E-2</v>
      </c>
      <c r="AE59" s="178" t="s">
        <v>1132</v>
      </c>
      <c r="AF59" s="62">
        <f t="shared" si="1"/>
        <v>4</v>
      </c>
      <c r="AG59" s="173">
        <f t="shared" si="12"/>
        <v>0.10526315789473684</v>
      </c>
      <c r="AH59" s="160" t="s">
        <v>1131</v>
      </c>
      <c r="AI59">
        <f t="shared" si="2"/>
        <v>4</v>
      </c>
      <c r="AJ59" s="146">
        <f t="shared" si="3"/>
        <v>0.10526315789473684</v>
      </c>
      <c r="AK59" s="172" t="s">
        <v>1125</v>
      </c>
      <c r="AL59" s="62">
        <f t="shared" si="4"/>
        <v>4</v>
      </c>
      <c r="AM59" s="173">
        <f t="shared" si="13"/>
        <v>0.10526315789473684</v>
      </c>
      <c r="AN59" s="160" t="s">
        <v>1125</v>
      </c>
      <c r="AO59">
        <f>COUNTIF($U$9:$U$46,"*"&amp;$AN59&amp;"*")+COUNTIF($U$9:$U$46,"*"&amp;$AN59&amp;"*"&amp;$AN59&amp;"*")</f>
        <v>3</v>
      </c>
      <c r="AP59" s="146">
        <f t="shared" si="14"/>
        <v>7.8947368421052627E-2</v>
      </c>
      <c r="AQ59" s="172" t="s">
        <v>1123</v>
      </c>
      <c r="AR59" s="62">
        <f t="shared" si="17"/>
        <v>3</v>
      </c>
      <c r="AS59" s="290">
        <f t="shared" si="5"/>
        <v>8.1081081081081086E-2</v>
      </c>
      <c r="AT59" s="160" t="s">
        <v>1123</v>
      </c>
      <c r="AU59">
        <f t="shared" si="6"/>
        <v>2</v>
      </c>
      <c r="AV59" s="146">
        <f t="shared" si="15"/>
        <v>6.25E-2</v>
      </c>
      <c r="AW59" s="172" t="s">
        <v>1119</v>
      </c>
      <c r="AX59" s="62">
        <f>COUNTIF($AE$9:$AE$46, "East Asia")+COUNTIF($AE$9:$AE$46,"*"&amp;$AW59&amp;"*"&amp;$AW59&amp;"*")</f>
        <v>1</v>
      </c>
      <c r="AY59" s="182">
        <f t="shared" si="16"/>
        <v>0.125</v>
      </c>
      <c r="AZ59" s="156"/>
      <c r="BD59" s="53" t="s">
        <v>563</v>
      </c>
      <c r="BE59" t="s">
        <v>291</v>
      </c>
      <c r="BF59" t="s">
        <v>291</v>
      </c>
      <c r="BG59" t="s">
        <v>273</v>
      </c>
      <c r="BH59" t="s">
        <v>273</v>
      </c>
      <c r="BI59" t="s">
        <v>305</v>
      </c>
      <c r="BJ59" t="s">
        <v>99</v>
      </c>
      <c r="BK59" t="s">
        <v>1129</v>
      </c>
      <c r="BL59" t="s">
        <v>1235</v>
      </c>
      <c r="BM59" t="s">
        <v>1236</v>
      </c>
      <c r="BN59" t="s">
        <v>1236</v>
      </c>
      <c r="BO59" t="s">
        <v>266</v>
      </c>
      <c r="BS59" cm="1">
        <f t="array" ref="BS59">SUMPRODUCT(1/COUNTIFS(BE59:BO59,BE59:BO59))</f>
        <v>8</v>
      </c>
    </row>
    <row r="60" spans="3:71">
      <c r="C60" s="137" t="s">
        <v>270</v>
      </c>
      <c r="D60" s="138">
        <f t="shared" ref="D60:D93" si="18">COUNTIF($D$9:$AI$46, "*"&amp;$C60&amp;"*")</f>
        <v>22</v>
      </c>
      <c r="E60" s="139">
        <f t="shared" ref="E60:E93" si="19">$D60/$D$54</f>
        <v>0.13580246913580246</v>
      </c>
      <c r="F60" s="185" t="s">
        <v>301</v>
      </c>
      <c r="G60" s="94">
        <f>COUNTIF(D9:AI46, "*Virgin Islands*")</f>
        <v>1</v>
      </c>
      <c r="H60" s="120">
        <f>G60/G58</f>
        <v>0.16666666666666666</v>
      </c>
      <c r="I60" s="101" t="s">
        <v>314</v>
      </c>
      <c r="J60" s="101">
        <f>COUNTIF(D9:AI46, "*Tanzania*")</f>
        <v>6</v>
      </c>
      <c r="K60" s="111">
        <f>J60/J54</f>
        <v>0.14285714285714285</v>
      </c>
      <c r="L60" s="141" t="s">
        <v>278</v>
      </c>
      <c r="M60" s="141">
        <f t="shared" ref="M60:M76" si="20">COUNTIF($D$9:$AI$46, L60)</f>
        <v>21</v>
      </c>
      <c r="N60" s="1488">
        <f t="shared" si="0"/>
        <v>0.16535433070866143</v>
      </c>
      <c r="P60" s="153" t="s">
        <v>1123</v>
      </c>
      <c r="Q60">
        <f>COUNTIF(E9:E46,"*Oceania*")+COUNTIF(E9:E46,"*Oceania**Oceania*")</f>
        <v>2</v>
      </c>
      <c r="R60" s="146">
        <f t="shared" si="7"/>
        <v>5.5555555555555552E-2</v>
      </c>
      <c r="S60" s="172" t="s">
        <v>1115</v>
      </c>
      <c r="T60" s="62">
        <f>COUNTIF(G9:G46,"*Western Europe*")+COUNTIF(G9:G46,"*Western Europe**Western Europe*")</f>
        <v>3</v>
      </c>
      <c r="U60" s="173">
        <f>$T60/COUNTA(G$9:G$46)</f>
        <v>7.8947368421052627E-2</v>
      </c>
      <c r="V60" s="156" t="s">
        <v>1125</v>
      </c>
      <c r="W60">
        <f>COUNTIF(I10:I47,"*Eastern Europe*")+COUNTIF(I10:I47,"*Eastern Europe**Eastern Europe*")</f>
        <v>3</v>
      </c>
      <c r="X60" s="146">
        <f t="shared" si="9"/>
        <v>7.8947368421052627E-2</v>
      </c>
      <c r="Y60" s="178" t="s">
        <v>1125</v>
      </c>
      <c r="Z60" s="62">
        <f>COUNTIF(K10:K47,"*Eastern Europe*")+COUNTIF(K10:K47,"*Eastern Europe**Eastern Europe*")</f>
        <v>2</v>
      </c>
      <c r="AA60" s="173">
        <f t="shared" si="10"/>
        <v>5.2631578947368418E-2</v>
      </c>
      <c r="AB60" s="156" t="s">
        <v>1134</v>
      </c>
      <c r="AC60">
        <f>COUNTIF(M9:M46,"*Northern Europe*")+COUNTIF(M9:M46,"*Northern Europe**Northern Europe*")</f>
        <v>3</v>
      </c>
      <c r="AD60" s="146">
        <f t="shared" si="11"/>
        <v>7.8947368421052627E-2</v>
      </c>
      <c r="AE60" s="178" t="s">
        <v>1117</v>
      </c>
      <c r="AF60" s="62">
        <f t="shared" si="1"/>
        <v>3</v>
      </c>
      <c r="AG60" s="173">
        <f t="shared" si="12"/>
        <v>7.8947368421052627E-2</v>
      </c>
      <c r="AH60" s="160" t="s">
        <v>1125</v>
      </c>
      <c r="AI60">
        <f t="shared" si="2"/>
        <v>4</v>
      </c>
      <c r="AJ60" s="146">
        <f t="shared" si="3"/>
        <v>0.10526315789473684</v>
      </c>
      <c r="AK60" s="172" t="s">
        <v>1114</v>
      </c>
      <c r="AL60" s="62">
        <f t="shared" si="4"/>
        <v>3</v>
      </c>
      <c r="AM60" s="173">
        <f t="shared" si="13"/>
        <v>7.8947368421052627E-2</v>
      </c>
      <c r="AN60" s="160" t="s">
        <v>1123</v>
      </c>
      <c r="AO60">
        <f>COUNTIF($U$9:$U$46,"*"&amp;$AN60&amp;"*")+COUNTIF($U$9:$U$46,"*"&amp;$AN60&amp;"*"&amp;$AN60&amp;"*")</f>
        <v>2</v>
      </c>
      <c r="AP60" s="146">
        <f t="shared" si="14"/>
        <v>5.2631578947368418E-2</v>
      </c>
      <c r="AQ60" s="172" t="s">
        <v>1118</v>
      </c>
      <c r="AR60" s="62">
        <f t="shared" si="17"/>
        <v>2</v>
      </c>
      <c r="AS60" s="290">
        <f t="shared" si="5"/>
        <v>5.4054054054054057E-2</v>
      </c>
      <c r="AT60" s="160" t="s">
        <v>1121</v>
      </c>
      <c r="AU60">
        <f t="shared" si="6"/>
        <v>2</v>
      </c>
      <c r="AV60" s="146">
        <f t="shared" si="15"/>
        <v>6.25E-2</v>
      </c>
      <c r="AW60" s="172"/>
      <c r="AX60" s="62"/>
      <c r="AY60" s="182"/>
      <c r="AZ60" s="70"/>
      <c r="BD60" s="53" t="s">
        <v>1742</v>
      </c>
      <c r="BE60" t="s">
        <v>295</v>
      </c>
      <c r="BF60" t="s">
        <v>279</v>
      </c>
      <c r="BG60" t="s">
        <v>279</v>
      </c>
      <c r="BH60" t="s">
        <v>294</v>
      </c>
      <c r="BI60" t="s">
        <v>294</v>
      </c>
      <c r="BJ60" t="s">
        <v>283</v>
      </c>
      <c r="BK60" t="s">
        <v>1976</v>
      </c>
      <c r="BL60" t="s">
        <v>1976</v>
      </c>
      <c r="BM60" t="s">
        <v>304</v>
      </c>
      <c r="BN60" t="s">
        <v>270</v>
      </c>
      <c r="BO60" t="s">
        <v>272</v>
      </c>
      <c r="BP60" t="s">
        <v>266</v>
      </c>
      <c r="BS60" cm="1">
        <f t="array" ref="BS60">SUMPRODUCT(1/COUNTIFS(BE60:BP60,BE60:BP60))</f>
        <v>9</v>
      </c>
    </row>
    <row r="61" spans="3:71">
      <c r="C61" s="137" t="s">
        <v>304</v>
      </c>
      <c r="D61" s="138">
        <f t="shared" si="18"/>
        <v>15</v>
      </c>
      <c r="E61" s="139">
        <f t="shared" si="19"/>
        <v>9.2592592592592587E-2</v>
      </c>
      <c r="F61" s="185" t="s">
        <v>1139</v>
      </c>
      <c r="G61" s="77">
        <f>COUNTIF(D9:AI46, "*Jamaica*")</f>
        <v>1</v>
      </c>
      <c r="H61" s="120">
        <f>G61/G58</f>
        <v>0.16666666666666666</v>
      </c>
      <c r="I61" s="101" t="s">
        <v>312</v>
      </c>
      <c r="J61" s="101">
        <f>COUNTIF(D9:AI46, "*Botswana*")</f>
        <v>4</v>
      </c>
      <c r="K61" s="111">
        <f>J61/J54</f>
        <v>9.5238095238095233E-2</v>
      </c>
      <c r="L61" s="141" t="s">
        <v>290</v>
      </c>
      <c r="M61" s="141">
        <f t="shared" si="20"/>
        <v>14</v>
      </c>
      <c r="N61" s="1488">
        <f t="shared" si="0"/>
        <v>0.11023622047244094</v>
      </c>
      <c r="P61" s="153" t="s">
        <v>1166</v>
      </c>
      <c r="Q61">
        <f>COUNTIF(E9:E46,"*Caribbean*")+COUNTIF(E9:E46,"*Caribbean**Caribbean*")</f>
        <v>2</v>
      </c>
      <c r="R61" s="146">
        <f t="shared" si="7"/>
        <v>5.5555555555555552E-2</v>
      </c>
      <c r="S61" s="172" t="s">
        <v>1123</v>
      </c>
      <c r="T61" s="62">
        <f>COUNTIF(G9:G46,"*Oceania*")+COUNTIF(G9:G46,"*Oceania**Oceania*")</f>
        <v>2</v>
      </c>
      <c r="U61" s="173">
        <f t="shared" si="8"/>
        <v>5.5555555555555552E-2</v>
      </c>
      <c r="V61" s="147" t="s">
        <v>1153</v>
      </c>
      <c r="W61">
        <f>COUNTIF(I10:I47,"*West Africa*")+COUNTIF(I10:I47,"*West Africa**West Africa*")</f>
        <v>2</v>
      </c>
      <c r="X61" s="146">
        <f t="shared" si="9"/>
        <v>5.2631578947368418E-2</v>
      </c>
      <c r="Y61" s="178" t="s">
        <v>1114</v>
      </c>
      <c r="Z61" s="62">
        <f>COUNTIF(K10:K47,"*Southern Africa*")+COUNTIF(K10:K47,"*Southern Africa**Southern Africa*")</f>
        <v>2</v>
      </c>
      <c r="AA61" s="173">
        <f t="shared" si="10"/>
        <v>5.2631578947368418E-2</v>
      </c>
      <c r="AB61" s="156" t="s">
        <v>1125</v>
      </c>
      <c r="AC61">
        <f>COUNTIF(M9:M46,"*Eastern Europe*")+COUNTIF(M9:M46,"*Eastern Europe**Eastern Europe*")</f>
        <v>2</v>
      </c>
      <c r="AD61" s="146">
        <f t="shared" si="11"/>
        <v>5.2631578947368418E-2</v>
      </c>
      <c r="AE61" s="178" t="s">
        <v>1131</v>
      </c>
      <c r="AF61" s="62">
        <f t="shared" si="1"/>
        <v>3</v>
      </c>
      <c r="AG61" s="173">
        <f t="shared" si="12"/>
        <v>7.8947368421052627E-2</v>
      </c>
      <c r="AH61" s="160" t="s">
        <v>1115</v>
      </c>
      <c r="AI61">
        <f t="shared" si="2"/>
        <v>3</v>
      </c>
      <c r="AJ61" s="146">
        <f t="shared" si="3"/>
        <v>7.8947368421052627E-2</v>
      </c>
      <c r="AK61" s="178" t="s">
        <v>1973</v>
      </c>
      <c r="AL61" s="62">
        <f t="shared" si="4"/>
        <v>3</v>
      </c>
      <c r="AM61" s="173">
        <f t="shared" si="13"/>
        <v>7.8947368421052627E-2</v>
      </c>
      <c r="AN61" s="160" t="s">
        <v>1119</v>
      </c>
      <c r="AO61">
        <f>COUNTIF($Q$9:$Q$46,"East Asia")+COUNTIF($Q$9:$Q$46,"*"&amp;$AN61&amp;"*"&amp;$AN61&amp;"*")</f>
        <v>1</v>
      </c>
      <c r="AP61" s="146">
        <f t="shared" si="14"/>
        <v>2.6315789473684209E-2</v>
      </c>
      <c r="AQ61" s="179" t="s">
        <v>1166</v>
      </c>
      <c r="AR61" s="62">
        <f t="shared" si="17"/>
        <v>1</v>
      </c>
      <c r="AS61" s="290">
        <f t="shared" si="5"/>
        <v>2.7027027027027029E-2</v>
      </c>
      <c r="AT61" s="156" t="s">
        <v>1141</v>
      </c>
      <c r="AU61">
        <f t="shared" si="6"/>
        <v>1</v>
      </c>
      <c r="AV61" s="146">
        <f t="shared" si="15"/>
        <v>3.125E-2</v>
      </c>
      <c r="AW61" s="181"/>
      <c r="AX61" s="62"/>
      <c r="AY61" s="62"/>
      <c r="AZ61" s="70"/>
      <c r="BD61" s="53" t="s">
        <v>2056</v>
      </c>
      <c r="BE61" t="s">
        <v>286</v>
      </c>
      <c r="BF61" t="s">
        <v>2061</v>
      </c>
      <c r="BG61" t="s">
        <v>2061</v>
      </c>
      <c r="BH61" t="s">
        <v>1137</v>
      </c>
      <c r="BI61" t="s">
        <v>285</v>
      </c>
      <c r="BJ61" t="s">
        <v>285</v>
      </c>
      <c r="BK61" t="s">
        <v>1216</v>
      </c>
      <c r="BL61" t="s">
        <v>1216</v>
      </c>
      <c r="BM61" t="s">
        <v>271</v>
      </c>
      <c r="BN61" t="s">
        <v>304</v>
      </c>
      <c r="BO61" t="s">
        <v>270</v>
      </c>
      <c r="BP61" t="s">
        <v>266</v>
      </c>
      <c r="BS61" cm="1">
        <f t="array" ref="BS61">SUMPRODUCT(1/COUNTIFS(BE61:BP61,BE61:BP61))</f>
        <v>9</v>
      </c>
    </row>
    <row r="62" spans="3:71" ht="15.95" customHeight="1">
      <c r="C62" s="137" t="s">
        <v>277</v>
      </c>
      <c r="D62" s="138">
        <f t="shared" si="18"/>
        <v>13</v>
      </c>
      <c r="E62" s="139">
        <f t="shared" si="19"/>
        <v>8.0246913580246909E-2</v>
      </c>
      <c r="F62" s="78" t="s">
        <v>1235</v>
      </c>
      <c r="G62" s="77">
        <f>COUNTIF(D9:AI46, "*Barbados*")</f>
        <v>1</v>
      </c>
      <c r="H62" s="120">
        <f>G62/G58</f>
        <v>0.16666666666666666</v>
      </c>
      <c r="I62" s="101" t="s">
        <v>299</v>
      </c>
      <c r="J62" s="101">
        <f>COUNTIF(D9:AI46, "*Namibia*")</f>
        <v>3</v>
      </c>
      <c r="K62" s="111">
        <f>J62/J54</f>
        <v>7.1428571428571425E-2</v>
      </c>
      <c r="L62" s="141" t="s">
        <v>281</v>
      </c>
      <c r="M62" s="141">
        <f t="shared" si="20"/>
        <v>13</v>
      </c>
      <c r="N62" s="1488">
        <f t="shared" si="0"/>
        <v>0.10236220472440945</v>
      </c>
      <c r="P62" s="153" t="s">
        <v>1141</v>
      </c>
      <c r="Q62">
        <f>COUNTIF(E9:E46,"*Central America*")+COUNTIF(E9:E46,"*Central America**Central America*")</f>
        <v>1</v>
      </c>
      <c r="R62" s="146">
        <f t="shared" si="7"/>
        <v>2.7777777777777776E-2</v>
      </c>
      <c r="S62" s="172" t="s">
        <v>1153</v>
      </c>
      <c r="T62" s="62">
        <f>COUNTIF(G9:G46,"*West Africa*")+COUNTIF(G9:G46,"*West Africa**West Africa*")</f>
        <v>1</v>
      </c>
      <c r="U62" s="173">
        <f t="shared" si="8"/>
        <v>2.7777777777777776E-2</v>
      </c>
      <c r="V62" s="156" t="s">
        <v>1120</v>
      </c>
      <c r="W62">
        <f>COUNTIF(I11:I48,"*North America*")+COUNTIF(I11:I48,"*North America**North America*")</f>
        <v>1</v>
      </c>
      <c r="X62" s="146">
        <f t="shared" si="9"/>
        <v>2.6315789473684209E-2</v>
      </c>
      <c r="Y62" s="178" t="s">
        <v>1153</v>
      </c>
      <c r="Z62" s="62">
        <f>COUNTIF(K10:K47,"*West Africa*")+COUNTIF(K10:K47,"*West Africa**West Africa*")</f>
        <v>2</v>
      </c>
      <c r="AA62" s="173">
        <f t="shared" si="10"/>
        <v>5.2631578947368418E-2</v>
      </c>
      <c r="AB62" s="156" t="s">
        <v>1114</v>
      </c>
      <c r="AC62">
        <f>COUNTIF(M9:M46,"*Southern Africa*")+COUNTIF(M9:M46,"*Southern Africa**Southern Africa*")</f>
        <v>2</v>
      </c>
      <c r="AD62" s="146">
        <f t="shared" si="11"/>
        <v>5.2631578947368418E-2</v>
      </c>
      <c r="AE62" s="178" t="s">
        <v>1114</v>
      </c>
      <c r="AF62" s="62">
        <f t="shared" si="1"/>
        <v>2</v>
      </c>
      <c r="AG62" s="173">
        <f t="shared" si="12"/>
        <v>5.2631578947368418E-2</v>
      </c>
      <c r="AH62" s="160" t="s">
        <v>1119</v>
      </c>
      <c r="AI62">
        <f>COUNTIF($Q$9:$Q$46,"East Asia")+COUNTIF($Q$9:$Q$46,"*"&amp;$AH62&amp;"*"&amp;$AH62&amp;"*")</f>
        <v>1</v>
      </c>
      <c r="AJ62" s="146">
        <f t="shared" si="3"/>
        <v>2.6315789473684209E-2</v>
      </c>
      <c r="AK62" s="172" t="s">
        <v>1131</v>
      </c>
      <c r="AL62" s="62">
        <f t="shared" si="4"/>
        <v>2</v>
      </c>
      <c r="AM62" s="173">
        <f t="shared" si="13"/>
        <v>5.2631578947368418E-2</v>
      </c>
      <c r="AN62" s="161" t="s">
        <v>1166</v>
      </c>
      <c r="AO62">
        <f>COUNTIF($U$9:$U$46,"*"&amp;$AN62&amp;"*")+COUNTIF($U$9:$U$46,"*"&amp;$AN62&amp;"*"&amp;$AN62&amp;"*")</f>
        <v>1</v>
      </c>
      <c r="AP62" s="146">
        <f t="shared" si="14"/>
        <v>2.6315789473684209E-2</v>
      </c>
      <c r="AQ62" s="172" t="s">
        <v>1125</v>
      </c>
      <c r="AR62" s="62">
        <f t="shared" si="17"/>
        <v>1</v>
      </c>
      <c r="AS62" s="290">
        <f t="shared" si="5"/>
        <v>2.7027027027027029E-2</v>
      </c>
      <c r="AT62" s="160" t="s">
        <v>1120</v>
      </c>
      <c r="AU62">
        <f t="shared" si="6"/>
        <v>1</v>
      </c>
      <c r="AV62" s="146">
        <f t="shared" si="15"/>
        <v>3.125E-2</v>
      </c>
      <c r="AW62" s="174"/>
      <c r="AX62" s="62"/>
      <c r="AY62" s="62"/>
      <c r="AZ62" s="70"/>
    </row>
    <row r="63" spans="3:71" ht="15.95" customHeight="1">
      <c r="C63" s="137" t="s">
        <v>269</v>
      </c>
      <c r="D63" s="138">
        <f t="shared" si="18"/>
        <v>12</v>
      </c>
      <c r="E63" s="139">
        <f t="shared" si="19"/>
        <v>7.407407407407407E-2</v>
      </c>
      <c r="F63" s="184" t="s">
        <v>1172</v>
      </c>
      <c r="G63" s="95">
        <f>COUNTIF(D9:AI46, "*Trinidad and Tabago*")</f>
        <v>1</v>
      </c>
      <c r="H63" s="121">
        <f>G63/G58</f>
        <v>0.16666666666666666</v>
      </c>
      <c r="I63" s="128" t="s">
        <v>296</v>
      </c>
      <c r="J63" s="101">
        <f>COUNTIF(D9:AI46, "*Zambia*")</f>
        <v>3</v>
      </c>
      <c r="K63" s="111">
        <f>J63/J54</f>
        <v>7.1428571428571425E-2</v>
      </c>
      <c r="L63" s="141" t="s">
        <v>294</v>
      </c>
      <c r="M63" s="141">
        <f t="shared" si="20"/>
        <v>11</v>
      </c>
      <c r="N63" s="1488">
        <f t="shared" si="0"/>
        <v>8.6614173228346455E-2</v>
      </c>
      <c r="P63" s="153" t="s">
        <v>1134</v>
      </c>
      <c r="Q63">
        <f>COUNTIF(E9:E46,"*Northern Europe*")+COUNTIF(E9:E46,"*Northern Europe**Northern Europe*")</f>
        <v>1</v>
      </c>
      <c r="R63" s="146">
        <f t="shared" si="7"/>
        <v>2.7777777777777776E-2</v>
      </c>
      <c r="S63" s="172" t="s">
        <v>1134</v>
      </c>
      <c r="T63" s="62">
        <f>COUNTIF(G9:G46,"*Northern Europe*")+COUNTIF(G9:G46,"*Northern Europe**Northern Europe*")</f>
        <v>1</v>
      </c>
      <c r="U63" s="173">
        <f t="shared" si="8"/>
        <v>2.7777777777777776E-2</v>
      </c>
      <c r="V63" s="156" t="s">
        <v>1117</v>
      </c>
      <c r="W63">
        <f>COUNTIF(I9:I46,"*Northern Africa*")+COUNTIF(I9:I46,"*Northern Africa**Northern Africa*")</f>
        <v>1</v>
      </c>
      <c r="X63" s="146">
        <f t="shared" si="9"/>
        <v>2.6315789473684209E-2</v>
      </c>
      <c r="Y63" s="178" t="s">
        <v>1131</v>
      </c>
      <c r="Z63" s="62">
        <f>COUNTIF(K10:K47,"*East Africa*")+COUNTIF(K10:K47,"*East Africa**East Africa*")</f>
        <v>1</v>
      </c>
      <c r="AA63" s="173">
        <f t="shared" si="10"/>
        <v>2.6315789473684209E-2</v>
      </c>
      <c r="AB63" s="156" t="s">
        <v>1143</v>
      </c>
      <c r="AC63">
        <f>COUNTIF($M$9:$M$46,"*Southern Europe*")+COUNTIF($M$9:$M$46,"*Southern Europe**Southern Europe*")</f>
        <v>2</v>
      </c>
      <c r="AD63" s="146">
        <f t="shared" si="11"/>
        <v>5.2631578947368418E-2</v>
      </c>
      <c r="AE63" s="178" t="s">
        <v>1170</v>
      </c>
      <c r="AF63" s="62">
        <f t="shared" si="1"/>
        <v>2</v>
      </c>
      <c r="AG63" s="173">
        <f t="shared" si="12"/>
        <v>5.2631578947368418E-2</v>
      </c>
      <c r="AH63" s="160" t="s">
        <v>1158</v>
      </c>
      <c r="AI63">
        <f t="shared" ref="AI63:AI68" si="21">COUNTIF($Q$9:$Q$46,"*"&amp;$AH63&amp;"*")+COUNTIF($Q$9:$Q$46,"*"&amp;$AH63&amp;"*"&amp;$AH63&amp;"*")</f>
        <v>1</v>
      </c>
      <c r="AJ63" s="146">
        <f t="shared" si="3"/>
        <v>2.6315789473684209E-2</v>
      </c>
      <c r="AK63" s="172" t="s">
        <v>1134</v>
      </c>
      <c r="AL63" s="62">
        <f t="shared" si="4"/>
        <v>2</v>
      </c>
      <c r="AM63" s="173">
        <f t="shared" si="13"/>
        <v>5.2631578947368418E-2</v>
      </c>
      <c r="AN63" s="160" t="s">
        <v>1132</v>
      </c>
      <c r="AO63">
        <f>COUNTIF($U$9:$U$46,"*"&amp;$AN63&amp;"*")+COUNTIF($U$9:$U$46,"*"&amp;$AN63&amp;"*"&amp;$AN63&amp;"*")</f>
        <v>1</v>
      </c>
      <c r="AP63" s="146">
        <f t="shared" si="14"/>
        <v>2.6315789473684209E-2</v>
      </c>
      <c r="AQ63" s="172" t="s">
        <v>1132</v>
      </c>
      <c r="AR63" s="62">
        <f t="shared" si="17"/>
        <v>1</v>
      </c>
      <c r="AS63" s="290">
        <f t="shared" si="5"/>
        <v>2.7027027027027029E-2</v>
      </c>
      <c r="AT63" s="160"/>
      <c r="AV63" s="146"/>
      <c r="AW63" s="174"/>
      <c r="AX63" s="62"/>
      <c r="AY63" s="62"/>
      <c r="AZ63" s="70"/>
    </row>
    <row r="64" spans="3:71" ht="15.95" customHeight="1">
      <c r="C64" s="137" t="s">
        <v>265</v>
      </c>
      <c r="D64" s="138">
        <f t="shared" si="18"/>
        <v>10</v>
      </c>
      <c r="E64" s="139">
        <f t="shared" si="19"/>
        <v>6.1728395061728392E-2</v>
      </c>
      <c r="F64" s="79" t="s">
        <v>1141</v>
      </c>
      <c r="G64" s="96">
        <f>COUNTIF(D9:AI46,"*Central America*")+COUNTIF(D9:AI46,"*Central America**Central America*")</f>
        <v>5</v>
      </c>
      <c r="H64" s="109">
        <f>G64/G64</f>
        <v>1</v>
      </c>
      <c r="I64" s="101" t="s">
        <v>1116</v>
      </c>
      <c r="J64" s="101">
        <f>COUNTIF(D9:AI46, "*Tunisia*")</f>
        <v>2</v>
      </c>
      <c r="K64" s="111">
        <f>J64/J54</f>
        <v>4.7619047619047616E-2</v>
      </c>
      <c r="L64" s="141" t="s">
        <v>279</v>
      </c>
      <c r="M64" s="141">
        <f t="shared" si="20"/>
        <v>11</v>
      </c>
      <c r="N64" s="1488">
        <f t="shared" si="0"/>
        <v>8.6614173228346455E-2</v>
      </c>
      <c r="P64" s="153" t="s">
        <v>1114</v>
      </c>
      <c r="Q64">
        <f>COUNTIF($E$9:$E$46,"*"&amp;$P64&amp;"*")+COUNTIF($E$9:$E$46,"*"&amp;$AH65&amp;"*"&amp;$AH65&amp;"*")</f>
        <v>1</v>
      </c>
      <c r="R64" s="146">
        <f>$Q64/COUNTA(E$9:E$46)</f>
        <v>2.6315789473684209E-2</v>
      </c>
      <c r="S64" s="537"/>
      <c r="T64" s="537"/>
      <c r="U64" s="537"/>
      <c r="V64" s="156" t="s">
        <v>1134</v>
      </c>
      <c r="W64">
        <f>COUNTIF(I10:I47,"*Northern Europe*")+COUNTIF(I10:I47,"*Northern Europe**Northern Europe*")</f>
        <v>1</v>
      </c>
      <c r="X64" s="146">
        <f t="shared" si="9"/>
        <v>2.6315789473684209E-2</v>
      </c>
      <c r="Y64" s="178" t="s">
        <v>1132</v>
      </c>
      <c r="Z64" s="62">
        <f>COUNTIF(K9:K46,"*Middle East*")+COUNTIF(K9:K46,"*Middle East**Middle East*")</f>
        <v>1</v>
      </c>
      <c r="AA64" s="173">
        <f t="shared" si="10"/>
        <v>2.6315789473684209E-2</v>
      </c>
      <c r="AB64" s="156" t="s">
        <v>1141</v>
      </c>
      <c r="AC64">
        <f>COUNTIF(M10:M47,"*Central America*")+COUNTIF(M10:M47,"*Central America**Central America*")</f>
        <v>1</v>
      </c>
      <c r="AD64" s="146">
        <f t="shared" si="11"/>
        <v>2.6315789473684209E-2</v>
      </c>
      <c r="AE64" s="178" t="s">
        <v>1141</v>
      </c>
      <c r="AF64" s="62">
        <f t="shared" si="1"/>
        <v>1</v>
      </c>
      <c r="AG64" s="173">
        <f t="shared" si="12"/>
        <v>2.6315789473684209E-2</v>
      </c>
      <c r="AH64" s="160" t="s">
        <v>1132</v>
      </c>
      <c r="AI64">
        <f t="shared" si="21"/>
        <v>1</v>
      </c>
      <c r="AJ64" s="146">
        <f t="shared" si="3"/>
        <v>2.6315789473684209E-2</v>
      </c>
      <c r="AK64" s="172" t="s">
        <v>1115</v>
      </c>
      <c r="AL64" s="62">
        <f t="shared" si="4"/>
        <v>2</v>
      </c>
      <c r="AM64" s="173">
        <f t="shared" si="13"/>
        <v>5.2631578947368418E-2</v>
      </c>
      <c r="AN64" s="160" t="s">
        <v>1120</v>
      </c>
      <c r="AO64">
        <f>COUNTIF($U$9:$U$46,"*"&amp;$AN64&amp;"*")+COUNTIF($U$9:$U$46,"*"&amp;$AN64&amp;"*"&amp;$AN64&amp;"*")</f>
        <v>1</v>
      </c>
      <c r="AP64" s="146">
        <f t="shared" si="14"/>
        <v>2.6315789473684209E-2</v>
      </c>
      <c r="AQ64" s="172" t="s">
        <v>1120</v>
      </c>
      <c r="AR64" s="62">
        <f t="shared" si="17"/>
        <v>1</v>
      </c>
      <c r="AS64" s="290">
        <f t="shared" si="5"/>
        <v>2.7027027027027029E-2</v>
      </c>
      <c r="AT64" s="70"/>
      <c r="AV64" s="72"/>
      <c r="AW64" s="174"/>
      <c r="AX64" s="62"/>
      <c r="AY64" s="62"/>
      <c r="AZ64" s="70"/>
    </row>
    <row r="65" spans="3:54" ht="15.95" customHeight="1">
      <c r="C65" s="137" t="s">
        <v>286</v>
      </c>
      <c r="D65" s="138">
        <f t="shared" si="18"/>
        <v>10</v>
      </c>
      <c r="E65" s="139">
        <f t="shared" si="19"/>
        <v>6.1728395061728392E-2</v>
      </c>
      <c r="F65" s="80" t="s">
        <v>1140</v>
      </c>
      <c r="G65" s="96">
        <f>COUNTIF(D9:AI46, "*Panama*")</f>
        <v>3</v>
      </c>
      <c r="H65" s="122">
        <f>G65/G64</f>
        <v>0.6</v>
      </c>
      <c r="I65" s="128" t="s">
        <v>1130</v>
      </c>
      <c r="J65" s="101">
        <f>COUNTIF(D9:AI46, "*Egypt*")</f>
        <v>2</v>
      </c>
      <c r="K65" s="111">
        <f>J65/J54</f>
        <v>4.7619047619047616E-2</v>
      </c>
      <c r="L65" s="141" t="s">
        <v>1128</v>
      </c>
      <c r="M65" s="141">
        <f t="shared" si="20"/>
        <v>6</v>
      </c>
      <c r="N65" s="1488">
        <f t="shared" si="0"/>
        <v>4.7244094488188976E-2</v>
      </c>
      <c r="P65" s="153" t="s">
        <v>1973</v>
      </c>
      <c r="Q65">
        <f>COUNTIF($E$9:$E$46,"*"&amp;$P65&amp;"*")+COUNTIF($E$9:$E$46,"*"&amp;$P65&amp;"*"&amp;$P65&amp;"*")</f>
        <v>1</v>
      </c>
      <c r="R65" s="146">
        <f>$Q65/COUNTA(E$9:E$46)</f>
        <v>2.6315789473684209E-2</v>
      </c>
      <c r="S65" s="174"/>
      <c r="T65" s="62"/>
      <c r="U65" s="175"/>
      <c r="V65" s="156" t="s">
        <v>1123</v>
      </c>
      <c r="W65">
        <f>COUNTIF(I9:I46,"*Oceania*")+COUNTIF(I9:I46,"*Oceania**Oceania*")</f>
        <v>1</v>
      </c>
      <c r="X65" s="146">
        <f t="shared" si="9"/>
        <v>2.6315789473684209E-2</v>
      </c>
      <c r="Y65" s="178" t="s">
        <v>1120</v>
      </c>
      <c r="Z65" s="62">
        <f>COUNTIF(K9:K46,"*North America*")+COUNTIF(K9:K46,"*North America**North America*")</f>
        <v>1</v>
      </c>
      <c r="AA65" s="173">
        <f t="shared" si="10"/>
        <v>2.6315789473684209E-2</v>
      </c>
      <c r="AB65" s="156" t="s">
        <v>1131</v>
      </c>
      <c r="AC65">
        <f>COUNTIF(M10:M47,"*East Africa*")+COUNTIF(M10:M47,"*East Africa**East Africa*")</f>
        <v>1</v>
      </c>
      <c r="AD65" s="146">
        <f t="shared" si="11"/>
        <v>2.6315789473684209E-2</v>
      </c>
      <c r="AE65" s="178" t="s">
        <v>1125</v>
      </c>
      <c r="AF65" s="62">
        <f t="shared" si="1"/>
        <v>1</v>
      </c>
      <c r="AG65" s="173">
        <f t="shared" si="12"/>
        <v>2.6315789473684209E-2</v>
      </c>
      <c r="AH65" s="160" t="s">
        <v>1120</v>
      </c>
      <c r="AI65">
        <f t="shared" si="21"/>
        <v>1</v>
      </c>
      <c r="AJ65" s="146">
        <f t="shared" si="3"/>
        <v>2.6315789473684209E-2</v>
      </c>
      <c r="AK65" s="179" t="s">
        <v>1166</v>
      </c>
      <c r="AL65" s="62">
        <f t="shared" si="4"/>
        <v>1</v>
      </c>
      <c r="AM65" s="173">
        <f t="shared" si="13"/>
        <v>2.6315789473684209E-2</v>
      </c>
      <c r="AN65" s="156" t="s">
        <v>1134</v>
      </c>
      <c r="AO65">
        <f>COUNTIF($U$9:$U$46,"*"&amp;$AN65&amp;"*")+COUNTIF($U$9:$U$46,"*"&amp;$AN65&amp;"*"&amp;$AN65&amp;"*")</f>
        <v>1</v>
      </c>
      <c r="AP65" s="146">
        <f t="shared" si="14"/>
        <v>2.6315789473684209E-2</v>
      </c>
      <c r="AQ65" s="172" t="s">
        <v>1117</v>
      </c>
      <c r="AR65" s="62">
        <f t="shared" si="17"/>
        <v>1</v>
      </c>
      <c r="AS65" s="290">
        <f t="shared" si="5"/>
        <v>2.7027027027027029E-2</v>
      </c>
      <c r="AT65" s="161"/>
      <c r="AV65" s="72"/>
      <c r="AW65" s="174"/>
      <c r="AX65" s="62"/>
      <c r="AY65" s="62"/>
      <c r="AZ65" s="70"/>
    </row>
    <row r="66" spans="3:54" ht="15.95" customHeight="1">
      <c r="C66" s="137" t="s">
        <v>267</v>
      </c>
      <c r="D66" s="138">
        <f t="shared" si="18"/>
        <v>9</v>
      </c>
      <c r="E66" s="139">
        <f t="shared" si="19"/>
        <v>5.5555555555555552E-2</v>
      </c>
      <c r="F66" s="80" t="s">
        <v>1142</v>
      </c>
      <c r="G66" s="96">
        <f>COUNTIF(D9:AI46, "*Costa Rica*")</f>
        <v>1</v>
      </c>
      <c r="H66" s="122">
        <f>G66/G64</f>
        <v>0.2</v>
      </c>
      <c r="I66" s="131" t="s">
        <v>1152</v>
      </c>
      <c r="J66" s="101">
        <f>COUNTIF(D9:AI46, "*Burkina Faso*")</f>
        <v>2</v>
      </c>
      <c r="K66" s="113">
        <f>J66/J54</f>
        <v>4.7619047619047616E-2</v>
      </c>
      <c r="L66" s="141" t="s">
        <v>1133</v>
      </c>
      <c r="M66" s="141">
        <f t="shared" si="20"/>
        <v>5</v>
      </c>
      <c r="N66" s="1488">
        <f t="shared" si="0"/>
        <v>3.937007874015748E-2</v>
      </c>
      <c r="S66" s="174"/>
      <c r="T66" s="62"/>
      <c r="U66" s="175"/>
      <c r="V66" s="156" t="s">
        <v>1114</v>
      </c>
      <c r="W66">
        <f>COUNTIF(I9:I46,"*Southern Africa*")+COUNTIF(I9:I46,"*Southern Africa**Southern Africa*")</f>
        <v>1</v>
      </c>
      <c r="X66" s="146">
        <f t="shared" si="9"/>
        <v>2.6315789473684209E-2</v>
      </c>
      <c r="Y66" s="178" t="s">
        <v>1117</v>
      </c>
      <c r="Z66" s="62">
        <f>COUNTIF(K9:K46,"*Northern Africa*")+COUNTIF(K9:K46,"*Northern Africa**Northern Africa*")</f>
        <v>1</v>
      </c>
      <c r="AA66" s="173">
        <f t="shared" si="10"/>
        <v>2.6315789473684209E-2</v>
      </c>
      <c r="AB66" s="156" t="s">
        <v>1119</v>
      </c>
      <c r="AC66">
        <f>COUNTIF(M10:M47,AB66)+COUNTIF(M10:M47,"*East Asia**East Asia*")</f>
        <v>1</v>
      </c>
      <c r="AD66" s="146">
        <f t="shared" si="11"/>
        <v>2.6315789473684209E-2</v>
      </c>
      <c r="AE66" s="178" t="s">
        <v>1121</v>
      </c>
      <c r="AF66" s="62">
        <f t="shared" si="1"/>
        <v>1</v>
      </c>
      <c r="AG66" s="173">
        <f t="shared" si="12"/>
        <v>2.6315789473684209E-2</v>
      </c>
      <c r="AH66" s="160" t="s">
        <v>1121</v>
      </c>
      <c r="AI66">
        <f t="shared" si="21"/>
        <v>1</v>
      </c>
      <c r="AJ66" s="146">
        <f t="shared" si="3"/>
        <v>2.6315789473684209E-2</v>
      </c>
      <c r="AK66" s="172" t="s">
        <v>1158</v>
      </c>
      <c r="AL66" s="62">
        <f t="shared" si="4"/>
        <v>1</v>
      </c>
      <c r="AM66" s="173">
        <f t="shared" si="13"/>
        <v>2.6315789473684209E-2</v>
      </c>
      <c r="AN66" s="160" t="s">
        <v>1115</v>
      </c>
      <c r="AO66">
        <f>COUNTIF($U$9:$U$46,"*"&amp;$AN66&amp;"*")+COUNTIF($U$9:$U$46,"*"&amp;$AN66&amp;"*"&amp;$AN66&amp;"*")</f>
        <v>1</v>
      </c>
      <c r="AP66" s="146">
        <f t="shared" si="14"/>
        <v>2.6315789473684209E-2</v>
      </c>
      <c r="AQ66" s="172" t="s">
        <v>1121</v>
      </c>
      <c r="AR66" s="62">
        <f t="shared" si="17"/>
        <v>1</v>
      </c>
      <c r="AS66" s="290">
        <f t="shared" si="5"/>
        <v>2.7027027027027029E-2</v>
      </c>
      <c r="AT66" s="160"/>
      <c r="AV66" s="72"/>
      <c r="AW66" s="174"/>
      <c r="AX66" s="62"/>
      <c r="AY66" s="62"/>
      <c r="AZ66" s="70"/>
    </row>
    <row r="67" spans="3:54" ht="15.95" customHeight="1">
      <c r="C67" s="137" t="s">
        <v>315</v>
      </c>
      <c r="D67" s="138">
        <f t="shared" si="18"/>
        <v>7</v>
      </c>
      <c r="E67" s="139">
        <f t="shared" si="19"/>
        <v>4.3209876543209874E-2</v>
      </c>
      <c r="F67" s="81" t="s">
        <v>1200</v>
      </c>
      <c r="G67" s="89">
        <f>COUNTIF(D9:AI46, "*Puerto Rico*")</f>
        <v>1</v>
      </c>
      <c r="H67" s="123">
        <f>G67/G64</f>
        <v>0.2</v>
      </c>
      <c r="I67" s="131" t="s">
        <v>318</v>
      </c>
      <c r="J67" s="101">
        <f>COUNTIF(D9:AI46, "*Ghana*")</f>
        <v>2</v>
      </c>
      <c r="K67" s="111">
        <f>J67/J54</f>
        <v>4.7619047619047616E-2</v>
      </c>
      <c r="L67" s="141" t="s">
        <v>313</v>
      </c>
      <c r="M67" s="141">
        <f t="shared" si="20"/>
        <v>3</v>
      </c>
      <c r="N67" s="1488">
        <f t="shared" si="0"/>
        <v>2.3622047244094488E-2</v>
      </c>
      <c r="R67" s="72"/>
      <c r="S67" s="174"/>
      <c r="T67" s="62"/>
      <c r="U67" s="175"/>
      <c r="V67" s="157" t="s">
        <v>1143</v>
      </c>
      <c r="W67">
        <f>COUNTIF(I9:I46,"*Southern Europe*")+COUNTIF(I9:I46,"*Southern Europe**Southern Europe*")</f>
        <v>1</v>
      </c>
      <c r="X67" s="146">
        <f t="shared" si="9"/>
        <v>2.6315789473684209E-2</v>
      </c>
      <c r="Y67" s="178" t="s">
        <v>1123</v>
      </c>
      <c r="Z67" s="62">
        <f>COUNTIF(K9:K46,"*Oceania*")+COUNTIF(K9:K46,"*Oceania**Oceania*")</f>
        <v>1</v>
      </c>
      <c r="AA67" s="173">
        <f t="shared" si="10"/>
        <v>2.6315789473684209E-2</v>
      </c>
      <c r="AB67" s="156" t="s">
        <v>1117</v>
      </c>
      <c r="AC67">
        <f>COUNTIF(M19:M56,"*Northern Africa*")+COUNTIF(M19:M56,"*Northern Africa**Northern Africa*")</f>
        <v>1</v>
      </c>
      <c r="AD67" s="146">
        <f t="shared" si="11"/>
        <v>2.6315789473684209E-2</v>
      </c>
      <c r="AE67" s="178" t="s">
        <v>1973</v>
      </c>
      <c r="AF67" s="62">
        <f t="shared" si="1"/>
        <v>1</v>
      </c>
      <c r="AG67" s="173">
        <f t="shared" si="12"/>
        <v>2.6315789473684209E-2</v>
      </c>
      <c r="AH67" s="160" t="s">
        <v>1170</v>
      </c>
      <c r="AI67">
        <f t="shared" si="21"/>
        <v>1</v>
      </c>
      <c r="AJ67" s="146">
        <f t="shared" si="3"/>
        <v>2.6315789473684209E-2</v>
      </c>
      <c r="AK67" s="172" t="s">
        <v>1120</v>
      </c>
      <c r="AL67" s="62">
        <f t="shared" si="4"/>
        <v>1</v>
      </c>
      <c r="AM67" s="173">
        <f t="shared" si="13"/>
        <v>2.6315789473684209E-2</v>
      </c>
      <c r="AN67" s="70"/>
      <c r="AP67" s="72"/>
      <c r="AQ67" s="172" t="s">
        <v>1134</v>
      </c>
      <c r="AR67" s="62">
        <f t="shared" si="17"/>
        <v>1</v>
      </c>
      <c r="AS67" s="290">
        <f t="shared" si="5"/>
        <v>2.7027027027027029E-2</v>
      </c>
      <c r="AT67" s="70"/>
      <c r="AV67" s="72"/>
      <c r="AW67" s="174"/>
      <c r="AX67" s="62"/>
      <c r="AY67" s="62"/>
      <c r="AZ67" s="70"/>
    </row>
    <row r="68" spans="3:54" ht="15.95" customHeight="1">
      <c r="C68" s="137" t="s">
        <v>306</v>
      </c>
      <c r="D68" s="138">
        <f t="shared" si="18"/>
        <v>5</v>
      </c>
      <c r="E68" s="139">
        <f t="shared" si="19"/>
        <v>3.0864197530864196E-2</v>
      </c>
      <c r="F68" s="84" t="s">
        <v>1121</v>
      </c>
      <c r="G68" s="97">
        <f>COUNTIF(D9:AI46,"*South America*")+COUNTIF(D9:AI46,"*South America**South America*")</f>
        <v>43</v>
      </c>
      <c r="H68" s="124">
        <f>G68/G68</f>
        <v>1</v>
      </c>
      <c r="I68" s="131" t="s">
        <v>1162</v>
      </c>
      <c r="J68" s="101">
        <f>COUNTIF(D9:AI46, "*Malawi*")</f>
        <v>2</v>
      </c>
      <c r="K68" s="111">
        <f>J68/J54</f>
        <v>4.7619047619047616E-2</v>
      </c>
      <c r="L68" s="141" t="s">
        <v>280</v>
      </c>
      <c r="M68" s="141">
        <f t="shared" si="20"/>
        <v>3</v>
      </c>
      <c r="N68" s="1488">
        <f t="shared" si="0"/>
        <v>2.3622047244094488E-2</v>
      </c>
      <c r="R68" s="72"/>
      <c r="S68" s="174"/>
      <c r="T68" s="62"/>
      <c r="U68" s="175"/>
      <c r="V68" s="70"/>
      <c r="X68" s="72"/>
      <c r="Y68" s="178" t="s">
        <v>1143</v>
      </c>
      <c r="Z68" s="62">
        <f>COUNTIF(K9:K46,"*Southern Europe*")+COUNTIF(K9:K46,"*Southern Europe**Southern Europe*")</f>
        <v>1</v>
      </c>
      <c r="AA68" s="173">
        <f t="shared" si="10"/>
        <v>2.6315789473684209E-2</v>
      </c>
      <c r="AB68" s="156" t="s">
        <v>1121</v>
      </c>
      <c r="AC68">
        <f>COUNTIF($M$9:$M$46,"*South America*")+COUNTIF($M$9:$M$46,"*South America**South America*")</f>
        <v>1</v>
      </c>
      <c r="AD68" s="146">
        <f t="shared" si="11"/>
        <v>2.6315789473684209E-2</v>
      </c>
      <c r="AE68" s="174"/>
      <c r="AF68" s="62"/>
      <c r="AG68" s="175"/>
      <c r="AH68" s="156" t="s">
        <v>1973</v>
      </c>
      <c r="AI68">
        <f t="shared" si="21"/>
        <v>1</v>
      </c>
      <c r="AJ68" s="146">
        <f t="shared" si="3"/>
        <v>2.6315789473684209E-2</v>
      </c>
      <c r="AK68" s="172" t="s">
        <v>1123</v>
      </c>
      <c r="AL68" s="62">
        <f t="shared" si="4"/>
        <v>1</v>
      </c>
      <c r="AM68" s="173">
        <f t="shared" si="13"/>
        <v>2.6315789473684209E-2</v>
      </c>
      <c r="AN68" s="70"/>
      <c r="AP68" s="72"/>
      <c r="AQ68" s="174"/>
      <c r="AR68" s="62"/>
      <c r="AS68" s="175"/>
      <c r="AT68" s="70"/>
      <c r="AV68" s="72"/>
      <c r="AW68" s="174"/>
      <c r="AX68" s="62"/>
      <c r="AY68" s="62"/>
      <c r="AZ68" s="70"/>
    </row>
    <row r="69" spans="3:54" ht="15.95" customHeight="1">
      <c r="C69" s="137" t="s">
        <v>271</v>
      </c>
      <c r="D69" s="138">
        <f t="shared" si="18"/>
        <v>5</v>
      </c>
      <c r="E69" s="139">
        <f t="shared" si="19"/>
        <v>3.0864197530864196E-2</v>
      </c>
      <c r="F69" s="85" t="s">
        <v>99</v>
      </c>
      <c r="G69" s="97">
        <f>COUNTIF(D9:AI46, "*Argentina*")</f>
        <v>11</v>
      </c>
      <c r="H69" s="125">
        <f>G69/G68</f>
        <v>0.2558139534883721</v>
      </c>
      <c r="I69" s="101" t="s">
        <v>1122</v>
      </c>
      <c r="J69" s="101">
        <f>COUNTIF(D9:AI46, "*South Africa*")</f>
        <v>2</v>
      </c>
      <c r="K69" s="113">
        <f>J69/J54</f>
        <v>4.7619047619047616E-2</v>
      </c>
      <c r="L69" s="141" t="s">
        <v>320</v>
      </c>
      <c r="M69" s="141">
        <f t="shared" si="20"/>
        <v>3</v>
      </c>
      <c r="N69" s="1488">
        <f t="shared" si="0"/>
        <v>2.3622047244094488E-2</v>
      </c>
      <c r="R69" s="72"/>
      <c r="S69" s="174"/>
      <c r="T69" s="62"/>
      <c r="U69" s="175"/>
      <c r="V69" s="70"/>
      <c r="X69" s="72"/>
      <c r="Y69" s="178" t="s">
        <v>1118</v>
      </c>
      <c r="Z69" s="62">
        <f>COUNTIF(K24:K65,"*South Asia*")+COUNTIF(K24:K65,"*South Asia**South Asia*")</f>
        <v>1</v>
      </c>
      <c r="AA69" s="173">
        <f t="shared" si="10"/>
        <v>2.6315789473684209E-2</v>
      </c>
      <c r="AB69" s="70"/>
      <c r="AD69" s="72"/>
      <c r="AE69" s="174"/>
      <c r="AF69" s="62"/>
      <c r="AG69" s="175"/>
      <c r="AH69" s="160"/>
      <c r="AJ69" s="72"/>
      <c r="AK69" s="174"/>
      <c r="AL69" s="62"/>
      <c r="AM69" s="175"/>
      <c r="AN69" s="70"/>
      <c r="AP69" s="72"/>
      <c r="AQ69" s="174"/>
      <c r="AR69" s="62"/>
      <c r="AS69" s="175"/>
      <c r="AT69" s="70"/>
      <c r="AV69" s="72"/>
      <c r="AW69" s="174"/>
      <c r="AX69" s="62"/>
      <c r="AY69" s="62"/>
      <c r="AZ69" s="70"/>
    </row>
    <row r="70" spans="3:54" ht="15.95" customHeight="1">
      <c r="C70" s="137" t="s">
        <v>1135</v>
      </c>
      <c r="D70" s="138">
        <f t="shared" si="18"/>
        <v>5</v>
      </c>
      <c r="E70" s="139">
        <f t="shared" si="19"/>
        <v>3.0864197530864196E-2</v>
      </c>
      <c r="F70" s="85" t="s">
        <v>275</v>
      </c>
      <c r="G70" s="97">
        <f>COUNTIF(D9:AI46, "*Brazil*")</f>
        <v>10</v>
      </c>
      <c r="H70" s="125">
        <f>G70/G68</f>
        <v>0.23255813953488372</v>
      </c>
      <c r="I70" s="131" t="s">
        <v>1171</v>
      </c>
      <c r="J70" s="101">
        <f>COUNTIF(D9:AI46, "*Zimbabwe*")</f>
        <v>2</v>
      </c>
      <c r="K70" s="111">
        <f>J70/J54</f>
        <v>4.7619047619047616E-2</v>
      </c>
      <c r="L70" s="141" t="s">
        <v>303</v>
      </c>
      <c r="M70" s="141">
        <f t="shared" si="20"/>
        <v>3</v>
      </c>
      <c r="N70" s="1488">
        <f t="shared" si="0"/>
        <v>2.3622047244094488E-2</v>
      </c>
      <c r="S70" s="553"/>
      <c r="T70" s="537"/>
      <c r="U70" s="554"/>
      <c r="Y70" s="178" t="s">
        <v>1119</v>
      </c>
      <c r="Z70" s="62">
        <f>COUNTIF(K9:K44,"East Asia")+COUNTIF(K9:K44,"*East Asia**East Asia*")</f>
        <v>1</v>
      </c>
      <c r="AA70" s="173">
        <f t="shared" si="10"/>
        <v>2.6315789473684209E-2</v>
      </c>
      <c r="AE70" s="553"/>
      <c r="AF70" s="537"/>
      <c r="AG70" s="554"/>
      <c r="AK70" s="553"/>
      <c r="AL70" s="537"/>
      <c r="AM70" s="554"/>
      <c r="AQ70" s="553"/>
      <c r="AR70" s="537"/>
      <c r="AS70" s="554"/>
      <c r="AW70" s="553"/>
      <c r="AX70" s="537"/>
      <c r="AY70" s="554"/>
    </row>
    <row r="71" spans="3:54" ht="15.95" customHeight="1">
      <c r="C71" s="137" t="s">
        <v>288</v>
      </c>
      <c r="D71" s="138">
        <f t="shared" si="18"/>
        <v>5</v>
      </c>
      <c r="E71" s="139">
        <f t="shared" si="19"/>
        <v>3.0864197530864196E-2</v>
      </c>
      <c r="F71" s="85" t="s">
        <v>305</v>
      </c>
      <c r="G71" s="97">
        <f>COUNTIF(D9:AI46, "*Chile*")</f>
        <v>8</v>
      </c>
      <c r="H71" s="125">
        <f>G71/G68</f>
        <v>0.18604651162790697</v>
      </c>
      <c r="I71" s="101" t="s">
        <v>1207</v>
      </c>
      <c r="J71" s="101">
        <f>COUNTIF(D9:AI46, "*Ethiopia*")</f>
        <v>1</v>
      </c>
      <c r="K71" s="111">
        <f>J71/J54</f>
        <v>2.3809523809523808E-2</v>
      </c>
      <c r="L71" s="141" t="s">
        <v>123</v>
      </c>
      <c r="M71" s="141">
        <f t="shared" si="20"/>
        <v>2</v>
      </c>
      <c r="N71" s="1488">
        <f t="shared" si="0"/>
        <v>1.5748031496062992E-2</v>
      </c>
      <c r="P71" s="83" t="s">
        <v>1215</v>
      </c>
      <c r="Q71" s="83" t="s">
        <v>1214</v>
      </c>
      <c r="R71" s="82" t="s">
        <v>1217</v>
      </c>
      <c r="S71" s="169" t="s">
        <v>1215</v>
      </c>
      <c r="T71" s="170" t="s">
        <v>1214</v>
      </c>
      <c r="U71" s="171" t="s">
        <v>1217</v>
      </c>
      <c r="V71" s="91" t="s">
        <v>1215</v>
      </c>
      <c r="W71" s="83" t="s">
        <v>1214</v>
      </c>
      <c r="X71" s="82" t="s">
        <v>1206</v>
      </c>
      <c r="Y71" s="169" t="s">
        <v>1215</v>
      </c>
      <c r="Z71" s="170" t="s">
        <v>1214</v>
      </c>
      <c r="AA71" s="171" t="s">
        <v>1206</v>
      </c>
      <c r="AB71" s="91" t="s">
        <v>1215</v>
      </c>
      <c r="AC71" s="83" t="s">
        <v>1214</v>
      </c>
      <c r="AD71" s="82" t="s">
        <v>1206</v>
      </c>
      <c r="AE71" s="169" t="s">
        <v>1215</v>
      </c>
      <c r="AF71" s="170" t="s">
        <v>1214</v>
      </c>
      <c r="AG71" s="171" t="s">
        <v>1206</v>
      </c>
      <c r="AH71" s="91" t="s">
        <v>1215</v>
      </c>
      <c r="AI71" s="83" t="s">
        <v>1214</v>
      </c>
      <c r="AJ71" s="82" t="s">
        <v>1206</v>
      </c>
      <c r="AK71" s="169" t="s">
        <v>1215</v>
      </c>
      <c r="AL71" s="170" t="s">
        <v>1214</v>
      </c>
      <c r="AM71" s="171" t="s">
        <v>1206</v>
      </c>
      <c r="AN71" s="91" t="s">
        <v>1215</v>
      </c>
      <c r="AO71" s="83" t="s">
        <v>1214</v>
      </c>
      <c r="AP71" s="82" t="s">
        <v>1206</v>
      </c>
      <c r="AQ71" s="169" t="s">
        <v>1215</v>
      </c>
      <c r="AR71" s="170" t="s">
        <v>1214</v>
      </c>
      <c r="AS71" s="171" t="s">
        <v>1206</v>
      </c>
      <c r="AT71" s="91" t="s">
        <v>1215</v>
      </c>
      <c r="AU71" s="83" t="s">
        <v>1214</v>
      </c>
      <c r="AV71" s="82" t="s">
        <v>1206</v>
      </c>
      <c r="AW71" s="169" t="s">
        <v>1215</v>
      </c>
      <c r="AX71" s="170" t="s">
        <v>1214</v>
      </c>
      <c r="AY71" s="170" t="s">
        <v>1206</v>
      </c>
      <c r="AZ71" s="91" t="s">
        <v>1215</v>
      </c>
      <c r="BA71" s="83" t="s">
        <v>1214</v>
      </c>
      <c r="BB71" s="83" t="s">
        <v>1206</v>
      </c>
    </row>
    <row r="72" spans="3:54">
      <c r="C72" s="137" t="s">
        <v>287</v>
      </c>
      <c r="D72" s="138">
        <f t="shared" si="18"/>
        <v>4</v>
      </c>
      <c r="E72" s="139">
        <f t="shared" si="19"/>
        <v>2.4691358024691357E-2</v>
      </c>
      <c r="F72" s="85" t="s">
        <v>273</v>
      </c>
      <c r="G72" s="97">
        <f>COUNTIF(D9:AI46, "*Colombia*")</f>
        <v>5</v>
      </c>
      <c r="H72" s="125">
        <f>G72/G68</f>
        <v>0.11627906976744186</v>
      </c>
      <c r="I72" s="101" t="s">
        <v>1147</v>
      </c>
      <c r="J72" s="101">
        <f>COUNTIF(D9:AI46, "*Madagascar*")</f>
        <v>1</v>
      </c>
      <c r="K72" s="111">
        <f>J72/J54</f>
        <v>2.3809523809523808E-2</v>
      </c>
      <c r="L72" s="141" t="s">
        <v>1157</v>
      </c>
      <c r="M72" s="141">
        <f t="shared" si="20"/>
        <v>2</v>
      </c>
      <c r="N72" s="1488">
        <f t="shared" si="0"/>
        <v>1.5748031496062992E-2</v>
      </c>
      <c r="P72" s="90" t="s">
        <v>275</v>
      </c>
      <c r="Q72">
        <f>COUNTIF(D9:D46, "*Brazil*")</f>
        <v>4</v>
      </c>
      <c r="R72" s="146">
        <f>$Q72/COUNTA(D$9:D$46)</f>
        <v>0.10526315789473684</v>
      </c>
      <c r="S72" s="176" t="s">
        <v>275</v>
      </c>
      <c r="T72" s="62">
        <f>COUNTIF(F9:F46, "*Brazil*")</f>
        <v>4</v>
      </c>
      <c r="U72" s="173">
        <f>$T72/COUNTA(F$9:F$46)</f>
        <v>0.10526315789473684</v>
      </c>
      <c r="V72" s="158" t="s">
        <v>99</v>
      </c>
      <c r="W72" s="90">
        <f t="shared" ref="W72:W99" si="22">COUNTIF($H$9:$H$46, "*"&amp;$V72&amp;"*")</f>
        <v>4</v>
      </c>
      <c r="X72" s="146">
        <f>$W72/COUNTA(H$9:H$46)</f>
        <v>0.10526315789473684</v>
      </c>
      <c r="Y72" s="176" t="s">
        <v>270</v>
      </c>
      <c r="Z72" s="62">
        <f t="shared" ref="Z72:Z99" si="23">COUNTIF($J$9:$J$46, "*"&amp;$Y72&amp;"*")</f>
        <v>3</v>
      </c>
      <c r="AA72" s="173">
        <f>$Z72/COUNTA(J$9:J$46)</f>
        <v>7.8947368421052627E-2</v>
      </c>
      <c r="AB72" s="154" t="s">
        <v>270</v>
      </c>
      <c r="AC72">
        <f t="shared" ref="AC72:AC97" si="24">COUNTIF($L$9:$L$46, "*"&amp;$AB72&amp;"*")</f>
        <v>4</v>
      </c>
      <c r="AD72" s="146">
        <f>$AC72/COUNTA(L$9:L$46)</f>
        <v>0.10526315789473684</v>
      </c>
      <c r="AE72" s="176" t="s">
        <v>270</v>
      </c>
      <c r="AF72" s="62">
        <f t="shared" ref="AF72:AF96" si="25">COUNTIF($N$9:$N$46, "*"&amp;$AE72&amp;"*")</f>
        <v>5</v>
      </c>
      <c r="AG72" s="173">
        <f>$AF72/COUNTA(N$9:N$46)</f>
        <v>0.13157894736842105</v>
      </c>
      <c r="AH72" s="154" t="s">
        <v>278</v>
      </c>
      <c r="AI72">
        <f t="shared" ref="AI72:AI95" si="26">COUNTIF($P$9:$P$46, "*"&amp;$AH72&amp;"*")</f>
        <v>4</v>
      </c>
      <c r="AJ72" s="146">
        <f t="shared" ref="AJ72:AJ95" si="27">$AI72/COUNTA(P$9:P$46)</f>
        <v>0.10526315789473684</v>
      </c>
      <c r="AK72" s="176" t="s">
        <v>278</v>
      </c>
      <c r="AL72" s="62">
        <f t="shared" ref="AL72:AL97" si="28">COUNTIF($R$9:$R$46, "*"&amp;$AK72&amp;"*")</f>
        <v>4</v>
      </c>
      <c r="AM72" s="173">
        <f t="shared" ref="AM72:AM97" si="29">$AL72/COUNTA(R$9:R$44)</f>
        <v>0.1111111111111111</v>
      </c>
      <c r="AN72" s="154" t="s">
        <v>278</v>
      </c>
      <c r="AO72">
        <f t="shared" ref="AO72:AO98" si="30">COUNTIF($T$9:$T$46, "*"&amp;$AN72&amp;"*")</f>
        <v>4</v>
      </c>
      <c r="AP72" s="146">
        <f>$AO72/COUNTA(T$9:T$46)</f>
        <v>0.10526315789473684</v>
      </c>
      <c r="AQ72" s="176" t="s">
        <v>295</v>
      </c>
      <c r="AR72" s="62">
        <f t="shared" ref="AR72:AR98" si="31">COUNTIF($V$9:$V$46, "*"&amp;$AQ72&amp;"*")</f>
        <v>5</v>
      </c>
      <c r="AS72" s="173">
        <f t="shared" ref="AS72:AS98" si="32">$AR72/COUNTA(V$9:V$44)</f>
        <v>0.14285714285714285</v>
      </c>
      <c r="AT72" s="154" t="s">
        <v>295</v>
      </c>
      <c r="AU72">
        <f t="shared" ref="AU72:AU80" si="33">COUNTIF($Z$9:$Z$46, "*"&amp;$AT72&amp;"*")</f>
        <v>8</v>
      </c>
      <c r="AV72" s="146">
        <f t="shared" ref="AV72:AV92" si="34">$AU72/COUNTA(Z$9:Z$44)</f>
        <v>0.26666666666666666</v>
      </c>
      <c r="AW72" s="180" t="s">
        <v>266</v>
      </c>
      <c r="AX72" s="62">
        <f t="shared" ref="AX72:AX78" si="35">COUNTIF($AD$9:$AD$46, "*"&amp;$AW72&amp;"*")</f>
        <v>2</v>
      </c>
      <c r="AY72" s="182">
        <f t="shared" ref="AY72:AY78" si="36">$AX72/COUNTA(AD$9:AD$44)</f>
        <v>0.25</v>
      </c>
      <c r="AZ72" s="167" t="s">
        <v>266</v>
      </c>
      <c r="BA72">
        <f>COUNTIF($AB$9:$AB$46,"*"&amp;$AZ72&amp;"*")+COUNTIF($AF$9:$AF$46,"*"&amp;$AZ72&amp;"*")+COUNTIF($AH$9:$AH$46,"*"&amp;$AZ72&amp;"*")+COUNTIF($X$9:$X$46,"*"&amp;$AZ72&amp;"*")</f>
        <v>38</v>
      </c>
      <c r="BB72" s="162">
        <f>$BA72/(COUNTA(AF$9:AF$46)+COUNTA(X$9:X$46)+COUNTA(AB$9:AB$46)+COUNTA(AH$9:AH$46))</f>
        <v>1</v>
      </c>
    </row>
    <row r="73" spans="3:54">
      <c r="C73" s="137" t="s">
        <v>268</v>
      </c>
      <c r="D73" s="138">
        <f t="shared" si="18"/>
        <v>4</v>
      </c>
      <c r="E73" s="139">
        <f t="shared" si="19"/>
        <v>2.4691358024691357E-2</v>
      </c>
      <c r="F73" s="85" t="s">
        <v>300</v>
      </c>
      <c r="G73" s="97">
        <f>COUNTIF(D9:AI46, "*Peru*")</f>
        <v>3</v>
      </c>
      <c r="H73" s="125">
        <f>G73/G68</f>
        <v>6.9767441860465115E-2</v>
      </c>
      <c r="I73" s="131" t="s">
        <v>1146</v>
      </c>
      <c r="J73" s="101">
        <f>COUNTIF(D9:AI46, "*Mauritius*")</f>
        <v>1</v>
      </c>
      <c r="K73" s="111">
        <f>J73/J54</f>
        <v>2.3809523809523808E-2</v>
      </c>
      <c r="L73" s="141" t="s">
        <v>292</v>
      </c>
      <c r="M73" s="141">
        <f t="shared" si="20"/>
        <v>1</v>
      </c>
      <c r="N73" s="1488">
        <f t="shared" si="0"/>
        <v>7.874015748031496E-3</v>
      </c>
      <c r="P73" s="90" t="s">
        <v>295</v>
      </c>
      <c r="Q73">
        <f>COUNTIF(D9:D46, "*China*")</f>
        <v>4</v>
      </c>
      <c r="R73" s="146">
        <f t="shared" ref="R73:R95" si="37">$Q73/COUNTA(D$9:D$46)</f>
        <v>0.10526315789473684</v>
      </c>
      <c r="S73" s="176" t="s">
        <v>305</v>
      </c>
      <c r="T73" s="62">
        <f>COUNTIF(F9:F46, "*Chile*")</f>
        <v>4</v>
      </c>
      <c r="U73" s="173">
        <f t="shared" ref="U73:U95" si="38">$T73/COUNTA(F$9:F$46)</f>
        <v>0.10526315789473684</v>
      </c>
      <c r="V73" s="158" t="s">
        <v>281</v>
      </c>
      <c r="W73" s="90">
        <f t="shared" si="22"/>
        <v>4</v>
      </c>
      <c r="X73" s="146">
        <f t="shared" ref="X73:X99" si="39">$W73/COUNTA(H$9:H$46)</f>
        <v>0.10526315789473684</v>
      </c>
      <c r="Y73" s="176" t="s">
        <v>281</v>
      </c>
      <c r="Z73" s="62">
        <f t="shared" si="23"/>
        <v>3</v>
      </c>
      <c r="AA73" s="173">
        <f t="shared" ref="AA73:AA99" si="40">$Z73/COUNTA(J$9:J$46)</f>
        <v>7.8947368421052627E-2</v>
      </c>
      <c r="AB73" s="154" t="s">
        <v>277</v>
      </c>
      <c r="AC73">
        <f t="shared" si="24"/>
        <v>3</v>
      </c>
      <c r="AD73" s="146">
        <f t="shared" ref="AD73:AD97" si="41">$AC73/COUNTA(L$9:L$46)</f>
        <v>7.8947368421052627E-2</v>
      </c>
      <c r="AE73" s="176" t="s">
        <v>278</v>
      </c>
      <c r="AF73" s="62">
        <f t="shared" si="25"/>
        <v>5</v>
      </c>
      <c r="AG73" s="173">
        <f t="shared" ref="AG73:AG96" si="42">$AF73/COUNTA(N$9:N$46)</f>
        <v>0.13157894736842105</v>
      </c>
      <c r="AH73" s="154" t="s">
        <v>304</v>
      </c>
      <c r="AI73">
        <f t="shared" si="26"/>
        <v>4</v>
      </c>
      <c r="AJ73" s="146">
        <f t="shared" si="27"/>
        <v>0.10526315789473684</v>
      </c>
      <c r="AK73" s="176" t="s">
        <v>269</v>
      </c>
      <c r="AL73" s="62">
        <f t="shared" si="28"/>
        <v>3</v>
      </c>
      <c r="AM73" s="173">
        <f t="shared" si="29"/>
        <v>8.3333333333333329E-2</v>
      </c>
      <c r="AN73" s="154" t="s">
        <v>269</v>
      </c>
      <c r="AO73">
        <f t="shared" si="30"/>
        <v>3</v>
      </c>
      <c r="AP73" s="146">
        <f t="shared" ref="AP73:AP98" si="43">$AO73/COUNTA(T$9:T$46)</f>
        <v>7.8947368421052627E-2</v>
      </c>
      <c r="AQ73" s="176" t="s">
        <v>278</v>
      </c>
      <c r="AR73" s="62">
        <f t="shared" si="31"/>
        <v>2</v>
      </c>
      <c r="AS73" s="173">
        <f t="shared" si="32"/>
        <v>5.7142857142857141E-2</v>
      </c>
      <c r="AT73" s="154" t="s">
        <v>267</v>
      </c>
      <c r="AU73">
        <f t="shared" si="33"/>
        <v>3</v>
      </c>
      <c r="AV73" s="146">
        <f t="shared" si="34"/>
        <v>0.1</v>
      </c>
      <c r="AW73" s="180" t="s">
        <v>310</v>
      </c>
      <c r="AX73" s="62">
        <f t="shared" si="35"/>
        <v>1</v>
      </c>
      <c r="AY73" s="182">
        <f t="shared" si="36"/>
        <v>0.125</v>
      </c>
      <c r="AZ73" s="167" t="s">
        <v>311</v>
      </c>
      <c r="BA73">
        <f>COUNTIF($AB$9:$AB$46,"*"&amp;$AZ73&amp;"*")+COUNTIF($AF$9:$AF$46,"*"&amp;$AZ73&amp;"*")+COUNTIF($AH$9:$AH$46,"*"&amp;$AZ73&amp;"*")+COUNTIF($X$9:$X$46,"*"&amp;$AZ73&amp;"*")</f>
        <v>2</v>
      </c>
      <c r="BB73" s="162">
        <f>$BA73/(COUNTA(AF$9:AF$46)+COUNTA(X$9:X$46)+COUNTA(AB$9:AB$46)+COUNTA(AH$9:AH$46))</f>
        <v>5.2631578947368418E-2</v>
      </c>
    </row>
    <row r="74" spans="3:54" ht="15.95" customHeight="1">
      <c r="C74" s="137" t="s">
        <v>1148</v>
      </c>
      <c r="D74" s="138">
        <f t="shared" si="18"/>
        <v>4</v>
      </c>
      <c r="E74" s="139">
        <f t="shared" si="19"/>
        <v>2.4691358024691357E-2</v>
      </c>
      <c r="F74" s="85" t="s">
        <v>276</v>
      </c>
      <c r="G74" s="97">
        <f>COUNTIF(D9:AI46, "*Paraguay*")</f>
        <v>2</v>
      </c>
      <c r="H74" s="125">
        <f>G74/G68</f>
        <v>4.6511627906976744E-2</v>
      </c>
      <c r="I74" s="131" t="s">
        <v>302</v>
      </c>
      <c r="J74" s="101">
        <f>COUNTIF(D9:AI46, "*Mozambique*")</f>
        <v>1</v>
      </c>
      <c r="K74" s="111">
        <f>J74/J54</f>
        <v>2.3809523809523808E-2</v>
      </c>
      <c r="L74" s="141" t="s">
        <v>316</v>
      </c>
      <c r="M74" s="141">
        <f t="shared" si="20"/>
        <v>1</v>
      </c>
      <c r="N74" s="1488">
        <f t="shared" si="0"/>
        <v>7.874015748031496E-3</v>
      </c>
      <c r="P74" s="90" t="s">
        <v>279</v>
      </c>
      <c r="Q74">
        <f>COUNTIF(D9:D46, "*Japan*")</f>
        <v>3</v>
      </c>
      <c r="R74" s="146">
        <f t="shared" si="37"/>
        <v>7.8947368421052627E-2</v>
      </c>
      <c r="S74" s="176" t="s">
        <v>99</v>
      </c>
      <c r="T74" s="62">
        <f>COUNTIF(F9:F46, "*Argentina*")</f>
        <v>3</v>
      </c>
      <c r="U74" s="173">
        <f t="shared" si="38"/>
        <v>7.8947368421052627E-2</v>
      </c>
      <c r="V74" s="158" t="s">
        <v>268</v>
      </c>
      <c r="W74" s="90">
        <f t="shared" si="22"/>
        <v>3</v>
      </c>
      <c r="X74" s="146">
        <f t="shared" si="39"/>
        <v>7.8947368421052627E-2</v>
      </c>
      <c r="Y74" s="176" t="s">
        <v>99</v>
      </c>
      <c r="Z74" s="62">
        <f t="shared" si="23"/>
        <v>2</v>
      </c>
      <c r="AA74" s="173">
        <f t="shared" si="40"/>
        <v>5.2631578947368418E-2</v>
      </c>
      <c r="AB74" s="154" t="s">
        <v>306</v>
      </c>
      <c r="AC74">
        <f t="shared" si="24"/>
        <v>3</v>
      </c>
      <c r="AD74" s="146">
        <f t="shared" si="41"/>
        <v>7.8947368421052627E-2</v>
      </c>
      <c r="AE74" s="176" t="s">
        <v>304</v>
      </c>
      <c r="AF74" s="62">
        <f t="shared" si="25"/>
        <v>3</v>
      </c>
      <c r="AG74" s="173">
        <f t="shared" si="42"/>
        <v>7.8947368421052627E-2</v>
      </c>
      <c r="AH74" s="154" t="s">
        <v>312</v>
      </c>
      <c r="AI74">
        <f t="shared" si="26"/>
        <v>2</v>
      </c>
      <c r="AJ74" s="146">
        <f t="shared" si="27"/>
        <v>5.2631578947368418E-2</v>
      </c>
      <c r="AK74" s="176" t="s">
        <v>283</v>
      </c>
      <c r="AL74" s="62">
        <f t="shared" si="28"/>
        <v>3</v>
      </c>
      <c r="AM74" s="173">
        <f t="shared" si="29"/>
        <v>8.3333333333333329E-2</v>
      </c>
      <c r="AN74" s="154" t="s">
        <v>310</v>
      </c>
      <c r="AO74">
        <f t="shared" si="30"/>
        <v>2</v>
      </c>
      <c r="AP74" s="146">
        <f t="shared" si="43"/>
        <v>5.2631578947368418E-2</v>
      </c>
      <c r="AQ74" s="176" t="s">
        <v>294</v>
      </c>
      <c r="AR74" s="62">
        <f t="shared" si="31"/>
        <v>2</v>
      </c>
      <c r="AS74" s="173">
        <f t="shared" si="32"/>
        <v>5.7142857142857141E-2</v>
      </c>
      <c r="AT74" s="154" t="s">
        <v>279</v>
      </c>
      <c r="AU74">
        <f t="shared" si="33"/>
        <v>2</v>
      </c>
      <c r="AV74" s="146">
        <f t="shared" si="34"/>
        <v>6.6666666666666666E-2</v>
      </c>
      <c r="AW74" s="180" t="s">
        <v>1150</v>
      </c>
      <c r="AX74" s="62">
        <f t="shared" si="35"/>
        <v>1</v>
      </c>
      <c r="AY74" s="182">
        <f t="shared" si="36"/>
        <v>0.125</v>
      </c>
      <c r="AZ74" s="167" t="s">
        <v>1200</v>
      </c>
      <c r="BA74">
        <f>COUNTIF($AB$9:$AB$46,"*"&amp;$AZ74&amp;"*")+COUNTIF($AF$9:$AF$46,"*"&amp;$AZ74&amp;"*")+COUNTIF($AH$9:$AH$46,"*"&amp;$AZ74&amp;"*")+COUNTIF($X$9:$X$46,"*"&amp;$AZ74&amp;"*")</f>
        <v>1</v>
      </c>
      <c r="BB74" s="162">
        <f>$BA74/(COUNTA(AF$9:AF$46)+COUNTA(X$9:X$46)+COUNTA(AB$9:AB$46)+COUNTA(AH$9:AH$46))</f>
        <v>2.6315789473684209E-2</v>
      </c>
    </row>
    <row r="75" spans="3:54" ht="15.95" customHeight="1">
      <c r="C75" s="137" t="s">
        <v>272</v>
      </c>
      <c r="D75" s="138">
        <f t="shared" si="18"/>
        <v>4</v>
      </c>
      <c r="E75" s="139">
        <f t="shared" si="19"/>
        <v>2.4691358024691357E-2</v>
      </c>
      <c r="F75" s="85" t="s">
        <v>1129</v>
      </c>
      <c r="G75" s="97">
        <f>COUNTIF(D9:AI46, "*Uruguay*")</f>
        <v>2</v>
      </c>
      <c r="H75" s="125">
        <f>G75/G68</f>
        <v>4.6511627906976744E-2</v>
      </c>
      <c r="I75" s="101" t="s">
        <v>1136</v>
      </c>
      <c r="J75" s="101">
        <f>COUNTIF(D9:AI46, "*Senegal*")</f>
        <v>1</v>
      </c>
      <c r="K75" s="111">
        <f>J75/J54</f>
        <v>2.3809523809523808E-2</v>
      </c>
      <c r="L75" s="141" t="s">
        <v>293</v>
      </c>
      <c r="M75" s="141">
        <f t="shared" si="20"/>
        <v>1</v>
      </c>
      <c r="N75" s="1488">
        <f t="shared" si="0"/>
        <v>7.874015748031496E-3</v>
      </c>
      <c r="P75" s="90" t="s">
        <v>291</v>
      </c>
      <c r="Q75">
        <f>COUNTIF($D$9:$D$46, "*Mexico*")</f>
        <v>3</v>
      </c>
      <c r="R75" s="146">
        <f t="shared" si="37"/>
        <v>7.8947368421052627E-2</v>
      </c>
      <c r="S75" s="176" t="s">
        <v>315</v>
      </c>
      <c r="T75" s="62">
        <f>COUNTIF(F12:F49, "*Austria*")</f>
        <v>2</v>
      </c>
      <c r="U75" s="173">
        <f t="shared" si="38"/>
        <v>5.2631578947368418E-2</v>
      </c>
      <c r="V75" s="158" t="s">
        <v>273</v>
      </c>
      <c r="W75" s="90">
        <f t="shared" si="22"/>
        <v>2</v>
      </c>
      <c r="X75" s="146">
        <f t="shared" si="39"/>
        <v>5.2631578947368418E-2</v>
      </c>
      <c r="Y75" s="176" t="s">
        <v>277</v>
      </c>
      <c r="Z75" s="62">
        <f t="shared" si="23"/>
        <v>2</v>
      </c>
      <c r="AA75" s="173">
        <f t="shared" si="40"/>
        <v>5.2631578947368418E-2</v>
      </c>
      <c r="AB75" s="154" t="s">
        <v>278</v>
      </c>
      <c r="AC75">
        <f t="shared" si="24"/>
        <v>2</v>
      </c>
      <c r="AD75" s="146">
        <f t="shared" si="41"/>
        <v>5.2631578947368418E-2</v>
      </c>
      <c r="AE75" s="176" t="s">
        <v>312</v>
      </c>
      <c r="AF75" s="62">
        <f t="shared" si="25"/>
        <v>2</v>
      </c>
      <c r="AG75" s="173">
        <f t="shared" si="42"/>
        <v>5.2631578947368418E-2</v>
      </c>
      <c r="AH75" s="154" t="s">
        <v>270</v>
      </c>
      <c r="AI75">
        <f t="shared" si="26"/>
        <v>3</v>
      </c>
      <c r="AJ75" s="146">
        <f t="shared" si="27"/>
        <v>7.8947368421052627E-2</v>
      </c>
      <c r="AK75" s="176" t="s">
        <v>319</v>
      </c>
      <c r="AL75" s="62">
        <f t="shared" si="28"/>
        <v>3</v>
      </c>
      <c r="AM75" s="173">
        <f t="shared" si="29"/>
        <v>8.3333333333333329E-2</v>
      </c>
      <c r="AN75" s="154" t="s">
        <v>1128</v>
      </c>
      <c r="AO75">
        <f t="shared" si="30"/>
        <v>2</v>
      </c>
      <c r="AP75" s="146">
        <f t="shared" si="43"/>
        <v>5.2631578947368418E-2</v>
      </c>
      <c r="AQ75" s="176" t="s">
        <v>309</v>
      </c>
      <c r="AR75" s="62">
        <f t="shared" si="31"/>
        <v>2</v>
      </c>
      <c r="AS75" s="173">
        <f t="shared" si="32"/>
        <v>5.7142857142857141E-2</v>
      </c>
      <c r="AT75" s="154" t="s">
        <v>1133</v>
      </c>
      <c r="AU75">
        <f t="shared" si="33"/>
        <v>2</v>
      </c>
      <c r="AV75" s="146">
        <f t="shared" si="34"/>
        <v>6.6666666666666666E-2</v>
      </c>
      <c r="AW75" s="180" t="s">
        <v>1139</v>
      </c>
      <c r="AX75" s="62">
        <f t="shared" si="35"/>
        <v>1</v>
      </c>
      <c r="AY75" s="182">
        <f t="shared" si="36"/>
        <v>0.125</v>
      </c>
      <c r="AZ75" s="167" t="s">
        <v>1219</v>
      </c>
      <c r="BA75">
        <f>COUNTIF($AB$9:$AB$46,"*"&amp;$AZ75&amp;"*")+COUNTIF($AF$9:$AF$46,"*"&amp;$AZ75&amp;"*")+COUNTIF($AH$9:$AH$46,"*"&amp;$AZ75&amp;"*")+COUNTIF($X$9:$X$46,"*"&amp;$AZ75&amp;"*")</f>
        <v>1</v>
      </c>
      <c r="BB75" s="162">
        <f>$BA75/(COUNTA(AF$9:AF$46)+COUNTA(X$9:X$46)+COUNTA(AB$9:AB$46)+COUNTA(AH$9:AH$46))</f>
        <v>2.6315789473684209E-2</v>
      </c>
    </row>
    <row r="76" spans="3:54" ht="15.95" customHeight="1">
      <c r="C76" s="137" t="s">
        <v>285</v>
      </c>
      <c r="D76" s="138">
        <f t="shared" si="18"/>
        <v>4</v>
      </c>
      <c r="E76" s="139">
        <f t="shared" si="19"/>
        <v>2.4691358024691357E-2</v>
      </c>
      <c r="F76" s="85" t="s">
        <v>1149</v>
      </c>
      <c r="G76" s="97">
        <f>COUNTIF(D9:AI46, "*Ecuador*")</f>
        <v>1</v>
      </c>
      <c r="H76" s="125">
        <f>G76/G68</f>
        <v>2.3255813953488372E-2</v>
      </c>
      <c r="I76" s="131" t="s">
        <v>1159</v>
      </c>
      <c r="J76" s="101">
        <f>COUNTIF(D9:AI46, "*Seychelles*")</f>
        <v>1</v>
      </c>
      <c r="K76" s="111">
        <f>J76/J54</f>
        <v>2.3809523809523808E-2</v>
      </c>
      <c r="L76" s="141" t="s">
        <v>282</v>
      </c>
      <c r="M76" s="141">
        <f t="shared" si="20"/>
        <v>1</v>
      </c>
      <c r="N76" s="1488">
        <f t="shared" si="0"/>
        <v>7.874015748031496E-3</v>
      </c>
      <c r="P76" s="90" t="s">
        <v>305</v>
      </c>
      <c r="Q76">
        <f>COUNTIF(D9:D46, "*Chile*")</f>
        <v>2</v>
      </c>
      <c r="R76" s="146">
        <f t="shared" si="37"/>
        <v>5.2631578947368418E-2</v>
      </c>
      <c r="S76" s="176" t="s">
        <v>273</v>
      </c>
      <c r="T76" s="62">
        <f>COUNTIF(F9:F46, "*Colombia*")</f>
        <v>2</v>
      </c>
      <c r="U76" s="173">
        <f t="shared" si="38"/>
        <v>5.2631578947368418E-2</v>
      </c>
      <c r="V76" s="158" t="s">
        <v>294</v>
      </c>
      <c r="W76" s="90">
        <f t="shared" si="22"/>
        <v>2</v>
      </c>
      <c r="X76" s="146">
        <f t="shared" si="39"/>
        <v>5.2631578947368418E-2</v>
      </c>
      <c r="Y76" s="176" t="s">
        <v>265</v>
      </c>
      <c r="Z76" s="62">
        <f t="shared" si="23"/>
        <v>2</v>
      </c>
      <c r="AA76" s="173">
        <f t="shared" si="40"/>
        <v>5.2631578947368418E-2</v>
      </c>
      <c r="AB76" s="154" t="s">
        <v>1124</v>
      </c>
      <c r="AC76">
        <f t="shared" si="24"/>
        <v>2</v>
      </c>
      <c r="AD76" s="146">
        <f t="shared" si="41"/>
        <v>5.2631578947368418E-2</v>
      </c>
      <c r="AE76" s="176" t="s">
        <v>1124</v>
      </c>
      <c r="AF76" s="62">
        <f t="shared" si="25"/>
        <v>2</v>
      </c>
      <c r="AG76" s="173">
        <f t="shared" si="42"/>
        <v>5.2631578947368418E-2</v>
      </c>
      <c r="AH76" s="155" t="s">
        <v>277</v>
      </c>
      <c r="AI76">
        <f t="shared" si="26"/>
        <v>2</v>
      </c>
      <c r="AJ76" s="146">
        <f t="shared" si="27"/>
        <v>5.2631578947368418E-2</v>
      </c>
      <c r="AK76" s="176" t="s">
        <v>271</v>
      </c>
      <c r="AL76" s="62">
        <f t="shared" si="28"/>
        <v>2</v>
      </c>
      <c r="AM76" s="173">
        <f t="shared" si="29"/>
        <v>5.5555555555555552E-2</v>
      </c>
      <c r="AN76" s="154" t="s">
        <v>123</v>
      </c>
      <c r="AO76">
        <f t="shared" si="30"/>
        <v>2</v>
      </c>
      <c r="AP76" s="146">
        <f t="shared" si="43"/>
        <v>5.2631578947368418E-2</v>
      </c>
      <c r="AQ76" s="176" t="s">
        <v>1133</v>
      </c>
      <c r="AR76" s="62">
        <f t="shared" si="31"/>
        <v>2</v>
      </c>
      <c r="AS76" s="173">
        <f t="shared" si="32"/>
        <v>5.7142857142857141E-2</v>
      </c>
      <c r="AT76" s="154" t="s">
        <v>320</v>
      </c>
      <c r="AU76">
        <f t="shared" si="33"/>
        <v>2</v>
      </c>
      <c r="AV76" s="146">
        <f t="shared" si="34"/>
        <v>6.6666666666666666E-2</v>
      </c>
      <c r="AW76" s="180" t="s">
        <v>279</v>
      </c>
      <c r="AX76" s="62">
        <f t="shared" si="35"/>
        <v>1</v>
      </c>
      <c r="AY76" s="182">
        <f t="shared" si="36"/>
        <v>0.125</v>
      </c>
      <c r="AZ76" s="167" t="s">
        <v>270</v>
      </c>
      <c r="BA76">
        <f>COUNTIF($AB$9:$AB$46,"*"&amp;$AZ76&amp;"*")+COUNTIF($AF$9:$AF$46,"*"&amp;$AZ76&amp;"*")+COUNTIF($AH$9:$AH$46,"*"&amp;$AZ76&amp;"*")+COUNTIF($X$9:$X$46,"*"&amp;$AZ76&amp;"*")</f>
        <v>1</v>
      </c>
      <c r="BB76" s="162">
        <f>$BA76/(COUNTA(AF$9:AF$46)+COUNTA(X$9:X$46)+COUNTA(AB$9:AB$46)+COUNTA(AH$9:AH$46))</f>
        <v>2.6315789473684209E-2</v>
      </c>
    </row>
    <row r="77" spans="3:54" ht="15.95" customHeight="1">
      <c r="C77" s="137" t="s">
        <v>162</v>
      </c>
      <c r="D77" s="138">
        <f t="shared" si="18"/>
        <v>3</v>
      </c>
      <c r="E77" s="139">
        <f t="shared" si="19"/>
        <v>1.8518518518518517E-2</v>
      </c>
      <c r="F77" s="99" t="s">
        <v>1156</v>
      </c>
      <c r="G77" s="97">
        <f>COUNTIF(D9:AI46, "*Bolivia*")</f>
        <v>1</v>
      </c>
      <c r="H77" s="108">
        <f>G77/G68</f>
        <v>2.3255813953488372E-2</v>
      </c>
      <c r="I77" s="130" t="s">
        <v>284</v>
      </c>
      <c r="J77" s="106">
        <f>COUNTIF(D9:AI46, "*Uganda*")</f>
        <v>1</v>
      </c>
      <c r="K77" s="112">
        <f>J77/J54</f>
        <v>2.3809523809523808E-2</v>
      </c>
      <c r="P77" s="90" t="s">
        <v>267</v>
      </c>
      <c r="Q77">
        <f>COUNTIF(D9:D46, "*England*")</f>
        <v>2</v>
      </c>
      <c r="R77" s="146">
        <f t="shared" si="37"/>
        <v>5.2631578947368418E-2</v>
      </c>
      <c r="S77" s="176" t="s">
        <v>267</v>
      </c>
      <c r="T77" s="62">
        <f>COUNTIF(F9:F46, "*England*")</f>
        <v>2</v>
      </c>
      <c r="U77" s="173">
        <f t="shared" si="38"/>
        <v>5.2631578947368418E-2</v>
      </c>
      <c r="V77" s="158" t="s">
        <v>315</v>
      </c>
      <c r="W77" s="90">
        <f t="shared" si="22"/>
        <v>1</v>
      </c>
      <c r="X77" s="146">
        <f t="shared" si="39"/>
        <v>2.6315789473684209E-2</v>
      </c>
      <c r="Y77" s="176" t="s">
        <v>1135</v>
      </c>
      <c r="Z77" s="62">
        <f t="shared" si="23"/>
        <v>2</v>
      </c>
      <c r="AA77" s="173">
        <f t="shared" si="40"/>
        <v>5.2631578947368418E-2</v>
      </c>
      <c r="AB77" s="154" t="s">
        <v>290</v>
      </c>
      <c r="AC77">
        <f t="shared" si="24"/>
        <v>2</v>
      </c>
      <c r="AD77" s="146">
        <f t="shared" si="41"/>
        <v>5.2631578947368418E-2</v>
      </c>
      <c r="AE77" s="176" t="s">
        <v>283</v>
      </c>
      <c r="AF77" s="62">
        <f t="shared" si="25"/>
        <v>2</v>
      </c>
      <c r="AG77" s="173">
        <f t="shared" si="42"/>
        <v>5.2631578947368418E-2</v>
      </c>
      <c r="AH77" s="154" t="s">
        <v>286</v>
      </c>
      <c r="AI77">
        <f t="shared" si="26"/>
        <v>2</v>
      </c>
      <c r="AJ77" s="146">
        <f t="shared" si="27"/>
        <v>5.2631578947368418E-2</v>
      </c>
      <c r="AK77" s="176" t="s">
        <v>1128</v>
      </c>
      <c r="AL77" s="62">
        <f t="shared" si="28"/>
        <v>2</v>
      </c>
      <c r="AM77" s="173">
        <f t="shared" si="29"/>
        <v>5.5555555555555552E-2</v>
      </c>
      <c r="AN77" s="155" t="s">
        <v>1185</v>
      </c>
      <c r="AO77">
        <f t="shared" si="30"/>
        <v>2</v>
      </c>
      <c r="AP77" s="146">
        <f t="shared" si="43"/>
        <v>5.2631578947368418E-2</v>
      </c>
      <c r="AQ77" s="176" t="s">
        <v>1148</v>
      </c>
      <c r="AR77" s="62">
        <f t="shared" si="31"/>
        <v>2</v>
      </c>
      <c r="AS77" s="173">
        <f t="shared" si="32"/>
        <v>5.7142857142857141E-2</v>
      </c>
      <c r="AT77" s="154" t="s">
        <v>310</v>
      </c>
      <c r="AU77">
        <f t="shared" si="33"/>
        <v>1</v>
      </c>
      <c r="AV77" s="146">
        <f t="shared" si="34"/>
        <v>3.3333333333333333E-2</v>
      </c>
      <c r="AW77" s="180" t="s">
        <v>1133</v>
      </c>
      <c r="AX77" s="62">
        <f t="shared" si="35"/>
        <v>1</v>
      </c>
      <c r="AY77" s="182">
        <f t="shared" si="36"/>
        <v>0.125</v>
      </c>
      <c r="AZ77" s="70"/>
    </row>
    <row r="78" spans="3:54" ht="15.95" customHeight="1">
      <c r="C78" s="137" t="s">
        <v>297</v>
      </c>
      <c r="D78" s="138">
        <f t="shared" si="18"/>
        <v>3</v>
      </c>
      <c r="E78" s="139">
        <f t="shared" si="19"/>
        <v>1.8518518518518517E-2</v>
      </c>
      <c r="F78" s="102" t="s">
        <v>1132</v>
      </c>
      <c r="G78" s="530">
        <f>COUNTIF(D9:AI46,"*Middle East*")+COUNTIF(D9:AI46,"*Middle East**Middle East*")</f>
        <v>16</v>
      </c>
      <c r="H78" s="126">
        <f>G78/G78</f>
        <v>1</v>
      </c>
      <c r="I78" s="132" t="s">
        <v>1123</v>
      </c>
      <c r="J78" s="107">
        <f>COUNTIF(D9:AI46,"*Oceania*")+COUNTIF(D9:AI46,"*Oceania**Oceania*")</f>
        <v>16</v>
      </c>
      <c r="K78" s="115">
        <f>J78/J78</f>
        <v>1</v>
      </c>
      <c r="P78" s="90" t="s">
        <v>162</v>
      </c>
      <c r="Q78">
        <f>COUNTIF(D9:D46, "*Iceland*")</f>
        <v>2</v>
      </c>
      <c r="R78" s="146">
        <f t="shared" si="37"/>
        <v>5.2631578947368418E-2</v>
      </c>
      <c r="S78" s="176" t="s">
        <v>294</v>
      </c>
      <c r="T78" s="62">
        <f>COUNTIF(F9:F46, "*Indonesia*")</f>
        <v>2</v>
      </c>
      <c r="U78" s="173">
        <f t="shared" si="38"/>
        <v>5.2631578947368418E-2</v>
      </c>
      <c r="V78" s="158" t="s">
        <v>1156</v>
      </c>
      <c r="W78" s="90">
        <f t="shared" si="22"/>
        <v>1</v>
      </c>
      <c r="X78" s="146">
        <f t="shared" si="39"/>
        <v>2.6315789473684209E-2</v>
      </c>
      <c r="Y78" s="177" t="s">
        <v>269</v>
      </c>
      <c r="Z78" s="62">
        <f t="shared" si="23"/>
        <v>2</v>
      </c>
      <c r="AA78" s="173">
        <f t="shared" si="40"/>
        <v>5.2631578947368418E-2</v>
      </c>
      <c r="AB78" s="154" t="s">
        <v>283</v>
      </c>
      <c r="AC78">
        <f t="shared" si="24"/>
        <v>2</v>
      </c>
      <c r="AD78" s="146">
        <f t="shared" si="41"/>
        <v>5.2631578947368418E-2</v>
      </c>
      <c r="AE78" s="176" t="s">
        <v>285</v>
      </c>
      <c r="AF78" s="62">
        <f t="shared" si="25"/>
        <v>2</v>
      </c>
      <c r="AG78" s="173">
        <f t="shared" si="42"/>
        <v>5.2631578947368418E-2</v>
      </c>
      <c r="AH78" s="154" t="s">
        <v>265</v>
      </c>
      <c r="AI78">
        <f t="shared" si="26"/>
        <v>2</v>
      </c>
      <c r="AJ78" s="146">
        <f t="shared" si="27"/>
        <v>5.2631578947368418E-2</v>
      </c>
      <c r="AK78" s="176" t="s">
        <v>297</v>
      </c>
      <c r="AL78" s="62">
        <f t="shared" si="28"/>
        <v>2</v>
      </c>
      <c r="AM78" s="173">
        <f t="shared" si="29"/>
        <v>5.5555555555555552E-2</v>
      </c>
      <c r="AN78" s="154" t="s">
        <v>286</v>
      </c>
      <c r="AO78">
        <f t="shared" si="30"/>
        <v>2</v>
      </c>
      <c r="AP78" s="146">
        <f t="shared" si="43"/>
        <v>5.2631578947368418E-2</v>
      </c>
      <c r="AQ78" s="176" t="s">
        <v>290</v>
      </c>
      <c r="AR78" s="62">
        <f t="shared" si="31"/>
        <v>2</v>
      </c>
      <c r="AS78" s="173">
        <f t="shared" si="32"/>
        <v>5.7142857142857141E-2</v>
      </c>
      <c r="AT78" s="154" t="s">
        <v>275</v>
      </c>
      <c r="AU78">
        <f t="shared" si="33"/>
        <v>1</v>
      </c>
      <c r="AV78" s="146">
        <f t="shared" si="34"/>
        <v>3.3333333333333333E-2</v>
      </c>
      <c r="AW78" s="180" t="s">
        <v>281</v>
      </c>
      <c r="AX78" s="62">
        <f t="shared" si="35"/>
        <v>1</v>
      </c>
      <c r="AY78" s="182">
        <f t="shared" si="36"/>
        <v>0.125</v>
      </c>
      <c r="AZ78" s="70"/>
    </row>
    <row r="79" spans="3:54" ht="15.95" customHeight="1">
      <c r="C79" s="137" t="s">
        <v>1151</v>
      </c>
      <c r="D79" s="138">
        <f t="shared" si="18"/>
        <v>3</v>
      </c>
      <c r="E79" s="139">
        <f t="shared" si="19"/>
        <v>1.8518518518518517E-2</v>
      </c>
      <c r="F79" s="103" t="s">
        <v>283</v>
      </c>
      <c r="G79" s="104">
        <f>COUNTIF(D9:AI46, "*UAE*")</f>
        <v>8</v>
      </c>
      <c r="H79" s="127">
        <f>G79/G78</f>
        <v>0.5</v>
      </c>
      <c r="I79" s="133" t="s">
        <v>310</v>
      </c>
      <c r="J79" s="107">
        <f>COUNTIF(D9:AI46, "*Australia*")</f>
        <v>8</v>
      </c>
      <c r="K79" s="114">
        <f>J79/J78</f>
        <v>0.5</v>
      </c>
      <c r="P79" s="90" t="s">
        <v>99</v>
      </c>
      <c r="Q79">
        <f>COUNTIF(D9:D46, "*Argentina*")</f>
        <v>1</v>
      </c>
      <c r="R79" s="146">
        <f t="shared" si="37"/>
        <v>2.6315789473684209E-2</v>
      </c>
      <c r="S79" s="176" t="s">
        <v>291</v>
      </c>
      <c r="T79" s="62">
        <f>COUNTIF(F9:F46, "*Mexico*")</f>
        <v>2</v>
      </c>
      <c r="U79" s="173">
        <f t="shared" si="38"/>
        <v>5.2631578947368418E-2</v>
      </c>
      <c r="V79" s="158" t="s">
        <v>275</v>
      </c>
      <c r="W79" s="90">
        <f t="shared" si="22"/>
        <v>1</v>
      </c>
      <c r="X79" s="146">
        <f t="shared" si="39"/>
        <v>2.6315789473684209E-2</v>
      </c>
      <c r="Y79" s="176" t="s">
        <v>290</v>
      </c>
      <c r="Z79" s="62">
        <f t="shared" si="23"/>
        <v>2</v>
      </c>
      <c r="AA79" s="173">
        <f t="shared" si="40"/>
        <v>5.2631578947368418E-2</v>
      </c>
      <c r="AB79" s="155" t="s">
        <v>315</v>
      </c>
      <c r="AC79">
        <f t="shared" si="24"/>
        <v>1</v>
      </c>
      <c r="AD79" s="146">
        <f t="shared" si="41"/>
        <v>2.6315789473684209E-2</v>
      </c>
      <c r="AE79" s="181" t="s">
        <v>99</v>
      </c>
      <c r="AF79" s="62">
        <f t="shared" si="25"/>
        <v>1</v>
      </c>
      <c r="AG79" s="173">
        <f t="shared" si="42"/>
        <v>2.6315789473684209E-2</v>
      </c>
      <c r="AH79" s="154" t="s">
        <v>314</v>
      </c>
      <c r="AI79">
        <f t="shared" si="26"/>
        <v>2</v>
      </c>
      <c r="AJ79" s="146">
        <f t="shared" si="27"/>
        <v>5.2631578947368418E-2</v>
      </c>
      <c r="AK79" s="176" t="s">
        <v>310</v>
      </c>
      <c r="AL79" s="62">
        <f t="shared" si="28"/>
        <v>1</v>
      </c>
      <c r="AM79" s="173">
        <f t="shared" si="29"/>
        <v>2.7777777777777776E-2</v>
      </c>
      <c r="AN79" s="154" t="s">
        <v>294</v>
      </c>
      <c r="AO79">
        <f t="shared" si="30"/>
        <v>2</v>
      </c>
      <c r="AP79" s="146">
        <f t="shared" si="43"/>
        <v>5.2631578947368418E-2</v>
      </c>
      <c r="AQ79" s="176" t="s">
        <v>310</v>
      </c>
      <c r="AR79" s="62">
        <f t="shared" si="31"/>
        <v>1</v>
      </c>
      <c r="AS79" s="173">
        <f t="shared" si="32"/>
        <v>2.8571428571428571E-2</v>
      </c>
      <c r="AT79" s="154" t="s">
        <v>288</v>
      </c>
      <c r="AU79">
        <f t="shared" si="33"/>
        <v>1</v>
      </c>
      <c r="AV79" s="146">
        <f t="shared" si="34"/>
        <v>3.3333333333333333E-2</v>
      </c>
      <c r="AW79" s="180"/>
      <c r="AX79" s="62"/>
      <c r="AY79" s="62"/>
      <c r="AZ79" s="70"/>
    </row>
    <row r="80" spans="3:54" ht="15.95" customHeight="1">
      <c r="C80" s="137" t="s">
        <v>1216</v>
      </c>
      <c r="D80" s="138">
        <f t="shared" si="18"/>
        <v>3</v>
      </c>
      <c r="E80" s="139">
        <f t="shared" si="19"/>
        <v>1.8518518518518517E-2</v>
      </c>
      <c r="F80" s="103" t="s">
        <v>319</v>
      </c>
      <c r="G80" s="104">
        <f>COUNTIF(D9:AI46, "*Oman*")</f>
        <v>5</v>
      </c>
      <c r="H80" s="127">
        <f>G80/G78</f>
        <v>0.3125</v>
      </c>
      <c r="I80" s="133" t="s">
        <v>309</v>
      </c>
      <c r="J80" s="107">
        <f>COUNTIF(D9:AI46, "*New Zealand*")</f>
        <v>5</v>
      </c>
      <c r="K80" s="114">
        <f>J80/J78</f>
        <v>0.3125</v>
      </c>
      <c r="P80" s="90" t="s">
        <v>310</v>
      </c>
      <c r="Q80">
        <f>COUNTIF(D9:D46, "*Australia*")</f>
        <v>1</v>
      </c>
      <c r="R80" s="146">
        <f t="shared" si="37"/>
        <v>2.6315789473684209E-2</v>
      </c>
      <c r="S80" s="176" t="s">
        <v>310</v>
      </c>
      <c r="T80" s="62">
        <f>COUNTIF(F9:F46, "*Australia*")</f>
        <v>1</v>
      </c>
      <c r="U80" s="173">
        <f t="shared" si="38"/>
        <v>2.6315789473684209E-2</v>
      </c>
      <c r="V80" s="158" t="s">
        <v>1152</v>
      </c>
      <c r="W80" s="90">
        <f t="shared" si="22"/>
        <v>1</v>
      </c>
      <c r="X80" s="146">
        <f t="shared" si="39"/>
        <v>2.6315789473684209E-2</v>
      </c>
      <c r="Y80" s="176" t="s">
        <v>313</v>
      </c>
      <c r="Z80" s="62">
        <f t="shared" si="23"/>
        <v>1</v>
      </c>
      <c r="AA80" s="173">
        <f t="shared" si="40"/>
        <v>2.6315789473684209E-2</v>
      </c>
      <c r="AB80" s="154" t="s">
        <v>313</v>
      </c>
      <c r="AC80">
        <f t="shared" si="24"/>
        <v>1</v>
      </c>
      <c r="AD80" s="146">
        <f t="shared" si="41"/>
        <v>2.6315789473684209E-2</v>
      </c>
      <c r="AE80" s="176" t="s">
        <v>292</v>
      </c>
      <c r="AF80" s="62">
        <f t="shared" si="25"/>
        <v>1</v>
      </c>
      <c r="AG80" s="173">
        <f t="shared" si="42"/>
        <v>2.6315789473684209E-2</v>
      </c>
      <c r="AH80" s="154" t="s">
        <v>315</v>
      </c>
      <c r="AI80">
        <f t="shared" si="26"/>
        <v>1</v>
      </c>
      <c r="AJ80" s="146">
        <f t="shared" si="27"/>
        <v>2.6315789473684209E-2</v>
      </c>
      <c r="AK80" s="176" t="s">
        <v>315</v>
      </c>
      <c r="AL80" s="62">
        <f t="shared" si="28"/>
        <v>1</v>
      </c>
      <c r="AM80" s="173">
        <f t="shared" si="29"/>
        <v>2.7777777777777776E-2</v>
      </c>
      <c r="AN80" s="154" t="s">
        <v>271</v>
      </c>
      <c r="AO80">
        <f t="shared" si="30"/>
        <v>2</v>
      </c>
      <c r="AP80" s="146">
        <f t="shared" si="43"/>
        <v>5.2631578947368418E-2</v>
      </c>
      <c r="AQ80" s="176" t="s">
        <v>287</v>
      </c>
      <c r="AR80" s="62">
        <f t="shared" si="31"/>
        <v>1</v>
      </c>
      <c r="AS80" s="173">
        <f t="shared" si="32"/>
        <v>2.8571428571428571E-2</v>
      </c>
      <c r="AT80" s="154" t="s">
        <v>270</v>
      </c>
      <c r="AU80">
        <f t="shared" si="33"/>
        <v>2</v>
      </c>
      <c r="AV80" s="146">
        <f t="shared" si="34"/>
        <v>6.6666666666666666E-2</v>
      </c>
      <c r="AW80" s="174"/>
      <c r="AX80" s="62"/>
      <c r="AY80" s="62"/>
      <c r="AZ80" s="70"/>
    </row>
    <row r="81" spans="3:52" ht="15.95" customHeight="1">
      <c r="C81" s="137" t="s">
        <v>1293</v>
      </c>
      <c r="D81" s="138">
        <f t="shared" si="18"/>
        <v>2</v>
      </c>
      <c r="E81" s="139">
        <f t="shared" si="19"/>
        <v>1.2345679012345678E-2</v>
      </c>
      <c r="F81" s="103" t="s">
        <v>321</v>
      </c>
      <c r="G81" s="104">
        <f>COUNTIF(D9:AI46, "*Jordan*")</f>
        <v>2</v>
      </c>
      <c r="H81" s="127">
        <f>G81/G78</f>
        <v>0.125</v>
      </c>
      <c r="I81" s="133" t="s">
        <v>1164</v>
      </c>
      <c r="J81" s="107">
        <f>COUNTIF(D9:AI46, "*French Polynesia*")</f>
        <v>2</v>
      </c>
      <c r="K81" s="114">
        <f>J81/J78</f>
        <v>0.125</v>
      </c>
      <c r="P81" s="90" t="s">
        <v>1149</v>
      </c>
      <c r="Q81">
        <f>COUNTIF(D9:D46, "*Ecuador*")</f>
        <v>1</v>
      </c>
      <c r="R81" s="146">
        <f t="shared" si="37"/>
        <v>2.6315789473684209E-2</v>
      </c>
      <c r="S81" s="176" t="s">
        <v>287</v>
      </c>
      <c r="T81" s="62">
        <f>COUNTIF(F9:F46, "*Belgium*")</f>
        <v>1</v>
      </c>
      <c r="U81" s="173">
        <f t="shared" si="38"/>
        <v>2.6315789473684209E-2</v>
      </c>
      <c r="V81" s="158" t="s">
        <v>305</v>
      </c>
      <c r="W81" s="90">
        <f t="shared" si="22"/>
        <v>1</v>
      </c>
      <c r="X81" s="146">
        <f t="shared" si="39"/>
        <v>2.6315789473684209E-2</v>
      </c>
      <c r="Y81" s="176" t="s">
        <v>1152</v>
      </c>
      <c r="Z81" s="62">
        <f t="shared" si="23"/>
        <v>1</v>
      </c>
      <c r="AA81" s="173">
        <f t="shared" si="40"/>
        <v>2.6315789473684209E-2</v>
      </c>
      <c r="AB81" s="154" t="s">
        <v>280</v>
      </c>
      <c r="AC81">
        <f t="shared" si="24"/>
        <v>1</v>
      </c>
      <c r="AD81" s="146">
        <f t="shared" si="41"/>
        <v>2.6315789473684209E-2</v>
      </c>
      <c r="AE81" s="176" t="s">
        <v>315</v>
      </c>
      <c r="AF81" s="62">
        <f t="shared" si="25"/>
        <v>1</v>
      </c>
      <c r="AG81" s="173">
        <f t="shared" si="42"/>
        <v>2.6315789473684209E-2</v>
      </c>
      <c r="AH81" s="154" t="s">
        <v>293</v>
      </c>
      <c r="AI81">
        <f t="shared" si="26"/>
        <v>1</v>
      </c>
      <c r="AJ81" s="146">
        <f t="shared" si="27"/>
        <v>2.6315789473684209E-2</v>
      </c>
      <c r="AK81" s="176" t="s">
        <v>1235</v>
      </c>
      <c r="AL81" s="62">
        <f t="shared" si="28"/>
        <v>1</v>
      </c>
      <c r="AM81" s="173">
        <f t="shared" si="29"/>
        <v>2.7777777777777776E-2</v>
      </c>
      <c r="AN81" s="154" t="s">
        <v>289</v>
      </c>
      <c r="AO81">
        <f t="shared" si="30"/>
        <v>1</v>
      </c>
      <c r="AP81" s="146">
        <f t="shared" si="43"/>
        <v>2.6315789473684209E-2</v>
      </c>
      <c r="AQ81" s="176" t="s">
        <v>288</v>
      </c>
      <c r="AR81" s="62">
        <f t="shared" si="31"/>
        <v>1</v>
      </c>
      <c r="AS81" s="173">
        <f t="shared" si="32"/>
        <v>2.8571428571428571E-2</v>
      </c>
      <c r="AT81" s="154" t="s">
        <v>1151</v>
      </c>
      <c r="AU81">
        <f>COUNTIF($Z$9:$Z$46, $AT81)</f>
        <v>1</v>
      </c>
      <c r="AV81" s="146">
        <f t="shared" si="34"/>
        <v>3.3333333333333333E-2</v>
      </c>
      <c r="AW81" s="174"/>
      <c r="AX81" s="62"/>
      <c r="AY81" s="62"/>
      <c r="AZ81" s="70"/>
    </row>
    <row r="82" spans="3:52" ht="15.95" customHeight="1">
      <c r="C82" s="137" t="s">
        <v>1137</v>
      </c>
      <c r="D82" s="138">
        <f t="shared" si="18"/>
        <v>2</v>
      </c>
      <c r="E82" s="139">
        <f t="shared" si="19"/>
        <v>1.2345679012345678E-2</v>
      </c>
      <c r="F82" s="103" t="s">
        <v>1138</v>
      </c>
      <c r="G82" s="104">
        <f>COUNTIF(D9:AI46, "*Turkey*")</f>
        <v>2</v>
      </c>
      <c r="H82" s="127">
        <f>G82/G78</f>
        <v>0.125</v>
      </c>
      <c r="I82" s="133" t="s">
        <v>1150</v>
      </c>
      <c r="J82" s="107">
        <f>COUNTIF(D9:AI46, "*Guam*")</f>
        <v>1</v>
      </c>
      <c r="K82" s="114">
        <f>J82/J78</f>
        <v>6.25E-2</v>
      </c>
      <c r="P82" s="53" t="s">
        <v>1164</v>
      </c>
      <c r="Q82">
        <f>COUNTIF(D9:D46, "*French Polynesia*")</f>
        <v>1</v>
      </c>
      <c r="R82" s="146">
        <f t="shared" si="37"/>
        <v>2.6315789473684209E-2</v>
      </c>
      <c r="S82" s="176" t="s">
        <v>295</v>
      </c>
      <c r="T82" s="62">
        <f>COUNTIF(F9:F46, "*China*")</f>
        <v>1</v>
      </c>
      <c r="U82" s="173">
        <f t="shared" si="38"/>
        <v>2.6315789473684209E-2</v>
      </c>
      <c r="V82" s="159" t="s">
        <v>1193</v>
      </c>
      <c r="W82" s="90">
        <f t="shared" si="22"/>
        <v>1</v>
      </c>
      <c r="X82" s="146">
        <f t="shared" si="39"/>
        <v>2.6315789473684209E-2</v>
      </c>
      <c r="Y82" s="176" t="s">
        <v>280</v>
      </c>
      <c r="Z82" s="62">
        <f t="shared" si="23"/>
        <v>1</v>
      </c>
      <c r="AA82" s="173">
        <f t="shared" si="40"/>
        <v>2.6315789473684209E-2</v>
      </c>
      <c r="AB82" s="164" t="s">
        <v>305</v>
      </c>
      <c r="AC82">
        <f t="shared" si="24"/>
        <v>1</v>
      </c>
      <c r="AD82" s="146">
        <f t="shared" si="41"/>
        <v>2.6315789473684209E-2</v>
      </c>
      <c r="AE82" s="176" t="s">
        <v>316</v>
      </c>
      <c r="AF82" s="62">
        <f t="shared" si="25"/>
        <v>1</v>
      </c>
      <c r="AG82" s="173">
        <f t="shared" si="42"/>
        <v>2.6315789473684209E-2</v>
      </c>
      <c r="AH82" s="154" t="s">
        <v>271</v>
      </c>
      <c r="AI82">
        <f t="shared" si="26"/>
        <v>1</v>
      </c>
      <c r="AJ82" s="146">
        <f t="shared" si="27"/>
        <v>2.6315789473684209E-2</v>
      </c>
      <c r="AK82" s="176" t="s">
        <v>1163</v>
      </c>
      <c r="AL82" s="62">
        <f t="shared" si="28"/>
        <v>1</v>
      </c>
      <c r="AM82" s="173">
        <f t="shared" si="29"/>
        <v>2.7777777777777776E-2</v>
      </c>
      <c r="AN82" s="154" t="s">
        <v>313</v>
      </c>
      <c r="AO82">
        <f t="shared" si="30"/>
        <v>1</v>
      </c>
      <c r="AP82" s="146">
        <f t="shared" si="43"/>
        <v>2.6315789473684209E-2</v>
      </c>
      <c r="AQ82" s="181" t="s">
        <v>1236</v>
      </c>
      <c r="AR82" s="62">
        <f t="shared" si="31"/>
        <v>1</v>
      </c>
      <c r="AS82" s="173">
        <f t="shared" si="32"/>
        <v>2.8571428571428571E-2</v>
      </c>
      <c r="AT82" s="155" t="s">
        <v>286</v>
      </c>
      <c r="AU82">
        <f t="shared" ref="AU82:AU92" si="44">COUNTIF($Z$9:$Z$46, "*"&amp;$AT82&amp;"*")</f>
        <v>1</v>
      </c>
      <c r="AV82" s="146">
        <f t="shared" si="34"/>
        <v>3.3333333333333333E-2</v>
      </c>
      <c r="AW82" s="174"/>
      <c r="AX82" s="62"/>
      <c r="AY82" s="62"/>
      <c r="AZ82" s="70"/>
    </row>
    <row r="83" spans="3:52" ht="15.95" customHeight="1">
      <c r="C83" s="137" t="s">
        <v>1976</v>
      </c>
      <c r="D83" s="138">
        <f t="shared" si="18"/>
        <v>2</v>
      </c>
      <c r="E83" s="139">
        <f t="shared" si="19"/>
        <v>1.2345679012345678E-2</v>
      </c>
      <c r="F83" s="103" t="s">
        <v>1145</v>
      </c>
      <c r="G83" s="104">
        <f>COUNTIF(D9:AI46, "*Kuwait*")</f>
        <v>1</v>
      </c>
      <c r="H83" s="127">
        <f>G83/G78</f>
        <v>6.25E-2</v>
      </c>
      <c r="P83" s="90" t="s">
        <v>277</v>
      </c>
      <c r="Q83">
        <f>COUNTIF(D9:D46, "*Germany*")</f>
        <v>1</v>
      </c>
      <c r="R83" s="146">
        <f t="shared" si="37"/>
        <v>2.6315789473684209E-2</v>
      </c>
      <c r="S83" s="176" t="s">
        <v>270</v>
      </c>
      <c r="T83" s="62">
        <f>COUNTIF(F9:F46, "*France*")</f>
        <v>1</v>
      </c>
      <c r="U83" s="173">
        <f t="shared" si="38"/>
        <v>2.6315789473684209E-2</v>
      </c>
      <c r="V83" s="158" t="s">
        <v>270</v>
      </c>
      <c r="W83" s="90">
        <f t="shared" si="22"/>
        <v>1</v>
      </c>
      <c r="X83" s="146">
        <f t="shared" si="39"/>
        <v>2.6315789473684209E-2</v>
      </c>
      <c r="Y83" s="176" t="s">
        <v>295</v>
      </c>
      <c r="Z83" s="62">
        <f t="shared" si="23"/>
        <v>1</v>
      </c>
      <c r="AA83" s="173">
        <f t="shared" si="40"/>
        <v>2.6315789473684209E-2</v>
      </c>
      <c r="AB83" s="154" t="s">
        <v>295</v>
      </c>
      <c r="AC83">
        <f t="shared" si="24"/>
        <v>1</v>
      </c>
      <c r="AD83" s="146">
        <f t="shared" si="41"/>
        <v>2.6315789473684209E-2</v>
      </c>
      <c r="AE83" s="176" t="s">
        <v>1142</v>
      </c>
      <c r="AF83" s="62">
        <f t="shared" si="25"/>
        <v>1</v>
      </c>
      <c r="AG83" s="173">
        <f t="shared" si="42"/>
        <v>2.6315789473684209E-2</v>
      </c>
      <c r="AH83" s="154" t="s">
        <v>1157</v>
      </c>
      <c r="AI83">
        <f t="shared" si="26"/>
        <v>1</v>
      </c>
      <c r="AJ83" s="146">
        <f t="shared" si="27"/>
        <v>2.6315789473684209E-2</v>
      </c>
      <c r="AK83" s="176" t="s">
        <v>1207</v>
      </c>
      <c r="AL83" s="62">
        <f t="shared" si="28"/>
        <v>1</v>
      </c>
      <c r="AM83" s="173">
        <f t="shared" si="29"/>
        <v>2.7777777777777776E-2</v>
      </c>
      <c r="AN83" s="154" t="s">
        <v>280</v>
      </c>
      <c r="AO83">
        <f t="shared" si="30"/>
        <v>1</v>
      </c>
      <c r="AP83" s="146">
        <f t="shared" si="43"/>
        <v>2.6315789473684209E-2</v>
      </c>
      <c r="AQ83" s="177" t="s">
        <v>1128</v>
      </c>
      <c r="AR83" s="62">
        <f t="shared" si="31"/>
        <v>1</v>
      </c>
      <c r="AS83" s="173">
        <f t="shared" si="32"/>
        <v>2.8571428571428571E-2</v>
      </c>
      <c r="AT83" s="154" t="s">
        <v>309</v>
      </c>
      <c r="AU83">
        <f t="shared" si="44"/>
        <v>1</v>
      </c>
      <c r="AV83" s="146">
        <f t="shared" si="34"/>
        <v>3.3333333333333333E-2</v>
      </c>
      <c r="AW83" s="174"/>
      <c r="AX83" s="62"/>
      <c r="AY83" s="62"/>
      <c r="AZ83" s="70"/>
    </row>
    <row r="84" spans="3:52" ht="15.95" customHeight="1">
      <c r="C84" s="137" t="s">
        <v>1163</v>
      </c>
      <c r="D84" s="138">
        <f t="shared" si="18"/>
        <v>1</v>
      </c>
      <c r="E84" s="139">
        <f t="shared" si="19"/>
        <v>6.1728395061728392E-3</v>
      </c>
      <c r="F84" s="103" t="s">
        <v>289</v>
      </c>
      <c r="G84" s="104">
        <f>COUNTIF(D9:AI46, "*Bahrain*")</f>
        <v>1</v>
      </c>
      <c r="H84" s="127">
        <f>G84/G78</f>
        <v>6.25E-2</v>
      </c>
      <c r="P84" s="90" t="s">
        <v>1151</v>
      </c>
      <c r="Q84">
        <f>COUNTIF(D9:D46, "*Ireland*")</f>
        <v>1</v>
      </c>
      <c r="R84" s="146">
        <f t="shared" si="37"/>
        <v>2.6315789473684209E-2</v>
      </c>
      <c r="S84" s="176" t="s">
        <v>1164</v>
      </c>
      <c r="T84" s="62">
        <f>COUNTIF(F9:F46, "*French Polynesia*")</f>
        <v>1</v>
      </c>
      <c r="U84" s="173">
        <f t="shared" si="38"/>
        <v>2.6315789473684209E-2</v>
      </c>
      <c r="V84" s="158" t="s">
        <v>277</v>
      </c>
      <c r="W84" s="90">
        <f t="shared" si="22"/>
        <v>1</v>
      </c>
      <c r="X84" s="146">
        <f t="shared" si="39"/>
        <v>2.6315789473684209E-2</v>
      </c>
      <c r="Y84" s="176" t="s">
        <v>273</v>
      </c>
      <c r="Z84" s="62">
        <f t="shared" si="23"/>
        <v>1</v>
      </c>
      <c r="AA84" s="173">
        <f t="shared" si="40"/>
        <v>2.6315789473684209E-2</v>
      </c>
      <c r="AB84" s="154" t="s">
        <v>1130</v>
      </c>
      <c r="AC84">
        <f t="shared" si="24"/>
        <v>1</v>
      </c>
      <c r="AD84" s="146">
        <f t="shared" si="41"/>
        <v>2.6315789473684209E-2</v>
      </c>
      <c r="AE84" s="176" t="s">
        <v>288</v>
      </c>
      <c r="AF84" s="62">
        <f t="shared" si="25"/>
        <v>1</v>
      </c>
      <c r="AG84" s="173">
        <f t="shared" si="42"/>
        <v>2.6315789473684209E-2</v>
      </c>
      <c r="AH84" s="154" t="s">
        <v>1162</v>
      </c>
      <c r="AI84">
        <f t="shared" si="26"/>
        <v>1</v>
      </c>
      <c r="AJ84" s="146">
        <f t="shared" si="27"/>
        <v>2.6315789473684209E-2</v>
      </c>
      <c r="AK84" s="177" t="s">
        <v>270</v>
      </c>
      <c r="AL84" s="62">
        <f t="shared" si="28"/>
        <v>1</v>
      </c>
      <c r="AM84" s="173">
        <f t="shared" si="29"/>
        <v>2.7777777777777776E-2</v>
      </c>
      <c r="AN84" s="154" t="s">
        <v>295</v>
      </c>
      <c r="AO84">
        <f t="shared" si="30"/>
        <v>1</v>
      </c>
      <c r="AP84" s="146">
        <f t="shared" si="43"/>
        <v>2.6315789473684209E-2</v>
      </c>
      <c r="AQ84" s="176" t="s">
        <v>1124</v>
      </c>
      <c r="AR84" s="62">
        <f t="shared" si="31"/>
        <v>1</v>
      </c>
      <c r="AS84" s="173">
        <f t="shared" si="32"/>
        <v>2.8571428571428571E-2</v>
      </c>
      <c r="AT84" s="154" t="s">
        <v>1165</v>
      </c>
      <c r="AU84">
        <f t="shared" si="44"/>
        <v>1</v>
      </c>
      <c r="AV84" s="146">
        <f t="shared" si="34"/>
        <v>3.3333333333333333E-2</v>
      </c>
      <c r="AW84" s="174"/>
      <c r="AX84" s="62"/>
      <c r="AY84" s="62"/>
      <c r="AZ84" s="70"/>
    </row>
    <row r="85" spans="3:52" ht="15.95" customHeight="1">
      <c r="C85" s="137" t="s">
        <v>343</v>
      </c>
      <c r="D85" s="138">
        <f t="shared" si="18"/>
        <v>1</v>
      </c>
      <c r="E85" s="139">
        <f t="shared" si="19"/>
        <v>6.1728395061728392E-3</v>
      </c>
      <c r="F85" s="37"/>
      <c r="P85" s="90" t="s">
        <v>304</v>
      </c>
      <c r="Q85">
        <f>COUNTIF(D9:D46, "*Italy*")</f>
        <v>1</v>
      </c>
      <c r="R85" s="146">
        <f t="shared" si="37"/>
        <v>2.6315789473684209E-2</v>
      </c>
      <c r="S85" s="177" t="s">
        <v>1173</v>
      </c>
      <c r="T85" s="62">
        <f>COUNTIF(F9:F46, "*Germany*")</f>
        <v>1</v>
      </c>
      <c r="U85" s="173">
        <f t="shared" si="38"/>
        <v>2.6315789473684209E-2</v>
      </c>
      <c r="V85" s="158" t="s">
        <v>318</v>
      </c>
      <c r="W85" s="90">
        <f t="shared" si="22"/>
        <v>1</v>
      </c>
      <c r="X85" s="146">
        <f t="shared" si="39"/>
        <v>2.6315789473684209E-2</v>
      </c>
      <c r="Y85" s="176" t="s">
        <v>294</v>
      </c>
      <c r="Z85" s="62">
        <f t="shared" si="23"/>
        <v>2</v>
      </c>
      <c r="AA85" s="173">
        <f t="shared" si="40"/>
        <v>5.2631578947368418E-2</v>
      </c>
      <c r="AB85" s="154" t="s">
        <v>304</v>
      </c>
      <c r="AC85">
        <f t="shared" si="24"/>
        <v>1</v>
      </c>
      <c r="AD85" s="146">
        <f t="shared" si="41"/>
        <v>2.6315789473684209E-2</v>
      </c>
      <c r="AE85" s="176" t="s">
        <v>1130</v>
      </c>
      <c r="AF85" s="62">
        <f t="shared" si="25"/>
        <v>1</v>
      </c>
      <c r="AG85" s="173">
        <f t="shared" si="42"/>
        <v>2.6315789473684209E-2</v>
      </c>
      <c r="AH85" s="154" t="s">
        <v>1146</v>
      </c>
      <c r="AI85">
        <f t="shared" si="26"/>
        <v>1</v>
      </c>
      <c r="AJ85" s="146">
        <f t="shared" si="27"/>
        <v>2.6315789473684209E-2</v>
      </c>
      <c r="AK85" s="176" t="s">
        <v>304</v>
      </c>
      <c r="AL85" s="62">
        <f t="shared" si="28"/>
        <v>1</v>
      </c>
      <c r="AM85" s="173">
        <f t="shared" si="29"/>
        <v>2.7777777777777776E-2</v>
      </c>
      <c r="AN85" s="154" t="s">
        <v>285</v>
      </c>
      <c r="AO85">
        <f t="shared" si="30"/>
        <v>1</v>
      </c>
      <c r="AP85" s="146">
        <f t="shared" si="43"/>
        <v>2.6315789473684209E-2</v>
      </c>
      <c r="AQ85" s="176" t="s">
        <v>286</v>
      </c>
      <c r="AR85" s="62">
        <f t="shared" si="31"/>
        <v>1</v>
      </c>
      <c r="AS85" s="173">
        <f t="shared" si="32"/>
        <v>2.8571428571428571E-2</v>
      </c>
      <c r="AT85" s="155" t="s">
        <v>1140</v>
      </c>
      <c r="AU85">
        <f t="shared" si="44"/>
        <v>1</v>
      </c>
      <c r="AV85" s="146">
        <f t="shared" si="34"/>
        <v>3.3333333333333333E-2</v>
      </c>
      <c r="AW85" s="174"/>
      <c r="AX85" s="62"/>
      <c r="AY85" s="62"/>
      <c r="AZ85" s="70"/>
    </row>
    <row r="86" spans="3:52" ht="15.95" customHeight="1">
      <c r="C86" s="138" t="s">
        <v>1203</v>
      </c>
      <c r="D86" s="138">
        <f t="shared" si="18"/>
        <v>1</v>
      </c>
      <c r="E86" s="139">
        <f t="shared" si="19"/>
        <v>6.1728395061728392E-3</v>
      </c>
      <c r="F86" s="37"/>
      <c r="P86" s="90" t="s">
        <v>1140</v>
      </c>
      <c r="Q86">
        <f>COUNTIF(D9:D46, "*Panama*")</f>
        <v>1</v>
      </c>
      <c r="R86" s="146">
        <f t="shared" si="37"/>
        <v>2.6315789473684209E-2</v>
      </c>
      <c r="S86" s="176" t="s">
        <v>318</v>
      </c>
      <c r="T86" s="62">
        <f>COUNTIF(F9:F46, "*Ghana*")</f>
        <v>1</v>
      </c>
      <c r="U86" s="173">
        <f t="shared" si="38"/>
        <v>2.6315789473684209E-2</v>
      </c>
      <c r="V86" s="158" t="s">
        <v>304</v>
      </c>
      <c r="W86" s="90">
        <f t="shared" si="22"/>
        <v>1</v>
      </c>
      <c r="X86" s="146">
        <f t="shared" si="39"/>
        <v>2.6315789473684209E-2</v>
      </c>
      <c r="Y86" s="176" t="s">
        <v>304</v>
      </c>
      <c r="Z86" s="62">
        <f t="shared" si="23"/>
        <v>1</v>
      </c>
      <c r="AA86" s="173">
        <f t="shared" si="40"/>
        <v>2.6315789473684209E-2</v>
      </c>
      <c r="AB86" s="154" t="s">
        <v>321</v>
      </c>
      <c r="AC86">
        <f t="shared" si="24"/>
        <v>1</v>
      </c>
      <c r="AD86" s="146">
        <f t="shared" si="41"/>
        <v>2.6315789473684209E-2</v>
      </c>
      <c r="AE86" s="177" t="s">
        <v>1192</v>
      </c>
      <c r="AF86" s="62">
        <f t="shared" si="25"/>
        <v>1</v>
      </c>
      <c r="AG86" s="173">
        <f t="shared" si="42"/>
        <v>2.6315789473684209E-2</v>
      </c>
      <c r="AH86" s="154" t="s">
        <v>299</v>
      </c>
      <c r="AI86">
        <f t="shared" si="26"/>
        <v>1</v>
      </c>
      <c r="AJ86" s="146">
        <f t="shared" si="27"/>
        <v>2.6315789473684209E-2</v>
      </c>
      <c r="AK86" s="176" t="s">
        <v>1157</v>
      </c>
      <c r="AL86" s="62">
        <f t="shared" si="28"/>
        <v>1</v>
      </c>
      <c r="AM86" s="173">
        <f t="shared" si="29"/>
        <v>2.7777777777777776E-2</v>
      </c>
      <c r="AN86" s="154" t="s">
        <v>1236</v>
      </c>
      <c r="AO86">
        <f t="shared" si="30"/>
        <v>1</v>
      </c>
      <c r="AP86" s="146">
        <f t="shared" si="43"/>
        <v>2.6315789473684209E-2</v>
      </c>
      <c r="AQ86" s="176" t="s">
        <v>300</v>
      </c>
      <c r="AR86" s="62">
        <f t="shared" si="31"/>
        <v>1</v>
      </c>
      <c r="AS86" s="173">
        <f t="shared" si="32"/>
        <v>2.8571428571428571E-2</v>
      </c>
      <c r="AT86" s="154" t="s">
        <v>300</v>
      </c>
      <c r="AU86">
        <f t="shared" si="44"/>
        <v>1</v>
      </c>
      <c r="AV86" s="146">
        <f t="shared" si="34"/>
        <v>3.3333333333333333E-2</v>
      </c>
      <c r="AW86" s="174"/>
      <c r="AX86" s="62"/>
      <c r="AY86" s="62"/>
      <c r="AZ86" s="70"/>
    </row>
    <row r="87" spans="3:52" ht="15.95" customHeight="1">
      <c r="C87" s="137" t="s">
        <v>317</v>
      </c>
      <c r="D87" s="138">
        <f t="shared" si="18"/>
        <v>1</v>
      </c>
      <c r="E87" s="139">
        <f t="shared" si="19"/>
        <v>6.1728395061728392E-3</v>
      </c>
      <c r="P87" s="90" t="s">
        <v>300</v>
      </c>
      <c r="Q87">
        <f>COUNTIF(D9:D46, "*Peru*")</f>
        <v>1</v>
      </c>
      <c r="R87" s="146">
        <f t="shared" si="37"/>
        <v>2.6315789473684209E-2</v>
      </c>
      <c r="S87" s="176" t="s">
        <v>304</v>
      </c>
      <c r="T87" s="62">
        <f>COUNTIF(F9:F46, "*Italy*")</f>
        <v>1</v>
      </c>
      <c r="U87" s="173">
        <f t="shared" si="38"/>
        <v>2.6315789473684209E-2</v>
      </c>
      <c r="V87" s="158" t="s">
        <v>279</v>
      </c>
      <c r="W87" s="90">
        <f t="shared" si="22"/>
        <v>2</v>
      </c>
      <c r="X87" s="146">
        <f t="shared" si="39"/>
        <v>5.2631578947368418E-2</v>
      </c>
      <c r="Y87" s="176" t="s">
        <v>321</v>
      </c>
      <c r="Z87" s="62">
        <f t="shared" si="23"/>
        <v>1</v>
      </c>
      <c r="AA87" s="173">
        <f t="shared" si="40"/>
        <v>2.6315789473684209E-2</v>
      </c>
      <c r="AB87" s="154" t="s">
        <v>1154</v>
      </c>
      <c r="AC87">
        <f t="shared" si="24"/>
        <v>1</v>
      </c>
      <c r="AD87" s="146">
        <f t="shared" si="41"/>
        <v>2.6315789473684209E-2</v>
      </c>
      <c r="AE87" s="176" t="s">
        <v>277</v>
      </c>
      <c r="AF87" s="62">
        <f t="shared" si="25"/>
        <v>1</v>
      </c>
      <c r="AG87" s="173">
        <f t="shared" si="42"/>
        <v>2.6315789473684209E-2</v>
      </c>
      <c r="AH87" s="154" t="s">
        <v>297</v>
      </c>
      <c r="AI87">
        <f t="shared" si="26"/>
        <v>1</v>
      </c>
      <c r="AJ87" s="146">
        <f t="shared" si="27"/>
        <v>2.6315789473684209E-2</v>
      </c>
      <c r="AK87" s="176" t="s">
        <v>1147</v>
      </c>
      <c r="AL87" s="62">
        <f t="shared" si="28"/>
        <v>1</v>
      </c>
      <c r="AM87" s="173">
        <f t="shared" si="29"/>
        <v>2.7777777777777776E-2</v>
      </c>
      <c r="AN87" s="154" t="s">
        <v>343</v>
      </c>
      <c r="AO87">
        <f t="shared" si="30"/>
        <v>1</v>
      </c>
      <c r="AP87" s="146">
        <f t="shared" si="43"/>
        <v>2.6315789473684209E-2</v>
      </c>
      <c r="AQ87" s="176" t="s">
        <v>272</v>
      </c>
      <c r="AR87" s="62">
        <f t="shared" si="31"/>
        <v>1</v>
      </c>
      <c r="AS87" s="173">
        <f t="shared" si="32"/>
        <v>2.8571428571428571E-2</v>
      </c>
      <c r="AT87" s="154" t="s">
        <v>1148</v>
      </c>
      <c r="AU87">
        <f t="shared" si="44"/>
        <v>1</v>
      </c>
      <c r="AV87" s="146">
        <f t="shared" si="34"/>
        <v>3.3333333333333333E-2</v>
      </c>
      <c r="AW87" s="174"/>
      <c r="AX87" s="62"/>
      <c r="AY87" s="62"/>
      <c r="AZ87" s="70"/>
    </row>
    <row r="88" spans="3:52" ht="15.95" customHeight="1">
      <c r="C88" s="1554" t="s">
        <v>1154</v>
      </c>
      <c r="D88" s="138">
        <f t="shared" si="18"/>
        <v>1</v>
      </c>
      <c r="E88" s="139">
        <f t="shared" si="19"/>
        <v>6.1728395061728392E-3</v>
      </c>
      <c r="P88" s="90" t="s">
        <v>269</v>
      </c>
      <c r="Q88">
        <f>COUNTIF(D9:D46, "*Switzerland*")</f>
        <v>1</v>
      </c>
      <c r="R88" s="146">
        <f t="shared" si="37"/>
        <v>2.6315789473684209E-2</v>
      </c>
      <c r="S88" s="176" t="s">
        <v>279</v>
      </c>
      <c r="T88" s="62">
        <f>COUNTIF(F9:F46, "*Japan*")</f>
        <v>2</v>
      </c>
      <c r="U88" s="173">
        <f t="shared" si="38"/>
        <v>5.2631578947368418E-2</v>
      </c>
      <c r="V88" s="158" t="s">
        <v>1128</v>
      </c>
      <c r="W88" s="90">
        <f t="shared" si="22"/>
        <v>1</v>
      </c>
      <c r="X88" s="146">
        <f t="shared" si="39"/>
        <v>2.6315789473684209E-2</v>
      </c>
      <c r="Y88" s="176" t="s">
        <v>1128</v>
      </c>
      <c r="Z88" s="62">
        <f t="shared" si="23"/>
        <v>1</v>
      </c>
      <c r="AA88" s="173">
        <f t="shared" si="40"/>
        <v>2.6315789473684209E-2</v>
      </c>
      <c r="AB88" s="154" t="s">
        <v>302</v>
      </c>
      <c r="AC88">
        <f t="shared" si="24"/>
        <v>1</v>
      </c>
      <c r="AD88" s="146">
        <f t="shared" si="41"/>
        <v>2.6315789473684209E-2</v>
      </c>
      <c r="AE88" s="176" t="s">
        <v>1137</v>
      </c>
      <c r="AF88" s="62">
        <f t="shared" si="25"/>
        <v>1</v>
      </c>
      <c r="AG88" s="173">
        <f t="shared" si="42"/>
        <v>2.6315789473684209E-2</v>
      </c>
      <c r="AH88" s="154" t="s">
        <v>1159</v>
      </c>
      <c r="AI88">
        <f t="shared" si="26"/>
        <v>1</v>
      </c>
      <c r="AJ88" s="146">
        <f t="shared" si="27"/>
        <v>2.6315789473684209E-2</v>
      </c>
      <c r="AK88" s="176" t="s">
        <v>122</v>
      </c>
      <c r="AL88" s="62">
        <f t="shared" si="28"/>
        <v>1</v>
      </c>
      <c r="AM88" s="173">
        <f t="shared" si="29"/>
        <v>2.7777777777777776E-2</v>
      </c>
      <c r="AN88" s="155" t="s">
        <v>1176</v>
      </c>
      <c r="AO88">
        <f t="shared" si="30"/>
        <v>1</v>
      </c>
      <c r="AP88" s="146">
        <f t="shared" si="43"/>
        <v>2.6315789473684209E-2</v>
      </c>
      <c r="AQ88" s="176" t="s">
        <v>265</v>
      </c>
      <c r="AR88" s="62">
        <f t="shared" si="31"/>
        <v>1</v>
      </c>
      <c r="AS88" s="173">
        <f t="shared" si="32"/>
        <v>2.8571428571428571E-2</v>
      </c>
      <c r="AT88" s="154" t="s">
        <v>290</v>
      </c>
      <c r="AU88">
        <f t="shared" si="44"/>
        <v>1</v>
      </c>
      <c r="AV88" s="146">
        <f t="shared" si="34"/>
        <v>3.3333333333333333E-2</v>
      </c>
      <c r="AW88" s="174"/>
      <c r="AX88" s="62"/>
      <c r="AY88" s="62"/>
      <c r="AZ88" s="70"/>
    </row>
    <row r="89" spans="3:52" ht="15.95" customHeight="1">
      <c r="C89" s="137" t="s">
        <v>298</v>
      </c>
      <c r="D89" s="138">
        <f t="shared" si="18"/>
        <v>1</v>
      </c>
      <c r="E89" s="139">
        <f t="shared" si="19"/>
        <v>6.1728395061728392E-3</v>
      </c>
      <c r="P89" s="90" t="s">
        <v>1155</v>
      </c>
      <c r="Q89">
        <f>COUNTIF(D9:D46, "*Taiwan*")</f>
        <v>1</v>
      </c>
      <c r="R89" s="146">
        <f t="shared" si="37"/>
        <v>2.6315789473684209E-2</v>
      </c>
      <c r="S89" s="176" t="s">
        <v>282</v>
      </c>
      <c r="T89" s="62">
        <f>COUNTIF(F9:F46, "*Laos*")</f>
        <v>1</v>
      </c>
      <c r="U89" s="173">
        <f t="shared" si="38"/>
        <v>2.6315789473684209E-2</v>
      </c>
      <c r="V89" s="158" t="s">
        <v>1124</v>
      </c>
      <c r="W89" s="90">
        <f t="shared" si="22"/>
        <v>1</v>
      </c>
      <c r="X89" s="146">
        <f t="shared" si="39"/>
        <v>2.6315789473684209E-2</v>
      </c>
      <c r="Y89" s="176" t="s">
        <v>299</v>
      </c>
      <c r="Z89" s="62">
        <f t="shared" si="23"/>
        <v>1</v>
      </c>
      <c r="AA89" s="173">
        <f t="shared" si="40"/>
        <v>2.6315789473684209E-2</v>
      </c>
      <c r="AB89" s="154" t="s">
        <v>286</v>
      </c>
      <c r="AC89">
        <f t="shared" si="24"/>
        <v>1</v>
      </c>
      <c r="AD89" s="146">
        <f t="shared" si="41"/>
        <v>2.6315789473684209E-2</v>
      </c>
      <c r="AE89" s="176" t="s">
        <v>1145</v>
      </c>
      <c r="AF89" s="62">
        <f t="shared" si="25"/>
        <v>1</v>
      </c>
      <c r="AG89" s="173">
        <f t="shared" si="42"/>
        <v>2.6315789473684209E-2</v>
      </c>
      <c r="AH89" s="154" t="s">
        <v>269</v>
      </c>
      <c r="AI89">
        <f t="shared" si="26"/>
        <v>1</v>
      </c>
      <c r="AJ89" s="146">
        <f t="shared" si="27"/>
        <v>2.6315789473684209E-2</v>
      </c>
      <c r="AK89" s="176" t="s">
        <v>299</v>
      </c>
      <c r="AL89" s="62">
        <f t="shared" si="28"/>
        <v>1</v>
      </c>
      <c r="AM89" s="173">
        <f t="shared" si="29"/>
        <v>2.7777777777777776E-2</v>
      </c>
      <c r="AN89" s="154" t="s">
        <v>162</v>
      </c>
      <c r="AO89">
        <f t="shared" si="30"/>
        <v>1</v>
      </c>
      <c r="AP89" s="146">
        <f t="shared" si="43"/>
        <v>2.6315789473684209E-2</v>
      </c>
      <c r="AQ89" s="176" t="s">
        <v>268</v>
      </c>
      <c r="AR89" s="62">
        <f t="shared" si="31"/>
        <v>1</v>
      </c>
      <c r="AS89" s="173">
        <f t="shared" si="32"/>
        <v>2.8571428571428571E-2</v>
      </c>
      <c r="AT89" s="154" t="s">
        <v>266</v>
      </c>
      <c r="AU89">
        <f t="shared" si="44"/>
        <v>1</v>
      </c>
      <c r="AV89" s="146">
        <f t="shared" si="34"/>
        <v>3.3333333333333333E-2</v>
      </c>
      <c r="AW89" s="174"/>
      <c r="AX89" s="62"/>
      <c r="AY89" s="62"/>
      <c r="AZ89" s="70"/>
    </row>
    <row r="90" spans="3:52" ht="15.95" customHeight="1">
      <c r="C90" s="137" t="s">
        <v>122</v>
      </c>
      <c r="D90" s="138">
        <f t="shared" si="18"/>
        <v>1</v>
      </c>
      <c r="E90" s="139">
        <f t="shared" si="19"/>
        <v>6.1728395061728392E-3</v>
      </c>
      <c r="P90" s="90" t="s">
        <v>290</v>
      </c>
      <c r="Q90">
        <f t="shared" ref="Q90:Q95" si="45">COUNTIF(D$9:D$46,"*"&amp;P$95&amp;"*")</f>
        <v>1</v>
      </c>
      <c r="R90" s="146">
        <f t="shared" si="37"/>
        <v>2.6315789473684209E-2</v>
      </c>
      <c r="S90" s="176" t="s">
        <v>1144</v>
      </c>
      <c r="T90" s="62">
        <f>COUNTIF(F9:F46, "*Mongolia*")</f>
        <v>1</v>
      </c>
      <c r="U90" s="173">
        <f t="shared" si="38"/>
        <v>2.6315789473684209E-2</v>
      </c>
      <c r="V90" s="158" t="s">
        <v>309</v>
      </c>
      <c r="W90" s="90">
        <f t="shared" si="22"/>
        <v>1</v>
      </c>
      <c r="X90" s="146">
        <f t="shared" si="39"/>
        <v>2.6315789473684209E-2</v>
      </c>
      <c r="Y90" s="177" t="s">
        <v>286</v>
      </c>
      <c r="Z90" s="62">
        <f t="shared" si="23"/>
        <v>1</v>
      </c>
      <c r="AA90" s="173">
        <f t="shared" si="40"/>
        <v>2.6315789473684209E-2</v>
      </c>
      <c r="AB90" s="154" t="s">
        <v>1140</v>
      </c>
      <c r="AC90">
        <f t="shared" si="24"/>
        <v>1</v>
      </c>
      <c r="AD90" s="146">
        <f t="shared" si="41"/>
        <v>2.6315789473684209E-2</v>
      </c>
      <c r="AE90" s="176" t="s">
        <v>1162</v>
      </c>
      <c r="AF90" s="62">
        <f t="shared" si="25"/>
        <v>1</v>
      </c>
      <c r="AG90" s="173">
        <f t="shared" si="42"/>
        <v>2.6315789473684209E-2</v>
      </c>
      <c r="AH90" s="154" t="s">
        <v>290</v>
      </c>
      <c r="AI90">
        <f t="shared" si="26"/>
        <v>1</v>
      </c>
      <c r="AJ90" s="146">
        <f t="shared" si="27"/>
        <v>2.6315789473684209E-2</v>
      </c>
      <c r="AK90" s="176" t="s">
        <v>265</v>
      </c>
      <c r="AL90" s="62">
        <f t="shared" si="28"/>
        <v>1</v>
      </c>
      <c r="AM90" s="173">
        <f t="shared" si="29"/>
        <v>2.7777777777777776E-2</v>
      </c>
      <c r="AN90" s="154" t="s">
        <v>279</v>
      </c>
      <c r="AO90">
        <f t="shared" si="30"/>
        <v>1</v>
      </c>
      <c r="AP90" s="146">
        <f t="shared" si="43"/>
        <v>2.6315789473684209E-2</v>
      </c>
      <c r="AQ90" s="181" t="s">
        <v>123</v>
      </c>
      <c r="AR90" s="62">
        <f t="shared" si="31"/>
        <v>1</v>
      </c>
      <c r="AS90" s="173">
        <f t="shared" si="32"/>
        <v>2.8571428571428571E-2</v>
      </c>
      <c r="AT90" s="154" t="s">
        <v>281</v>
      </c>
      <c r="AU90">
        <f t="shared" si="44"/>
        <v>1</v>
      </c>
      <c r="AV90" s="146">
        <f t="shared" si="34"/>
        <v>3.3333333333333333E-2</v>
      </c>
      <c r="AW90" s="174"/>
      <c r="AX90" s="62"/>
      <c r="AY90" s="62"/>
      <c r="AZ90" s="70"/>
    </row>
    <row r="91" spans="3:52" ht="15.95" customHeight="1">
      <c r="C91" s="137" t="s">
        <v>1165</v>
      </c>
      <c r="D91" s="138">
        <f t="shared" si="18"/>
        <v>1</v>
      </c>
      <c r="E91" s="139">
        <f t="shared" si="19"/>
        <v>6.1728395061728392E-3</v>
      </c>
      <c r="P91" s="90" t="s">
        <v>1172</v>
      </c>
      <c r="Q91">
        <f t="shared" si="45"/>
        <v>1</v>
      </c>
      <c r="R91" s="146">
        <f t="shared" si="37"/>
        <v>2.6315789473684209E-2</v>
      </c>
      <c r="S91" s="176" t="s">
        <v>286</v>
      </c>
      <c r="T91" s="62">
        <f>COUNTIF(F9:F46, "*Netherlands*")</f>
        <v>1</v>
      </c>
      <c r="U91" s="173">
        <f t="shared" si="38"/>
        <v>2.6315789473684209E-2</v>
      </c>
      <c r="V91" s="158" t="s">
        <v>276</v>
      </c>
      <c r="W91" s="90">
        <f t="shared" si="22"/>
        <v>1</v>
      </c>
      <c r="X91" s="146">
        <f t="shared" si="39"/>
        <v>2.6315789473684209E-2</v>
      </c>
      <c r="Y91" s="176" t="s">
        <v>309</v>
      </c>
      <c r="Z91" s="62">
        <f t="shared" si="23"/>
        <v>1</v>
      </c>
      <c r="AA91" s="173">
        <f t="shared" si="40"/>
        <v>2.6315789473684209E-2</v>
      </c>
      <c r="AB91" s="154" t="s">
        <v>265</v>
      </c>
      <c r="AC91">
        <f t="shared" si="24"/>
        <v>1</v>
      </c>
      <c r="AD91" s="146">
        <f t="shared" si="41"/>
        <v>2.6315789473684209E-2</v>
      </c>
      <c r="AE91" s="176" t="s">
        <v>265</v>
      </c>
      <c r="AF91" s="62">
        <f t="shared" si="25"/>
        <v>1</v>
      </c>
      <c r="AG91" s="173">
        <f t="shared" si="42"/>
        <v>2.6315789473684209E-2</v>
      </c>
      <c r="AH91" s="154" t="s">
        <v>283</v>
      </c>
      <c r="AI91">
        <f t="shared" si="26"/>
        <v>1</v>
      </c>
      <c r="AJ91" s="146">
        <f t="shared" si="27"/>
        <v>2.6315789473684209E-2</v>
      </c>
      <c r="AK91" s="181" t="s">
        <v>1293</v>
      </c>
      <c r="AL91" s="62">
        <f t="shared" si="28"/>
        <v>1</v>
      </c>
      <c r="AM91" s="173">
        <f t="shared" si="29"/>
        <v>2.7777777777777776E-2</v>
      </c>
      <c r="AN91" s="164" t="s">
        <v>317</v>
      </c>
      <c r="AO91">
        <f t="shared" si="30"/>
        <v>1</v>
      </c>
      <c r="AP91" s="146">
        <f t="shared" si="43"/>
        <v>2.6315789473684209E-2</v>
      </c>
      <c r="AQ91" s="176" t="s">
        <v>320</v>
      </c>
      <c r="AR91" s="62">
        <f t="shared" si="31"/>
        <v>1</v>
      </c>
      <c r="AS91" s="173">
        <f t="shared" si="32"/>
        <v>2.8571428571428571E-2</v>
      </c>
      <c r="AT91" s="154" t="s">
        <v>1205</v>
      </c>
      <c r="AU91">
        <f t="shared" si="44"/>
        <v>1</v>
      </c>
      <c r="AV91" s="146">
        <f t="shared" si="34"/>
        <v>3.3333333333333333E-2</v>
      </c>
      <c r="AW91" s="174"/>
      <c r="AX91" s="62"/>
      <c r="AY91" s="62"/>
      <c r="AZ91" s="70"/>
    </row>
    <row r="92" spans="3:52" ht="15.95" customHeight="1">
      <c r="C92" s="137" t="s">
        <v>1204</v>
      </c>
      <c r="D92" s="138">
        <f t="shared" si="18"/>
        <v>1</v>
      </c>
      <c r="E92" s="139">
        <f t="shared" si="19"/>
        <v>6.1728395061728392E-3</v>
      </c>
      <c r="P92" s="90" t="s">
        <v>1129</v>
      </c>
      <c r="Q92">
        <f t="shared" si="45"/>
        <v>1</v>
      </c>
      <c r="R92" s="146">
        <f t="shared" si="37"/>
        <v>2.6315789473684209E-2</v>
      </c>
      <c r="S92" s="176" t="s">
        <v>306</v>
      </c>
      <c r="T92" s="62">
        <f>COUNTIF(F9:F46, "*Norway*")</f>
        <v>1</v>
      </c>
      <c r="U92" s="173">
        <f t="shared" si="38"/>
        <v>2.6315789473684209E-2</v>
      </c>
      <c r="V92" s="158" t="s">
        <v>272</v>
      </c>
      <c r="W92" s="90">
        <f t="shared" si="22"/>
        <v>1</v>
      </c>
      <c r="X92" s="146">
        <f t="shared" si="39"/>
        <v>2.6315789473684209E-2</v>
      </c>
      <c r="Y92" s="176" t="s">
        <v>306</v>
      </c>
      <c r="Z92" s="62">
        <f t="shared" si="23"/>
        <v>1</v>
      </c>
      <c r="AA92" s="173">
        <f t="shared" si="40"/>
        <v>2.6315789473684209E-2</v>
      </c>
      <c r="AB92" s="154" t="s">
        <v>1122</v>
      </c>
      <c r="AC92">
        <f t="shared" si="24"/>
        <v>1</v>
      </c>
      <c r="AD92" s="146">
        <f t="shared" si="41"/>
        <v>2.6315789473684209E-2</v>
      </c>
      <c r="AE92" s="176" t="s">
        <v>303</v>
      </c>
      <c r="AF92" s="62">
        <f t="shared" si="25"/>
        <v>1</v>
      </c>
      <c r="AG92" s="173">
        <f t="shared" si="42"/>
        <v>2.6315789473684209E-2</v>
      </c>
      <c r="AH92" s="164" t="s">
        <v>1129</v>
      </c>
      <c r="AI92">
        <f t="shared" si="26"/>
        <v>1</v>
      </c>
      <c r="AJ92" s="146">
        <f t="shared" si="27"/>
        <v>2.6315789473684209E-2</v>
      </c>
      <c r="AK92" s="176" t="s">
        <v>1148</v>
      </c>
      <c r="AL92" s="62">
        <f t="shared" si="28"/>
        <v>1</v>
      </c>
      <c r="AM92" s="173">
        <f t="shared" si="29"/>
        <v>2.7777777777777776E-2</v>
      </c>
      <c r="AN92" s="154" t="s">
        <v>265</v>
      </c>
      <c r="AO92">
        <f t="shared" si="30"/>
        <v>1</v>
      </c>
      <c r="AP92" s="146">
        <f t="shared" si="43"/>
        <v>2.6315789473684209E-2</v>
      </c>
      <c r="AQ92" s="181" t="s">
        <v>1135</v>
      </c>
      <c r="AR92" s="62">
        <f t="shared" si="31"/>
        <v>1</v>
      </c>
      <c r="AS92" s="173">
        <f t="shared" si="32"/>
        <v>2.8571428571428571E-2</v>
      </c>
      <c r="AT92" s="154" t="s">
        <v>272</v>
      </c>
      <c r="AU92">
        <f t="shared" si="44"/>
        <v>1</v>
      </c>
      <c r="AV92" s="186">
        <f t="shared" si="34"/>
        <v>3.3333333333333333E-2</v>
      </c>
      <c r="AW92" s="174"/>
      <c r="AX92" s="62"/>
      <c r="AY92" s="62"/>
      <c r="AZ92" s="70"/>
    </row>
    <row r="93" spans="3:52" ht="15.95" customHeight="1">
      <c r="C93" s="137" t="s">
        <v>1205</v>
      </c>
      <c r="D93" s="138">
        <f t="shared" si="18"/>
        <v>1</v>
      </c>
      <c r="E93" s="139">
        <f t="shared" si="19"/>
        <v>6.1728395061728392E-3</v>
      </c>
      <c r="P93" s="90" t="s">
        <v>266</v>
      </c>
      <c r="Q93">
        <f t="shared" si="45"/>
        <v>1</v>
      </c>
      <c r="R93" s="146">
        <f t="shared" si="37"/>
        <v>2.6315789473684209E-2</v>
      </c>
      <c r="S93" s="176" t="s">
        <v>266</v>
      </c>
      <c r="T93" s="62">
        <f>COUNTIF(F9:F46, "*USA*")</f>
        <v>1</v>
      </c>
      <c r="U93" s="173">
        <f t="shared" si="38"/>
        <v>2.6315789473684209E-2</v>
      </c>
      <c r="V93" s="158" t="s">
        <v>1216</v>
      </c>
      <c r="W93" s="90">
        <f t="shared" si="22"/>
        <v>1</v>
      </c>
      <c r="X93" s="146">
        <f t="shared" si="39"/>
        <v>2.6315789473684209E-2</v>
      </c>
      <c r="Y93" s="176" t="s">
        <v>276</v>
      </c>
      <c r="Z93" s="62">
        <f t="shared" si="23"/>
        <v>1</v>
      </c>
      <c r="AA93" s="173">
        <f t="shared" si="40"/>
        <v>2.6315789473684209E-2</v>
      </c>
      <c r="AB93" s="154" t="s">
        <v>303</v>
      </c>
      <c r="AC93">
        <f t="shared" si="24"/>
        <v>1</v>
      </c>
      <c r="AD93" s="146">
        <f t="shared" si="41"/>
        <v>2.6315789473684209E-2</v>
      </c>
      <c r="AE93" s="176" t="s">
        <v>314</v>
      </c>
      <c r="AF93" s="62">
        <f t="shared" si="25"/>
        <v>1</v>
      </c>
      <c r="AG93" s="173">
        <f t="shared" si="42"/>
        <v>2.6315789473684209E-2</v>
      </c>
      <c r="AH93" s="154" t="s">
        <v>266</v>
      </c>
      <c r="AI93">
        <f t="shared" si="26"/>
        <v>1</v>
      </c>
      <c r="AJ93" s="146">
        <f t="shared" si="27"/>
        <v>2.6315789473684209E-2</v>
      </c>
      <c r="AK93" s="176" t="s">
        <v>1135</v>
      </c>
      <c r="AL93" s="62">
        <f t="shared" si="28"/>
        <v>1</v>
      </c>
      <c r="AM93" s="173">
        <f t="shared" si="29"/>
        <v>2.7777777777777776E-2</v>
      </c>
      <c r="AN93" s="164" t="s">
        <v>1293</v>
      </c>
      <c r="AO93">
        <f t="shared" si="30"/>
        <v>1</v>
      </c>
      <c r="AP93" s="146">
        <f t="shared" si="43"/>
        <v>2.6315789473684209E-2</v>
      </c>
      <c r="AQ93" s="176" t="s">
        <v>269</v>
      </c>
      <c r="AR93" s="62">
        <f t="shared" si="31"/>
        <v>1</v>
      </c>
      <c r="AS93" s="173">
        <f t="shared" si="32"/>
        <v>2.8571428571428571E-2</v>
      </c>
      <c r="AW93" s="174"/>
      <c r="AX93" s="62"/>
      <c r="AY93" s="62"/>
      <c r="AZ93" s="70"/>
    </row>
    <row r="94" spans="3:52" ht="15.95" customHeight="1">
      <c r="C94" s="54"/>
      <c r="P94" s="90" t="s">
        <v>301</v>
      </c>
      <c r="Q94">
        <f t="shared" si="45"/>
        <v>1</v>
      </c>
      <c r="R94" s="146">
        <f t="shared" si="37"/>
        <v>2.6315789473684209E-2</v>
      </c>
      <c r="S94" s="181" t="s">
        <v>290</v>
      </c>
      <c r="T94" s="62">
        <f>COUNTIF(F$9:F$46,"*"&amp;S$95&amp;"*")</f>
        <v>1</v>
      </c>
      <c r="U94" s="173">
        <f t="shared" si="38"/>
        <v>2.6315789473684209E-2</v>
      </c>
      <c r="V94" s="158" t="s">
        <v>265</v>
      </c>
      <c r="W94" s="90">
        <f t="shared" si="22"/>
        <v>1</v>
      </c>
      <c r="X94" s="146">
        <f t="shared" si="39"/>
        <v>2.6315789473684209E-2</v>
      </c>
      <c r="Y94" s="176" t="s">
        <v>272</v>
      </c>
      <c r="Z94" s="62">
        <f t="shared" si="23"/>
        <v>1</v>
      </c>
      <c r="AA94" s="173">
        <f t="shared" si="40"/>
        <v>2.6315789473684209E-2</v>
      </c>
      <c r="AB94" s="154" t="s">
        <v>269</v>
      </c>
      <c r="AC94">
        <f t="shared" si="24"/>
        <v>1</v>
      </c>
      <c r="AD94" s="146">
        <f t="shared" si="41"/>
        <v>2.6315789473684209E-2</v>
      </c>
      <c r="AE94" s="176" t="s">
        <v>290</v>
      </c>
      <c r="AF94" s="62">
        <f t="shared" si="25"/>
        <v>1</v>
      </c>
      <c r="AG94" s="173">
        <f t="shared" si="42"/>
        <v>2.6315789473684209E-2</v>
      </c>
      <c r="AH94" s="154" t="s">
        <v>1171</v>
      </c>
      <c r="AI94">
        <f t="shared" si="26"/>
        <v>1</v>
      </c>
      <c r="AJ94" s="146">
        <f t="shared" si="27"/>
        <v>2.6315789473684209E-2</v>
      </c>
      <c r="AK94" s="176" t="s">
        <v>314</v>
      </c>
      <c r="AL94" s="62">
        <f t="shared" si="28"/>
        <v>1</v>
      </c>
      <c r="AM94" s="173">
        <f t="shared" si="29"/>
        <v>2.7777777777777776E-2</v>
      </c>
      <c r="AN94" s="154" t="s">
        <v>303</v>
      </c>
      <c r="AO94">
        <f t="shared" si="30"/>
        <v>1</v>
      </c>
      <c r="AP94" s="146">
        <f t="shared" si="43"/>
        <v>2.6315789473684209E-2</v>
      </c>
      <c r="AQ94" s="176" t="s">
        <v>1155</v>
      </c>
      <c r="AR94" s="62">
        <f t="shared" si="31"/>
        <v>1</v>
      </c>
      <c r="AS94" s="173">
        <f t="shared" si="32"/>
        <v>2.8571428571428571E-2</v>
      </c>
      <c r="AT94" s="165"/>
      <c r="AV94" s="72"/>
      <c r="AW94" s="174"/>
      <c r="AX94" s="62"/>
      <c r="AY94" s="62"/>
      <c r="AZ94" s="70"/>
    </row>
    <row r="95" spans="3:52" ht="15.95" customHeight="1">
      <c r="C95" s="54"/>
      <c r="P95" s="90" t="s">
        <v>296</v>
      </c>
      <c r="Q95">
        <f t="shared" si="45"/>
        <v>1</v>
      </c>
      <c r="R95" s="146">
        <f t="shared" si="37"/>
        <v>2.6315789473684209E-2</v>
      </c>
      <c r="S95" s="176" t="s">
        <v>281</v>
      </c>
      <c r="T95" s="62">
        <f>COUNTIF(F$9:F$46,"*"&amp;S$95&amp;"*")</f>
        <v>1</v>
      </c>
      <c r="U95" s="173">
        <f t="shared" si="38"/>
        <v>2.6315789473684209E-2</v>
      </c>
      <c r="V95" s="158" t="s">
        <v>1122</v>
      </c>
      <c r="W95" s="90">
        <f t="shared" si="22"/>
        <v>1</v>
      </c>
      <c r="X95" s="146">
        <f t="shared" si="39"/>
        <v>2.6315789473684209E-2</v>
      </c>
      <c r="Y95" s="176" t="s">
        <v>1136</v>
      </c>
      <c r="Z95" s="62">
        <f t="shared" si="23"/>
        <v>1</v>
      </c>
      <c r="AA95" s="173">
        <f t="shared" si="40"/>
        <v>2.6315789473684209E-2</v>
      </c>
      <c r="AB95" s="154" t="s">
        <v>1116</v>
      </c>
      <c r="AC95">
        <f t="shared" si="24"/>
        <v>1</v>
      </c>
      <c r="AD95" s="146">
        <f t="shared" si="41"/>
        <v>2.6315789473684209E-2</v>
      </c>
      <c r="AE95" s="176" t="s">
        <v>1138</v>
      </c>
      <c r="AF95" s="62">
        <f t="shared" si="25"/>
        <v>1</v>
      </c>
      <c r="AG95" s="173">
        <f t="shared" si="42"/>
        <v>2.6315789473684209E-2</v>
      </c>
      <c r="AH95" s="164" t="s">
        <v>1976</v>
      </c>
      <c r="AI95">
        <f t="shared" si="26"/>
        <v>1</v>
      </c>
      <c r="AJ95" s="146">
        <f t="shared" si="27"/>
        <v>2.6315789473684209E-2</v>
      </c>
      <c r="AK95" s="176" t="s">
        <v>290</v>
      </c>
      <c r="AL95" s="62">
        <f t="shared" si="28"/>
        <v>1</v>
      </c>
      <c r="AM95" s="173">
        <f t="shared" si="29"/>
        <v>2.7777777777777776E-2</v>
      </c>
      <c r="AN95" s="154" t="s">
        <v>290</v>
      </c>
      <c r="AO95">
        <f t="shared" si="30"/>
        <v>1</v>
      </c>
      <c r="AP95" s="146">
        <f t="shared" si="43"/>
        <v>2.6315789473684209E-2</v>
      </c>
      <c r="AQ95" s="176" t="s">
        <v>1138</v>
      </c>
      <c r="AR95" s="62">
        <f t="shared" si="31"/>
        <v>1</v>
      </c>
      <c r="AS95" s="173">
        <f t="shared" si="32"/>
        <v>2.8571428571428571E-2</v>
      </c>
      <c r="AT95" s="70"/>
      <c r="AV95" s="72"/>
      <c r="AW95" s="174"/>
      <c r="AX95" s="62"/>
      <c r="AY95" s="62"/>
      <c r="AZ95" s="70"/>
    </row>
    <row r="96" spans="3:52" ht="15.95" customHeight="1">
      <c r="C96" s="54"/>
      <c r="R96" s="72"/>
      <c r="S96" s="174"/>
      <c r="T96" s="62"/>
      <c r="U96" s="175"/>
      <c r="V96" s="158" t="s">
        <v>1135</v>
      </c>
      <c r="W96" s="90">
        <f t="shared" si="22"/>
        <v>1</v>
      </c>
      <c r="X96" s="146">
        <f t="shared" si="39"/>
        <v>2.6315789473684209E-2</v>
      </c>
      <c r="Y96" s="176" t="s">
        <v>314</v>
      </c>
      <c r="Z96" s="62">
        <f t="shared" si="23"/>
        <v>1</v>
      </c>
      <c r="AA96" s="173">
        <f t="shared" si="40"/>
        <v>2.6315789473684209E-2</v>
      </c>
      <c r="AB96" s="154" t="s">
        <v>281</v>
      </c>
      <c r="AC96">
        <f t="shared" si="24"/>
        <v>1</v>
      </c>
      <c r="AD96" s="146">
        <f t="shared" si="41"/>
        <v>2.6315789473684209E-2</v>
      </c>
      <c r="AE96" s="176" t="s">
        <v>284</v>
      </c>
      <c r="AF96" s="62">
        <f t="shared" si="25"/>
        <v>1</v>
      </c>
      <c r="AG96" s="173">
        <f t="shared" si="42"/>
        <v>2.6315789473684209E-2</v>
      </c>
      <c r="AH96" s="154"/>
      <c r="AJ96" s="146"/>
      <c r="AK96" s="176" t="s">
        <v>266</v>
      </c>
      <c r="AL96" s="62">
        <f t="shared" si="28"/>
        <v>1</v>
      </c>
      <c r="AM96" s="173">
        <f t="shared" si="29"/>
        <v>2.7777777777777776E-2</v>
      </c>
      <c r="AN96" s="154" t="s">
        <v>266</v>
      </c>
      <c r="AO96">
        <f t="shared" si="30"/>
        <v>1</v>
      </c>
      <c r="AP96" s="146">
        <f t="shared" si="43"/>
        <v>2.6315789473684209E-2</v>
      </c>
      <c r="AQ96" s="176" t="s">
        <v>266</v>
      </c>
      <c r="AR96" s="62">
        <f t="shared" si="31"/>
        <v>1</v>
      </c>
      <c r="AS96" s="173">
        <f t="shared" si="32"/>
        <v>2.8571428571428571E-2</v>
      </c>
      <c r="AT96" s="70"/>
      <c r="AV96" s="72"/>
      <c r="AW96" s="174"/>
      <c r="AX96" s="62"/>
      <c r="AY96" s="62"/>
      <c r="AZ96" s="70"/>
    </row>
    <row r="97" spans="3:52" ht="15.95" customHeight="1">
      <c r="C97" s="54"/>
      <c r="R97" s="72"/>
      <c r="S97" s="174"/>
      <c r="T97" s="62"/>
      <c r="U97" s="175"/>
      <c r="V97" s="158" t="s">
        <v>314</v>
      </c>
      <c r="W97" s="90">
        <f t="shared" si="22"/>
        <v>1</v>
      </c>
      <c r="X97" s="146">
        <f t="shared" si="39"/>
        <v>2.6315789473684209E-2</v>
      </c>
      <c r="Y97" s="176" t="s">
        <v>1116</v>
      </c>
      <c r="Z97" s="62">
        <f t="shared" si="23"/>
        <v>1</v>
      </c>
      <c r="AA97" s="173">
        <f t="shared" si="40"/>
        <v>2.6315789473684209E-2</v>
      </c>
      <c r="AB97" s="154" t="s">
        <v>296</v>
      </c>
      <c r="AC97">
        <f t="shared" si="24"/>
        <v>1</v>
      </c>
      <c r="AD97" s="146">
        <f t="shared" si="41"/>
        <v>2.6315789473684209E-2</v>
      </c>
      <c r="AE97" s="174"/>
      <c r="AF97" s="62"/>
      <c r="AG97" s="175"/>
      <c r="AH97" s="154"/>
      <c r="AJ97" s="146"/>
      <c r="AK97" s="176" t="s">
        <v>1171</v>
      </c>
      <c r="AL97" s="62">
        <f t="shared" si="28"/>
        <v>1</v>
      </c>
      <c r="AM97" s="173">
        <f t="shared" si="29"/>
        <v>2.7777777777777776E-2</v>
      </c>
      <c r="AN97" s="154" t="s">
        <v>281</v>
      </c>
      <c r="AO97">
        <f t="shared" si="30"/>
        <v>1</v>
      </c>
      <c r="AP97" s="146">
        <f t="shared" si="43"/>
        <v>2.6315789473684209E-2</v>
      </c>
      <c r="AQ97" s="176" t="s">
        <v>281</v>
      </c>
      <c r="AR97" s="62">
        <f t="shared" si="31"/>
        <v>1</v>
      </c>
      <c r="AS97" s="173">
        <f t="shared" si="32"/>
        <v>2.8571428571428571E-2</v>
      </c>
      <c r="AT97" s="70"/>
      <c r="AV97" s="72"/>
      <c r="AW97" s="174"/>
      <c r="AX97" s="62"/>
      <c r="AY97" s="62"/>
      <c r="AZ97" s="70"/>
    </row>
    <row r="98" spans="3:52" ht="15.95" customHeight="1">
      <c r="C98" s="54"/>
      <c r="R98" s="72"/>
      <c r="S98" s="174"/>
      <c r="T98" s="62"/>
      <c r="U98" s="175"/>
      <c r="V98" s="158" t="s">
        <v>290</v>
      </c>
      <c r="W98" s="90">
        <f t="shared" si="22"/>
        <v>1</v>
      </c>
      <c r="X98" s="146">
        <f t="shared" si="39"/>
        <v>2.6315789473684209E-2</v>
      </c>
      <c r="Y98" s="176" t="s">
        <v>266</v>
      </c>
      <c r="Z98" s="62">
        <f t="shared" si="23"/>
        <v>1</v>
      </c>
      <c r="AA98" s="173">
        <f t="shared" si="40"/>
        <v>2.6315789473684209E-2</v>
      </c>
      <c r="AB98" s="70"/>
      <c r="AD98" s="72"/>
      <c r="AE98" s="174"/>
      <c r="AF98" s="62"/>
      <c r="AG98" s="175"/>
      <c r="AH98" s="70"/>
      <c r="AJ98" s="146"/>
      <c r="AK98" s="174"/>
      <c r="AL98" s="62"/>
      <c r="AM98" s="175"/>
      <c r="AN98" s="164" t="s">
        <v>304</v>
      </c>
      <c r="AO98">
        <f t="shared" si="30"/>
        <v>1</v>
      </c>
      <c r="AP98" s="146">
        <f t="shared" si="43"/>
        <v>2.6315789473684209E-2</v>
      </c>
      <c r="AQ98" s="181" t="s">
        <v>270</v>
      </c>
      <c r="AR98" s="62">
        <f t="shared" si="31"/>
        <v>1</v>
      </c>
      <c r="AS98" s="173">
        <f t="shared" si="32"/>
        <v>2.8571428571428571E-2</v>
      </c>
      <c r="AT98" s="70"/>
      <c r="AV98" s="72"/>
      <c r="AW98" s="174"/>
      <c r="AX98" s="62"/>
      <c r="AY98" s="62"/>
      <c r="AZ98" s="70"/>
    </row>
    <row r="99" spans="3:52" ht="15.95" customHeight="1">
      <c r="C99" s="54"/>
      <c r="R99" s="72"/>
      <c r="S99" s="174"/>
      <c r="T99" s="62"/>
      <c r="U99" s="175"/>
      <c r="V99" s="158" t="s">
        <v>266</v>
      </c>
      <c r="W99" s="90">
        <f t="shared" si="22"/>
        <v>1</v>
      </c>
      <c r="X99" s="146">
        <f t="shared" si="39"/>
        <v>2.6315789473684209E-2</v>
      </c>
      <c r="Y99" s="176" t="s">
        <v>296</v>
      </c>
      <c r="Z99" s="62">
        <f t="shared" si="23"/>
        <v>1</v>
      </c>
      <c r="AA99" s="173">
        <f t="shared" si="40"/>
        <v>2.6315789473684209E-2</v>
      </c>
      <c r="AB99" s="70"/>
      <c r="AD99" s="72"/>
      <c r="AE99" s="174"/>
      <c r="AF99" s="62"/>
      <c r="AG99" s="175"/>
      <c r="AH99" s="70"/>
      <c r="AJ99" s="146"/>
      <c r="AK99" s="174"/>
      <c r="AL99" s="62"/>
      <c r="AM99" s="175"/>
      <c r="AN99" s="70"/>
      <c r="AP99" s="72"/>
      <c r="AT99" s="70"/>
      <c r="AV99" s="72"/>
      <c r="AW99" s="174"/>
      <c r="AX99" s="62"/>
      <c r="AY99" s="62"/>
      <c r="AZ99" s="70"/>
    </row>
    <row r="100" spans="3:52" ht="15.95" customHeight="1">
      <c r="C100" s="54"/>
      <c r="V100" s="150"/>
      <c r="W100" s="90"/>
      <c r="X100" s="162"/>
      <c r="Y100" s="53"/>
      <c r="AA100" s="183"/>
    </row>
    <row r="101" spans="3:52" ht="15.95" customHeight="1">
      <c r="C101" s="54"/>
      <c r="V101" s="150"/>
      <c r="W101" s="90"/>
      <c r="X101" s="162"/>
      <c r="Y101" s="53"/>
      <c r="AA101" s="183"/>
    </row>
    <row r="102" spans="3:52" ht="15.95" customHeight="1">
      <c r="C102" s="69" t="s">
        <v>1223</v>
      </c>
      <c r="V102" s="150"/>
      <c r="W102" s="90"/>
      <c r="X102" s="162"/>
      <c r="Y102" s="53"/>
      <c r="AA102" s="183"/>
    </row>
    <row r="103" spans="3:52" ht="15.95" customHeight="1">
      <c r="C103" s="54"/>
      <c r="AQ103" s="52"/>
    </row>
    <row r="104" spans="3:52" ht="15.95" customHeight="1">
      <c r="C104" s="54"/>
      <c r="AD104" s="144"/>
      <c r="AE104" s="52"/>
    </row>
    <row r="105" spans="3:52" ht="15.95" customHeight="1">
      <c r="C105" s="54"/>
      <c r="AE105" s="52"/>
    </row>
    <row r="106" spans="3:52" ht="15.95" customHeight="1">
      <c r="C106" s="54"/>
      <c r="AE106" s="52"/>
    </row>
    <row r="107" spans="3:52" ht="15.95" customHeight="1">
      <c r="C107" s="54"/>
      <c r="V107" s="150"/>
      <c r="W107" s="90"/>
      <c r="X107" s="143"/>
      <c r="Y107" s="53"/>
      <c r="AA107" s="143"/>
      <c r="AE107" s="52"/>
    </row>
    <row r="108" spans="3:52" ht="15.95" customHeight="1">
      <c r="C108" s="54"/>
      <c r="V108" s="150"/>
      <c r="W108" s="90"/>
      <c r="X108" s="143"/>
      <c r="Y108" s="53"/>
      <c r="AA108" s="143"/>
      <c r="AE108" s="52"/>
    </row>
    <row r="109" spans="3:52" ht="15.95" customHeight="1">
      <c r="C109" s="54"/>
      <c r="V109" s="150"/>
      <c r="W109" s="90"/>
      <c r="X109" s="143"/>
      <c r="Y109" s="53"/>
      <c r="AA109" s="143"/>
      <c r="AE109" s="52"/>
    </row>
    <row r="110" spans="3:52" ht="15.95" customHeight="1">
      <c r="C110" s="54"/>
      <c r="V110" s="150"/>
      <c r="W110" s="90"/>
      <c r="X110" s="143"/>
      <c r="Y110" s="53"/>
      <c r="AA110" s="143"/>
      <c r="AE110" s="52"/>
    </row>
    <row r="111" spans="3:52" ht="15.95" customHeight="1">
      <c r="C111" s="54"/>
      <c r="V111" s="150"/>
      <c r="W111" s="90"/>
      <c r="X111" s="143"/>
      <c r="Y111" s="53"/>
      <c r="AA111" s="143"/>
      <c r="AE111" s="52"/>
    </row>
    <row r="112" spans="3:52" ht="15.95" customHeight="1">
      <c r="C112" s="54"/>
      <c r="V112" s="150"/>
      <c r="W112" s="90"/>
      <c r="X112" s="143"/>
      <c r="Y112" s="53"/>
      <c r="AA112" s="143"/>
      <c r="AE112" s="52"/>
    </row>
    <row r="113" spans="3:31" ht="15.95" customHeight="1">
      <c r="C113" s="54"/>
      <c r="V113" s="150"/>
      <c r="W113" s="90"/>
      <c r="X113" s="143"/>
      <c r="Y113" s="53"/>
      <c r="AA113" s="143"/>
    </row>
    <row r="114" spans="3:31" ht="15.95" customHeight="1">
      <c r="C114" s="54"/>
      <c r="V114" s="150"/>
      <c r="W114" s="90"/>
      <c r="X114" s="143"/>
      <c r="Y114" s="53"/>
      <c r="AA114" s="143"/>
    </row>
    <row r="115" spans="3:31" ht="15.95" customHeight="1">
      <c r="C115" s="54"/>
      <c r="V115" s="150"/>
      <c r="W115" s="90"/>
      <c r="X115" s="143"/>
      <c r="Y115" s="53"/>
      <c r="AA115" s="143"/>
    </row>
    <row r="116" spans="3:31" ht="15.95" customHeight="1">
      <c r="C116" s="54"/>
      <c r="V116" s="150"/>
      <c r="W116" s="90"/>
      <c r="X116" s="143"/>
      <c r="Y116" s="53"/>
      <c r="AA116" s="143"/>
    </row>
    <row r="117" spans="3:31" ht="15.95" customHeight="1">
      <c r="C117" s="54"/>
      <c r="V117" s="150"/>
      <c r="W117" s="90"/>
      <c r="X117" s="143"/>
      <c r="Y117" s="53"/>
      <c r="AA117" s="143"/>
    </row>
    <row r="118" spans="3:31" ht="15.95" customHeight="1">
      <c r="C118" s="54"/>
      <c r="V118" s="150"/>
      <c r="W118" s="90"/>
      <c r="X118" s="143"/>
      <c r="Y118" s="53"/>
      <c r="AA118" s="143"/>
    </row>
    <row r="119" spans="3:31" ht="15.95" customHeight="1">
      <c r="C119" s="54"/>
      <c r="V119" s="150"/>
      <c r="W119" s="90"/>
      <c r="X119" s="143"/>
      <c r="Y119" s="53"/>
      <c r="AA119" s="143"/>
    </row>
    <row r="120" spans="3:31" ht="15.95" customHeight="1">
      <c r="C120" s="54"/>
      <c r="V120" s="150"/>
      <c r="W120" s="90"/>
      <c r="X120" s="143"/>
      <c r="Y120" s="53"/>
      <c r="AA120" s="143"/>
    </row>
    <row r="121" spans="3:31" ht="15.95" customHeight="1">
      <c r="C121" s="54"/>
      <c r="AA121" s="144"/>
      <c r="AB121" s="52"/>
    </row>
    <row r="122" spans="3:31" ht="15.95" customHeight="1">
      <c r="C122" s="54"/>
      <c r="D122" s="47"/>
      <c r="X122" s="52"/>
    </row>
    <row r="123" spans="3:31" ht="15.95" hidden="1" customHeight="1">
      <c r="C123" s="54"/>
      <c r="D123" s="47"/>
      <c r="V123" s="59"/>
      <c r="X123" s="52"/>
      <c r="AB123" s="52"/>
    </row>
    <row r="124" spans="3:31" ht="15.95" hidden="1" customHeight="1">
      <c r="C124" s="54"/>
      <c r="D124" s="47"/>
      <c r="X124" s="52"/>
      <c r="AB124" s="52"/>
    </row>
    <row r="125" spans="3:31" ht="15.95" customHeight="1">
      <c r="C125" s="54"/>
      <c r="D125" s="47"/>
      <c r="X125" s="52"/>
      <c r="AB125" s="52"/>
      <c r="AE125" t="s">
        <v>1118</v>
      </c>
    </row>
    <row r="126" spans="3:31" ht="15.95" customHeight="1">
      <c r="C126" s="54"/>
      <c r="D126" s="47"/>
      <c r="S126" s="52"/>
      <c r="V126" s="59"/>
      <c r="X126" s="52"/>
      <c r="AB126" s="52"/>
      <c r="AE126" t="s">
        <v>1117</v>
      </c>
    </row>
    <row r="127" spans="3:31" ht="15.95" customHeight="1">
      <c r="C127" s="54"/>
      <c r="D127" s="47"/>
      <c r="X127" s="52"/>
      <c r="AB127" s="52"/>
    </row>
    <row r="128" spans="3:31" ht="15.95" customHeight="1">
      <c r="C128" s="54"/>
      <c r="D128" s="47"/>
      <c r="X128" s="52"/>
    </row>
    <row r="129" spans="3:31" ht="15.95" customHeight="1">
      <c r="C129" s="54"/>
      <c r="D129" s="47"/>
      <c r="X129" s="52"/>
    </row>
    <row r="130" spans="3:31" ht="15.95" customHeight="1">
      <c r="C130" s="54"/>
      <c r="D130" s="47"/>
      <c r="Y130" s="52"/>
    </row>
    <row r="131" spans="3:31" ht="15.95" hidden="1" customHeight="1">
      <c r="C131" s="54"/>
      <c r="D131" s="47"/>
      <c r="Y131" s="52"/>
    </row>
    <row r="132" spans="3:31" ht="15.95" hidden="1" customHeight="1">
      <c r="C132" s="54"/>
      <c r="D132" s="47"/>
    </row>
    <row r="133" spans="3:31" ht="15.95" hidden="1" customHeight="1">
      <c r="C133" s="54"/>
      <c r="D133" s="47"/>
      <c r="Y133" s="52"/>
      <c r="AE133" t="s">
        <v>1143</v>
      </c>
    </row>
    <row r="134" spans="3:31" ht="15.95" hidden="1" customHeight="1">
      <c r="C134" s="54"/>
      <c r="D134" s="47"/>
      <c r="AE134" t="s">
        <v>1118</v>
      </c>
    </row>
    <row r="135" spans="3:31" ht="15.95" customHeight="1">
      <c r="C135" s="54"/>
      <c r="D135" s="47"/>
      <c r="V135" s="59"/>
      <c r="Y135" s="52"/>
      <c r="AE135" t="s">
        <v>1118</v>
      </c>
    </row>
    <row r="136" spans="3:31" ht="15.95" customHeight="1">
      <c r="C136" s="54"/>
      <c r="D136" s="47"/>
      <c r="AE136" t="s">
        <v>1132</v>
      </c>
    </row>
    <row r="137" spans="3:31" ht="15.95" customHeight="1">
      <c r="C137" s="54"/>
      <c r="D137" s="47"/>
    </row>
    <row r="138" spans="3:31" ht="15.95" customHeight="1">
      <c r="C138" s="54"/>
      <c r="D138" s="47"/>
    </row>
    <row r="139" spans="3:31" ht="15.95" customHeight="1">
      <c r="C139" s="54"/>
      <c r="D139" s="47"/>
    </row>
    <row r="140" spans="3:31" ht="15.95" customHeight="1">
      <c r="C140" s="54"/>
      <c r="D140" s="47"/>
    </row>
    <row r="141" spans="3:31" ht="15.95" customHeight="1">
      <c r="C141" s="54"/>
      <c r="D141" s="47"/>
    </row>
    <row r="142" spans="3:31" ht="15.95" customHeight="1">
      <c r="C142" s="54"/>
      <c r="D142" s="47"/>
    </row>
    <row r="143" spans="3:31" ht="15.95" customHeight="1">
      <c r="C143" s="54"/>
      <c r="D143" s="47"/>
    </row>
    <row r="144" spans="3:31" ht="15.95" customHeight="1">
      <c r="C144" s="54"/>
      <c r="D144" s="47"/>
    </row>
    <row r="145" spans="3:4" ht="15.95" customHeight="1">
      <c r="C145" s="54"/>
      <c r="D145" s="47"/>
    </row>
    <row r="146" spans="3:4" ht="15.95" customHeight="1">
      <c r="C146" s="54"/>
      <c r="D146" s="47"/>
    </row>
    <row r="147" spans="3:4" ht="15.95" customHeight="1">
      <c r="C147" s="54"/>
      <c r="D147" s="47"/>
    </row>
    <row r="148" spans="3:4" ht="15.95" customHeight="1">
      <c r="C148" s="54"/>
      <c r="D148" s="47"/>
    </row>
    <row r="149" spans="3:4" ht="15.95" customHeight="1">
      <c r="C149" s="54"/>
      <c r="D149" s="47"/>
    </row>
    <row r="150" spans="3:4" ht="15.95" customHeight="1">
      <c r="C150" s="54"/>
      <c r="D150" s="47"/>
    </row>
    <row r="151" spans="3:4" ht="15.95" customHeight="1">
      <c r="C151" s="54"/>
      <c r="D151" s="47"/>
    </row>
    <row r="152" spans="3:4" ht="15.95" customHeight="1">
      <c r="C152" s="54"/>
      <c r="D152" s="47"/>
    </row>
    <row r="153" spans="3:4" ht="15.95" customHeight="1">
      <c r="C153" s="54"/>
      <c r="D153" s="47"/>
    </row>
    <row r="154" spans="3:4" ht="15.95" customHeight="1">
      <c r="C154" s="54"/>
      <c r="D154" s="47"/>
    </row>
    <row r="155" spans="3:4" ht="15.95" customHeight="1">
      <c r="C155" s="54"/>
      <c r="D155" s="47"/>
    </row>
    <row r="156" spans="3:4" ht="15.95" customHeight="1">
      <c r="C156" s="54"/>
      <c r="D156" s="47"/>
    </row>
    <row r="157" spans="3:4" ht="15.95" customHeight="1">
      <c r="C157" s="54"/>
      <c r="D157" s="47"/>
    </row>
    <row r="158" spans="3:4" ht="15.95" customHeight="1">
      <c r="C158" s="54"/>
      <c r="D158" s="47"/>
    </row>
    <row r="159" spans="3:4" ht="15.95" customHeight="1">
      <c r="C159" s="54"/>
      <c r="D159" s="47"/>
    </row>
    <row r="160" spans="3:4" ht="15.95" customHeight="1">
      <c r="C160" s="54"/>
      <c r="D160" s="47"/>
    </row>
    <row r="161" spans="3:31" ht="15.95" customHeight="1">
      <c r="C161" s="54"/>
      <c r="D161" s="47"/>
    </row>
    <row r="162" spans="3:31" ht="15.95" customHeight="1">
      <c r="C162" s="54"/>
      <c r="D162" s="47"/>
    </row>
    <row r="163" spans="3:31" ht="15.95" customHeight="1">
      <c r="C163" s="54"/>
      <c r="D163" s="47"/>
    </row>
    <row r="164" spans="3:31" ht="15.95" customHeight="1">
      <c r="C164" s="54"/>
      <c r="D164" s="47"/>
    </row>
    <row r="165" spans="3:31" ht="15.95" customHeight="1">
      <c r="C165" s="54"/>
      <c r="D165" s="47"/>
    </row>
    <row r="166" spans="3:31" ht="15.95" customHeight="1">
      <c r="C166" s="54"/>
      <c r="D166" s="47"/>
    </row>
    <row r="167" spans="3:31" ht="15.95" customHeight="1">
      <c r="C167" s="54"/>
      <c r="D167" s="47"/>
    </row>
    <row r="168" spans="3:31" ht="15.95" customHeight="1">
      <c r="C168" s="54"/>
      <c r="D168" s="47"/>
    </row>
    <row r="169" spans="3:31" ht="15.95" customHeight="1">
      <c r="C169" s="54"/>
      <c r="D169" s="47"/>
    </row>
    <row r="170" spans="3:31" ht="15.95" customHeight="1">
      <c r="C170" s="54"/>
      <c r="D170" s="47"/>
    </row>
    <row r="171" spans="3:31" ht="15.95" hidden="1" customHeight="1">
      <c r="C171" s="54"/>
      <c r="D171" s="47"/>
    </row>
    <row r="172" spans="3:31" ht="15.95" hidden="1" customHeight="1">
      <c r="C172" s="54"/>
      <c r="D172" s="47"/>
    </row>
    <row r="173" spans="3:31" ht="15.95" hidden="1" customHeight="1">
      <c r="C173" s="54"/>
      <c r="D173" s="47"/>
      <c r="AE173" t="s">
        <v>1118</v>
      </c>
    </row>
    <row r="174" spans="3:31" ht="15.95" hidden="1" customHeight="1">
      <c r="C174" s="54"/>
      <c r="D174" s="47"/>
      <c r="AE174" t="s">
        <v>1131</v>
      </c>
    </row>
    <row r="175" spans="3:31" ht="15.95" hidden="1" customHeight="1">
      <c r="C175" s="54"/>
      <c r="D175" s="47"/>
      <c r="AE175" t="s">
        <v>1132</v>
      </c>
    </row>
    <row r="176" spans="3:31" ht="15.95" hidden="1" customHeight="1">
      <c r="C176" s="54"/>
      <c r="D176" s="47"/>
      <c r="V176" s="59"/>
      <c r="AE176" t="s">
        <v>1114</v>
      </c>
    </row>
    <row r="177" spans="1:216" ht="15.95" hidden="1" customHeight="1">
      <c r="C177" s="54"/>
      <c r="D177" s="47"/>
      <c r="AE177" t="s">
        <v>1126</v>
      </c>
    </row>
    <row r="178" spans="1:216" ht="15.95" hidden="1" customHeight="1">
      <c r="C178" s="54"/>
      <c r="D178" s="47"/>
      <c r="AE178" t="s">
        <v>1118</v>
      </c>
    </row>
    <row r="179" spans="1:216" ht="15.95" hidden="1" customHeight="1">
      <c r="C179" s="54"/>
      <c r="D179" s="47"/>
      <c r="AE179" t="s">
        <v>1117</v>
      </c>
    </row>
    <row r="180" spans="1:216" ht="15.95" hidden="1" customHeight="1">
      <c r="C180" s="54"/>
      <c r="D180" s="47"/>
      <c r="AE180" t="s">
        <v>1115</v>
      </c>
    </row>
    <row r="181" spans="1:216" ht="15.95" hidden="1" customHeight="1">
      <c r="C181" s="54"/>
      <c r="D181" s="47"/>
      <c r="AE181" t="s">
        <v>1115</v>
      </c>
    </row>
    <row r="182" spans="1:216" ht="15.95" hidden="1" customHeight="1">
      <c r="C182" s="54"/>
      <c r="D182" s="47"/>
      <c r="AE182" t="s">
        <v>1170</v>
      </c>
    </row>
    <row r="183" spans="1:216" ht="15.95" hidden="1" customHeight="1">
      <c r="C183" s="54"/>
      <c r="D183" s="47"/>
      <c r="AE183" t="s">
        <v>1143</v>
      </c>
    </row>
    <row r="184" spans="1:216" ht="15.95" hidden="1" customHeight="1">
      <c r="C184" s="54"/>
      <c r="D184" s="47"/>
      <c r="AE184" t="s">
        <v>1126</v>
      </c>
    </row>
    <row r="185" spans="1:216" ht="15" hidden="1" customHeight="1">
      <c r="C185" s="54"/>
      <c r="D185" s="47"/>
      <c r="AE185" t="s">
        <v>1131</v>
      </c>
    </row>
    <row r="186" spans="1:216" ht="18" hidden="1" customHeight="1">
      <c r="C186" s="54"/>
      <c r="D186" s="47"/>
      <c r="AE186" t="s">
        <v>1126</v>
      </c>
    </row>
    <row r="187" spans="1:216" ht="18" customHeight="1">
      <c r="C187" s="54"/>
      <c r="D187" s="47"/>
      <c r="AQ187" s="35" t="s">
        <v>1224</v>
      </c>
    </row>
    <row r="188" spans="1:216" ht="18" customHeight="1">
      <c r="C188" s="54"/>
      <c r="D188" s="47"/>
    </row>
    <row r="189" spans="1:216" ht="18" customHeight="1">
      <c r="C189" s="54"/>
      <c r="D189" s="47"/>
    </row>
    <row r="190" spans="1:216" ht="18" customHeight="1">
      <c r="C190" s="54"/>
      <c r="D190" s="47"/>
    </row>
    <row r="191" spans="1:216" ht="18.95" customHeight="1">
      <c r="C191" s="54"/>
      <c r="D191" s="47"/>
    </row>
    <row r="192" spans="1:216" ht="15.95" customHeight="1">
      <c r="A192" s="26"/>
      <c r="B192" s="26"/>
      <c r="C192" s="54"/>
      <c r="D192" s="47"/>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c r="FO192" s="26"/>
      <c r="FP192" s="26"/>
      <c r="FQ192" s="26"/>
      <c r="FR192" s="26"/>
      <c r="FS192" s="26"/>
      <c r="FT192" s="26"/>
      <c r="FU192" s="26"/>
      <c r="FV192" s="26"/>
      <c r="FW192" s="26"/>
      <c r="FX192" s="26"/>
      <c r="FY192" s="26"/>
      <c r="FZ192" s="26"/>
      <c r="GA192" s="26"/>
      <c r="GB192" s="26"/>
      <c r="GC192" s="26"/>
      <c r="GD192" s="26"/>
      <c r="GE192" s="26"/>
      <c r="GF192" s="26"/>
      <c r="GG192" s="26"/>
      <c r="GH192" s="26"/>
      <c r="GI192" s="26"/>
      <c r="GJ192" s="26"/>
      <c r="GK192" s="26"/>
      <c r="GL192" s="26"/>
      <c r="GM192" s="26"/>
      <c r="GN192" s="26"/>
      <c r="GO192" s="26"/>
      <c r="GP192" s="26"/>
      <c r="GQ192" s="26"/>
      <c r="GR192" s="26"/>
      <c r="GS192" s="26"/>
      <c r="GT192" s="26"/>
      <c r="GU192" s="26"/>
      <c r="GV192" s="26"/>
      <c r="GW192" s="26"/>
      <c r="GX192" s="26"/>
      <c r="GY192" s="26"/>
      <c r="GZ192" s="26"/>
      <c r="HA192" s="26"/>
      <c r="HB192" s="26"/>
      <c r="HC192" s="26"/>
      <c r="HD192" s="26"/>
      <c r="HE192" s="26"/>
      <c r="HF192" s="26"/>
      <c r="HG192" s="26"/>
      <c r="HH192" s="26"/>
    </row>
    <row r="193" spans="1:216" ht="15.95" customHeight="1">
      <c r="A193" s="26"/>
      <c r="B193" s="26"/>
      <c r="C193" s="54"/>
      <c r="D193" s="47"/>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c r="FO193" s="26"/>
      <c r="FP193" s="26"/>
      <c r="FQ193" s="26"/>
      <c r="FR193" s="26"/>
      <c r="FS193" s="26"/>
      <c r="FT193" s="26"/>
      <c r="FU193" s="26"/>
      <c r="FV193" s="26"/>
      <c r="FW193" s="26"/>
      <c r="FX193" s="26"/>
      <c r="FY193" s="26"/>
      <c r="FZ193" s="26"/>
      <c r="GA193" s="26"/>
      <c r="GB193" s="26"/>
      <c r="GC193" s="26"/>
      <c r="GD193" s="26"/>
      <c r="GE193" s="26"/>
      <c r="GF193" s="26"/>
      <c r="GG193" s="26"/>
      <c r="GH193" s="26"/>
      <c r="GI193" s="26"/>
      <c r="GJ193" s="26"/>
      <c r="GK193" s="26"/>
      <c r="GL193" s="26"/>
      <c r="GM193" s="26"/>
      <c r="GN193" s="26"/>
      <c r="GO193" s="26"/>
      <c r="GP193" s="26"/>
      <c r="GQ193" s="26"/>
      <c r="GR193" s="26"/>
      <c r="GS193" s="26"/>
      <c r="GT193" s="26"/>
      <c r="GU193" s="26"/>
      <c r="GV193" s="26"/>
      <c r="GW193" s="26"/>
      <c r="GX193" s="26"/>
      <c r="GY193" s="26"/>
      <c r="GZ193" s="26"/>
      <c r="HA193" s="26"/>
      <c r="HB193" s="26"/>
      <c r="HC193" s="26"/>
      <c r="HD193" s="26"/>
      <c r="HE193" s="26"/>
      <c r="HF193" s="26"/>
      <c r="HG193" s="26"/>
      <c r="HH193" s="26"/>
    </row>
    <row r="194" spans="1:216" ht="18" customHeight="1">
      <c r="A194" s="26"/>
      <c r="B194" s="26"/>
      <c r="C194" s="48"/>
      <c r="D194" s="49"/>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6"/>
      <c r="FI194" s="26"/>
      <c r="FJ194" s="26"/>
      <c r="FK194" s="26"/>
      <c r="FL194" s="26"/>
      <c r="FM194" s="26"/>
      <c r="FN194" s="26"/>
      <c r="FO194" s="26"/>
      <c r="FP194" s="26"/>
      <c r="FQ194" s="26"/>
      <c r="FR194" s="26"/>
      <c r="FS194" s="26"/>
      <c r="FT194" s="26"/>
      <c r="FU194" s="26"/>
      <c r="FV194" s="26"/>
      <c r="FW194" s="26"/>
      <c r="FX194" s="26"/>
      <c r="FY194" s="26"/>
      <c r="FZ194" s="26"/>
      <c r="GA194" s="26"/>
      <c r="GB194" s="26"/>
      <c r="GC194" s="26"/>
      <c r="GD194" s="26"/>
      <c r="GE194" s="26"/>
      <c r="GF194" s="26"/>
      <c r="GG194" s="26"/>
      <c r="GH194" s="26"/>
      <c r="GI194" s="26"/>
      <c r="GJ194" s="26"/>
      <c r="GK194" s="26"/>
      <c r="GL194" s="26"/>
      <c r="GM194" s="26"/>
      <c r="GN194" s="26"/>
      <c r="GO194" s="26"/>
      <c r="GP194" s="26"/>
      <c r="GQ194" s="26"/>
      <c r="GR194" s="26"/>
      <c r="GS194" s="26"/>
      <c r="GT194" s="26"/>
      <c r="GU194" s="26"/>
      <c r="GV194" s="26"/>
      <c r="GW194" s="26"/>
      <c r="GX194" s="26"/>
      <c r="GY194" s="26"/>
      <c r="GZ194" s="26"/>
      <c r="HA194" s="26"/>
      <c r="HB194" s="26"/>
      <c r="HC194" s="26"/>
      <c r="HD194" s="26"/>
      <c r="HE194" s="26"/>
      <c r="HF194" s="26"/>
      <c r="HG194" s="26"/>
      <c r="HH194" s="26"/>
    </row>
    <row r="195" spans="1:216" ht="33.75">
      <c r="A195" s="26"/>
      <c r="B195" s="26"/>
      <c r="C195" s="48"/>
      <c r="D195" s="49"/>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row>
    <row r="196" spans="1:216" ht="33.75">
      <c r="A196" s="26"/>
      <c r="B196" s="26"/>
      <c r="C196" s="48"/>
      <c r="D196" s="49"/>
      <c r="E196" s="26"/>
      <c r="F196" s="26"/>
      <c r="G196" s="26"/>
      <c r="H196" s="26"/>
      <c r="I196" s="50" t="s">
        <v>1087</v>
      </c>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row>
    <row r="197" spans="1:216">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row>
    <row r="198" spans="1:216" ht="18.75">
      <c r="A198" s="26"/>
      <c r="B198" s="26"/>
      <c r="D198" s="51" t="s">
        <v>1088</v>
      </c>
      <c r="E198" s="26"/>
      <c r="G198" s="50"/>
      <c r="H198" s="50"/>
      <c r="I198" s="50"/>
      <c r="J198" s="50"/>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6"/>
      <c r="FI198" s="26"/>
      <c r="FJ198" s="26"/>
      <c r="FK198" s="26"/>
      <c r="FL198" s="26"/>
      <c r="FM198" s="26"/>
      <c r="FN198" s="26"/>
      <c r="FO198" s="26"/>
      <c r="FP198" s="26"/>
      <c r="FQ198" s="26"/>
      <c r="FR198" s="26"/>
      <c r="FS198" s="26"/>
      <c r="FT198" s="26"/>
      <c r="FU198" s="26"/>
      <c r="FV198" s="26"/>
      <c r="FW198" s="26"/>
      <c r="FX198" s="26"/>
      <c r="FY198" s="26"/>
      <c r="FZ198" s="26"/>
      <c r="GA198" s="26"/>
      <c r="GB198" s="26"/>
      <c r="GC198" s="26"/>
      <c r="GD198" s="26"/>
      <c r="GE198" s="26"/>
      <c r="GF198" s="26"/>
      <c r="GG198" s="26"/>
      <c r="GH198" s="26"/>
      <c r="GI198" s="26"/>
      <c r="GJ198" s="26"/>
      <c r="GK198" s="26"/>
      <c r="GL198" s="26"/>
      <c r="GM198" s="26"/>
      <c r="GN198" s="26"/>
      <c r="GO198" s="26"/>
      <c r="GP198" s="26"/>
      <c r="GQ198" s="26"/>
      <c r="GR198" s="26"/>
      <c r="GS198" s="26"/>
      <c r="GT198" s="26"/>
      <c r="GU198" s="26"/>
      <c r="GV198" s="26"/>
      <c r="GW198" s="26"/>
      <c r="GX198" s="26"/>
      <c r="GY198" s="26"/>
      <c r="GZ198" s="26"/>
      <c r="HA198" s="26"/>
      <c r="HB198" s="26"/>
      <c r="HC198" s="26"/>
      <c r="HD198" s="26"/>
      <c r="HE198" s="26"/>
      <c r="HF198" s="26"/>
      <c r="HG198" s="26"/>
      <c r="HH198" s="26"/>
    </row>
    <row r="199" spans="1:216">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6"/>
      <c r="FI199" s="26"/>
      <c r="FJ199" s="26"/>
      <c r="FK199" s="26"/>
      <c r="FL199" s="26"/>
      <c r="FM199" s="26"/>
      <c r="FN199" s="26"/>
      <c r="FO199" s="26"/>
      <c r="FP199" s="26"/>
      <c r="FQ199" s="26"/>
      <c r="FR199" s="26"/>
      <c r="FS199" s="26"/>
      <c r="FT199" s="26"/>
      <c r="FU199" s="26"/>
      <c r="FV199" s="26"/>
      <c r="FW199" s="26"/>
      <c r="FX199" s="26"/>
      <c r="FY199" s="26"/>
      <c r="FZ199" s="26"/>
      <c r="GA199" s="26"/>
      <c r="GB199" s="26"/>
      <c r="GC199" s="26"/>
      <c r="GD199" s="26"/>
      <c r="GE199" s="26"/>
      <c r="GF199" s="26"/>
      <c r="GG199" s="26"/>
      <c r="GH199" s="26"/>
      <c r="GI199" s="26"/>
      <c r="GJ199" s="26"/>
      <c r="GK199" s="26"/>
      <c r="GL199" s="26"/>
      <c r="GM199" s="26"/>
      <c r="GN199" s="26"/>
      <c r="GO199" s="26"/>
      <c r="GP199" s="26"/>
      <c r="GQ199" s="26"/>
      <c r="GR199" s="26"/>
      <c r="GS199" s="26"/>
      <c r="GT199" s="26"/>
      <c r="GU199" s="26"/>
      <c r="GV199" s="26"/>
      <c r="GW199" s="26"/>
      <c r="GX199" s="26"/>
      <c r="GY199" s="26"/>
      <c r="GZ199" s="26"/>
      <c r="HA199" s="26"/>
      <c r="HB199" s="26"/>
      <c r="HC199" s="26"/>
      <c r="HD199" s="26"/>
      <c r="HE199" s="26"/>
      <c r="HF199" s="26"/>
      <c r="HG199" s="26"/>
      <c r="HH199" s="26"/>
    </row>
    <row r="200" spans="1:216">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6"/>
      <c r="FI200" s="26"/>
      <c r="FJ200" s="26"/>
      <c r="FK200" s="26"/>
      <c r="FL200" s="26"/>
      <c r="FM200" s="26"/>
      <c r="FN200" s="26"/>
      <c r="FO200" s="26"/>
      <c r="FP200" s="26"/>
      <c r="FQ200" s="26"/>
      <c r="FR200" s="26"/>
      <c r="FS200" s="26"/>
      <c r="FT200" s="26"/>
      <c r="FU200" s="26"/>
      <c r="FV200" s="26"/>
      <c r="FW200" s="26"/>
      <c r="FX200" s="26"/>
      <c r="FY200" s="26"/>
      <c r="FZ200" s="26"/>
      <c r="GA200" s="26"/>
      <c r="GB200" s="26"/>
      <c r="GC200" s="26"/>
      <c r="GD200" s="26"/>
      <c r="GE200" s="26"/>
      <c r="GF200" s="26"/>
      <c r="GG200" s="26"/>
      <c r="GH200" s="26"/>
      <c r="GI200" s="26"/>
      <c r="GJ200" s="26"/>
      <c r="GK200" s="26"/>
      <c r="GL200" s="26"/>
      <c r="GM200" s="26"/>
      <c r="GN200" s="26"/>
      <c r="GO200" s="26"/>
      <c r="GP200" s="26"/>
      <c r="GQ200" s="26"/>
      <c r="GR200" s="26"/>
      <c r="GS200" s="26"/>
      <c r="GT200" s="26"/>
      <c r="GU200" s="26"/>
      <c r="GV200" s="26"/>
      <c r="GW200" s="26"/>
      <c r="GX200" s="26"/>
      <c r="GY200" s="26"/>
      <c r="GZ200" s="26"/>
      <c r="HA200" s="26"/>
      <c r="HB200" s="26"/>
      <c r="HC200" s="26"/>
      <c r="HD200" s="26"/>
      <c r="HE200" s="26"/>
      <c r="HF200" s="26"/>
      <c r="HG200" s="26"/>
      <c r="HH200" s="26"/>
    </row>
    <row r="201" spans="1:216">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6"/>
      <c r="FI201" s="26"/>
      <c r="FJ201" s="26"/>
      <c r="FK201" s="26"/>
      <c r="FL201" s="26"/>
      <c r="FM201" s="26"/>
      <c r="FN201" s="26"/>
      <c r="FO201" s="26"/>
      <c r="FP201" s="26"/>
      <c r="FQ201" s="26"/>
      <c r="FR201" s="26"/>
      <c r="FS201" s="26"/>
      <c r="FT201" s="26"/>
      <c r="FU201" s="26"/>
      <c r="FV201" s="26"/>
      <c r="FW201" s="26"/>
      <c r="FX201" s="26"/>
      <c r="FY201" s="26"/>
      <c r="FZ201" s="26"/>
      <c r="GA201" s="26"/>
      <c r="GB201" s="26"/>
      <c r="GC201" s="26"/>
      <c r="GD201" s="26"/>
      <c r="GE201" s="26"/>
      <c r="GF201" s="26"/>
      <c r="GG201" s="26"/>
      <c r="GH201" s="26"/>
      <c r="GI201" s="26"/>
      <c r="GJ201" s="26"/>
      <c r="GK201" s="26"/>
      <c r="GL201" s="26"/>
      <c r="GM201" s="26"/>
      <c r="GN201" s="26"/>
      <c r="GO201" s="26"/>
      <c r="GP201" s="26"/>
      <c r="GQ201" s="26"/>
      <c r="GR201" s="26"/>
      <c r="GS201" s="26"/>
      <c r="GT201" s="26"/>
      <c r="GU201" s="26"/>
      <c r="GV201" s="26"/>
      <c r="GW201" s="26"/>
      <c r="GX201" s="26"/>
      <c r="GY201" s="26"/>
      <c r="GZ201" s="26"/>
      <c r="HA201" s="26"/>
      <c r="HB201" s="26"/>
      <c r="HC201" s="26"/>
      <c r="HD201" s="26"/>
      <c r="HE201" s="26"/>
      <c r="HF201" s="26"/>
      <c r="HG201" s="26"/>
      <c r="HH201" s="26"/>
    </row>
    <row r="202" spans="1:216">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row>
    <row r="203" spans="1:216">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6"/>
      <c r="FI203" s="26"/>
      <c r="FJ203" s="26"/>
      <c r="FK203" s="26"/>
      <c r="FL203" s="26"/>
      <c r="FM203" s="26"/>
      <c r="FN203" s="26"/>
      <c r="FO203" s="26"/>
      <c r="FP203" s="26"/>
      <c r="FQ203" s="26"/>
      <c r="FR203" s="26"/>
      <c r="FS203" s="26"/>
      <c r="FT203" s="26"/>
      <c r="FU203" s="26"/>
      <c r="FV203" s="26"/>
      <c r="FW203" s="26"/>
      <c r="FX203" s="26"/>
      <c r="FY203" s="26"/>
      <c r="FZ203" s="26"/>
      <c r="GA203" s="26"/>
      <c r="GB203" s="26"/>
      <c r="GC203" s="26"/>
      <c r="GD203" s="26"/>
      <c r="GE203" s="26"/>
      <c r="GF203" s="26"/>
      <c r="GG203" s="26"/>
      <c r="GH203" s="26"/>
      <c r="GI203" s="26"/>
      <c r="GJ203" s="26"/>
      <c r="GK203" s="26"/>
      <c r="GL203" s="26"/>
      <c r="GM203" s="26"/>
      <c r="GN203" s="26"/>
      <c r="GO203" s="26"/>
      <c r="GP203" s="26"/>
      <c r="GQ203" s="26"/>
      <c r="GR203" s="26"/>
      <c r="GS203" s="26"/>
      <c r="GT203" s="26"/>
      <c r="GU203" s="26"/>
      <c r="GV203" s="26"/>
      <c r="GW203" s="26"/>
      <c r="GX203" s="26"/>
      <c r="GY203" s="26"/>
      <c r="GZ203" s="26"/>
      <c r="HA203" s="26"/>
      <c r="HB203" s="26"/>
      <c r="HC203" s="26"/>
      <c r="HD203" s="26"/>
      <c r="HE203" s="26"/>
      <c r="HF203" s="26"/>
      <c r="HG203" s="26"/>
      <c r="HH203" s="26"/>
    </row>
    <row r="204" spans="1:216">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6"/>
      <c r="FI204" s="26"/>
      <c r="FJ204" s="26"/>
      <c r="FK204" s="26"/>
      <c r="FL204" s="26"/>
      <c r="FM204" s="26"/>
      <c r="FN204" s="26"/>
      <c r="FO204" s="26"/>
      <c r="FP204" s="26"/>
      <c r="FQ204" s="26"/>
      <c r="FR204" s="26"/>
      <c r="FS204" s="26"/>
      <c r="FT204" s="26"/>
      <c r="FU204" s="26"/>
      <c r="FV204" s="26"/>
      <c r="FW204" s="26"/>
      <c r="FX204" s="26"/>
      <c r="FY204" s="26"/>
      <c r="FZ204" s="26"/>
      <c r="GA204" s="26"/>
      <c r="GB204" s="26"/>
      <c r="GC204" s="26"/>
      <c r="GD204" s="26"/>
      <c r="GE204" s="26"/>
      <c r="GF204" s="26"/>
      <c r="GG204" s="26"/>
      <c r="GH204" s="26"/>
      <c r="GI204" s="26"/>
      <c r="GJ204" s="26"/>
      <c r="GK204" s="26"/>
      <c r="GL204" s="26"/>
      <c r="GM204" s="26"/>
      <c r="GN204" s="26"/>
      <c r="GO204" s="26"/>
      <c r="GP204" s="26"/>
      <c r="GQ204" s="26"/>
      <c r="GR204" s="26"/>
      <c r="GS204" s="26"/>
      <c r="GT204" s="26"/>
      <c r="GU204" s="26"/>
      <c r="GV204" s="26"/>
      <c r="GW204" s="26"/>
      <c r="GX204" s="26"/>
      <c r="GY204" s="26"/>
      <c r="GZ204" s="26"/>
      <c r="HA204" s="26"/>
      <c r="HB204" s="26"/>
      <c r="HC204" s="26"/>
      <c r="HD204" s="26"/>
      <c r="HE204" s="26"/>
      <c r="HF204" s="26"/>
      <c r="HG204" s="26"/>
      <c r="HH204" s="26"/>
    </row>
    <row r="205" spans="1:216">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c r="FO205" s="26"/>
      <c r="FP205" s="26"/>
      <c r="FQ205" s="26"/>
      <c r="FR205" s="26"/>
      <c r="FS205" s="26"/>
      <c r="FT205" s="26"/>
      <c r="FU205" s="26"/>
      <c r="FV205" s="26"/>
      <c r="FW205" s="26"/>
      <c r="FX205" s="26"/>
      <c r="FY205" s="26"/>
      <c r="FZ205" s="26"/>
      <c r="GA205" s="26"/>
      <c r="GB205" s="26"/>
      <c r="GC205" s="26"/>
      <c r="GD205" s="26"/>
      <c r="GE205" s="26"/>
      <c r="GF205" s="26"/>
      <c r="GG205" s="26"/>
      <c r="GH205" s="26"/>
      <c r="GI205" s="26"/>
      <c r="GJ205" s="26"/>
      <c r="GK205" s="26"/>
      <c r="GL205" s="26"/>
      <c r="GM205" s="26"/>
      <c r="GN205" s="26"/>
      <c r="GO205" s="26"/>
      <c r="GP205" s="26"/>
      <c r="GQ205" s="26"/>
      <c r="GR205" s="26"/>
      <c r="GS205" s="26"/>
      <c r="GT205" s="26"/>
      <c r="GU205" s="26"/>
      <c r="GV205" s="26"/>
      <c r="GW205" s="26"/>
      <c r="GX205" s="26"/>
      <c r="GY205" s="26"/>
      <c r="GZ205" s="26"/>
      <c r="HA205" s="26"/>
      <c r="HB205" s="26"/>
      <c r="HC205" s="26"/>
      <c r="HD205" s="26"/>
      <c r="HE205" s="26"/>
      <c r="HF205" s="26"/>
      <c r="HG205" s="26"/>
      <c r="HH205" s="26"/>
    </row>
    <row r="206" spans="1:21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c r="FO206" s="26"/>
      <c r="FP206" s="26"/>
      <c r="FQ206" s="26"/>
      <c r="FR206" s="26"/>
      <c r="FS206" s="26"/>
      <c r="FT206" s="26"/>
      <c r="FU206" s="26"/>
      <c r="FV206" s="26"/>
      <c r="FW206" s="26"/>
      <c r="FX206" s="26"/>
      <c r="FY206" s="26"/>
      <c r="FZ206" s="26"/>
      <c r="GA206" s="26"/>
      <c r="GB206" s="26"/>
      <c r="GC206" s="26"/>
      <c r="GD206" s="26"/>
      <c r="GE206" s="26"/>
      <c r="GF206" s="26"/>
      <c r="GG206" s="26"/>
      <c r="GH206" s="26"/>
      <c r="GI206" s="26"/>
      <c r="GJ206" s="26"/>
      <c r="GK206" s="26"/>
      <c r="GL206" s="26"/>
      <c r="GM206" s="26"/>
      <c r="GN206" s="26"/>
      <c r="GO206" s="26"/>
      <c r="GP206" s="26"/>
      <c r="GQ206" s="26"/>
      <c r="GR206" s="26"/>
      <c r="GS206" s="26"/>
      <c r="GT206" s="26"/>
      <c r="GU206" s="26"/>
      <c r="GV206" s="26"/>
      <c r="GW206" s="26"/>
      <c r="GX206" s="26"/>
      <c r="GY206" s="26"/>
      <c r="GZ206" s="26"/>
      <c r="HA206" s="26"/>
      <c r="HB206" s="26"/>
      <c r="HC206" s="26"/>
      <c r="HD206" s="26"/>
      <c r="HE206" s="26"/>
      <c r="HF206" s="26"/>
      <c r="HG206" s="26"/>
      <c r="HH206" s="26"/>
    </row>
    <row r="207" spans="1:216">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c r="FO207" s="26"/>
      <c r="FP207" s="26"/>
      <c r="FQ207" s="26"/>
      <c r="FR207" s="26"/>
      <c r="FS207" s="26"/>
      <c r="FT207" s="26"/>
      <c r="FU207" s="26"/>
      <c r="FV207" s="26"/>
      <c r="FW207" s="26"/>
      <c r="FX207" s="26"/>
      <c r="FY207" s="26"/>
      <c r="FZ207" s="26"/>
      <c r="GA207" s="26"/>
      <c r="GB207" s="26"/>
      <c r="GC207" s="26"/>
      <c r="GD207" s="26"/>
      <c r="GE207" s="26"/>
      <c r="GF207" s="26"/>
      <c r="GG207" s="26"/>
      <c r="GH207" s="26"/>
      <c r="GI207" s="26"/>
      <c r="GJ207" s="26"/>
      <c r="GK207" s="26"/>
      <c r="GL207" s="26"/>
      <c r="GM207" s="26"/>
      <c r="GN207" s="26"/>
      <c r="GO207" s="26"/>
      <c r="GP207" s="26"/>
      <c r="GQ207" s="26"/>
      <c r="GR207" s="26"/>
      <c r="GS207" s="26"/>
      <c r="GT207" s="26"/>
      <c r="GU207" s="26"/>
      <c r="GV207" s="26"/>
      <c r="GW207" s="26"/>
      <c r="GX207" s="26"/>
      <c r="GY207" s="26"/>
      <c r="GZ207" s="26"/>
      <c r="HA207" s="26"/>
      <c r="HB207" s="26"/>
      <c r="HC207" s="26"/>
      <c r="HD207" s="26"/>
      <c r="HE207" s="26"/>
      <c r="HF207" s="26"/>
      <c r="HG207" s="26"/>
      <c r="HH207" s="26"/>
    </row>
    <row r="208" spans="1:216">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6"/>
      <c r="FI208" s="26"/>
      <c r="FJ208" s="26"/>
      <c r="FK208" s="26"/>
      <c r="FL208" s="26"/>
      <c r="FM208" s="26"/>
      <c r="FN208" s="26"/>
      <c r="FO208" s="26"/>
      <c r="FP208" s="26"/>
      <c r="FQ208" s="26"/>
      <c r="FR208" s="26"/>
      <c r="FS208" s="26"/>
      <c r="FT208" s="26"/>
      <c r="FU208" s="26"/>
      <c r="FV208" s="26"/>
      <c r="FW208" s="26"/>
      <c r="FX208" s="26"/>
      <c r="FY208" s="26"/>
      <c r="FZ208" s="26"/>
      <c r="GA208" s="26"/>
      <c r="GB208" s="26"/>
      <c r="GC208" s="26"/>
      <c r="GD208" s="26"/>
      <c r="GE208" s="26"/>
      <c r="GF208" s="26"/>
      <c r="GG208" s="26"/>
      <c r="GH208" s="26"/>
      <c r="GI208" s="26"/>
      <c r="GJ208" s="26"/>
      <c r="GK208" s="26"/>
      <c r="GL208" s="26"/>
      <c r="GM208" s="26"/>
      <c r="GN208" s="26"/>
      <c r="GO208" s="26"/>
      <c r="GP208" s="26"/>
      <c r="GQ208" s="26"/>
      <c r="GR208" s="26"/>
      <c r="GS208" s="26"/>
      <c r="GT208" s="26"/>
      <c r="GU208" s="26"/>
      <c r="GV208" s="26"/>
      <c r="GW208" s="26"/>
      <c r="GX208" s="26"/>
      <c r="GY208" s="26"/>
      <c r="GZ208" s="26"/>
      <c r="HA208" s="26"/>
      <c r="HB208" s="26"/>
      <c r="HC208" s="26"/>
      <c r="HD208" s="26"/>
      <c r="HE208" s="26"/>
      <c r="HF208" s="26"/>
      <c r="HG208" s="26"/>
      <c r="HH208" s="26"/>
    </row>
    <row r="209" spans="1:216">
      <c r="A209" s="26"/>
      <c r="B209" s="26"/>
      <c r="C209" s="26"/>
      <c r="D209" s="26"/>
      <c r="E209" s="26"/>
      <c r="F209" s="26"/>
      <c r="G209" s="26"/>
      <c r="H209" s="26"/>
      <c r="I209" s="26"/>
      <c r="J209" s="26" t="s">
        <v>127</v>
      </c>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6"/>
      <c r="FI209" s="26"/>
      <c r="FJ209" s="26"/>
      <c r="FK209" s="26"/>
      <c r="FL209" s="26"/>
      <c r="FM209" s="26"/>
      <c r="FN209" s="26"/>
      <c r="FO209" s="26"/>
      <c r="FP209" s="26"/>
      <c r="FQ209" s="26"/>
      <c r="FR209" s="26"/>
      <c r="FS209" s="26"/>
      <c r="FT209" s="26"/>
      <c r="FU209" s="26"/>
      <c r="FV209" s="26"/>
      <c r="FW209" s="26"/>
      <c r="FX209" s="26"/>
      <c r="FY209" s="26"/>
      <c r="FZ209" s="26"/>
      <c r="GA209" s="26"/>
      <c r="GB209" s="26"/>
      <c r="GC209" s="26"/>
      <c r="GD209" s="26"/>
      <c r="GE209" s="26"/>
      <c r="GF209" s="26"/>
      <c r="GG209" s="26"/>
      <c r="GH209" s="26"/>
      <c r="GI209" s="26"/>
      <c r="GJ209" s="26"/>
      <c r="GK209" s="26"/>
      <c r="GL209" s="26"/>
      <c r="GM209" s="26"/>
      <c r="GN209" s="26"/>
      <c r="GO209" s="26"/>
      <c r="GP209" s="26"/>
      <c r="GQ209" s="26"/>
      <c r="GR209" s="26"/>
      <c r="GS209" s="26"/>
      <c r="GT209" s="26"/>
      <c r="GU209" s="26"/>
      <c r="GV209" s="26"/>
      <c r="GW209" s="26"/>
      <c r="GX209" s="26"/>
      <c r="GY209" s="26"/>
      <c r="GZ209" s="26"/>
      <c r="HA209" s="26"/>
      <c r="HB209" s="26"/>
      <c r="HC209" s="26"/>
      <c r="HD209" s="26"/>
      <c r="HE209" s="26"/>
      <c r="HF209" s="26"/>
      <c r="HG209" s="26"/>
      <c r="HH209" s="26"/>
    </row>
    <row r="210" spans="1:216">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6"/>
      <c r="FI210" s="26"/>
      <c r="FJ210" s="26"/>
      <c r="FK210" s="26"/>
      <c r="FL210" s="26"/>
      <c r="FM210" s="26"/>
      <c r="FN210" s="26"/>
      <c r="FO210" s="26"/>
      <c r="FP210" s="26"/>
      <c r="FQ210" s="26"/>
      <c r="FR210" s="26"/>
      <c r="FS210" s="26"/>
      <c r="FT210" s="26"/>
      <c r="FU210" s="26"/>
      <c r="FV210" s="26"/>
      <c r="FW210" s="26"/>
      <c r="FX210" s="26"/>
      <c r="FY210" s="26"/>
      <c r="FZ210" s="26"/>
      <c r="GA210" s="26"/>
      <c r="GB210" s="26"/>
      <c r="GC210" s="26"/>
      <c r="GD210" s="26"/>
      <c r="GE210" s="26"/>
      <c r="GF210" s="26"/>
      <c r="GG210" s="26"/>
      <c r="GH210" s="26"/>
      <c r="GI210" s="26"/>
      <c r="GJ210" s="26"/>
      <c r="GK210" s="26"/>
      <c r="GL210" s="26"/>
      <c r="GM210" s="26"/>
      <c r="GN210" s="26"/>
      <c r="GO210" s="26"/>
      <c r="GP210" s="26"/>
      <c r="GQ210" s="26"/>
      <c r="GR210" s="26"/>
      <c r="GS210" s="26"/>
      <c r="GT210" s="26"/>
      <c r="GU210" s="26"/>
      <c r="GV210" s="26"/>
      <c r="GW210" s="26"/>
      <c r="GX210" s="26"/>
      <c r="GY210" s="26"/>
      <c r="GZ210" s="26"/>
      <c r="HA210" s="26"/>
      <c r="HB210" s="26"/>
      <c r="HC210" s="26"/>
      <c r="HD210" s="26"/>
      <c r="HE210" s="26"/>
      <c r="HF210" s="26"/>
      <c r="HG210" s="26"/>
      <c r="HH210" s="26"/>
    </row>
    <row r="211" spans="1:216">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6"/>
      <c r="FI211" s="26"/>
      <c r="FJ211" s="26"/>
      <c r="FK211" s="26"/>
      <c r="FL211" s="26"/>
      <c r="FM211" s="26"/>
      <c r="FN211" s="26"/>
      <c r="FO211" s="26"/>
      <c r="FP211" s="26"/>
      <c r="FQ211" s="26"/>
      <c r="FR211" s="26"/>
      <c r="FS211" s="26"/>
      <c r="FT211" s="26"/>
      <c r="FU211" s="26"/>
      <c r="FV211" s="26"/>
      <c r="FW211" s="26"/>
      <c r="FX211" s="26"/>
      <c r="FY211" s="26"/>
      <c r="FZ211" s="26"/>
      <c r="GA211" s="26"/>
      <c r="GB211" s="26"/>
      <c r="GC211" s="26"/>
      <c r="GD211" s="26"/>
      <c r="GE211" s="26"/>
      <c r="GF211" s="26"/>
      <c r="GG211" s="26"/>
      <c r="GH211" s="26"/>
      <c r="GI211" s="26"/>
      <c r="GJ211" s="26"/>
      <c r="GK211" s="26"/>
      <c r="GL211" s="26"/>
      <c r="GM211" s="26"/>
      <c r="GN211" s="26"/>
      <c r="GO211" s="26"/>
      <c r="GP211" s="26"/>
      <c r="GQ211" s="26"/>
      <c r="GR211" s="26"/>
      <c r="GS211" s="26"/>
      <c r="GT211" s="26"/>
      <c r="GU211" s="26"/>
      <c r="GV211" s="26"/>
      <c r="GW211" s="26"/>
      <c r="GX211" s="26"/>
      <c r="GY211" s="26"/>
      <c r="GZ211" s="26"/>
      <c r="HA211" s="26"/>
      <c r="HB211" s="26"/>
      <c r="HC211" s="26"/>
      <c r="HD211" s="26"/>
      <c r="HE211" s="26"/>
      <c r="HF211" s="26"/>
      <c r="HG211" s="26"/>
      <c r="HH211" s="26"/>
    </row>
    <row r="212" spans="1:216">
      <c r="A212" s="26"/>
      <c r="B212" s="26"/>
      <c r="C212" s="26"/>
      <c r="D212" s="26"/>
      <c r="E212" s="26" t="s">
        <v>126</v>
      </c>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row>
    <row r="213" spans="1:216">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6"/>
      <c r="FI213" s="26"/>
      <c r="FJ213" s="26"/>
      <c r="FK213" s="26"/>
      <c r="FL213" s="26"/>
      <c r="FM213" s="26"/>
      <c r="FN213" s="26"/>
      <c r="FO213" s="26"/>
      <c r="FP213" s="26"/>
      <c r="FQ213" s="26"/>
      <c r="FR213" s="26"/>
      <c r="FS213" s="26"/>
      <c r="FT213" s="26"/>
      <c r="FU213" s="26"/>
      <c r="FV213" s="26"/>
      <c r="FW213" s="26"/>
      <c r="FX213" s="26"/>
      <c r="FY213" s="26"/>
      <c r="FZ213" s="26"/>
      <c r="GA213" s="26"/>
      <c r="GB213" s="26"/>
      <c r="GC213" s="26"/>
      <c r="GD213" s="26"/>
      <c r="GE213" s="26"/>
      <c r="GF213" s="26"/>
      <c r="GG213" s="26"/>
      <c r="GH213" s="26"/>
      <c r="GI213" s="26"/>
      <c r="GJ213" s="26"/>
      <c r="GK213" s="26"/>
      <c r="GL213" s="26"/>
      <c r="GM213" s="26"/>
      <c r="GN213" s="26"/>
      <c r="GO213" s="26"/>
      <c r="GP213" s="26"/>
      <c r="GQ213" s="26"/>
      <c r="GR213" s="26"/>
      <c r="GS213" s="26"/>
      <c r="GT213" s="26"/>
      <c r="GU213" s="26"/>
      <c r="GV213" s="26"/>
      <c r="GW213" s="26"/>
      <c r="GX213" s="26"/>
      <c r="GY213" s="26"/>
      <c r="GZ213" s="26"/>
      <c r="HA213" s="26"/>
      <c r="HB213" s="26"/>
      <c r="HC213" s="26"/>
      <c r="HD213" s="26"/>
      <c r="HE213" s="26"/>
      <c r="HF213" s="26"/>
      <c r="HG213" s="26"/>
      <c r="HH213" s="26"/>
    </row>
    <row r="214" spans="1:216">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6"/>
      <c r="FI214" s="26"/>
      <c r="FJ214" s="26"/>
      <c r="FK214" s="26"/>
      <c r="FL214" s="26"/>
      <c r="FM214" s="26"/>
      <c r="FN214" s="26"/>
      <c r="FO214" s="26"/>
      <c r="FP214" s="26"/>
      <c r="FQ214" s="26"/>
      <c r="FR214" s="26"/>
      <c r="FS214" s="26"/>
      <c r="FT214" s="26"/>
      <c r="FU214" s="26"/>
      <c r="FV214" s="26"/>
      <c r="FW214" s="26"/>
      <c r="FX214" s="26"/>
      <c r="FY214" s="26"/>
      <c r="FZ214" s="26"/>
      <c r="GA214" s="26"/>
      <c r="GB214" s="26"/>
      <c r="GC214" s="26"/>
      <c r="GD214" s="26"/>
      <c r="GE214" s="26"/>
      <c r="GF214" s="26"/>
      <c r="GG214" s="26"/>
      <c r="GH214" s="26"/>
      <c r="GI214" s="26"/>
      <c r="GJ214" s="26"/>
      <c r="GK214" s="26"/>
      <c r="GL214" s="26"/>
      <c r="GM214" s="26"/>
      <c r="GN214" s="26"/>
      <c r="GO214" s="26"/>
      <c r="GP214" s="26"/>
      <c r="GQ214" s="26"/>
      <c r="GR214" s="26"/>
      <c r="GS214" s="26"/>
      <c r="GT214" s="26"/>
      <c r="GU214" s="26"/>
      <c r="GV214" s="26"/>
      <c r="GW214" s="26"/>
      <c r="GX214" s="26"/>
      <c r="GY214" s="26"/>
      <c r="GZ214" s="26"/>
      <c r="HA214" s="26"/>
      <c r="HB214" s="26"/>
      <c r="HC214" s="26"/>
      <c r="HD214" s="26"/>
      <c r="HE214" s="26"/>
      <c r="HF214" s="26"/>
      <c r="HG214" s="26"/>
      <c r="HH214" s="26"/>
    </row>
    <row r="215" spans="1:216">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row>
    <row r="216" spans="1: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6"/>
      <c r="FI216" s="26"/>
      <c r="FJ216" s="26"/>
      <c r="FK216" s="26"/>
      <c r="FL216" s="26"/>
      <c r="FM216" s="26"/>
      <c r="FN216" s="26"/>
      <c r="FO216" s="26"/>
      <c r="FP216" s="26"/>
      <c r="FQ216" s="26"/>
      <c r="FR216" s="26"/>
      <c r="FS216" s="26"/>
      <c r="FT216" s="26"/>
      <c r="FU216" s="26"/>
      <c r="FV216" s="26"/>
      <c r="FW216" s="26"/>
      <c r="FX216" s="26"/>
      <c r="FY216" s="26"/>
      <c r="FZ216" s="26"/>
      <c r="GA216" s="26"/>
      <c r="GB216" s="26"/>
      <c r="GC216" s="26"/>
      <c r="GD216" s="26"/>
      <c r="GE216" s="26"/>
      <c r="GF216" s="26"/>
      <c r="GG216" s="26"/>
      <c r="GH216" s="26"/>
      <c r="GI216" s="26"/>
      <c r="GJ216" s="26"/>
      <c r="GK216" s="26"/>
      <c r="GL216" s="26"/>
      <c r="GM216" s="26"/>
      <c r="GN216" s="26"/>
      <c r="GO216" s="26"/>
      <c r="GP216" s="26"/>
      <c r="GQ216" s="26"/>
      <c r="GR216" s="26"/>
      <c r="GS216" s="26"/>
      <c r="GT216" s="26"/>
      <c r="GU216" s="26"/>
      <c r="GV216" s="26"/>
      <c r="GW216" s="26"/>
      <c r="GX216" s="26"/>
      <c r="GY216" s="26"/>
      <c r="GZ216" s="26"/>
      <c r="HA216" s="26"/>
      <c r="HB216" s="26"/>
      <c r="HC216" s="26"/>
      <c r="HD216" s="26"/>
      <c r="HE216" s="26"/>
      <c r="HF216" s="26"/>
      <c r="HG216" s="26"/>
      <c r="HH216" s="26"/>
    </row>
    <row r="217" spans="1:216">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6"/>
      <c r="FI217" s="26"/>
      <c r="FJ217" s="26"/>
      <c r="FK217" s="26"/>
      <c r="FL217" s="26"/>
      <c r="FM217" s="26"/>
      <c r="FN217" s="26"/>
      <c r="FO217" s="26"/>
      <c r="FP217" s="26"/>
      <c r="FQ217" s="26"/>
      <c r="FR217" s="26"/>
      <c r="FS217" s="26"/>
      <c r="FT217" s="26"/>
      <c r="FU217" s="26"/>
      <c r="FV217" s="26"/>
      <c r="FW217" s="26"/>
      <c r="FX217" s="26"/>
      <c r="FY217" s="26"/>
      <c r="FZ217" s="26"/>
      <c r="GA217" s="26"/>
      <c r="GB217" s="26"/>
      <c r="GC217" s="26"/>
      <c r="GD217" s="26"/>
      <c r="GE217" s="26"/>
      <c r="GF217" s="26"/>
      <c r="GG217" s="26"/>
      <c r="GH217" s="26"/>
      <c r="GI217" s="26"/>
      <c r="GJ217" s="26"/>
      <c r="GK217" s="26"/>
      <c r="GL217" s="26"/>
      <c r="GM217" s="26"/>
      <c r="GN217" s="26"/>
      <c r="GO217" s="26"/>
      <c r="GP217" s="26"/>
      <c r="GQ217" s="26"/>
      <c r="GR217" s="26"/>
      <c r="GS217" s="26"/>
      <c r="GT217" s="26"/>
      <c r="GU217" s="26"/>
      <c r="GV217" s="26"/>
      <c r="GW217" s="26"/>
      <c r="GX217" s="26"/>
      <c r="GY217" s="26"/>
      <c r="GZ217" s="26"/>
      <c r="HA217" s="26"/>
      <c r="HB217" s="26"/>
      <c r="HC217" s="26"/>
      <c r="HD217" s="26"/>
      <c r="HE217" s="26"/>
      <c r="HF217" s="26"/>
      <c r="HG217" s="26"/>
      <c r="HH217" s="26"/>
    </row>
    <row r="218" spans="1:216">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row>
    <row r="219" spans="1:216">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26"/>
      <c r="FC219" s="26"/>
      <c r="FD219" s="26"/>
      <c r="FE219" s="26"/>
      <c r="FF219" s="26"/>
      <c r="FG219" s="26"/>
      <c r="FH219" s="26"/>
      <c r="FI219" s="26"/>
      <c r="FJ219" s="26"/>
      <c r="FK219" s="26"/>
      <c r="FL219" s="26"/>
      <c r="FM219" s="26"/>
      <c r="FN219" s="26"/>
      <c r="FO219" s="26"/>
      <c r="FP219" s="26"/>
      <c r="FQ219" s="26"/>
      <c r="FR219" s="26"/>
      <c r="FS219" s="26"/>
      <c r="FT219" s="26"/>
      <c r="FU219" s="26"/>
      <c r="FV219" s="26"/>
      <c r="FW219" s="26"/>
      <c r="FX219" s="26"/>
      <c r="FY219" s="26"/>
      <c r="FZ219" s="26"/>
      <c r="GA219" s="26"/>
      <c r="GB219" s="26"/>
      <c r="GC219" s="26"/>
      <c r="GD219" s="26"/>
      <c r="GE219" s="26"/>
      <c r="GF219" s="26"/>
      <c r="GG219" s="26"/>
      <c r="GH219" s="26"/>
      <c r="GI219" s="26"/>
      <c r="GJ219" s="26"/>
      <c r="GK219" s="26"/>
      <c r="GL219" s="26"/>
      <c r="GM219" s="26"/>
      <c r="GN219" s="26"/>
      <c r="GO219" s="26"/>
      <c r="GP219" s="26"/>
      <c r="GQ219" s="26"/>
      <c r="GR219" s="26"/>
      <c r="GS219" s="26"/>
      <c r="GT219" s="26"/>
      <c r="GU219" s="26"/>
      <c r="GV219" s="26"/>
      <c r="GW219" s="26"/>
      <c r="GX219" s="26"/>
      <c r="GY219" s="26"/>
      <c r="GZ219" s="26"/>
      <c r="HA219" s="26"/>
      <c r="HB219" s="26"/>
      <c r="HC219" s="26"/>
      <c r="HD219" s="26"/>
      <c r="HE219" s="26"/>
      <c r="HF219" s="26"/>
      <c r="HG219" s="26"/>
      <c r="HH219" s="26"/>
    </row>
    <row r="220" spans="1:216">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26"/>
      <c r="FC220" s="26"/>
      <c r="FD220" s="26"/>
      <c r="FE220" s="26"/>
      <c r="FF220" s="26"/>
      <c r="FG220" s="26"/>
      <c r="FH220" s="26"/>
      <c r="FI220" s="26"/>
      <c r="FJ220" s="26"/>
      <c r="FK220" s="26"/>
      <c r="FL220" s="26"/>
      <c r="FM220" s="26"/>
      <c r="FN220" s="26"/>
      <c r="FO220" s="26"/>
      <c r="FP220" s="26"/>
      <c r="FQ220" s="26"/>
      <c r="FR220" s="26"/>
      <c r="FS220" s="26"/>
      <c r="FT220" s="26"/>
      <c r="FU220" s="26"/>
      <c r="FV220" s="26"/>
      <c r="FW220" s="26"/>
      <c r="FX220" s="26"/>
      <c r="FY220" s="26"/>
      <c r="FZ220" s="26"/>
      <c r="GA220" s="26"/>
      <c r="GB220" s="26"/>
      <c r="GC220" s="26"/>
      <c r="GD220" s="26"/>
      <c r="GE220" s="26"/>
      <c r="GF220" s="26"/>
      <c r="GG220" s="26"/>
      <c r="GH220" s="26"/>
      <c r="GI220" s="26"/>
      <c r="GJ220" s="26"/>
      <c r="GK220" s="26"/>
      <c r="GL220" s="26"/>
      <c r="GM220" s="26"/>
      <c r="GN220" s="26"/>
      <c r="GO220" s="26"/>
      <c r="GP220" s="26"/>
      <c r="GQ220" s="26"/>
      <c r="GR220" s="26"/>
      <c r="GS220" s="26"/>
      <c r="GT220" s="26"/>
      <c r="GU220" s="26"/>
      <c r="GV220" s="26"/>
      <c r="GW220" s="26"/>
      <c r="GX220" s="26"/>
      <c r="GY220" s="26"/>
      <c r="GZ220" s="26"/>
      <c r="HA220" s="26"/>
      <c r="HB220" s="26"/>
      <c r="HC220" s="26"/>
      <c r="HD220" s="26"/>
      <c r="HE220" s="26"/>
      <c r="HF220" s="26"/>
      <c r="HG220" s="26"/>
      <c r="HH220" s="26"/>
    </row>
    <row r="221" spans="1:216">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26"/>
      <c r="FB221" s="26"/>
      <c r="FC221" s="26"/>
      <c r="FD221" s="26"/>
      <c r="FE221" s="26"/>
      <c r="FF221" s="26"/>
      <c r="FG221" s="26"/>
      <c r="FH221" s="26"/>
      <c r="FI221" s="26"/>
      <c r="FJ221" s="26"/>
      <c r="FK221" s="26"/>
      <c r="FL221" s="26"/>
      <c r="FM221" s="26"/>
      <c r="FN221" s="26"/>
      <c r="FO221" s="26"/>
      <c r="FP221" s="26"/>
      <c r="FQ221" s="26"/>
      <c r="FR221" s="26"/>
      <c r="FS221" s="26"/>
      <c r="FT221" s="26"/>
      <c r="FU221" s="26"/>
      <c r="FV221" s="26"/>
      <c r="FW221" s="26"/>
      <c r="FX221" s="26"/>
      <c r="FY221" s="26"/>
      <c r="FZ221" s="26"/>
      <c r="GA221" s="26"/>
      <c r="GB221" s="26"/>
      <c r="GC221" s="26"/>
      <c r="GD221" s="26"/>
      <c r="GE221" s="26"/>
      <c r="GF221" s="26"/>
      <c r="GG221" s="26"/>
      <c r="GH221" s="26"/>
      <c r="GI221" s="26"/>
      <c r="GJ221" s="26"/>
      <c r="GK221" s="26"/>
      <c r="GL221" s="26"/>
      <c r="GM221" s="26"/>
      <c r="GN221" s="26"/>
      <c r="GO221" s="26"/>
      <c r="GP221" s="26"/>
      <c r="GQ221" s="26"/>
      <c r="GR221" s="26"/>
      <c r="GS221" s="26"/>
      <c r="GT221" s="26"/>
      <c r="GU221" s="26"/>
      <c r="GV221" s="26"/>
      <c r="GW221" s="26"/>
      <c r="GX221" s="26"/>
      <c r="GY221" s="26"/>
      <c r="GZ221" s="26"/>
      <c r="HA221" s="26"/>
      <c r="HB221" s="26"/>
      <c r="HC221" s="26"/>
      <c r="HD221" s="26"/>
      <c r="HE221" s="26"/>
      <c r="HF221" s="26"/>
      <c r="HG221" s="26"/>
      <c r="HH221" s="26"/>
    </row>
    <row r="222" spans="1:216">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26"/>
      <c r="FB222" s="26"/>
      <c r="FC222" s="26"/>
      <c r="FD222" s="26"/>
      <c r="FE222" s="26"/>
      <c r="FF222" s="26"/>
      <c r="FG222" s="26"/>
      <c r="FH222" s="26"/>
      <c r="FI222" s="26"/>
      <c r="FJ222" s="26"/>
      <c r="FK222" s="26"/>
      <c r="FL222" s="26"/>
      <c r="FM222" s="26"/>
      <c r="FN222" s="26"/>
      <c r="FO222" s="26"/>
      <c r="FP222" s="26"/>
      <c r="FQ222" s="26"/>
      <c r="FR222" s="26"/>
      <c r="FS222" s="26"/>
      <c r="FT222" s="26"/>
      <c r="FU222" s="26"/>
      <c r="FV222" s="26"/>
      <c r="FW222" s="26"/>
      <c r="FX222" s="26"/>
      <c r="FY222" s="26"/>
      <c r="FZ222" s="26"/>
      <c r="GA222" s="26"/>
      <c r="GB222" s="26"/>
      <c r="GC222" s="26"/>
      <c r="GD222" s="26"/>
      <c r="GE222" s="26"/>
      <c r="GF222" s="26"/>
      <c r="GG222" s="26"/>
      <c r="GH222" s="26"/>
      <c r="GI222" s="26"/>
      <c r="GJ222" s="26"/>
      <c r="GK222" s="26"/>
      <c r="GL222" s="26"/>
      <c r="GM222" s="26"/>
      <c r="GN222" s="26"/>
      <c r="GO222" s="26"/>
      <c r="GP222" s="26"/>
      <c r="GQ222" s="26"/>
      <c r="GR222" s="26"/>
      <c r="GS222" s="26"/>
      <c r="GT222" s="26"/>
      <c r="GU222" s="26"/>
      <c r="GV222" s="26"/>
      <c r="GW222" s="26"/>
      <c r="GX222" s="26"/>
      <c r="GY222" s="26"/>
      <c r="GZ222" s="26"/>
      <c r="HA222" s="26"/>
      <c r="HB222" s="26"/>
      <c r="HC222" s="26"/>
      <c r="HD222" s="26"/>
      <c r="HE222" s="26"/>
      <c r="HF222" s="26"/>
      <c r="HG222" s="26"/>
      <c r="HH222" s="26"/>
    </row>
    <row r="223" spans="1:216">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26"/>
      <c r="FB223" s="26"/>
      <c r="FC223" s="26"/>
      <c r="FD223" s="26"/>
      <c r="FE223" s="26"/>
      <c r="FF223" s="26"/>
      <c r="FG223" s="26"/>
      <c r="FH223" s="26"/>
      <c r="FI223" s="26"/>
      <c r="FJ223" s="26"/>
      <c r="FK223" s="26"/>
      <c r="FL223" s="26"/>
      <c r="FM223" s="26"/>
      <c r="FN223" s="26"/>
      <c r="FO223" s="26"/>
      <c r="FP223" s="26"/>
      <c r="FQ223" s="26"/>
      <c r="FR223" s="26"/>
      <c r="FS223" s="26"/>
      <c r="FT223" s="26"/>
      <c r="FU223" s="26"/>
      <c r="FV223" s="26"/>
      <c r="FW223" s="26"/>
      <c r="FX223" s="26"/>
      <c r="FY223" s="26"/>
      <c r="FZ223" s="26"/>
      <c r="GA223" s="26"/>
      <c r="GB223" s="26"/>
      <c r="GC223" s="26"/>
      <c r="GD223" s="26"/>
      <c r="GE223" s="26"/>
      <c r="GF223" s="26"/>
      <c r="GG223" s="26"/>
      <c r="GH223" s="26"/>
      <c r="GI223" s="26"/>
      <c r="GJ223" s="26"/>
      <c r="GK223" s="26"/>
      <c r="GL223" s="26"/>
      <c r="GM223" s="26"/>
      <c r="GN223" s="26"/>
      <c r="GO223" s="26"/>
      <c r="GP223" s="26"/>
      <c r="GQ223" s="26"/>
      <c r="GR223" s="26"/>
      <c r="GS223" s="26"/>
      <c r="GT223" s="26"/>
      <c r="GU223" s="26"/>
      <c r="GV223" s="26"/>
      <c r="GW223" s="26"/>
      <c r="GX223" s="26"/>
      <c r="GY223" s="26"/>
      <c r="GZ223" s="26"/>
      <c r="HA223" s="26"/>
      <c r="HB223" s="26"/>
      <c r="HC223" s="26"/>
      <c r="HD223" s="26"/>
      <c r="HE223" s="26"/>
      <c r="HF223" s="26"/>
      <c r="HG223" s="26"/>
      <c r="HH223" s="26"/>
    </row>
    <row r="224" spans="1:216">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26"/>
      <c r="FB224" s="26"/>
      <c r="FC224" s="26"/>
      <c r="FD224" s="26"/>
      <c r="FE224" s="26"/>
      <c r="FF224" s="26"/>
      <c r="FG224" s="26"/>
      <c r="FH224" s="26"/>
      <c r="FI224" s="26"/>
      <c r="FJ224" s="26"/>
      <c r="FK224" s="26"/>
      <c r="FL224" s="26"/>
      <c r="FM224" s="26"/>
      <c r="FN224" s="26"/>
      <c r="FO224" s="26"/>
      <c r="FP224" s="26"/>
      <c r="FQ224" s="26"/>
      <c r="FR224" s="26"/>
      <c r="FS224" s="26"/>
      <c r="FT224" s="26"/>
      <c r="FU224" s="26"/>
      <c r="FV224" s="26"/>
      <c r="FW224" s="26"/>
      <c r="FX224" s="26"/>
      <c r="FY224" s="26"/>
      <c r="FZ224" s="26"/>
      <c r="GA224" s="26"/>
      <c r="GB224" s="26"/>
      <c r="GC224" s="26"/>
      <c r="GD224" s="26"/>
      <c r="GE224" s="26"/>
      <c r="GF224" s="26"/>
      <c r="GG224" s="26"/>
      <c r="GH224" s="26"/>
      <c r="GI224" s="26"/>
      <c r="GJ224" s="26"/>
      <c r="GK224" s="26"/>
      <c r="GL224" s="26"/>
      <c r="GM224" s="26"/>
      <c r="GN224" s="26"/>
      <c r="GO224" s="26"/>
      <c r="GP224" s="26"/>
      <c r="GQ224" s="26"/>
      <c r="GR224" s="26"/>
      <c r="GS224" s="26"/>
      <c r="GT224" s="26"/>
      <c r="GU224" s="26"/>
      <c r="GV224" s="26"/>
      <c r="GW224" s="26"/>
      <c r="GX224" s="26"/>
      <c r="GY224" s="26"/>
      <c r="GZ224" s="26"/>
      <c r="HA224" s="26"/>
      <c r="HB224" s="26"/>
      <c r="HC224" s="26"/>
      <c r="HD224" s="26"/>
      <c r="HE224" s="26"/>
      <c r="HF224" s="26"/>
      <c r="HG224" s="26"/>
      <c r="HH224" s="26"/>
    </row>
    <row r="225" spans="1:216">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26"/>
      <c r="FB225" s="26"/>
      <c r="FC225" s="26"/>
      <c r="FD225" s="26"/>
      <c r="FE225" s="26"/>
      <c r="FF225" s="26"/>
      <c r="FG225" s="26"/>
      <c r="FH225" s="26"/>
      <c r="FI225" s="26"/>
      <c r="FJ225" s="26"/>
      <c r="FK225" s="26"/>
      <c r="FL225" s="26"/>
      <c r="FM225" s="26"/>
      <c r="FN225" s="26"/>
      <c r="FO225" s="26"/>
      <c r="FP225" s="26"/>
      <c r="FQ225" s="26"/>
      <c r="FR225" s="26"/>
      <c r="FS225" s="26"/>
      <c r="FT225" s="26"/>
      <c r="FU225" s="26"/>
      <c r="FV225" s="26"/>
      <c r="FW225" s="26"/>
      <c r="FX225" s="26"/>
      <c r="FY225" s="26"/>
      <c r="FZ225" s="26"/>
      <c r="GA225" s="26"/>
      <c r="GB225" s="26"/>
      <c r="GC225" s="26"/>
      <c r="GD225" s="26"/>
      <c r="GE225" s="26"/>
      <c r="GF225" s="26"/>
      <c r="GG225" s="26"/>
      <c r="GH225" s="26"/>
      <c r="GI225" s="26"/>
      <c r="GJ225" s="26"/>
      <c r="GK225" s="26"/>
      <c r="GL225" s="26"/>
      <c r="GM225" s="26"/>
      <c r="GN225" s="26"/>
      <c r="GO225" s="26"/>
      <c r="GP225" s="26"/>
      <c r="GQ225" s="26"/>
      <c r="GR225" s="26"/>
      <c r="GS225" s="26"/>
      <c r="GT225" s="26"/>
      <c r="GU225" s="26"/>
      <c r="GV225" s="26"/>
      <c r="GW225" s="26"/>
      <c r="GX225" s="26"/>
      <c r="GY225" s="26"/>
      <c r="GZ225" s="26"/>
      <c r="HA225" s="26"/>
      <c r="HB225" s="26"/>
      <c r="HC225" s="26"/>
      <c r="HD225" s="26"/>
      <c r="HE225" s="26"/>
      <c r="HF225" s="26"/>
      <c r="HG225" s="26"/>
      <c r="HH225" s="26"/>
    </row>
    <row r="226" spans="1:21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26"/>
      <c r="FB226" s="26"/>
      <c r="FC226" s="26"/>
      <c r="FD226" s="26"/>
      <c r="FE226" s="26"/>
      <c r="FF226" s="26"/>
      <c r="FG226" s="26"/>
      <c r="FH226" s="26"/>
      <c r="FI226" s="26"/>
      <c r="FJ226" s="26"/>
      <c r="FK226" s="26"/>
      <c r="FL226" s="26"/>
      <c r="FM226" s="26"/>
      <c r="FN226" s="26"/>
      <c r="FO226" s="26"/>
      <c r="FP226" s="26"/>
      <c r="FQ226" s="26"/>
      <c r="FR226" s="26"/>
      <c r="FS226" s="26"/>
      <c r="FT226" s="26"/>
      <c r="FU226" s="26"/>
      <c r="FV226" s="26"/>
      <c r="FW226" s="26"/>
      <c r="FX226" s="26"/>
      <c r="FY226" s="26"/>
      <c r="FZ226" s="26"/>
      <c r="GA226" s="26"/>
      <c r="GB226" s="26"/>
      <c r="GC226" s="26"/>
      <c r="GD226" s="26"/>
      <c r="GE226" s="26"/>
      <c r="GF226" s="26"/>
      <c r="GG226" s="26"/>
      <c r="GH226" s="26"/>
      <c r="GI226" s="26"/>
      <c r="GJ226" s="26"/>
      <c r="GK226" s="26"/>
      <c r="GL226" s="26"/>
      <c r="GM226" s="26"/>
      <c r="GN226" s="26"/>
      <c r="GO226" s="26"/>
      <c r="GP226" s="26"/>
      <c r="GQ226" s="26"/>
      <c r="GR226" s="26"/>
      <c r="GS226" s="26"/>
      <c r="GT226" s="26"/>
      <c r="GU226" s="26"/>
      <c r="GV226" s="26"/>
      <c r="GW226" s="26"/>
      <c r="GX226" s="26"/>
      <c r="GY226" s="26"/>
      <c r="GZ226" s="26"/>
      <c r="HA226" s="26"/>
      <c r="HB226" s="26"/>
      <c r="HC226" s="26"/>
      <c r="HD226" s="26"/>
      <c r="HE226" s="26"/>
      <c r="HF226" s="26"/>
      <c r="HG226" s="26"/>
      <c r="HH226" s="26"/>
    </row>
    <row r="227" spans="1:216">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26"/>
      <c r="FB227" s="26"/>
      <c r="FC227" s="26"/>
      <c r="FD227" s="26"/>
      <c r="FE227" s="26"/>
      <c r="FF227" s="26"/>
      <c r="FG227" s="26"/>
      <c r="FH227" s="26"/>
      <c r="FI227" s="26"/>
      <c r="FJ227" s="26"/>
      <c r="FK227" s="26"/>
      <c r="FL227" s="26"/>
      <c r="FM227" s="26"/>
      <c r="FN227" s="26"/>
      <c r="FO227" s="26"/>
      <c r="FP227" s="26"/>
      <c r="FQ227" s="26"/>
      <c r="FR227" s="26"/>
      <c r="FS227" s="26"/>
      <c r="FT227" s="26"/>
      <c r="FU227" s="26"/>
      <c r="FV227" s="26"/>
      <c r="FW227" s="26"/>
      <c r="FX227" s="26"/>
      <c r="FY227" s="26"/>
      <c r="FZ227" s="26"/>
      <c r="GA227" s="26"/>
      <c r="GB227" s="26"/>
      <c r="GC227" s="26"/>
      <c r="GD227" s="26"/>
      <c r="GE227" s="26"/>
      <c r="GF227" s="26"/>
      <c r="GG227" s="26"/>
      <c r="GH227" s="26"/>
      <c r="GI227" s="26"/>
      <c r="GJ227" s="26"/>
      <c r="GK227" s="26"/>
      <c r="GL227" s="26"/>
      <c r="GM227" s="26"/>
      <c r="GN227" s="26"/>
      <c r="GO227" s="26"/>
      <c r="GP227" s="26"/>
      <c r="GQ227" s="26"/>
      <c r="GR227" s="26"/>
      <c r="GS227" s="26"/>
      <c r="GT227" s="26"/>
      <c r="GU227" s="26"/>
      <c r="GV227" s="26"/>
      <c r="GW227" s="26"/>
      <c r="GX227" s="26"/>
      <c r="GY227" s="26"/>
      <c r="GZ227" s="26"/>
      <c r="HA227" s="26"/>
      <c r="HB227" s="26"/>
      <c r="HC227" s="26"/>
      <c r="HD227" s="26"/>
      <c r="HE227" s="26"/>
      <c r="HF227" s="26"/>
      <c r="HG227" s="26"/>
      <c r="HH227" s="26"/>
    </row>
    <row r="228" spans="1:216">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26"/>
      <c r="FB228" s="26"/>
      <c r="FC228" s="26"/>
      <c r="FD228" s="26"/>
      <c r="FE228" s="26"/>
      <c r="FF228" s="26"/>
      <c r="FG228" s="26"/>
      <c r="FH228" s="26"/>
      <c r="FI228" s="26"/>
      <c r="FJ228" s="26"/>
      <c r="FK228" s="26"/>
      <c r="FL228" s="26"/>
      <c r="FM228" s="26"/>
      <c r="FN228" s="26"/>
      <c r="FO228" s="26"/>
      <c r="FP228" s="26"/>
      <c r="FQ228" s="26"/>
      <c r="FR228" s="26"/>
      <c r="FS228" s="26"/>
      <c r="FT228" s="26"/>
      <c r="FU228" s="26"/>
      <c r="FV228" s="26"/>
      <c r="FW228" s="26"/>
      <c r="FX228" s="26"/>
      <c r="FY228" s="26"/>
      <c r="FZ228" s="26"/>
      <c r="GA228" s="26"/>
      <c r="GB228" s="26"/>
      <c r="GC228" s="26"/>
      <c r="GD228" s="26"/>
      <c r="GE228" s="26"/>
      <c r="GF228" s="26"/>
      <c r="GG228" s="26"/>
      <c r="GH228" s="26"/>
      <c r="GI228" s="26"/>
      <c r="GJ228" s="26"/>
      <c r="GK228" s="26"/>
      <c r="GL228" s="26"/>
      <c r="GM228" s="26"/>
      <c r="GN228" s="26"/>
      <c r="GO228" s="26"/>
      <c r="GP228" s="26"/>
      <c r="GQ228" s="26"/>
      <c r="GR228" s="26"/>
      <c r="GS228" s="26"/>
      <c r="GT228" s="26"/>
      <c r="GU228" s="26"/>
      <c r="GV228" s="26"/>
      <c r="GW228" s="26"/>
      <c r="GX228" s="26"/>
      <c r="GY228" s="26"/>
      <c r="GZ228" s="26"/>
      <c r="HA228" s="26"/>
      <c r="HB228" s="26"/>
      <c r="HC228" s="26"/>
      <c r="HD228" s="26"/>
      <c r="HE228" s="26"/>
      <c r="HF228" s="26"/>
      <c r="HG228" s="26"/>
      <c r="HH228" s="26"/>
    </row>
    <row r="229" spans="1:216">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26"/>
      <c r="FB229" s="26"/>
      <c r="FC229" s="26"/>
      <c r="FD229" s="26"/>
      <c r="FE229" s="26"/>
      <c r="FF229" s="26"/>
      <c r="FG229" s="26"/>
      <c r="FH229" s="26"/>
      <c r="FI229" s="26"/>
      <c r="FJ229" s="26"/>
      <c r="FK229" s="26"/>
      <c r="FL229" s="26"/>
      <c r="FM229" s="26"/>
      <c r="FN229" s="26"/>
      <c r="FO229" s="26"/>
      <c r="FP229" s="26"/>
      <c r="FQ229" s="26"/>
      <c r="FR229" s="26"/>
      <c r="FS229" s="26"/>
      <c r="FT229" s="26"/>
      <c r="FU229" s="26"/>
      <c r="FV229" s="26"/>
      <c r="FW229" s="26"/>
      <c r="FX229" s="26"/>
      <c r="FY229" s="26"/>
      <c r="FZ229" s="26"/>
      <c r="GA229" s="26"/>
      <c r="GB229" s="26"/>
      <c r="GC229" s="26"/>
      <c r="GD229" s="26"/>
      <c r="GE229" s="26"/>
      <c r="GF229" s="26"/>
      <c r="GG229" s="26"/>
      <c r="GH229" s="26"/>
      <c r="GI229" s="26"/>
      <c r="GJ229" s="26"/>
      <c r="GK229" s="26"/>
      <c r="GL229" s="26"/>
      <c r="GM229" s="26"/>
      <c r="GN229" s="26"/>
      <c r="GO229" s="26"/>
      <c r="GP229" s="26"/>
      <c r="GQ229" s="26"/>
      <c r="GR229" s="26"/>
      <c r="GS229" s="26"/>
      <c r="GT229" s="26"/>
      <c r="GU229" s="26"/>
      <c r="GV229" s="26"/>
      <c r="GW229" s="26"/>
      <c r="GX229" s="26"/>
      <c r="GY229" s="26"/>
      <c r="GZ229" s="26"/>
      <c r="HA229" s="26"/>
      <c r="HB229" s="26"/>
      <c r="HC229" s="26"/>
      <c r="HD229" s="26"/>
      <c r="HE229" s="26"/>
      <c r="HF229" s="26"/>
      <c r="HG229" s="26"/>
      <c r="HH229" s="26"/>
    </row>
    <row r="230" spans="1:216">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26"/>
      <c r="FB230" s="26"/>
      <c r="FC230" s="26"/>
      <c r="FD230" s="26"/>
      <c r="FE230" s="26"/>
      <c r="FF230" s="26"/>
      <c r="FG230" s="26"/>
      <c r="FH230" s="26"/>
      <c r="FI230" s="26"/>
      <c r="FJ230" s="26"/>
      <c r="FK230" s="26"/>
      <c r="FL230" s="26"/>
      <c r="FM230" s="26"/>
      <c r="FN230" s="26"/>
      <c r="FO230" s="26"/>
      <c r="FP230" s="26"/>
      <c r="FQ230" s="26"/>
      <c r="FR230" s="26"/>
      <c r="FS230" s="26"/>
      <c r="FT230" s="26"/>
      <c r="FU230" s="26"/>
      <c r="FV230" s="26"/>
      <c r="FW230" s="26"/>
      <c r="FX230" s="26"/>
      <c r="FY230" s="26"/>
      <c r="FZ230" s="26"/>
      <c r="GA230" s="26"/>
      <c r="GB230" s="26"/>
      <c r="GC230" s="26"/>
      <c r="GD230" s="26"/>
      <c r="GE230" s="26"/>
      <c r="GF230" s="26"/>
      <c r="GG230" s="26"/>
      <c r="GH230" s="26"/>
      <c r="GI230" s="26"/>
      <c r="GJ230" s="26"/>
      <c r="GK230" s="26"/>
      <c r="GL230" s="26"/>
      <c r="GM230" s="26"/>
      <c r="GN230" s="26"/>
      <c r="GO230" s="26"/>
      <c r="GP230" s="26"/>
      <c r="GQ230" s="26"/>
      <c r="GR230" s="26"/>
      <c r="GS230" s="26"/>
      <c r="GT230" s="26"/>
      <c r="GU230" s="26"/>
      <c r="GV230" s="26"/>
      <c r="GW230" s="26"/>
      <c r="GX230" s="26"/>
      <c r="GY230" s="26"/>
      <c r="GZ230" s="26"/>
      <c r="HA230" s="26"/>
      <c r="HB230" s="26"/>
      <c r="HC230" s="26"/>
      <c r="HD230" s="26"/>
      <c r="HE230" s="26"/>
      <c r="HF230" s="26"/>
      <c r="HG230" s="26"/>
      <c r="HH230" s="26"/>
    </row>
    <row r="231" spans="1:216">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26"/>
      <c r="FB231" s="26"/>
      <c r="FC231" s="26"/>
      <c r="FD231" s="26"/>
      <c r="FE231" s="26"/>
      <c r="FF231" s="26"/>
      <c r="FG231" s="26"/>
      <c r="FH231" s="26"/>
      <c r="FI231" s="26"/>
      <c r="FJ231" s="26"/>
      <c r="FK231" s="26"/>
      <c r="FL231" s="26"/>
      <c r="FM231" s="26"/>
      <c r="FN231" s="26"/>
      <c r="FO231" s="26"/>
      <c r="FP231" s="26"/>
      <c r="FQ231" s="26"/>
      <c r="FR231" s="26"/>
      <c r="FS231" s="26"/>
      <c r="FT231" s="26"/>
      <c r="FU231" s="26"/>
      <c r="FV231" s="26"/>
      <c r="FW231" s="26"/>
      <c r="FX231" s="26"/>
      <c r="FY231" s="26"/>
      <c r="FZ231" s="26"/>
      <c r="GA231" s="26"/>
      <c r="GB231" s="26"/>
      <c r="GC231" s="26"/>
      <c r="GD231" s="26"/>
      <c r="GE231" s="26"/>
      <c r="GF231" s="26"/>
      <c r="GG231" s="26"/>
      <c r="GH231" s="26"/>
      <c r="GI231" s="26"/>
      <c r="GJ231" s="26"/>
      <c r="GK231" s="26"/>
      <c r="GL231" s="26"/>
      <c r="GM231" s="26"/>
      <c r="GN231" s="26"/>
      <c r="GO231" s="26"/>
      <c r="GP231" s="26"/>
      <c r="GQ231" s="26"/>
      <c r="GR231" s="26"/>
      <c r="GS231" s="26"/>
      <c r="GT231" s="26"/>
      <c r="GU231" s="26"/>
      <c r="GV231" s="26"/>
      <c r="GW231" s="26"/>
      <c r="GX231" s="26"/>
      <c r="GY231" s="26"/>
      <c r="GZ231" s="26"/>
      <c r="HA231" s="26"/>
      <c r="HB231" s="26"/>
      <c r="HC231" s="26"/>
      <c r="HD231" s="26"/>
      <c r="HE231" s="26"/>
      <c r="HF231" s="26"/>
      <c r="HG231" s="26"/>
      <c r="HH231" s="26"/>
    </row>
    <row r="232" spans="1:216">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26"/>
      <c r="FB232" s="26"/>
      <c r="FC232" s="26"/>
      <c r="FD232" s="26"/>
      <c r="FE232" s="26"/>
      <c r="FF232" s="26"/>
      <c r="FG232" s="26"/>
      <c r="FH232" s="26"/>
      <c r="FI232" s="26"/>
      <c r="FJ232" s="26"/>
      <c r="FK232" s="26"/>
      <c r="FL232" s="26"/>
      <c r="FM232" s="26"/>
      <c r="FN232" s="26"/>
      <c r="FO232" s="26"/>
      <c r="FP232" s="26"/>
      <c r="FQ232" s="26"/>
      <c r="FR232" s="26"/>
      <c r="FS232" s="26"/>
      <c r="FT232" s="26"/>
      <c r="FU232" s="26"/>
      <c r="FV232" s="26"/>
      <c r="FW232" s="26"/>
      <c r="FX232" s="26"/>
      <c r="FY232" s="26"/>
      <c r="FZ232" s="26"/>
      <c r="GA232" s="26"/>
      <c r="GB232" s="26"/>
      <c r="GC232" s="26"/>
      <c r="GD232" s="26"/>
      <c r="GE232" s="26"/>
      <c r="GF232" s="26"/>
      <c r="GG232" s="26"/>
      <c r="GH232" s="26"/>
      <c r="GI232" s="26"/>
      <c r="GJ232" s="26"/>
      <c r="GK232" s="26"/>
      <c r="GL232" s="26"/>
      <c r="GM232" s="26"/>
      <c r="GN232" s="26"/>
      <c r="GO232" s="26"/>
      <c r="GP232" s="26"/>
      <c r="GQ232" s="26"/>
      <c r="GR232" s="26"/>
      <c r="GS232" s="26"/>
      <c r="GT232" s="26"/>
      <c r="GU232" s="26"/>
      <c r="GV232" s="26"/>
      <c r="GW232" s="26"/>
      <c r="GX232" s="26"/>
      <c r="GY232" s="26"/>
      <c r="GZ232" s="26"/>
      <c r="HA232" s="26"/>
      <c r="HB232" s="26"/>
      <c r="HC232" s="26"/>
      <c r="HD232" s="26"/>
      <c r="HE232" s="26"/>
      <c r="HF232" s="26"/>
      <c r="HG232" s="26"/>
      <c r="HH232" s="26"/>
    </row>
    <row r="233" spans="1:216">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26"/>
      <c r="FB233" s="26"/>
      <c r="FC233" s="26"/>
      <c r="FD233" s="26"/>
      <c r="FE233" s="26"/>
      <c r="FF233" s="26"/>
      <c r="FG233" s="26"/>
      <c r="FH233" s="26"/>
      <c r="FI233" s="26"/>
      <c r="FJ233" s="26"/>
      <c r="FK233" s="26"/>
      <c r="FL233" s="26"/>
      <c r="FM233" s="26"/>
      <c r="FN233" s="26"/>
      <c r="FO233" s="26"/>
      <c r="FP233" s="26"/>
      <c r="FQ233" s="26"/>
      <c r="FR233" s="26"/>
      <c r="FS233" s="26"/>
      <c r="FT233" s="26"/>
      <c r="FU233" s="26"/>
      <c r="FV233" s="26"/>
      <c r="FW233" s="26"/>
      <c r="FX233" s="26"/>
      <c r="FY233" s="26"/>
      <c r="FZ233" s="26"/>
      <c r="GA233" s="26"/>
      <c r="GB233" s="26"/>
      <c r="GC233" s="26"/>
      <c r="GD233" s="26"/>
      <c r="GE233" s="26"/>
      <c r="GF233" s="26"/>
      <c r="GG233" s="26"/>
      <c r="GH233" s="26"/>
      <c r="GI233" s="26"/>
      <c r="GJ233" s="26"/>
      <c r="GK233" s="26"/>
      <c r="GL233" s="26"/>
      <c r="GM233" s="26"/>
      <c r="GN233" s="26"/>
      <c r="GO233" s="26"/>
      <c r="GP233" s="26"/>
      <c r="GQ233" s="26"/>
      <c r="GR233" s="26"/>
      <c r="GS233" s="26"/>
      <c r="GT233" s="26"/>
      <c r="GU233" s="26"/>
      <c r="GV233" s="26"/>
      <c r="GW233" s="26"/>
      <c r="GX233" s="26"/>
      <c r="GY233" s="26"/>
      <c r="GZ233" s="26"/>
      <c r="HA233" s="26"/>
      <c r="HB233" s="26"/>
      <c r="HC233" s="26"/>
      <c r="HD233" s="26"/>
      <c r="HE233" s="26"/>
      <c r="HF233" s="26"/>
      <c r="HG233" s="26"/>
      <c r="HH233" s="26"/>
    </row>
    <row r="234" spans="1:216">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26"/>
      <c r="FB234" s="26"/>
      <c r="FC234" s="26"/>
      <c r="FD234" s="26"/>
      <c r="FE234" s="26"/>
      <c r="FF234" s="26"/>
      <c r="FG234" s="26"/>
      <c r="FH234" s="26"/>
      <c r="FI234" s="26"/>
      <c r="FJ234" s="26"/>
      <c r="FK234" s="26"/>
      <c r="FL234" s="26"/>
      <c r="FM234" s="26"/>
      <c r="FN234" s="26"/>
      <c r="FO234" s="26"/>
      <c r="FP234" s="26"/>
      <c r="FQ234" s="26"/>
      <c r="FR234" s="26"/>
      <c r="FS234" s="26"/>
      <c r="FT234" s="26"/>
      <c r="FU234" s="26"/>
      <c r="FV234" s="26"/>
      <c r="FW234" s="26"/>
      <c r="FX234" s="26"/>
      <c r="FY234" s="26"/>
      <c r="FZ234" s="26"/>
      <c r="GA234" s="26"/>
      <c r="GB234" s="26"/>
      <c r="GC234" s="26"/>
      <c r="GD234" s="26"/>
      <c r="GE234" s="26"/>
      <c r="GF234" s="26"/>
      <c r="GG234" s="26"/>
      <c r="GH234" s="26"/>
      <c r="GI234" s="26"/>
      <c r="GJ234" s="26"/>
      <c r="GK234" s="26"/>
      <c r="GL234" s="26"/>
      <c r="GM234" s="26"/>
      <c r="GN234" s="26"/>
      <c r="GO234" s="26"/>
      <c r="GP234" s="26"/>
      <c r="GQ234" s="26"/>
      <c r="GR234" s="26"/>
      <c r="GS234" s="26"/>
      <c r="GT234" s="26"/>
      <c r="GU234" s="26"/>
      <c r="GV234" s="26"/>
      <c r="GW234" s="26"/>
      <c r="GX234" s="26"/>
      <c r="GY234" s="26"/>
      <c r="GZ234" s="26"/>
      <c r="HA234" s="26"/>
      <c r="HB234" s="26"/>
      <c r="HC234" s="26"/>
      <c r="HD234" s="26"/>
      <c r="HE234" s="26"/>
      <c r="HF234" s="26"/>
      <c r="HG234" s="26"/>
      <c r="HH234" s="26"/>
    </row>
    <row r="235" spans="1:216">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26"/>
      <c r="FB235" s="26"/>
      <c r="FC235" s="26"/>
      <c r="FD235" s="26"/>
      <c r="FE235" s="26"/>
      <c r="FF235" s="26"/>
      <c r="FG235" s="26"/>
      <c r="FH235" s="26"/>
      <c r="FI235" s="26"/>
      <c r="FJ235" s="26"/>
      <c r="FK235" s="26"/>
      <c r="FL235" s="26"/>
      <c r="FM235" s="26"/>
      <c r="FN235" s="26"/>
      <c r="FO235" s="26"/>
      <c r="FP235" s="26"/>
      <c r="FQ235" s="26"/>
      <c r="FR235" s="26"/>
      <c r="FS235" s="26"/>
      <c r="FT235" s="26"/>
      <c r="FU235" s="26"/>
      <c r="FV235" s="26"/>
      <c r="FW235" s="26"/>
      <c r="FX235" s="26"/>
      <c r="FY235" s="26"/>
      <c r="FZ235" s="26"/>
      <c r="GA235" s="26"/>
      <c r="GB235" s="26"/>
      <c r="GC235" s="26"/>
      <c r="GD235" s="26"/>
      <c r="GE235" s="26"/>
      <c r="GF235" s="26"/>
      <c r="GG235" s="26"/>
      <c r="GH235" s="26"/>
      <c r="GI235" s="26"/>
      <c r="GJ235" s="26"/>
      <c r="GK235" s="26"/>
      <c r="GL235" s="26"/>
      <c r="GM235" s="26"/>
      <c r="GN235" s="26"/>
      <c r="GO235" s="26"/>
      <c r="GP235" s="26"/>
      <c r="GQ235" s="26"/>
      <c r="GR235" s="26"/>
      <c r="GS235" s="26"/>
      <c r="GT235" s="26"/>
      <c r="GU235" s="26"/>
      <c r="GV235" s="26"/>
      <c r="GW235" s="26"/>
      <c r="GX235" s="26"/>
      <c r="GY235" s="26"/>
      <c r="GZ235" s="26"/>
      <c r="HA235" s="26"/>
      <c r="HB235" s="26"/>
      <c r="HC235" s="26"/>
      <c r="HD235" s="26"/>
      <c r="HE235" s="26"/>
      <c r="HF235" s="26"/>
      <c r="HG235" s="26"/>
      <c r="HH235" s="26"/>
    </row>
    <row r="236" spans="1:21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26"/>
      <c r="FB236" s="26"/>
      <c r="FC236" s="26"/>
      <c r="FD236" s="26"/>
      <c r="FE236" s="26"/>
      <c r="FF236" s="26"/>
      <c r="FG236" s="26"/>
      <c r="FH236" s="26"/>
      <c r="FI236" s="26"/>
      <c r="FJ236" s="26"/>
      <c r="FK236" s="26"/>
      <c r="FL236" s="26"/>
      <c r="FM236" s="26"/>
      <c r="FN236" s="26"/>
      <c r="FO236" s="26"/>
      <c r="FP236" s="26"/>
      <c r="FQ236" s="26"/>
      <c r="FR236" s="26"/>
      <c r="FS236" s="26"/>
      <c r="FT236" s="26"/>
      <c r="FU236" s="26"/>
      <c r="FV236" s="26"/>
      <c r="FW236" s="26"/>
      <c r="FX236" s="26"/>
      <c r="FY236" s="26"/>
      <c r="FZ236" s="26"/>
      <c r="GA236" s="26"/>
      <c r="GB236" s="26"/>
      <c r="GC236" s="26"/>
      <c r="GD236" s="26"/>
      <c r="GE236" s="26"/>
      <c r="GF236" s="26"/>
      <c r="GG236" s="26"/>
      <c r="GH236" s="26"/>
      <c r="GI236" s="26"/>
      <c r="GJ236" s="26"/>
      <c r="GK236" s="26"/>
      <c r="GL236" s="26"/>
      <c r="GM236" s="26"/>
      <c r="GN236" s="26"/>
      <c r="GO236" s="26"/>
      <c r="GP236" s="26"/>
      <c r="GQ236" s="26"/>
      <c r="GR236" s="26"/>
      <c r="GS236" s="26"/>
      <c r="GT236" s="26"/>
      <c r="GU236" s="26"/>
      <c r="GV236" s="26"/>
      <c r="GW236" s="26"/>
      <c r="GX236" s="26"/>
      <c r="GY236" s="26"/>
      <c r="GZ236" s="26"/>
      <c r="HA236" s="26"/>
      <c r="HB236" s="26"/>
      <c r="HC236" s="26"/>
      <c r="HD236" s="26"/>
      <c r="HE236" s="26"/>
      <c r="HF236" s="26"/>
      <c r="HG236" s="26"/>
      <c r="HH236" s="26"/>
    </row>
    <row r="237" spans="1:216">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c r="FT237" s="26"/>
      <c r="FU237" s="26"/>
      <c r="FV237" s="26"/>
      <c r="FW237" s="26"/>
      <c r="FX237" s="26"/>
      <c r="FY237" s="26"/>
      <c r="FZ237" s="26"/>
      <c r="GA237" s="26"/>
      <c r="GB237" s="26"/>
      <c r="GC237" s="26"/>
      <c r="GD237" s="26"/>
      <c r="GE237" s="26"/>
      <c r="GF237" s="26"/>
      <c r="GG237" s="26"/>
      <c r="GH237" s="26"/>
      <c r="GI237" s="26"/>
      <c r="GJ237" s="26"/>
      <c r="GK237" s="26"/>
      <c r="GL237" s="26"/>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row>
    <row r="238" spans="1:216">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26"/>
      <c r="FB238" s="26"/>
      <c r="FC238" s="26"/>
      <c r="FD238" s="26"/>
      <c r="FE238" s="26"/>
      <c r="FF238" s="26"/>
      <c r="FG238" s="26"/>
      <c r="FH238" s="26"/>
      <c r="FI238" s="26"/>
      <c r="FJ238" s="26"/>
      <c r="FK238" s="26"/>
      <c r="FL238" s="26"/>
      <c r="FM238" s="26"/>
      <c r="FN238" s="26"/>
      <c r="FO238" s="26"/>
      <c r="FP238" s="26"/>
      <c r="FQ238" s="26"/>
      <c r="FR238" s="26"/>
      <c r="FS238" s="26"/>
      <c r="FT238" s="26"/>
      <c r="FU238" s="26"/>
      <c r="FV238" s="26"/>
      <c r="FW238" s="26"/>
      <c r="FX238" s="26"/>
      <c r="FY238" s="26"/>
      <c r="FZ238" s="26"/>
      <c r="GA238" s="26"/>
      <c r="GB238" s="26"/>
      <c r="GC238" s="26"/>
      <c r="GD238" s="26"/>
      <c r="GE238" s="26"/>
      <c r="GF238" s="26"/>
      <c r="GG238" s="26"/>
      <c r="GH238" s="26"/>
      <c r="GI238" s="26"/>
      <c r="GJ238" s="26"/>
      <c r="GK238" s="26"/>
      <c r="GL238" s="26"/>
      <c r="GM238" s="26"/>
      <c r="GN238" s="26"/>
      <c r="GO238" s="26"/>
      <c r="GP238" s="26"/>
      <c r="GQ238" s="26"/>
      <c r="GR238" s="26"/>
      <c r="GS238" s="26"/>
      <c r="GT238" s="26"/>
      <c r="GU238" s="26"/>
      <c r="GV238" s="26"/>
      <c r="GW238" s="26"/>
      <c r="GX238" s="26"/>
      <c r="GY238" s="26"/>
      <c r="GZ238" s="26"/>
      <c r="HA238" s="26"/>
      <c r="HB238" s="26"/>
      <c r="HC238" s="26"/>
      <c r="HD238" s="26"/>
      <c r="HE238" s="26"/>
      <c r="HF238" s="26"/>
      <c r="HG238" s="26"/>
      <c r="HH238" s="26"/>
    </row>
    <row r="239" spans="1:216">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26"/>
      <c r="FB239" s="26"/>
      <c r="FC239" s="26"/>
      <c r="FD239" s="26"/>
      <c r="FE239" s="26"/>
      <c r="FF239" s="26"/>
      <c r="FG239" s="26"/>
      <c r="FH239" s="26"/>
      <c r="FI239" s="26"/>
      <c r="FJ239" s="26"/>
      <c r="FK239" s="26"/>
      <c r="FL239" s="26"/>
      <c r="FM239" s="26"/>
      <c r="FN239" s="26"/>
      <c r="FO239" s="26"/>
      <c r="FP239" s="26"/>
      <c r="FQ239" s="26"/>
      <c r="FR239" s="26"/>
      <c r="FS239" s="26"/>
      <c r="FT239" s="26"/>
      <c r="FU239" s="26"/>
      <c r="FV239" s="26"/>
      <c r="FW239" s="26"/>
      <c r="FX239" s="26"/>
      <c r="FY239" s="26"/>
      <c r="FZ239" s="26"/>
      <c r="GA239" s="26"/>
      <c r="GB239" s="26"/>
      <c r="GC239" s="26"/>
      <c r="GD239" s="26"/>
      <c r="GE239" s="26"/>
      <c r="GF239" s="26"/>
      <c r="GG239" s="26"/>
      <c r="GH239" s="26"/>
      <c r="GI239" s="26"/>
      <c r="GJ239" s="26"/>
      <c r="GK239" s="26"/>
      <c r="GL239" s="26"/>
      <c r="GM239" s="26"/>
      <c r="GN239" s="26"/>
      <c r="GO239" s="26"/>
      <c r="GP239" s="26"/>
      <c r="GQ239" s="26"/>
      <c r="GR239" s="26"/>
      <c r="GS239" s="26"/>
      <c r="GT239" s="26"/>
      <c r="GU239" s="26"/>
      <c r="GV239" s="26"/>
      <c r="GW239" s="26"/>
      <c r="GX239" s="26"/>
      <c r="GY239" s="26"/>
      <c r="GZ239" s="26"/>
      <c r="HA239" s="26"/>
      <c r="HB239" s="26"/>
      <c r="HC239" s="26"/>
      <c r="HD239" s="26"/>
      <c r="HE239" s="26"/>
      <c r="HF239" s="26"/>
      <c r="HG239" s="26"/>
      <c r="HH239" s="26"/>
    </row>
    <row r="240" spans="1:216">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26"/>
      <c r="FB240" s="26"/>
      <c r="FC240" s="26"/>
      <c r="FD240" s="26"/>
      <c r="FE240" s="26"/>
      <c r="FF240" s="26"/>
      <c r="FG240" s="26"/>
      <c r="FH240" s="26"/>
      <c r="FI240" s="26"/>
      <c r="FJ240" s="26"/>
      <c r="FK240" s="26"/>
      <c r="FL240" s="26"/>
      <c r="FM240" s="26"/>
      <c r="FN240" s="26"/>
      <c r="FO240" s="26"/>
      <c r="FP240" s="26"/>
      <c r="FQ240" s="26"/>
      <c r="FR240" s="26"/>
      <c r="FS240" s="26"/>
      <c r="FT240" s="26"/>
      <c r="FU240" s="26"/>
      <c r="FV240" s="26"/>
      <c r="FW240" s="26"/>
      <c r="FX240" s="26"/>
      <c r="FY240" s="26"/>
      <c r="FZ240" s="26"/>
      <c r="GA240" s="26"/>
      <c r="GB240" s="26"/>
      <c r="GC240" s="26"/>
      <c r="GD240" s="26"/>
      <c r="GE240" s="26"/>
      <c r="GF240" s="26"/>
      <c r="GG240" s="26"/>
      <c r="GH240" s="26"/>
      <c r="GI240" s="26"/>
      <c r="GJ240" s="26"/>
      <c r="GK240" s="26"/>
      <c r="GL240" s="26"/>
      <c r="GM240" s="26"/>
      <c r="GN240" s="26"/>
      <c r="GO240" s="26"/>
      <c r="GP240" s="26"/>
      <c r="GQ240" s="26"/>
      <c r="GR240" s="26"/>
      <c r="GS240" s="26"/>
      <c r="GT240" s="26"/>
      <c r="GU240" s="26"/>
      <c r="GV240" s="26"/>
      <c r="GW240" s="26"/>
      <c r="GX240" s="26"/>
      <c r="GY240" s="26"/>
      <c r="GZ240" s="26"/>
      <c r="HA240" s="26"/>
      <c r="HB240" s="26"/>
      <c r="HC240" s="26"/>
      <c r="HD240" s="26"/>
      <c r="HE240" s="26"/>
      <c r="HF240" s="26"/>
      <c r="HG240" s="26"/>
      <c r="HH240" s="26"/>
    </row>
    <row r="241" spans="1:216">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26"/>
      <c r="FB241" s="26"/>
      <c r="FC241" s="26"/>
      <c r="FD241" s="26"/>
      <c r="FE241" s="26"/>
      <c r="FF241" s="26"/>
      <c r="FG241" s="26"/>
      <c r="FH241" s="26"/>
      <c r="FI241" s="26"/>
      <c r="FJ241" s="26"/>
      <c r="FK241" s="26"/>
      <c r="FL241" s="26"/>
      <c r="FM241" s="26"/>
      <c r="FN241" s="26"/>
      <c r="FO241" s="26"/>
      <c r="FP241" s="26"/>
      <c r="FQ241" s="26"/>
      <c r="FR241" s="26"/>
      <c r="FS241" s="26"/>
      <c r="FT241" s="26"/>
      <c r="FU241" s="26"/>
      <c r="FV241" s="26"/>
      <c r="FW241" s="26"/>
      <c r="FX241" s="26"/>
      <c r="FY241" s="26"/>
      <c r="FZ241" s="26"/>
      <c r="GA241" s="26"/>
      <c r="GB241" s="26"/>
      <c r="GC241" s="26"/>
      <c r="GD241" s="26"/>
      <c r="GE241" s="26"/>
      <c r="GF241" s="26"/>
      <c r="GG241" s="26"/>
      <c r="GH241" s="26"/>
      <c r="GI241" s="26"/>
      <c r="GJ241" s="26"/>
      <c r="GK241" s="26"/>
      <c r="GL241" s="26"/>
      <c r="GM241" s="26"/>
      <c r="GN241" s="26"/>
      <c r="GO241" s="26"/>
      <c r="GP241" s="26"/>
      <c r="GQ241" s="26"/>
      <c r="GR241" s="26"/>
      <c r="GS241" s="26"/>
      <c r="GT241" s="26"/>
      <c r="GU241" s="26"/>
      <c r="GV241" s="26"/>
      <c r="GW241" s="26"/>
      <c r="GX241" s="26"/>
      <c r="GY241" s="26"/>
      <c r="GZ241" s="26"/>
      <c r="HA241" s="26"/>
      <c r="HB241" s="26"/>
      <c r="HC241" s="26"/>
      <c r="HD241" s="26"/>
      <c r="HE241" s="26"/>
      <c r="HF241" s="26"/>
      <c r="HG241" s="26"/>
      <c r="HH241" s="26"/>
    </row>
    <row r="242" spans="1:216">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26"/>
      <c r="FB242" s="26"/>
      <c r="FC242" s="26"/>
      <c r="FD242" s="26"/>
      <c r="FE242" s="26"/>
      <c r="FF242" s="26"/>
      <c r="FG242" s="26"/>
      <c r="FH242" s="26"/>
      <c r="FI242" s="26"/>
      <c r="FJ242" s="26"/>
      <c r="FK242" s="26"/>
      <c r="FL242" s="26"/>
      <c r="FM242" s="26"/>
      <c r="FN242" s="26"/>
      <c r="FO242" s="26"/>
      <c r="FP242" s="26"/>
      <c r="FQ242" s="26"/>
      <c r="FR242" s="26"/>
      <c r="FS242" s="26"/>
      <c r="FT242" s="26"/>
      <c r="FU242" s="26"/>
      <c r="FV242" s="26"/>
      <c r="FW242" s="26"/>
      <c r="FX242" s="26"/>
      <c r="FY242" s="26"/>
      <c r="FZ242" s="26"/>
      <c r="GA242" s="26"/>
      <c r="GB242" s="26"/>
      <c r="GC242" s="26"/>
      <c r="GD242" s="26"/>
      <c r="GE242" s="26"/>
      <c r="GF242" s="26"/>
      <c r="GG242" s="26"/>
      <c r="GH242" s="26"/>
      <c r="GI242" s="26"/>
      <c r="GJ242" s="26"/>
      <c r="GK242" s="26"/>
      <c r="GL242" s="26"/>
      <c r="GM242" s="26"/>
      <c r="GN242" s="26"/>
      <c r="GO242" s="26"/>
      <c r="GP242" s="26"/>
      <c r="GQ242" s="26"/>
      <c r="GR242" s="26"/>
      <c r="GS242" s="26"/>
      <c r="GT242" s="26"/>
      <c r="GU242" s="26"/>
      <c r="GV242" s="26"/>
      <c r="GW242" s="26"/>
      <c r="GX242" s="26"/>
      <c r="GY242" s="26"/>
      <c r="GZ242" s="26"/>
      <c r="HA242" s="26"/>
      <c r="HB242" s="26"/>
      <c r="HC242" s="26"/>
      <c r="HD242" s="26"/>
      <c r="HE242" s="26"/>
      <c r="HF242" s="26"/>
      <c r="HG242" s="26"/>
      <c r="HH242" s="26"/>
    </row>
    <row r="243" spans="1:216">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26"/>
      <c r="FB243" s="26"/>
      <c r="FC243" s="26"/>
      <c r="FD243" s="26"/>
      <c r="FE243" s="26"/>
      <c r="FF243" s="26"/>
      <c r="FG243" s="26"/>
      <c r="FH243" s="26"/>
      <c r="FI243" s="26"/>
      <c r="FJ243" s="26"/>
      <c r="FK243" s="26"/>
      <c r="FL243" s="26"/>
      <c r="FM243" s="26"/>
      <c r="FN243" s="26"/>
      <c r="FO243" s="26"/>
      <c r="FP243" s="26"/>
      <c r="FQ243" s="26"/>
      <c r="FR243" s="26"/>
      <c r="FS243" s="26"/>
      <c r="FT243" s="26"/>
      <c r="FU243" s="26"/>
      <c r="FV243" s="26"/>
      <c r="FW243" s="26"/>
      <c r="FX243" s="26"/>
      <c r="FY243" s="26"/>
      <c r="FZ243" s="26"/>
      <c r="GA243" s="26"/>
      <c r="GB243" s="26"/>
      <c r="GC243" s="26"/>
      <c r="GD243" s="26"/>
      <c r="GE243" s="26"/>
      <c r="GF243" s="26"/>
      <c r="GG243" s="26"/>
      <c r="GH243" s="26"/>
      <c r="GI243" s="26"/>
      <c r="GJ243" s="26"/>
      <c r="GK243" s="26"/>
      <c r="GL243" s="26"/>
      <c r="GM243" s="26"/>
      <c r="GN243" s="26"/>
      <c r="GO243" s="26"/>
      <c r="GP243" s="26"/>
      <c r="GQ243" s="26"/>
      <c r="GR243" s="26"/>
      <c r="GS243" s="26"/>
      <c r="GT243" s="26"/>
      <c r="GU243" s="26"/>
      <c r="GV243" s="26"/>
      <c r="GW243" s="26"/>
      <c r="GX243" s="26"/>
      <c r="GY243" s="26"/>
      <c r="GZ243" s="26"/>
      <c r="HA243" s="26"/>
      <c r="HB243" s="26"/>
      <c r="HC243" s="26"/>
      <c r="HD243" s="26"/>
      <c r="HE243" s="26"/>
      <c r="HF243" s="26"/>
      <c r="HG243" s="26"/>
      <c r="HH243" s="26"/>
    </row>
    <row r="244" spans="1:216">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26"/>
      <c r="FB244" s="26"/>
      <c r="FC244" s="26"/>
      <c r="FD244" s="26"/>
      <c r="FE244" s="26"/>
      <c r="FF244" s="26"/>
      <c r="FG244" s="26"/>
      <c r="FH244" s="26"/>
      <c r="FI244" s="26"/>
      <c r="FJ244" s="26"/>
      <c r="FK244" s="26"/>
      <c r="FL244" s="26"/>
      <c r="FM244" s="26"/>
      <c r="FN244" s="26"/>
      <c r="FO244" s="26"/>
      <c r="FP244" s="26"/>
      <c r="FQ244" s="26"/>
      <c r="FR244" s="26"/>
      <c r="FS244" s="26"/>
      <c r="FT244" s="26"/>
      <c r="FU244" s="26"/>
      <c r="FV244" s="26"/>
      <c r="FW244" s="26"/>
      <c r="FX244" s="26"/>
      <c r="FY244" s="26"/>
      <c r="FZ244" s="26"/>
      <c r="GA244" s="26"/>
      <c r="GB244" s="26"/>
      <c r="GC244" s="26"/>
      <c r="GD244" s="26"/>
      <c r="GE244" s="26"/>
      <c r="GF244" s="26"/>
      <c r="GG244" s="26"/>
      <c r="GH244" s="26"/>
      <c r="GI244" s="26"/>
      <c r="GJ244" s="26"/>
      <c r="GK244" s="26"/>
      <c r="GL244" s="26"/>
      <c r="GM244" s="26"/>
      <c r="GN244" s="26"/>
      <c r="GO244" s="26"/>
      <c r="GP244" s="26"/>
      <c r="GQ244" s="26"/>
      <c r="GR244" s="26"/>
      <c r="GS244" s="26"/>
      <c r="GT244" s="26"/>
      <c r="GU244" s="26"/>
      <c r="GV244" s="26"/>
      <c r="GW244" s="26"/>
      <c r="GX244" s="26"/>
      <c r="GY244" s="26"/>
      <c r="GZ244" s="26"/>
      <c r="HA244" s="26"/>
      <c r="HB244" s="26"/>
      <c r="HC244" s="26"/>
      <c r="HD244" s="26"/>
      <c r="HE244" s="26"/>
      <c r="HF244" s="26"/>
      <c r="HG244" s="26"/>
      <c r="HH244" s="26"/>
    </row>
    <row r="245" spans="1:216">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26"/>
      <c r="FB245" s="26"/>
      <c r="FC245" s="26"/>
      <c r="FD245" s="26"/>
      <c r="FE245" s="26"/>
      <c r="FF245" s="26"/>
      <c r="FG245" s="26"/>
      <c r="FH245" s="26"/>
      <c r="FI245" s="26"/>
      <c r="FJ245" s="26"/>
      <c r="FK245" s="26"/>
      <c r="FL245" s="26"/>
      <c r="FM245" s="26"/>
      <c r="FN245" s="26"/>
      <c r="FO245" s="26"/>
      <c r="FP245" s="26"/>
      <c r="FQ245" s="26"/>
      <c r="FR245" s="26"/>
      <c r="FS245" s="26"/>
      <c r="FT245" s="26"/>
      <c r="FU245" s="26"/>
      <c r="FV245" s="26"/>
      <c r="FW245" s="26"/>
      <c r="FX245" s="26"/>
      <c r="FY245" s="26"/>
      <c r="FZ245" s="26"/>
      <c r="GA245" s="26"/>
      <c r="GB245" s="26"/>
      <c r="GC245" s="26"/>
      <c r="GD245" s="26"/>
      <c r="GE245" s="26"/>
      <c r="GF245" s="26"/>
      <c r="GG245" s="26"/>
      <c r="GH245" s="26"/>
      <c r="GI245" s="26"/>
      <c r="GJ245" s="26"/>
      <c r="GK245" s="26"/>
      <c r="GL245" s="26"/>
      <c r="GM245" s="26"/>
      <c r="GN245" s="26"/>
      <c r="GO245" s="26"/>
      <c r="GP245" s="26"/>
      <c r="GQ245" s="26"/>
      <c r="GR245" s="26"/>
      <c r="GS245" s="26"/>
      <c r="GT245" s="26"/>
      <c r="GU245" s="26"/>
      <c r="GV245" s="26"/>
      <c r="GW245" s="26"/>
      <c r="GX245" s="26"/>
      <c r="GY245" s="26"/>
      <c r="GZ245" s="26"/>
      <c r="HA245" s="26"/>
      <c r="HB245" s="26"/>
      <c r="HC245" s="26"/>
      <c r="HD245" s="26"/>
      <c r="HE245" s="26"/>
      <c r="HF245" s="26"/>
      <c r="HG245" s="26"/>
      <c r="HH245" s="26"/>
    </row>
    <row r="246" spans="1:21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26"/>
      <c r="FB246" s="26"/>
      <c r="FC246" s="26"/>
      <c r="FD246" s="26"/>
      <c r="FE246" s="26"/>
      <c r="FF246" s="26"/>
      <c r="FG246" s="26"/>
      <c r="FH246" s="26"/>
      <c r="FI246" s="26"/>
      <c r="FJ246" s="26"/>
      <c r="FK246" s="26"/>
      <c r="FL246" s="26"/>
      <c r="FM246" s="26"/>
      <c r="FN246" s="26"/>
      <c r="FO246" s="26"/>
      <c r="FP246" s="26"/>
      <c r="FQ246" s="26"/>
      <c r="FR246" s="26"/>
      <c r="FS246" s="26"/>
      <c r="FT246" s="26"/>
      <c r="FU246" s="26"/>
      <c r="FV246" s="26"/>
      <c r="FW246" s="26"/>
      <c r="FX246" s="26"/>
      <c r="FY246" s="26"/>
      <c r="FZ246" s="26"/>
      <c r="GA246" s="26"/>
      <c r="GB246" s="26"/>
      <c r="GC246" s="26"/>
      <c r="GD246" s="26"/>
      <c r="GE246" s="26"/>
      <c r="GF246" s="26"/>
      <c r="GG246" s="26"/>
      <c r="GH246" s="26"/>
      <c r="GI246" s="26"/>
      <c r="GJ246" s="26"/>
      <c r="GK246" s="26"/>
      <c r="GL246" s="26"/>
      <c r="GM246" s="26"/>
      <c r="GN246" s="26"/>
      <c r="GO246" s="26"/>
      <c r="GP246" s="26"/>
      <c r="GQ246" s="26"/>
      <c r="GR246" s="26"/>
      <c r="GS246" s="26"/>
      <c r="GT246" s="26"/>
      <c r="GU246" s="26"/>
      <c r="GV246" s="26"/>
      <c r="GW246" s="26"/>
      <c r="GX246" s="26"/>
      <c r="GY246" s="26"/>
      <c r="GZ246" s="26"/>
      <c r="HA246" s="26"/>
      <c r="HB246" s="26"/>
      <c r="HC246" s="26"/>
      <c r="HD246" s="26"/>
      <c r="HE246" s="26"/>
      <c r="HF246" s="26"/>
      <c r="HG246" s="26"/>
      <c r="HH246" s="26"/>
    </row>
    <row r="247" spans="1:216">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c r="FT247" s="26"/>
      <c r="FU247" s="26"/>
      <c r="FV247" s="26"/>
      <c r="FW247" s="26"/>
      <c r="FX247" s="26"/>
      <c r="FY247" s="26"/>
      <c r="FZ247" s="26"/>
      <c r="GA247" s="26"/>
      <c r="GB247" s="26"/>
      <c r="GC247" s="26"/>
      <c r="GD247" s="26"/>
      <c r="GE247" s="26"/>
      <c r="GF247" s="26"/>
      <c r="GG247" s="26"/>
      <c r="GH247" s="26"/>
      <c r="GI247" s="26"/>
      <c r="GJ247" s="26"/>
      <c r="GK247" s="26"/>
      <c r="GL247" s="26"/>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row>
    <row r="248" spans="1:216">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c r="FT248" s="26"/>
      <c r="FU248" s="26"/>
      <c r="FV248" s="26"/>
      <c r="FW248" s="26"/>
      <c r="FX248" s="26"/>
      <c r="FY248" s="26"/>
      <c r="FZ248" s="26"/>
      <c r="GA248" s="26"/>
      <c r="GB248" s="26"/>
      <c r="GC248" s="26"/>
      <c r="GD248" s="26"/>
      <c r="GE248" s="26"/>
      <c r="GF248" s="26"/>
      <c r="GG248" s="26"/>
      <c r="GH248" s="26"/>
      <c r="GI248" s="26"/>
      <c r="GJ248" s="26"/>
      <c r="GK248" s="26"/>
      <c r="GL248" s="26"/>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row>
    <row r="249" spans="1:216">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c r="FT249" s="26"/>
      <c r="FU249" s="26"/>
      <c r="FV249" s="26"/>
      <c r="FW249" s="26"/>
      <c r="FX249" s="26"/>
      <c r="FY249" s="26"/>
      <c r="FZ249" s="26"/>
      <c r="GA249" s="26"/>
      <c r="GB249" s="26"/>
      <c r="GC249" s="26"/>
      <c r="GD249" s="26"/>
      <c r="GE249" s="26"/>
      <c r="GF249" s="26"/>
      <c r="GG249" s="26"/>
      <c r="GH249" s="26"/>
      <c r="GI249" s="26"/>
      <c r="GJ249" s="26"/>
      <c r="GK249" s="26"/>
      <c r="GL249" s="26"/>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row>
    <row r="250" spans="1:216">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c r="FT250" s="26"/>
      <c r="FU250" s="26"/>
      <c r="FV250" s="26"/>
      <c r="FW250" s="26"/>
      <c r="FX250" s="26"/>
      <c r="FY250" s="26"/>
      <c r="FZ250" s="26"/>
      <c r="GA250" s="26"/>
      <c r="GB250" s="26"/>
      <c r="GC250" s="26"/>
      <c r="GD250" s="26"/>
      <c r="GE250" s="26"/>
      <c r="GF250" s="26"/>
      <c r="GG250" s="26"/>
      <c r="GH250" s="26"/>
      <c r="GI250" s="26"/>
      <c r="GJ250" s="26"/>
      <c r="GK250" s="26"/>
      <c r="GL250" s="26"/>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row>
    <row r="251" spans="1:21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26"/>
      <c r="FB251" s="26"/>
      <c r="FC251" s="26"/>
      <c r="FD251" s="26"/>
      <c r="FE251" s="26"/>
      <c r="FF251" s="26"/>
      <c r="FG251" s="26"/>
      <c r="FH251" s="26"/>
      <c r="FI251" s="26"/>
      <c r="FJ251" s="26"/>
      <c r="FK251" s="26"/>
      <c r="FL251" s="26"/>
      <c r="FM251" s="26"/>
      <c r="FN251" s="26"/>
      <c r="FO251" s="26"/>
      <c r="FP251" s="26"/>
      <c r="FQ251" s="26"/>
      <c r="FR251" s="26"/>
      <c r="FS251" s="26"/>
      <c r="FT251" s="26"/>
      <c r="FU251" s="26"/>
      <c r="FV251" s="26"/>
      <c r="FW251" s="26"/>
      <c r="FX251" s="26"/>
      <c r="FY251" s="26"/>
      <c r="FZ251" s="26"/>
      <c r="GA251" s="26"/>
      <c r="GB251" s="26"/>
      <c r="GC251" s="26"/>
      <c r="GD251" s="26"/>
      <c r="GE251" s="26"/>
      <c r="GF251" s="26"/>
      <c r="GG251" s="26"/>
      <c r="GH251" s="26"/>
      <c r="GI251" s="26"/>
      <c r="GJ251" s="26"/>
      <c r="GK251" s="26"/>
      <c r="GL251" s="26"/>
      <c r="GM251" s="26"/>
      <c r="GN251" s="26"/>
      <c r="GO251" s="26"/>
      <c r="GP251" s="26"/>
      <c r="GQ251" s="26"/>
      <c r="GR251" s="26"/>
      <c r="GS251" s="26"/>
      <c r="GT251" s="26"/>
      <c r="GU251" s="26"/>
      <c r="GV251" s="26"/>
      <c r="GW251" s="26"/>
      <c r="GX251" s="26"/>
      <c r="GY251" s="26"/>
      <c r="GZ251" s="26"/>
      <c r="HA251" s="26"/>
      <c r="HB251" s="26"/>
      <c r="HC251" s="26"/>
      <c r="HD251" s="26"/>
      <c r="HE251" s="26"/>
      <c r="HF251" s="26"/>
      <c r="HG251" s="26"/>
      <c r="HH251" s="26"/>
    </row>
    <row r="252" spans="1:21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26"/>
      <c r="FB252" s="26"/>
      <c r="FC252" s="26"/>
      <c r="FD252" s="26"/>
      <c r="FE252" s="26"/>
      <c r="FF252" s="26"/>
      <c r="FG252" s="26"/>
      <c r="FH252" s="26"/>
      <c r="FI252" s="26"/>
      <c r="FJ252" s="26"/>
      <c r="FK252" s="26"/>
      <c r="FL252" s="26"/>
      <c r="FM252" s="26"/>
      <c r="FN252" s="26"/>
      <c r="FO252" s="26"/>
      <c r="FP252" s="26"/>
      <c r="FQ252" s="26"/>
      <c r="FR252" s="26"/>
      <c r="FS252" s="26"/>
      <c r="FT252" s="26"/>
      <c r="FU252" s="26"/>
      <c r="FV252" s="26"/>
      <c r="FW252" s="26"/>
      <c r="FX252" s="26"/>
      <c r="FY252" s="26"/>
      <c r="FZ252" s="26"/>
      <c r="GA252" s="26"/>
      <c r="GB252" s="26"/>
      <c r="GC252" s="26"/>
      <c r="GD252" s="26"/>
      <c r="GE252" s="26"/>
      <c r="GF252" s="26"/>
      <c r="GG252" s="26"/>
      <c r="GH252" s="26"/>
      <c r="GI252" s="26"/>
      <c r="GJ252" s="26"/>
      <c r="GK252" s="26"/>
      <c r="GL252" s="26"/>
      <c r="GM252" s="26"/>
      <c r="GN252" s="26"/>
      <c r="GO252" s="26"/>
      <c r="GP252" s="26"/>
      <c r="GQ252" s="26"/>
      <c r="GR252" s="26"/>
      <c r="GS252" s="26"/>
      <c r="GT252" s="26"/>
      <c r="GU252" s="26"/>
      <c r="GV252" s="26"/>
      <c r="GW252" s="26"/>
      <c r="GX252" s="26"/>
      <c r="GY252" s="26"/>
      <c r="GZ252" s="26"/>
      <c r="HA252" s="26"/>
      <c r="HB252" s="26"/>
      <c r="HC252" s="26"/>
      <c r="HD252" s="26"/>
      <c r="HE252" s="26"/>
      <c r="HF252" s="26"/>
      <c r="HG252" s="26"/>
      <c r="HH252" s="26"/>
    </row>
    <row r="253" spans="1:21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26"/>
      <c r="FB253" s="26"/>
      <c r="FC253" s="26"/>
      <c r="FD253" s="26"/>
      <c r="FE253" s="26"/>
      <c r="FF253" s="26"/>
      <c r="FG253" s="26"/>
      <c r="FH253" s="26"/>
      <c r="FI253" s="26"/>
      <c r="FJ253" s="26"/>
      <c r="FK253" s="26"/>
      <c r="FL253" s="26"/>
      <c r="FM253" s="26"/>
      <c r="FN253" s="26"/>
      <c r="FO253" s="26"/>
      <c r="FP253" s="26"/>
      <c r="FQ253" s="26"/>
      <c r="FR253" s="26"/>
      <c r="FS253" s="26"/>
      <c r="FT253" s="26"/>
      <c r="FU253" s="26"/>
      <c r="FV253" s="26"/>
      <c r="FW253" s="26"/>
      <c r="FX253" s="26"/>
      <c r="FY253" s="26"/>
      <c r="FZ253" s="26"/>
      <c r="GA253" s="26"/>
      <c r="GB253" s="26"/>
      <c r="GC253" s="26"/>
      <c r="GD253" s="26"/>
      <c r="GE253" s="26"/>
      <c r="GF253" s="26"/>
      <c r="GG253" s="26"/>
      <c r="GH253" s="26"/>
      <c r="GI253" s="26"/>
      <c r="GJ253" s="26"/>
      <c r="GK253" s="26"/>
      <c r="GL253" s="26"/>
      <c r="GM253" s="26"/>
      <c r="GN253" s="26"/>
      <c r="GO253" s="26"/>
      <c r="GP253" s="26"/>
      <c r="GQ253" s="26"/>
      <c r="GR253" s="26"/>
      <c r="GS253" s="26"/>
      <c r="GT253" s="26"/>
      <c r="GU253" s="26"/>
      <c r="GV253" s="26"/>
      <c r="GW253" s="26"/>
      <c r="GX253" s="26"/>
      <c r="GY253" s="26"/>
      <c r="GZ253" s="26"/>
      <c r="HA253" s="26"/>
      <c r="HB253" s="26"/>
      <c r="HC253" s="26"/>
      <c r="HD253" s="26"/>
      <c r="HE253" s="26"/>
      <c r="HF253" s="26"/>
      <c r="HG253" s="26"/>
      <c r="HH253" s="26"/>
    </row>
    <row r="254" spans="1:21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26"/>
      <c r="FB254" s="26"/>
      <c r="FC254" s="26"/>
      <c r="FD254" s="26"/>
      <c r="FE254" s="26"/>
      <c r="FF254" s="26"/>
      <c r="FG254" s="26"/>
      <c r="FH254" s="26"/>
      <c r="FI254" s="26"/>
      <c r="FJ254" s="26"/>
      <c r="FK254" s="26"/>
      <c r="FL254" s="26"/>
      <c r="FM254" s="26"/>
      <c r="FN254" s="26"/>
      <c r="FO254" s="26"/>
      <c r="FP254" s="26"/>
      <c r="FQ254" s="26"/>
      <c r="FR254" s="26"/>
      <c r="FS254" s="26"/>
      <c r="FT254" s="26"/>
      <c r="FU254" s="26"/>
      <c r="FV254" s="26"/>
      <c r="FW254" s="26"/>
      <c r="FX254" s="26"/>
      <c r="FY254" s="26"/>
      <c r="FZ254" s="26"/>
      <c r="GA254" s="26"/>
      <c r="GB254" s="26"/>
      <c r="GC254" s="26"/>
      <c r="GD254" s="26"/>
      <c r="GE254" s="26"/>
      <c r="GF254" s="26"/>
      <c r="GG254" s="26"/>
      <c r="GH254" s="26"/>
      <c r="GI254" s="26"/>
      <c r="GJ254" s="26"/>
      <c r="GK254" s="26"/>
      <c r="GL254" s="26"/>
      <c r="GM254" s="26"/>
      <c r="GN254" s="26"/>
      <c r="GO254" s="26"/>
      <c r="GP254" s="26"/>
      <c r="GQ254" s="26"/>
      <c r="GR254" s="26"/>
      <c r="GS254" s="26"/>
      <c r="GT254" s="26"/>
      <c r="GU254" s="26"/>
      <c r="GV254" s="26"/>
      <c r="GW254" s="26"/>
      <c r="GX254" s="26"/>
      <c r="GY254" s="26"/>
      <c r="GZ254" s="26"/>
      <c r="HA254" s="26"/>
      <c r="HB254" s="26"/>
      <c r="HC254" s="26"/>
      <c r="HD254" s="26"/>
      <c r="HE254" s="26"/>
      <c r="HF254" s="26"/>
      <c r="HG254" s="26"/>
      <c r="HH254" s="26"/>
    </row>
    <row r="255" spans="1:21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26"/>
      <c r="FB255" s="26"/>
      <c r="FC255" s="26"/>
      <c r="FD255" s="26"/>
      <c r="FE255" s="26"/>
      <c r="FF255" s="26"/>
      <c r="FG255" s="26"/>
      <c r="FH255" s="26"/>
      <c r="FI255" s="26"/>
      <c r="FJ255" s="26"/>
      <c r="FK255" s="26"/>
      <c r="FL255" s="26"/>
      <c r="FM255" s="26"/>
      <c r="FN255" s="26"/>
      <c r="FO255" s="26"/>
      <c r="FP255" s="26"/>
      <c r="FQ255" s="26"/>
      <c r="FR255" s="26"/>
      <c r="FS255" s="26"/>
      <c r="FT255" s="26"/>
      <c r="FU255" s="26"/>
      <c r="FV255" s="26"/>
      <c r="FW255" s="26"/>
      <c r="FX255" s="26"/>
      <c r="FY255" s="26"/>
      <c r="FZ255" s="26"/>
      <c r="GA255" s="26"/>
      <c r="GB255" s="26"/>
      <c r="GC255" s="26"/>
      <c r="GD255" s="26"/>
      <c r="GE255" s="26"/>
      <c r="GF255" s="26"/>
      <c r="GG255" s="26"/>
      <c r="GH255" s="26"/>
      <c r="GI255" s="26"/>
      <c r="GJ255" s="26"/>
      <c r="GK255" s="26"/>
      <c r="GL255" s="26"/>
      <c r="GM255" s="26"/>
      <c r="GN255" s="26"/>
      <c r="GO255" s="26"/>
      <c r="GP255" s="26"/>
      <c r="GQ255" s="26"/>
      <c r="GR255" s="26"/>
      <c r="GS255" s="26"/>
      <c r="GT255" s="26"/>
      <c r="GU255" s="26"/>
      <c r="GV255" s="26"/>
      <c r="GW255" s="26"/>
      <c r="GX255" s="26"/>
      <c r="GY255" s="26"/>
      <c r="GZ255" s="26"/>
      <c r="HA255" s="26"/>
      <c r="HB255" s="26"/>
      <c r="HC255" s="26"/>
      <c r="HD255" s="26"/>
      <c r="HE255" s="26"/>
      <c r="HF255" s="26"/>
      <c r="HG255" s="26"/>
      <c r="HH255" s="26"/>
    </row>
    <row r="256" spans="1:21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26"/>
      <c r="FB256" s="26"/>
      <c r="FC256" s="26"/>
      <c r="FD256" s="26"/>
      <c r="FE256" s="26"/>
      <c r="FF256" s="26"/>
      <c r="FG256" s="26"/>
      <c r="FH256" s="26"/>
      <c r="FI256" s="26"/>
      <c r="FJ256" s="26"/>
      <c r="FK256" s="26"/>
      <c r="FL256" s="26"/>
      <c r="FM256" s="26"/>
      <c r="FN256" s="26"/>
      <c r="FO256" s="26"/>
      <c r="FP256" s="26"/>
      <c r="FQ256" s="26"/>
      <c r="FR256" s="26"/>
      <c r="FS256" s="26"/>
      <c r="FT256" s="26"/>
      <c r="FU256" s="26"/>
      <c r="FV256" s="26"/>
      <c r="FW256" s="26"/>
      <c r="FX256" s="26"/>
      <c r="FY256" s="26"/>
      <c r="FZ256" s="26"/>
      <c r="GA256" s="26"/>
      <c r="GB256" s="26"/>
      <c r="GC256" s="26"/>
      <c r="GD256" s="26"/>
      <c r="GE256" s="26"/>
      <c r="GF256" s="26"/>
      <c r="GG256" s="26"/>
      <c r="GH256" s="26"/>
      <c r="GI256" s="26"/>
      <c r="GJ256" s="26"/>
      <c r="GK256" s="26"/>
      <c r="GL256" s="26"/>
      <c r="GM256" s="26"/>
      <c r="GN256" s="26"/>
      <c r="GO256" s="26"/>
      <c r="GP256" s="26"/>
      <c r="GQ256" s="26"/>
      <c r="GR256" s="26"/>
      <c r="GS256" s="26"/>
      <c r="GT256" s="26"/>
      <c r="GU256" s="26"/>
      <c r="GV256" s="26"/>
      <c r="GW256" s="26"/>
      <c r="GX256" s="26"/>
      <c r="GY256" s="26"/>
      <c r="GZ256" s="26"/>
      <c r="HA256" s="26"/>
      <c r="HB256" s="26"/>
      <c r="HC256" s="26"/>
      <c r="HD256" s="26"/>
      <c r="HE256" s="26"/>
      <c r="HF256" s="26"/>
      <c r="HG256" s="26"/>
      <c r="HH256" s="26"/>
    </row>
    <row r="257" spans="1:21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26"/>
      <c r="FB257" s="26"/>
      <c r="FC257" s="26"/>
      <c r="FD257" s="26"/>
      <c r="FE257" s="26"/>
      <c r="FF257" s="26"/>
      <c r="FG257" s="26"/>
      <c r="FH257" s="26"/>
      <c r="FI257" s="26"/>
      <c r="FJ257" s="26"/>
      <c r="FK257" s="26"/>
      <c r="FL257" s="26"/>
      <c r="FM257" s="26"/>
      <c r="FN257" s="26"/>
      <c r="FO257" s="26"/>
      <c r="FP257" s="26"/>
      <c r="FQ257" s="26"/>
      <c r="FR257" s="26"/>
      <c r="FS257" s="26"/>
      <c r="FT257" s="26"/>
      <c r="FU257" s="26"/>
      <c r="FV257" s="26"/>
      <c r="FW257" s="26"/>
      <c r="FX257" s="26"/>
      <c r="FY257" s="26"/>
      <c r="FZ257" s="26"/>
      <c r="GA257" s="26"/>
      <c r="GB257" s="26"/>
      <c r="GC257" s="26"/>
      <c r="GD257" s="26"/>
      <c r="GE257" s="26"/>
      <c r="GF257" s="26"/>
      <c r="GG257" s="26"/>
      <c r="GH257" s="26"/>
      <c r="GI257" s="26"/>
      <c r="GJ257" s="26"/>
      <c r="GK257" s="26"/>
      <c r="GL257" s="26"/>
      <c r="GM257" s="26"/>
      <c r="GN257" s="26"/>
      <c r="GO257" s="26"/>
      <c r="GP257" s="26"/>
      <c r="GQ257" s="26"/>
      <c r="GR257" s="26"/>
      <c r="GS257" s="26"/>
      <c r="GT257" s="26"/>
      <c r="GU257" s="26"/>
      <c r="GV257" s="26"/>
      <c r="GW257" s="26"/>
      <c r="GX257" s="26"/>
      <c r="GY257" s="26"/>
      <c r="GZ257" s="26"/>
      <c r="HA257" s="26"/>
      <c r="HB257" s="26"/>
      <c r="HC257" s="26"/>
      <c r="HD257" s="26"/>
      <c r="HE257" s="26"/>
      <c r="HF257" s="26"/>
      <c r="HG257" s="26"/>
      <c r="HH257" s="26"/>
    </row>
    <row r="258" spans="1:21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26"/>
      <c r="FB258" s="26"/>
      <c r="FC258" s="26"/>
      <c r="FD258" s="26"/>
      <c r="FE258" s="26"/>
      <c r="FF258" s="26"/>
      <c r="FG258" s="26"/>
      <c r="FH258" s="26"/>
      <c r="FI258" s="26"/>
      <c r="FJ258" s="26"/>
      <c r="FK258" s="26"/>
      <c r="FL258" s="26"/>
      <c r="FM258" s="26"/>
      <c r="FN258" s="26"/>
      <c r="FO258" s="26"/>
      <c r="FP258" s="26"/>
      <c r="FQ258" s="26"/>
      <c r="FR258" s="26"/>
      <c r="FS258" s="26"/>
      <c r="FT258" s="26"/>
      <c r="FU258" s="26"/>
      <c r="FV258" s="26"/>
      <c r="FW258" s="26"/>
      <c r="FX258" s="26"/>
      <c r="FY258" s="26"/>
      <c r="FZ258" s="26"/>
      <c r="GA258" s="26"/>
      <c r="GB258" s="26"/>
      <c r="GC258" s="26"/>
      <c r="GD258" s="26"/>
      <c r="GE258" s="26"/>
      <c r="GF258" s="26"/>
      <c r="GG258" s="26"/>
      <c r="GH258" s="26"/>
      <c r="GI258" s="26"/>
      <c r="GJ258" s="26"/>
      <c r="GK258" s="26"/>
      <c r="GL258" s="26"/>
      <c r="GM258" s="26"/>
      <c r="GN258" s="26"/>
      <c r="GO258" s="26"/>
      <c r="GP258" s="26"/>
      <c r="GQ258" s="26"/>
      <c r="GR258" s="26"/>
      <c r="GS258" s="26"/>
      <c r="GT258" s="26"/>
      <c r="GU258" s="26"/>
      <c r="GV258" s="26"/>
      <c r="GW258" s="26"/>
      <c r="GX258" s="26"/>
      <c r="GY258" s="26"/>
      <c r="GZ258" s="26"/>
      <c r="HA258" s="26"/>
      <c r="HB258" s="26"/>
      <c r="HC258" s="26"/>
      <c r="HD258" s="26"/>
      <c r="HE258" s="26"/>
      <c r="HF258" s="26"/>
      <c r="HG258" s="26"/>
      <c r="HH258" s="26"/>
    </row>
    <row r="259" spans="1:21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26"/>
      <c r="FB259" s="26"/>
      <c r="FC259" s="26"/>
      <c r="FD259" s="26"/>
      <c r="FE259" s="26"/>
      <c r="FF259" s="26"/>
      <c r="FG259" s="26"/>
      <c r="FH259" s="26"/>
      <c r="FI259" s="26"/>
      <c r="FJ259" s="26"/>
      <c r="FK259" s="26"/>
      <c r="FL259" s="26"/>
      <c r="FM259" s="26"/>
      <c r="FN259" s="26"/>
      <c r="FO259" s="26"/>
      <c r="FP259" s="26"/>
      <c r="FQ259" s="26"/>
      <c r="FR259" s="26"/>
      <c r="FS259" s="26"/>
      <c r="FT259" s="26"/>
      <c r="FU259" s="26"/>
      <c r="FV259" s="26"/>
      <c r="FW259" s="26"/>
      <c r="FX259" s="26"/>
      <c r="FY259" s="26"/>
      <c r="FZ259" s="26"/>
      <c r="GA259" s="26"/>
      <c r="GB259" s="26"/>
      <c r="GC259" s="26"/>
      <c r="GD259" s="26"/>
      <c r="GE259" s="26"/>
      <c r="GF259" s="26"/>
      <c r="GG259" s="26"/>
      <c r="GH259" s="26"/>
      <c r="GI259" s="26"/>
      <c r="GJ259" s="26"/>
      <c r="GK259" s="26"/>
      <c r="GL259" s="26"/>
      <c r="GM259" s="26"/>
      <c r="GN259" s="26"/>
      <c r="GO259" s="26"/>
      <c r="GP259" s="26"/>
      <c r="GQ259" s="26"/>
      <c r="GR259" s="26"/>
      <c r="GS259" s="26"/>
      <c r="GT259" s="26"/>
      <c r="GU259" s="26"/>
      <c r="GV259" s="26"/>
      <c r="GW259" s="26"/>
      <c r="GX259" s="26"/>
      <c r="GY259" s="26"/>
      <c r="GZ259" s="26"/>
      <c r="HA259" s="26"/>
      <c r="HB259" s="26"/>
      <c r="HC259" s="26"/>
      <c r="HD259" s="26"/>
      <c r="HE259" s="26"/>
      <c r="HF259" s="26"/>
      <c r="HG259" s="26"/>
      <c r="HH259" s="26"/>
    </row>
    <row r="260" spans="1:21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26"/>
      <c r="FB260" s="26"/>
      <c r="FC260" s="26"/>
      <c r="FD260" s="26"/>
      <c r="FE260" s="26"/>
      <c r="FF260" s="26"/>
      <c r="FG260" s="26"/>
      <c r="FH260" s="26"/>
      <c r="FI260" s="26"/>
      <c r="FJ260" s="26"/>
      <c r="FK260" s="26"/>
      <c r="FL260" s="26"/>
      <c r="FM260" s="26"/>
      <c r="FN260" s="26"/>
      <c r="FO260" s="26"/>
      <c r="FP260" s="26"/>
      <c r="FQ260" s="26"/>
      <c r="FR260" s="26"/>
      <c r="FS260" s="26"/>
      <c r="FT260" s="26"/>
      <c r="FU260" s="26"/>
      <c r="FV260" s="26"/>
      <c r="FW260" s="26"/>
      <c r="FX260" s="26"/>
      <c r="FY260" s="26"/>
      <c r="FZ260" s="26"/>
      <c r="GA260" s="26"/>
      <c r="GB260" s="26"/>
      <c r="GC260" s="26"/>
      <c r="GD260" s="26"/>
      <c r="GE260" s="26"/>
      <c r="GF260" s="26"/>
      <c r="GG260" s="26"/>
      <c r="GH260" s="26"/>
      <c r="GI260" s="26"/>
      <c r="GJ260" s="26"/>
      <c r="GK260" s="26"/>
      <c r="GL260" s="26"/>
      <c r="GM260" s="26"/>
      <c r="GN260" s="26"/>
      <c r="GO260" s="26"/>
      <c r="GP260" s="26"/>
      <c r="GQ260" s="26"/>
      <c r="GR260" s="26"/>
      <c r="GS260" s="26"/>
      <c r="GT260" s="26"/>
      <c r="GU260" s="26"/>
      <c r="GV260" s="26"/>
      <c r="GW260" s="26"/>
      <c r="GX260" s="26"/>
      <c r="GY260" s="26"/>
      <c r="GZ260" s="26"/>
      <c r="HA260" s="26"/>
      <c r="HB260" s="26"/>
      <c r="HC260" s="26"/>
      <c r="HD260" s="26"/>
      <c r="HE260" s="26"/>
      <c r="HF260" s="26"/>
      <c r="HG260" s="26"/>
      <c r="HH260" s="26"/>
    </row>
    <row r="261" spans="1:21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26"/>
      <c r="FB261" s="26"/>
      <c r="FC261" s="26"/>
      <c r="FD261" s="26"/>
      <c r="FE261" s="26"/>
      <c r="FF261" s="26"/>
      <c r="FG261" s="26"/>
      <c r="FH261" s="26"/>
      <c r="FI261" s="26"/>
      <c r="FJ261" s="26"/>
      <c r="FK261" s="26"/>
      <c r="FL261" s="26"/>
      <c r="FM261" s="26"/>
      <c r="FN261" s="26"/>
      <c r="FO261" s="26"/>
      <c r="FP261" s="26"/>
      <c r="FQ261" s="26"/>
      <c r="FR261" s="26"/>
      <c r="FS261" s="26"/>
      <c r="FT261" s="26"/>
      <c r="FU261" s="26"/>
      <c r="FV261" s="26"/>
      <c r="FW261" s="26"/>
      <c r="FX261" s="26"/>
      <c r="FY261" s="26"/>
      <c r="FZ261" s="26"/>
      <c r="GA261" s="26"/>
      <c r="GB261" s="26"/>
      <c r="GC261" s="26"/>
      <c r="GD261" s="26"/>
      <c r="GE261" s="26"/>
      <c r="GF261" s="26"/>
      <c r="GG261" s="26"/>
      <c r="GH261" s="26"/>
      <c r="GI261" s="26"/>
      <c r="GJ261" s="26"/>
      <c r="GK261" s="26"/>
      <c r="GL261" s="26"/>
      <c r="GM261" s="26"/>
      <c r="GN261" s="26"/>
      <c r="GO261" s="26"/>
      <c r="GP261" s="26"/>
      <c r="GQ261" s="26"/>
      <c r="GR261" s="26"/>
      <c r="GS261" s="26"/>
      <c r="GT261" s="26"/>
      <c r="GU261" s="26"/>
      <c r="GV261" s="26"/>
      <c r="GW261" s="26"/>
      <c r="GX261" s="26"/>
      <c r="GY261" s="26"/>
      <c r="GZ261" s="26"/>
      <c r="HA261" s="26"/>
      <c r="HB261" s="26"/>
      <c r="HC261" s="26"/>
      <c r="HD261" s="26"/>
      <c r="HE261" s="26"/>
      <c r="HF261" s="26"/>
      <c r="HG261" s="26"/>
      <c r="HH261" s="26"/>
    </row>
    <row r="262" spans="1:21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26"/>
      <c r="FB262" s="26"/>
      <c r="FC262" s="26"/>
      <c r="FD262" s="26"/>
      <c r="FE262" s="26"/>
      <c r="FF262" s="26"/>
      <c r="FG262" s="26"/>
      <c r="FH262" s="26"/>
      <c r="FI262" s="26"/>
      <c r="FJ262" s="26"/>
      <c r="FK262" s="26"/>
      <c r="FL262" s="26"/>
      <c r="FM262" s="26"/>
      <c r="FN262" s="26"/>
      <c r="FO262" s="26"/>
      <c r="FP262" s="26"/>
      <c r="FQ262" s="26"/>
      <c r="FR262" s="26"/>
      <c r="FS262" s="26"/>
      <c r="FT262" s="26"/>
      <c r="FU262" s="26"/>
      <c r="FV262" s="26"/>
      <c r="FW262" s="26"/>
      <c r="FX262" s="26"/>
      <c r="FY262" s="26"/>
      <c r="FZ262" s="26"/>
      <c r="GA262" s="26"/>
      <c r="GB262" s="26"/>
      <c r="GC262" s="26"/>
      <c r="GD262" s="26"/>
      <c r="GE262" s="26"/>
      <c r="GF262" s="26"/>
      <c r="GG262" s="26"/>
      <c r="GH262" s="26"/>
      <c r="GI262" s="26"/>
      <c r="GJ262" s="26"/>
      <c r="GK262" s="26"/>
      <c r="GL262" s="26"/>
      <c r="GM262" s="26"/>
      <c r="GN262" s="26"/>
      <c r="GO262" s="26"/>
      <c r="GP262" s="26"/>
      <c r="GQ262" s="26"/>
      <c r="GR262" s="26"/>
      <c r="GS262" s="26"/>
      <c r="GT262" s="26"/>
      <c r="GU262" s="26"/>
      <c r="GV262" s="26"/>
      <c r="GW262" s="26"/>
      <c r="GX262" s="26"/>
      <c r="GY262" s="26"/>
      <c r="GZ262" s="26"/>
      <c r="HA262" s="26"/>
      <c r="HB262" s="26"/>
      <c r="HC262" s="26"/>
      <c r="HD262" s="26"/>
      <c r="HE262" s="26"/>
      <c r="HF262" s="26"/>
      <c r="HG262" s="26"/>
      <c r="HH262" s="26"/>
    </row>
    <row r="263" spans="1:21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26"/>
      <c r="FB263" s="26"/>
      <c r="FC263" s="26"/>
      <c r="FD263" s="26"/>
      <c r="FE263" s="26"/>
      <c r="FF263" s="26"/>
      <c r="FG263" s="26"/>
      <c r="FH263" s="26"/>
      <c r="FI263" s="26"/>
      <c r="FJ263" s="26"/>
      <c r="FK263" s="26"/>
      <c r="FL263" s="26"/>
      <c r="FM263" s="26"/>
      <c r="FN263" s="26"/>
      <c r="FO263" s="26"/>
      <c r="FP263" s="26"/>
      <c r="FQ263" s="26"/>
      <c r="FR263" s="26"/>
      <c r="FS263" s="26"/>
      <c r="FT263" s="26"/>
      <c r="FU263" s="26"/>
      <c r="FV263" s="26"/>
      <c r="FW263" s="26"/>
      <c r="FX263" s="26"/>
      <c r="FY263" s="26"/>
      <c r="FZ263" s="26"/>
      <c r="GA263" s="26"/>
      <c r="GB263" s="26"/>
      <c r="GC263" s="26"/>
      <c r="GD263" s="26"/>
      <c r="GE263" s="26"/>
      <c r="GF263" s="26"/>
      <c r="GG263" s="26"/>
      <c r="GH263" s="26"/>
      <c r="GI263" s="26"/>
      <c r="GJ263" s="26"/>
      <c r="GK263" s="26"/>
      <c r="GL263" s="26"/>
      <c r="GM263" s="26"/>
      <c r="GN263" s="26"/>
      <c r="GO263" s="26"/>
      <c r="GP263" s="26"/>
      <c r="GQ263" s="26"/>
      <c r="GR263" s="26"/>
      <c r="GS263" s="26"/>
      <c r="GT263" s="26"/>
      <c r="GU263" s="26"/>
      <c r="GV263" s="26"/>
      <c r="GW263" s="26"/>
      <c r="GX263" s="26"/>
      <c r="GY263" s="26"/>
      <c r="GZ263" s="26"/>
      <c r="HA263" s="26"/>
      <c r="HB263" s="26"/>
      <c r="HC263" s="26"/>
      <c r="HD263" s="26"/>
      <c r="HE263" s="26"/>
      <c r="HF263" s="26"/>
      <c r="HG263" s="26"/>
      <c r="HH263" s="26"/>
    </row>
    <row r="264" spans="1:21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26"/>
      <c r="FB264" s="26"/>
      <c r="FC264" s="26"/>
      <c r="FD264" s="26"/>
      <c r="FE264" s="26"/>
      <c r="FF264" s="26"/>
      <c r="FG264" s="26"/>
      <c r="FH264" s="26"/>
      <c r="FI264" s="26"/>
      <c r="FJ264" s="26"/>
      <c r="FK264" s="26"/>
      <c r="FL264" s="26"/>
      <c r="FM264" s="26"/>
      <c r="FN264" s="26"/>
      <c r="FO264" s="26"/>
      <c r="FP264" s="26"/>
      <c r="FQ264" s="26"/>
      <c r="FR264" s="26"/>
      <c r="FS264" s="26"/>
      <c r="FT264" s="26"/>
      <c r="FU264" s="26"/>
      <c r="FV264" s="26"/>
      <c r="FW264" s="26"/>
      <c r="FX264" s="26"/>
      <c r="FY264" s="26"/>
      <c r="FZ264" s="26"/>
      <c r="GA264" s="26"/>
      <c r="GB264" s="26"/>
      <c r="GC264" s="26"/>
      <c r="GD264" s="26"/>
      <c r="GE264" s="26"/>
      <c r="GF264" s="26"/>
      <c r="GG264" s="26"/>
      <c r="GH264" s="26"/>
      <c r="GI264" s="26"/>
      <c r="GJ264" s="26"/>
      <c r="GK264" s="26"/>
      <c r="GL264" s="26"/>
      <c r="GM264" s="26"/>
      <c r="GN264" s="26"/>
      <c r="GO264" s="26"/>
      <c r="GP264" s="26"/>
      <c r="GQ264" s="26"/>
      <c r="GR264" s="26"/>
      <c r="GS264" s="26"/>
      <c r="GT264" s="26"/>
      <c r="GU264" s="26"/>
      <c r="GV264" s="26"/>
      <c r="GW264" s="26"/>
      <c r="GX264" s="26"/>
      <c r="GY264" s="26"/>
      <c r="GZ264" s="26"/>
      <c r="HA264" s="26"/>
      <c r="HB264" s="26"/>
      <c r="HC264" s="26"/>
      <c r="HD264" s="26"/>
      <c r="HE264" s="26"/>
      <c r="HF264" s="26"/>
      <c r="HG264" s="26"/>
      <c r="HH264" s="26"/>
    </row>
    <row r="265" spans="1:21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26"/>
      <c r="FB265" s="26"/>
      <c r="FC265" s="26"/>
      <c r="FD265" s="26"/>
      <c r="FE265" s="26"/>
      <c r="FF265" s="26"/>
      <c r="FG265" s="26"/>
      <c r="FH265" s="26"/>
      <c r="FI265" s="26"/>
      <c r="FJ265" s="26"/>
      <c r="FK265" s="26"/>
      <c r="FL265" s="26"/>
      <c r="FM265" s="26"/>
      <c r="FN265" s="26"/>
      <c r="FO265" s="26"/>
      <c r="FP265" s="26"/>
      <c r="FQ265" s="26"/>
      <c r="FR265" s="26"/>
      <c r="FS265" s="26"/>
      <c r="FT265" s="26"/>
      <c r="FU265" s="26"/>
      <c r="FV265" s="26"/>
      <c r="FW265" s="26"/>
      <c r="FX265" s="26"/>
      <c r="FY265" s="26"/>
      <c r="FZ265" s="26"/>
      <c r="GA265" s="26"/>
      <c r="GB265" s="26"/>
      <c r="GC265" s="26"/>
      <c r="GD265" s="26"/>
      <c r="GE265" s="26"/>
      <c r="GF265" s="26"/>
      <c r="GG265" s="26"/>
      <c r="GH265" s="26"/>
      <c r="GI265" s="26"/>
      <c r="GJ265" s="26"/>
      <c r="GK265" s="26"/>
      <c r="GL265" s="26"/>
      <c r="GM265" s="26"/>
      <c r="GN265" s="26"/>
      <c r="GO265" s="26"/>
      <c r="GP265" s="26"/>
      <c r="GQ265" s="26"/>
      <c r="GR265" s="26"/>
      <c r="GS265" s="26"/>
      <c r="GT265" s="26"/>
      <c r="GU265" s="26"/>
      <c r="GV265" s="26"/>
      <c r="GW265" s="26"/>
      <c r="GX265" s="26"/>
      <c r="GY265" s="26"/>
      <c r="GZ265" s="26"/>
      <c r="HA265" s="26"/>
      <c r="HB265" s="26"/>
      <c r="HC265" s="26"/>
      <c r="HD265" s="26"/>
      <c r="HE265" s="26"/>
      <c r="HF265" s="26"/>
      <c r="HG265" s="26"/>
      <c r="HH265" s="26"/>
    </row>
    <row r="266" spans="1:21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26"/>
      <c r="FB266" s="26"/>
      <c r="FC266" s="26"/>
      <c r="FD266" s="26"/>
      <c r="FE266" s="26"/>
      <c r="FF266" s="26"/>
      <c r="FG266" s="26"/>
      <c r="FH266" s="26"/>
      <c r="FI266" s="26"/>
      <c r="FJ266" s="26"/>
      <c r="FK266" s="26"/>
      <c r="FL266" s="26"/>
      <c r="FM266" s="26"/>
      <c r="FN266" s="26"/>
      <c r="FO266" s="26"/>
      <c r="FP266" s="26"/>
      <c r="FQ266" s="26"/>
      <c r="FR266" s="26"/>
      <c r="FS266" s="26"/>
      <c r="FT266" s="26"/>
      <c r="FU266" s="26"/>
      <c r="FV266" s="26"/>
      <c r="FW266" s="26"/>
      <c r="FX266" s="26"/>
      <c r="FY266" s="26"/>
      <c r="FZ266" s="26"/>
      <c r="GA266" s="26"/>
      <c r="GB266" s="26"/>
      <c r="GC266" s="26"/>
      <c r="GD266" s="26"/>
      <c r="GE266" s="26"/>
      <c r="GF266" s="26"/>
      <c r="GG266" s="26"/>
      <c r="GH266" s="26"/>
      <c r="GI266" s="26"/>
      <c r="GJ266" s="26"/>
      <c r="GK266" s="26"/>
      <c r="GL266" s="26"/>
      <c r="GM266" s="26"/>
      <c r="GN266" s="26"/>
      <c r="GO266" s="26"/>
      <c r="GP266" s="26"/>
      <c r="GQ266" s="26"/>
      <c r="GR266" s="26"/>
      <c r="GS266" s="26"/>
      <c r="GT266" s="26"/>
      <c r="GU266" s="26"/>
      <c r="GV266" s="26"/>
      <c r="GW266" s="26"/>
      <c r="GX266" s="26"/>
      <c r="GY266" s="26"/>
      <c r="GZ266" s="26"/>
      <c r="HA266" s="26"/>
      <c r="HB266" s="26"/>
      <c r="HC266" s="26"/>
      <c r="HD266" s="26"/>
      <c r="HE266" s="26"/>
      <c r="HF266" s="26"/>
      <c r="HG266" s="26"/>
      <c r="HH266" s="26"/>
    </row>
    <row r="267" spans="1:21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26"/>
      <c r="FB267" s="26"/>
      <c r="FC267" s="26"/>
      <c r="FD267" s="26"/>
      <c r="FE267" s="26"/>
      <c r="FF267" s="26"/>
      <c r="FG267" s="26"/>
      <c r="FH267" s="26"/>
      <c r="FI267" s="26"/>
      <c r="FJ267" s="26"/>
      <c r="FK267" s="26"/>
      <c r="FL267" s="26"/>
      <c r="FM267" s="26"/>
      <c r="FN267" s="26"/>
      <c r="FO267" s="26"/>
      <c r="FP267" s="26"/>
      <c r="FQ267" s="26"/>
      <c r="FR267" s="26"/>
      <c r="FS267" s="26"/>
      <c r="FT267" s="26"/>
      <c r="FU267" s="26"/>
      <c r="FV267" s="26"/>
      <c r="FW267" s="26"/>
      <c r="FX267" s="26"/>
      <c r="FY267" s="26"/>
      <c r="FZ267" s="26"/>
      <c r="GA267" s="26"/>
      <c r="GB267" s="26"/>
      <c r="GC267" s="26"/>
      <c r="GD267" s="26"/>
      <c r="GE267" s="26"/>
      <c r="GF267" s="26"/>
      <c r="GG267" s="26"/>
      <c r="GH267" s="26"/>
      <c r="GI267" s="26"/>
      <c r="GJ267" s="26"/>
      <c r="GK267" s="26"/>
      <c r="GL267" s="26"/>
      <c r="GM267" s="26"/>
      <c r="GN267" s="26"/>
      <c r="GO267" s="26"/>
      <c r="GP267" s="26"/>
      <c r="GQ267" s="26"/>
      <c r="GR267" s="26"/>
      <c r="GS267" s="26"/>
      <c r="GT267" s="26"/>
      <c r="GU267" s="26"/>
      <c r="GV267" s="26"/>
      <c r="GW267" s="26"/>
      <c r="GX267" s="26"/>
      <c r="GY267" s="26"/>
      <c r="GZ267" s="26"/>
      <c r="HA267" s="26"/>
      <c r="HB267" s="26"/>
      <c r="HC267" s="26"/>
      <c r="HD267" s="26"/>
      <c r="HE267" s="26"/>
      <c r="HF267" s="26"/>
      <c r="HG267" s="26"/>
      <c r="HH267" s="26"/>
    </row>
    <row r="268" spans="1:21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26"/>
      <c r="FB268" s="26"/>
      <c r="FC268" s="26"/>
      <c r="FD268" s="26"/>
      <c r="FE268" s="26"/>
      <c r="FF268" s="26"/>
      <c r="FG268" s="26"/>
      <c r="FH268" s="26"/>
      <c r="FI268" s="26"/>
      <c r="FJ268" s="26"/>
      <c r="FK268" s="26"/>
      <c r="FL268" s="26"/>
      <c r="FM268" s="26"/>
      <c r="FN268" s="26"/>
      <c r="FO268" s="26"/>
      <c r="FP268" s="26"/>
      <c r="FQ268" s="26"/>
      <c r="FR268" s="26"/>
      <c r="FS268" s="26"/>
      <c r="FT268" s="26"/>
      <c r="FU268" s="26"/>
      <c r="FV268" s="26"/>
      <c r="FW268" s="26"/>
      <c r="FX268" s="26"/>
      <c r="FY268" s="26"/>
      <c r="FZ268" s="26"/>
      <c r="GA268" s="26"/>
      <c r="GB268" s="26"/>
      <c r="GC268" s="26"/>
      <c r="GD268" s="26"/>
      <c r="GE268" s="26"/>
      <c r="GF268" s="26"/>
      <c r="GG268" s="26"/>
      <c r="GH268" s="26"/>
      <c r="GI268" s="26"/>
      <c r="GJ268" s="26"/>
      <c r="GK268" s="26"/>
      <c r="GL268" s="26"/>
      <c r="GM268" s="26"/>
      <c r="GN268" s="26"/>
      <c r="GO268" s="26"/>
      <c r="GP268" s="26"/>
      <c r="GQ268" s="26"/>
      <c r="GR268" s="26"/>
      <c r="GS268" s="26"/>
      <c r="GT268" s="26"/>
      <c r="GU268" s="26"/>
      <c r="GV268" s="26"/>
      <c r="GW268" s="26"/>
      <c r="GX268" s="26"/>
      <c r="GY268" s="26"/>
      <c r="GZ268" s="26"/>
      <c r="HA268" s="26"/>
      <c r="HB268" s="26"/>
      <c r="HC268" s="26"/>
      <c r="HD268" s="26"/>
      <c r="HE268" s="26"/>
      <c r="HF268" s="26"/>
      <c r="HG268" s="26"/>
      <c r="HH268" s="26"/>
    </row>
    <row r="269" spans="1:21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26"/>
      <c r="FB269" s="26"/>
      <c r="FC269" s="26"/>
      <c r="FD269" s="26"/>
      <c r="FE269" s="26"/>
      <c r="FF269" s="26"/>
      <c r="FG269" s="26"/>
      <c r="FH269" s="26"/>
      <c r="FI269" s="26"/>
      <c r="FJ269" s="26"/>
      <c r="FK269" s="26"/>
      <c r="FL269" s="26"/>
      <c r="FM269" s="26"/>
      <c r="FN269" s="26"/>
      <c r="FO269" s="26"/>
      <c r="FP269" s="26"/>
      <c r="FQ269" s="26"/>
      <c r="FR269" s="26"/>
      <c r="FS269" s="26"/>
      <c r="FT269" s="26"/>
      <c r="FU269" s="26"/>
      <c r="FV269" s="26"/>
      <c r="FW269" s="26"/>
      <c r="FX269" s="26"/>
      <c r="FY269" s="26"/>
      <c r="FZ269" s="26"/>
      <c r="GA269" s="26"/>
      <c r="GB269" s="26"/>
      <c r="GC269" s="26"/>
      <c r="GD269" s="26"/>
      <c r="GE269" s="26"/>
      <c r="GF269" s="26"/>
      <c r="GG269" s="26"/>
      <c r="GH269" s="26"/>
      <c r="GI269" s="26"/>
      <c r="GJ269" s="26"/>
      <c r="GK269" s="26"/>
      <c r="GL269" s="26"/>
      <c r="GM269" s="26"/>
      <c r="GN269" s="26"/>
      <c r="GO269" s="26"/>
      <c r="GP269" s="26"/>
      <c r="GQ269" s="26"/>
      <c r="GR269" s="26"/>
      <c r="GS269" s="26"/>
      <c r="GT269" s="26"/>
      <c r="GU269" s="26"/>
      <c r="GV269" s="26"/>
      <c r="GW269" s="26"/>
      <c r="GX269" s="26"/>
      <c r="GY269" s="26"/>
      <c r="GZ269" s="26"/>
      <c r="HA269" s="26"/>
      <c r="HB269" s="26"/>
      <c r="HC269" s="26"/>
      <c r="HD269" s="26"/>
      <c r="HE269" s="26"/>
      <c r="HF269" s="26"/>
      <c r="HG269" s="26"/>
      <c r="HH269" s="26"/>
    </row>
    <row r="270" spans="1:21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26"/>
      <c r="FB270" s="26"/>
      <c r="FC270" s="26"/>
      <c r="FD270" s="26"/>
      <c r="FE270" s="26"/>
      <c r="FF270" s="26"/>
      <c r="FG270" s="26"/>
      <c r="FH270" s="26"/>
      <c r="FI270" s="26"/>
      <c r="FJ270" s="26"/>
      <c r="FK270" s="26"/>
      <c r="FL270" s="26"/>
      <c r="FM270" s="26"/>
      <c r="FN270" s="26"/>
      <c r="FO270" s="26"/>
      <c r="FP270" s="26"/>
      <c r="FQ270" s="26"/>
      <c r="FR270" s="26"/>
      <c r="FS270" s="26"/>
      <c r="FT270" s="26"/>
      <c r="FU270" s="26"/>
      <c r="FV270" s="26"/>
      <c r="FW270" s="26"/>
      <c r="FX270" s="26"/>
      <c r="FY270" s="26"/>
      <c r="FZ270" s="26"/>
      <c r="GA270" s="26"/>
      <c r="GB270" s="26"/>
      <c r="GC270" s="26"/>
      <c r="GD270" s="26"/>
      <c r="GE270" s="26"/>
      <c r="GF270" s="26"/>
      <c r="GG270" s="26"/>
      <c r="GH270" s="26"/>
      <c r="GI270" s="26"/>
      <c r="GJ270" s="26"/>
      <c r="GK270" s="26"/>
      <c r="GL270" s="26"/>
      <c r="GM270" s="26"/>
      <c r="GN270" s="26"/>
      <c r="GO270" s="26"/>
      <c r="GP270" s="26"/>
      <c r="GQ270" s="26"/>
      <c r="GR270" s="26"/>
      <c r="GS270" s="26"/>
      <c r="GT270" s="26"/>
      <c r="GU270" s="26"/>
      <c r="GV270" s="26"/>
      <c r="GW270" s="26"/>
      <c r="GX270" s="26"/>
      <c r="GY270" s="26"/>
      <c r="GZ270" s="26"/>
      <c r="HA270" s="26"/>
      <c r="HB270" s="26"/>
      <c r="HC270" s="26"/>
      <c r="HD270" s="26"/>
      <c r="HE270" s="26"/>
      <c r="HF270" s="26"/>
      <c r="HG270" s="26"/>
      <c r="HH270" s="26"/>
    </row>
    <row r="271" spans="1:21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26"/>
      <c r="FB271" s="26"/>
      <c r="FC271" s="26"/>
      <c r="FD271" s="26"/>
      <c r="FE271" s="26"/>
      <c r="FF271" s="26"/>
      <c r="FG271" s="26"/>
      <c r="FH271" s="26"/>
      <c r="FI271" s="26"/>
      <c r="FJ271" s="26"/>
      <c r="FK271" s="26"/>
      <c r="FL271" s="26"/>
      <c r="FM271" s="26"/>
      <c r="FN271" s="26"/>
      <c r="FO271" s="26"/>
      <c r="FP271" s="26"/>
      <c r="FQ271" s="26"/>
      <c r="FR271" s="26"/>
      <c r="FS271" s="26"/>
      <c r="FT271" s="26"/>
      <c r="FU271" s="26"/>
      <c r="FV271" s="26"/>
      <c r="FW271" s="26"/>
      <c r="FX271" s="26"/>
      <c r="FY271" s="26"/>
      <c r="FZ271" s="26"/>
      <c r="GA271" s="26"/>
      <c r="GB271" s="26"/>
      <c r="GC271" s="26"/>
      <c r="GD271" s="26"/>
      <c r="GE271" s="26"/>
      <c r="GF271" s="26"/>
      <c r="GG271" s="26"/>
      <c r="GH271" s="26"/>
      <c r="GI271" s="26"/>
      <c r="GJ271" s="26"/>
      <c r="GK271" s="26"/>
      <c r="GL271" s="26"/>
      <c r="GM271" s="26"/>
      <c r="GN271" s="26"/>
      <c r="GO271" s="26"/>
      <c r="GP271" s="26"/>
      <c r="GQ271" s="26"/>
      <c r="GR271" s="26"/>
      <c r="GS271" s="26"/>
      <c r="GT271" s="26"/>
      <c r="GU271" s="26"/>
      <c r="GV271" s="26"/>
      <c r="GW271" s="26"/>
      <c r="GX271" s="26"/>
      <c r="GY271" s="26"/>
      <c r="GZ271" s="26"/>
      <c r="HA271" s="26"/>
      <c r="HB271" s="26"/>
      <c r="HC271" s="26"/>
      <c r="HD271" s="26"/>
      <c r="HE271" s="26"/>
      <c r="HF271" s="26"/>
      <c r="HG271" s="26"/>
      <c r="HH271" s="26"/>
    </row>
    <row r="272" spans="1:21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26"/>
      <c r="FB272" s="26"/>
      <c r="FC272" s="26"/>
      <c r="FD272" s="26"/>
      <c r="FE272" s="26"/>
      <c r="FF272" s="26"/>
      <c r="FG272" s="26"/>
      <c r="FH272" s="26"/>
      <c r="FI272" s="26"/>
      <c r="FJ272" s="26"/>
      <c r="FK272" s="26"/>
      <c r="FL272" s="26"/>
      <c r="FM272" s="26"/>
      <c r="FN272" s="26"/>
      <c r="FO272" s="26"/>
      <c r="FP272" s="26"/>
      <c r="FQ272" s="26"/>
      <c r="FR272" s="26"/>
      <c r="FS272" s="26"/>
      <c r="FT272" s="26"/>
      <c r="FU272" s="26"/>
      <c r="FV272" s="26"/>
      <c r="FW272" s="26"/>
      <c r="FX272" s="26"/>
      <c r="FY272" s="26"/>
      <c r="FZ272" s="26"/>
      <c r="GA272" s="26"/>
      <c r="GB272" s="26"/>
      <c r="GC272" s="26"/>
      <c r="GD272" s="26"/>
      <c r="GE272" s="26"/>
      <c r="GF272" s="26"/>
      <c r="GG272" s="26"/>
      <c r="GH272" s="26"/>
      <c r="GI272" s="26"/>
      <c r="GJ272" s="26"/>
      <c r="GK272" s="26"/>
      <c r="GL272" s="26"/>
      <c r="GM272" s="26"/>
      <c r="GN272" s="26"/>
      <c r="GO272" s="26"/>
      <c r="GP272" s="26"/>
      <c r="GQ272" s="26"/>
      <c r="GR272" s="26"/>
      <c r="GS272" s="26"/>
      <c r="GT272" s="26"/>
      <c r="GU272" s="26"/>
      <c r="GV272" s="26"/>
      <c r="GW272" s="26"/>
      <c r="GX272" s="26"/>
      <c r="GY272" s="26"/>
      <c r="GZ272" s="26"/>
      <c r="HA272" s="26"/>
      <c r="HB272" s="26"/>
      <c r="HC272" s="26"/>
      <c r="HD272" s="26"/>
      <c r="HE272" s="26"/>
      <c r="HF272" s="26"/>
      <c r="HG272" s="26"/>
      <c r="HH272" s="26"/>
    </row>
    <row r="273" spans="1:21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26"/>
      <c r="FB273" s="26"/>
      <c r="FC273" s="26"/>
      <c r="FD273" s="26"/>
      <c r="FE273" s="26"/>
      <c r="FF273" s="26"/>
      <c r="FG273" s="26"/>
      <c r="FH273" s="26"/>
      <c r="FI273" s="26"/>
      <c r="FJ273" s="26"/>
      <c r="FK273" s="26"/>
      <c r="FL273" s="26"/>
      <c r="FM273" s="26"/>
      <c r="FN273" s="26"/>
      <c r="FO273" s="26"/>
      <c r="FP273" s="26"/>
      <c r="FQ273" s="26"/>
      <c r="FR273" s="26"/>
      <c r="FS273" s="26"/>
      <c r="FT273" s="26"/>
      <c r="FU273" s="26"/>
      <c r="FV273" s="26"/>
      <c r="FW273" s="26"/>
      <c r="FX273" s="26"/>
      <c r="FY273" s="26"/>
      <c r="FZ273" s="26"/>
      <c r="GA273" s="26"/>
      <c r="GB273" s="26"/>
      <c r="GC273" s="26"/>
      <c r="GD273" s="26"/>
      <c r="GE273" s="26"/>
      <c r="GF273" s="26"/>
      <c r="GG273" s="26"/>
      <c r="GH273" s="26"/>
      <c r="GI273" s="26"/>
      <c r="GJ273" s="26"/>
      <c r="GK273" s="26"/>
      <c r="GL273" s="26"/>
      <c r="GM273" s="26"/>
      <c r="GN273" s="26"/>
      <c r="GO273" s="26"/>
      <c r="GP273" s="26"/>
      <c r="GQ273" s="26"/>
      <c r="GR273" s="26"/>
      <c r="GS273" s="26"/>
      <c r="GT273" s="26"/>
      <c r="GU273" s="26"/>
      <c r="GV273" s="26"/>
      <c r="GW273" s="26"/>
      <c r="GX273" s="26"/>
      <c r="GY273" s="26"/>
      <c r="GZ273" s="26"/>
      <c r="HA273" s="26"/>
      <c r="HB273" s="26"/>
      <c r="HC273" s="26"/>
      <c r="HD273" s="26"/>
      <c r="HE273" s="26"/>
      <c r="HF273" s="26"/>
      <c r="HG273" s="26"/>
      <c r="HH273" s="26"/>
    </row>
    <row r="274" spans="1:21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26"/>
      <c r="FB274" s="26"/>
      <c r="FC274" s="26"/>
      <c r="FD274" s="26"/>
      <c r="FE274" s="26"/>
      <c r="FF274" s="26"/>
      <c r="FG274" s="26"/>
      <c r="FH274" s="26"/>
      <c r="FI274" s="26"/>
      <c r="FJ274" s="26"/>
      <c r="FK274" s="26"/>
      <c r="FL274" s="26"/>
      <c r="FM274" s="26"/>
      <c r="FN274" s="26"/>
      <c r="FO274" s="26"/>
      <c r="FP274" s="26"/>
      <c r="FQ274" s="26"/>
      <c r="FR274" s="26"/>
      <c r="FS274" s="26"/>
      <c r="FT274" s="26"/>
      <c r="FU274" s="26"/>
      <c r="FV274" s="26"/>
      <c r="FW274" s="26"/>
      <c r="FX274" s="26"/>
      <c r="FY274" s="26"/>
      <c r="FZ274" s="26"/>
      <c r="GA274" s="26"/>
      <c r="GB274" s="26"/>
      <c r="GC274" s="26"/>
      <c r="GD274" s="26"/>
      <c r="GE274" s="26"/>
      <c r="GF274" s="26"/>
      <c r="GG274" s="26"/>
      <c r="GH274" s="26"/>
      <c r="GI274" s="26"/>
      <c r="GJ274" s="26"/>
      <c r="GK274" s="26"/>
      <c r="GL274" s="26"/>
      <c r="GM274" s="26"/>
      <c r="GN274" s="26"/>
      <c r="GO274" s="26"/>
      <c r="GP274" s="26"/>
      <c r="GQ274" s="26"/>
      <c r="GR274" s="26"/>
      <c r="GS274" s="26"/>
      <c r="GT274" s="26"/>
      <c r="GU274" s="26"/>
      <c r="GV274" s="26"/>
      <c r="GW274" s="26"/>
      <c r="GX274" s="26"/>
      <c r="GY274" s="26"/>
      <c r="GZ274" s="26"/>
      <c r="HA274" s="26"/>
      <c r="HB274" s="26"/>
      <c r="HC274" s="26"/>
      <c r="HD274" s="26"/>
      <c r="HE274" s="26"/>
      <c r="HF274" s="26"/>
      <c r="HG274" s="26"/>
      <c r="HH274" s="26"/>
    </row>
    <row r="275" spans="1:21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26"/>
      <c r="FB275" s="26"/>
      <c r="FC275" s="26"/>
      <c r="FD275" s="26"/>
      <c r="FE275" s="26"/>
      <c r="FF275" s="26"/>
      <c r="FG275" s="26"/>
      <c r="FH275" s="26"/>
      <c r="FI275" s="26"/>
      <c r="FJ275" s="26"/>
      <c r="FK275" s="26"/>
      <c r="FL275" s="26"/>
      <c r="FM275" s="26"/>
      <c r="FN275" s="26"/>
      <c r="FO275" s="26"/>
      <c r="FP275" s="26"/>
      <c r="FQ275" s="26"/>
      <c r="FR275" s="26"/>
      <c r="FS275" s="26"/>
      <c r="FT275" s="26"/>
      <c r="FU275" s="26"/>
      <c r="FV275" s="26"/>
      <c r="FW275" s="26"/>
      <c r="FX275" s="26"/>
      <c r="FY275" s="26"/>
      <c r="FZ275" s="26"/>
      <c r="GA275" s="26"/>
      <c r="GB275" s="26"/>
      <c r="GC275" s="26"/>
      <c r="GD275" s="26"/>
      <c r="GE275" s="26"/>
      <c r="GF275" s="26"/>
      <c r="GG275" s="26"/>
      <c r="GH275" s="26"/>
      <c r="GI275" s="26"/>
      <c r="GJ275" s="26"/>
      <c r="GK275" s="26"/>
      <c r="GL275" s="26"/>
      <c r="GM275" s="26"/>
      <c r="GN275" s="26"/>
      <c r="GO275" s="26"/>
      <c r="GP275" s="26"/>
      <c r="GQ275" s="26"/>
      <c r="GR275" s="26"/>
      <c r="GS275" s="26"/>
      <c r="GT275" s="26"/>
      <c r="GU275" s="26"/>
      <c r="GV275" s="26"/>
      <c r="GW275" s="26"/>
      <c r="GX275" s="26"/>
      <c r="GY275" s="26"/>
      <c r="GZ275" s="26"/>
      <c r="HA275" s="26"/>
      <c r="HB275" s="26"/>
      <c r="HC275" s="26"/>
      <c r="HD275" s="26"/>
      <c r="HE275" s="26"/>
      <c r="HF275" s="26"/>
      <c r="HG275" s="26"/>
      <c r="HH275" s="26"/>
    </row>
    <row r="276" spans="1:21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26"/>
      <c r="FB276" s="26"/>
      <c r="FC276" s="26"/>
      <c r="FD276" s="26"/>
      <c r="FE276" s="26"/>
      <c r="FF276" s="26"/>
      <c r="FG276" s="26"/>
      <c r="FH276" s="26"/>
      <c r="FI276" s="26"/>
      <c r="FJ276" s="26"/>
      <c r="FK276" s="26"/>
      <c r="FL276" s="26"/>
      <c r="FM276" s="26"/>
      <c r="FN276" s="26"/>
      <c r="FO276" s="26"/>
      <c r="FP276" s="26"/>
      <c r="FQ276" s="26"/>
      <c r="FR276" s="26"/>
      <c r="FS276" s="26"/>
      <c r="FT276" s="26"/>
      <c r="FU276" s="26"/>
      <c r="FV276" s="26"/>
      <c r="FW276" s="26"/>
      <c r="FX276" s="26"/>
      <c r="FY276" s="26"/>
      <c r="FZ276" s="26"/>
      <c r="GA276" s="26"/>
      <c r="GB276" s="26"/>
      <c r="GC276" s="26"/>
      <c r="GD276" s="26"/>
      <c r="GE276" s="26"/>
      <c r="GF276" s="26"/>
      <c r="GG276" s="26"/>
      <c r="GH276" s="26"/>
      <c r="GI276" s="26"/>
      <c r="GJ276" s="26"/>
      <c r="GK276" s="26"/>
      <c r="GL276" s="26"/>
      <c r="GM276" s="26"/>
      <c r="GN276" s="26"/>
      <c r="GO276" s="26"/>
      <c r="GP276" s="26"/>
      <c r="GQ276" s="26"/>
      <c r="GR276" s="26"/>
      <c r="GS276" s="26"/>
      <c r="GT276" s="26"/>
      <c r="GU276" s="26"/>
      <c r="GV276" s="26"/>
      <c r="GW276" s="26"/>
      <c r="GX276" s="26"/>
      <c r="GY276" s="26"/>
      <c r="GZ276" s="26"/>
      <c r="HA276" s="26"/>
      <c r="HB276" s="26"/>
      <c r="HC276" s="26"/>
      <c r="HD276" s="26"/>
      <c r="HE276" s="26"/>
      <c r="HF276" s="26"/>
      <c r="HG276" s="26"/>
      <c r="HH276" s="26"/>
    </row>
    <row r="277" spans="1:21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26"/>
      <c r="FB277" s="26"/>
      <c r="FC277" s="26"/>
      <c r="FD277" s="26"/>
      <c r="FE277" s="26"/>
      <c r="FF277" s="26"/>
      <c r="FG277" s="26"/>
      <c r="FH277" s="26"/>
      <c r="FI277" s="26"/>
      <c r="FJ277" s="26"/>
      <c r="FK277" s="26"/>
      <c r="FL277" s="26"/>
      <c r="FM277" s="26"/>
      <c r="FN277" s="26"/>
      <c r="FO277" s="26"/>
      <c r="FP277" s="26"/>
      <c r="FQ277" s="26"/>
      <c r="FR277" s="26"/>
      <c r="FS277" s="26"/>
      <c r="FT277" s="26"/>
      <c r="FU277" s="26"/>
      <c r="FV277" s="26"/>
      <c r="FW277" s="26"/>
      <c r="FX277" s="26"/>
      <c r="FY277" s="26"/>
      <c r="FZ277" s="26"/>
      <c r="GA277" s="26"/>
      <c r="GB277" s="26"/>
      <c r="GC277" s="26"/>
      <c r="GD277" s="26"/>
      <c r="GE277" s="26"/>
      <c r="GF277" s="26"/>
      <c r="GG277" s="26"/>
      <c r="GH277" s="26"/>
      <c r="GI277" s="26"/>
      <c r="GJ277" s="26"/>
      <c r="GK277" s="26"/>
      <c r="GL277" s="26"/>
      <c r="GM277" s="26"/>
      <c r="GN277" s="26"/>
      <c r="GO277" s="26"/>
      <c r="GP277" s="26"/>
      <c r="GQ277" s="26"/>
      <c r="GR277" s="26"/>
      <c r="GS277" s="26"/>
      <c r="GT277" s="26"/>
      <c r="GU277" s="26"/>
      <c r="GV277" s="26"/>
      <c r="GW277" s="26"/>
      <c r="GX277" s="26"/>
      <c r="GY277" s="26"/>
      <c r="GZ277" s="26"/>
      <c r="HA277" s="26"/>
      <c r="HB277" s="26"/>
      <c r="HC277" s="26"/>
      <c r="HD277" s="26"/>
      <c r="HE277" s="26"/>
      <c r="HF277" s="26"/>
      <c r="HG277" s="26"/>
      <c r="HH277" s="26"/>
    </row>
    <row r="278" spans="1:21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26"/>
      <c r="FC278" s="26"/>
      <c r="FD278" s="26"/>
      <c r="FE278" s="26"/>
      <c r="FF278" s="26"/>
      <c r="FG278" s="26"/>
      <c r="FH278" s="26"/>
      <c r="FI278" s="26"/>
      <c r="FJ278" s="26"/>
      <c r="FK278" s="26"/>
      <c r="FL278" s="26"/>
      <c r="FM278" s="26"/>
      <c r="FN278" s="26"/>
      <c r="FO278" s="26"/>
      <c r="FP278" s="26"/>
      <c r="FQ278" s="26"/>
      <c r="FR278" s="26"/>
      <c r="FS278" s="26"/>
      <c r="FT278" s="26"/>
      <c r="FU278" s="26"/>
      <c r="FV278" s="26"/>
      <c r="FW278" s="26"/>
      <c r="FX278" s="26"/>
      <c r="FY278" s="26"/>
      <c r="FZ278" s="26"/>
      <c r="GA278" s="26"/>
      <c r="GB278" s="26"/>
      <c r="GC278" s="26"/>
      <c r="GD278" s="26"/>
      <c r="GE278" s="26"/>
      <c r="GF278" s="26"/>
      <c r="GG278" s="26"/>
      <c r="GH278" s="26"/>
      <c r="GI278" s="26"/>
      <c r="GJ278" s="26"/>
      <c r="GK278" s="26"/>
      <c r="GL278" s="26"/>
      <c r="GM278" s="26"/>
      <c r="GN278" s="26"/>
      <c r="GO278" s="26"/>
      <c r="GP278" s="26"/>
      <c r="GQ278" s="26"/>
      <c r="GR278" s="26"/>
      <c r="GS278" s="26"/>
      <c r="GT278" s="26"/>
      <c r="GU278" s="26"/>
      <c r="GV278" s="26"/>
      <c r="GW278" s="26"/>
      <c r="GX278" s="26"/>
      <c r="GY278" s="26"/>
      <c r="GZ278" s="26"/>
      <c r="HA278" s="26"/>
      <c r="HB278" s="26"/>
      <c r="HC278" s="26"/>
      <c r="HD278" s="26"/>
      <c r="HE278" s="26"/>
      <c r="HF278" s="26"/>
      <c r="HG278" s="26"/>
      <c r="HH278" s="26"/>
    </row>
    <row r="279" spans="1:21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26"/>
      <c r="FB279" s="26"/>
      <c r="FC279" s="26"/>
      <c r="FD279" s="26"/>
      <c r="FE279" s="26"/>
      <c r="FF279" s="26"/>
      <c r="FG279" s="26"/>
      <c r="FH279" s="26"/>
      <c r="FI279" s="26"/>
      <c r="FJ279" s="26"/>
      <c r="FK279" s="26"/>
      <c r="FL279" s="26"/>
      <c r="FM279" s="26"/>
      <c r="FN279" s="26"/>
      <c r="FO279" s="26"/>
      <c r="FP279" s="26"/>
      <c r="FQ279" s="26"/>
      <c r="FR279" s="26"/>
      <c r="FS279" s="26"/>
      <c r="FT279" s="26"/>
      <c r="FU279" s="26"/>
      <c r="FV279" s="26"/>
      <c r="FW279" s="26"/>
      <c r="FX279" s="26"/>
      <c r="FY279" s="26"/>
      <c r="FZ279" s="26"/>
      <c r="GA279" s="26"/>
      <c r="GB279" s="26"/>
      <c r="GC279" s="26"/>
      <c r="GD279" s="26"/>
      <c r="GE279" s="26"/>
      <c r="GF279" s="26"/>
      <c r="GG279" s="26"/>
      <c r="GH279" s="26"/>
      <c r="GI279" s="26"/>
      <c r="GJ279" s="26"/>
      <c r="GK279" s="26"/>
      <c r="GL279" s="26"/>
      <c r="GM279" s="26"/>
      <c r="GN279" s="26"/>
      <c r="GO279" s="26"/>
      <c r="GP279" s="26"/>
      <c r="GQ279" s="26"/>
      <c r="GR279" s="26"/>
      <c r="GS279" s="26"/>
      <c r="GT279" s="26"/>
      <c r="GU279" s="26"/>
      <c r="GV279" s="26"/>
      <c r="GW279" s="26"/>
      <c r="GX279" s="26"/>
      <c r="GY279" s="26"/>
      <c r="GZ279" s="26"/>
      <c r="HA279" s="26"/>
      <c r="HB279" s="26"/>
      <c r="HC279" s="26"/>
      <c r="HD279" s="26"/>
      <c r="HE279" s="26"/>
      <c r="HF279" s="26"/>
      <c r="HG279" s="26"/>
      <c r="HH279" s="26"/>
    </row>
    <row r="280" spans="1:21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26"/>
      <c r="FB280" s="26"/>
      <c r="FC280" s="26"/>
      <c r="FD280" s="26"/>
      <c r="FE280" s="26"/>
      <c r="FF280" s="26"/>
      <c r="FG280" s="26"/>
      <c r="FH280" s="26"/>
      <c r="FI280" s="26"/>
      <c r="FJ280" s="26"/>
      <c r="FK280" s="26"/>
      <c r="FL280" s="26"/>
      <c r="FM280" s="26"/>
      <c r="FN280" s="26"/>
      <c r="FO280" s="26"/>
      <c r="FP280" s="26"/>
      <c r="FQ280" s="26"/>
      <c r="FR280" s="26"/>
      <c r="FS280" s="26"/>
      <c r="FT280" s="26"/>
      <c r="FU280" s="26"/>
      <c r="FV280" s="26"/>
      <c r="FW280" s="26"/>
      <c r="FX280" s="26"/>
      <c r="FY280" s="26"/>
      <c r="FZ280" s="26"/>
      <c r="GA280" s="26"/>
      <c r="GB280" s="26"/>
      <c r="GC280" s="26"/>
      <c r="GD280" s="26"/>
      <c r="GE280" s="26"/>
      <c r="GF280" s="26"/>
      <c r="GG280" s="26"/>
      <c r="GH280" s="26"/>
      <c r="GI280" s="26"/>
      <c r="GJ280" s="26"/>
      <c r="GK280" s="26"/>
      <c r="GL280" s="26"/>
      <c r="GM280" s="26"/>
      <c r="GN280" s="26"/>
      <c r="GO280" s="26"/>
      <c r="GP280" s="26"/>
      <c r="GQ280" s="26"/>
      <c r="GR280" s="26"/>
      <c r="GS280" s="26"/>
      <c r="GT280" s="26"/>
      <c r="GU280" s="26"/>
      <c r="GV280" s="26"/>
      <c r="GW280" s="26"/>
      <c r="GX280" s="26"/>
      <c r="GY280" s="26"/>
      <c r="GZ280" s="26"/>
      <c r="HA280" s="26"/>
      <c r="HB280" s="26"/>
      <c r="HC280" s="26"/>
      <c r="HD280" s="26"/>
      <c r="HE280" s="26"/>
      <c r="HF280" s="26"/>
      <c r="HG280" s="26"/>
      <c r="HH280" s="26"/>
    </row>
    <row r="281" spans="1:21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26"/>
      <c r="FB281" s="26"/>
      <c r="FC281" s="26"/>
      <c r="FD281" s="26"/>
      <c r="FE281" s="26"/>
      <c r="FF281" s="26"/>
      <c r="FG281" s="26"/>
      <c r="FH281" s="26"/>
      <c r="FI281" s="26"/>
      <c r="FJ281" s="26"/>
      <c r="FK281" s="26"/>
      <c r="FL281" s="26"/>
      <c r="FM281" s="26"/>
      <c r="FN281" s="26"/>
      <c r="FO281" s="26"/>
      <c r="FP281" s="26"/>
      <c r="FQ281" s="26"/>
      <c r="FR281" s="26"/>
      <c r="FS281" s="26"/>
      <c r="FT281" s="26"/>
      <c r="FU281" s="26"/>
      <c r="FV281" s="26"/>
      <c r="FW281" s="26"/>
      <c r="FX281" s="26"/>
      <c r="FY281" s="26"/>
      <c r="FZ281" s="26"/>
      <c r="GA281" s="26"/>
      <c r="GB281" s="26"/>
      <c r="GC281" s="26"/>
      <c r="GD281" s="26"/>
      <c r="GE281" s="26"/>
      <c r="GF281" s="26"/>
      <c r="GG281" s="26"/>
      <c r="GH281" s="26"/>
      <c r="GI281" s="26"/>
      <c r="GJ281" s="26"/>
      <c r="GK281" s="26"/>
      <c r="GL281" s="26"/>
      <c r="GM281" s="26"/>
      <c r="GN281" s="26"/>
      <c r="GO281" s="26"/>
      <c r="GP281" s="26"/>
      <c r="GQ281" s="26"/>
      <c r="GR281" s="26"/>
      <c r="GS281" s="26"/>
      <c r="GT281" s="26"/>
      <c r="GU281" s="26"/>
      <c r="GV281" s="26"/>
      <c r="GW281" s="26"/>
      <c r="GX281" s="26"/>
      <c r="GY281" s="26"/>
      <c r="GZ281" s="26"/>
      <c r="HA281" s="26"/>
      <c r="HB281" s="26"/>
      <c r="HC281" s="26"/>
      <c r="HD281" s="26"/>
      <c r="HE281" s="26"/>
      <c r="HF281" s="26"/>
      <c r="HG281" s="26"/>
      <c r="HH281" s="26"/>
    </row>
    <row r="282" spans="1:21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26"/>
      <c r="FB282" s="26"/>
      <c r="FC282" s="26"/>
      <c r="FD282" s="26"/>
      <c r="FE282" s="26"/>
      <c r="FF282" s="26"/>
      <c r="FG282" s="26"/>
      <c r="FH282" s="26"/>
      <c r="FI282" s="26"/>
      <c r="FJ282" s="26"/>
      <c r="FK282" s="26"/>
      <c r="FL282" s="26"/>
      <c r="FM282" s="26"/>
      <c r="FN282" s="26"/>
      <c r="FO282" s="26"/>
      <c r="FP282" s="26"/>
      <c r="FQ282" s="26"/>
      <c r="FR282" s="26"/>
      <c r="FS282" s="26"/>
      <c r="FT282" s="26"/>
      <c r="FU282" s="26"/>
      <c r="FV282" s="26"/>
      <c r="FW282" s="26"/>
      <c r="FX282" s="26"/>
      <c r="FY282" s="26"/>
      <c r="FZ282" s="26"/>
      <c r="GA282" s="26"/>
      <c r="GB282" s="26"/>
      <c r="GC282" s="26"/>
      <c r="GD282" s="26"/>
      <c r="GE282" s="26"/>
      <c r="GF282" s="26"/>
      <c r="GG282" s="26"/>
      <c r="GH282" s="26"/>
      <c r="GI282" s="26"/>
      <c r="GJ282" s="26"/>
      <c r="GK282" s="26"/>
      <c r="GL282" s="26"/>
      <c r="GM282" s="26"/>
      <c r="GN282" s="26"/>
      <c r="GO282" s="26"/>
      <c r="GP282" s="26"/>
      <c r="GQ282" s="26"/>
      <c r="GR282" s="26"/>
      <c r="GS282" s="26"/>
      <c r="GT282" s="26"/>
      <c r="GU282" s="26"/>
      <c r="GV282" s="26"/>
      <c r="GW282" s="26"/>
      <c r="GX282" s="26"/>
      <c r="GY282" s="26"/>
      <c r="GZ282" s="26"/>
      <c r="HA282" s="26"/>
      <c r="HB282" s="26"/>
      <c r="HC282" s="26"/>
      <c r="HD282" s="26"/>
      <c r="HE282" s="26"/>
      <c r="HF282" s="26"/>
      <c r="HG282" s="26"/>
      <c r="HH282" s="26"/>
    </row>
    <row r="283" spans="1:21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26"/>
      <c r="FB283" s="26"/>
      <c r="FC283" s="26"/>
      <c r="FD283" s="26"/>
      <c r="FE283" s="26"/>
      <c r="FF283" s="26"/>
      <c r="FG283" s="26"/>
      <c r="FH283" s="26"/>
      <c r="FI283" s="26"/>
      <c r="FJ283" s="26"/>
      <c r="FK283" s="26"/>
      <c r="FL283" s="26"/>
      <c r="FM283" s="26"/>
      <c r="FN283" s="26"/>
      <c r="FO283" s="26"/>
      <c r="FP283" s="26"/>
      <c r="FQ283" s="26"/>
      <c r="FR283" s="26"/>
      <c r="FS283" s="26"/>
      <c r="FT283" s="26"/>
      <c r="FU283" s="26"/>
      <c r="FV283" s="26"/>
      <c r="FW283" s="26"/>
      <c r="FX283" s="26"/>
      <c r="FY283" s="26"/>
      <c r="FZ283" s="26"/>
      <c r="GA283" s="26"/>
      <c r="GB283" s="26"/>
      <c r="GC283" s="26"/>
      <c r="GD283" s="26"/>
      <c r="GE283" s="26"/>
      <c r="GF283" s="26"/>
      <c r="GG283" s="26"/>
      <c r="GH283" s="26"/>
      <c r="GI283" s="26"/>
      <c r="GJ283" s="26"/>
      <c r="GK283" s="26"/>
      <c r="GL283" s="26"/>
      <c r="GM283" s="26"/>
      <c r="GN283" s="26"/>
      <c r="GO283" s="26"/>
      <c r="GP283" s="26"/>
      <c r="GQ283" s="26"/>
      <c r="GR283" s="26"/>
      <c r="GS283" s="26"/>
      <c r="GT283" s="26"/>
      <c r="GU283" s="26"/>
      <c r="GV283" s="26"/>
      <c r="GW283" s="26"/>
      <c r="GX283" s="26"/>
      <c r="GY283" s="26"/>
      <c r="GZ283" s="26"/>
      <c r="HA283" s="26"/>
      <c r="HB283" s="26"/>
      <c r="HC283" s="26"/>
      <c r="HD283" s="26"/>
      <c r="HE283" s="26"/>
      <c r="HF283" s="26"/>
      <c r="HG283" s="26"/>
      <c r="HH283" s="26"/>
    </row>
    <row r="284" spans="1:21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26"/>
      <c r="FB284" s="26"/>
      <c r="FC284" s="26"/>
      <c r="FD284" s="26"/>
      <c r="FE284" s="26"/>
      <c r="FF284" s="26"/>
      <c r="FG284" s="26"/>
      <c r="FH284" s="26"/>
      <c r="FI284" s="26"/>
      <c r="FJ284" s="26"/>
      <c r="FK284" s="26"/>
      <c r="FL284" s="26"/>
      <c r="FM284" s="26"/>
      <c r="FN284" s="26"/>
      <c r="FO284" s="26"/>
      <c r="FP284" s="26"/>
      <c r="FQ284" s="26"/>
      <c r="FR284" s="26"/>
      <c r="FS284" s="26"/>
      <c r="FT284" s="26"/>
      <c r="FU284" s="26"/>
      <c r="FV284" s="26"/>
      <c r="FW284" s="26"/>
      <c r="FX284" s="26"/>
      <c r="FY284" s="26"/>
      <c r="FZ284" s="26"/>
      <c r="GA284" s="26"/>
      <c r="GB284" s="26"/>
      <c r="GC284" s="26"/>
      <c r="GD284" s="26"/>
      <c r="GE284" s="26"/>
      <c r="GF284" s="26"/>
      <c r="GG284" s="26"/>
      <c r="GH284" s="26"/>
      <c r="GI284" s="26"/>
      <c r="GJ284" s="26"/>
      <c r="GK284" s="26"/>
      <c r="GL284" s="26"/>
      <c r="GM284" s="26"/>
      <c r="GN284" s="26"/>
      <c r="GO284" s="26"/>
      <c r="GP284" s="26"/>
      <c r="GQ284" s="26"/>
      <c r="GR284" s="26"/>
      <c r="GS284" s="26"/>
      <c r="GT284" s="26"/>
      <c r="GU284" s="26"/>
      <c r="GV284" s="26"/>
      <c r="GW284" s="26"/>
      <c r="GX284" s="26"/>
      <c r="GY284" s="26"/>
      <c r="GZ284" s="26"/>
      <c r="HA284" s="26"/>
      <c r="HB284" s="26"/>
      <c r="HC284" s="26"/>
      <c r="HD284" s="26"/>
      <c r="HE284" s="26"/>
      <c r="HF284" s="26"/>
      <c r="HG284" s="26"/>
      <c r="HH284" s="26"/>
    </row>
    <row r="285" spans="1:21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26"/>
      <c r="FB285" s="26"/>
      <c r="FC285" s="26"/>
      <c r="FD285" s="26"/>
      <c r="FE285" s="26"/>
      <c r="FF285" s="26"/>
      <c r="FG285" s="26"/>
      <c r="FH285" s="26"/>
      <c r="FI285" s="26"/>
      <c r="FJ285" s="26"/>
      <c r="FK285" s="26"/>
      <c r="FL285" s="26"/>
      <c r="FM285" s="26"/>
      <c r="FN285" s="26"/>
      <c r="FO285" s="26"/>
      <c r="FP285" s="26"/>
      <c r="FQ285" s="26"/>
      <c r="FR285" s="26"/>
      <c r="FS285" s="26"/>
      <c r="FT285" s="26"/>
      <c r="FU285" s="26"/>
      <c r="FV285" s="26"/>
      <c r="FW285" s="26"/>
      <c r="FX285" s="26"/>
      <c r="FY285" s="26"/>
      <c r="FZ285" s="26"/>
      <c r="GA285" s="26"/>
      <c r="GB285" s="26"/>
      <c r="GC285" s="26"/>
      <c r="GD285" s="26"/>
      <c r="GE285" s="26"/>
      <c r="GF285" s="26"/>
      <c r="GG285" s="26"/>
      <c r="GH285" s="26"/>
      <c r="GI285" s="26"/>
      <c r="GJ285" s="26"/>
      <c r="GK285" s="26"/>
      <c r="GL285" s="26"/>
      <c r="GM285" s="26"/>
      <c r="GN285" s="26"/>
      <c r="GO285" s="26"/>
      <c r="GP285" s="26"/>
      <c r="GQ285" s="26"/>
      <c r="GR285" s="26"/>
      <c r="GS285" s="26"/>
      <c r="GT285" s="26"/>
      <c r="GU285" s="26"/>
      <c r="GV285" s="26"/>
      <c r="GW285" s="26"/>
      <c r="GX285" s="26"/>
      <c r="GY285" s="26"/>
      <c r="GZ285" s="26"/>
      <c r="HA285" s="26"/>
      <c r="HB285" s="26"/>
      <c r="HC285" s="26"/>
      <c r="HD285" s="26"/>
      <c r="HE285" s="26"/>
      <c r="HF285" s="26"/>
      <c r="HG285" s="26"/>
      <c r="HH285" s="26"/>
    </row>
    <row r="286" spans="1:21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26"/>
      <c r="FB286" s="26"/>
      <c r="FC286" s="26"/>
      <c r="FD286" s="26"/>
      <c r="FE286" s="26"/>
      <c r="FF286" s="26"/>
      <c r="FG286" s="26"/>
      <c r="FH286" s="26"/>
      <c r="FI286" s="26"/>
      <c r="FJ286" s="26"/>
      <c r="FK286" s="26"/>
      <c r="FL286" s="26"/>
      <c r="FM286" s="26"/>
      <c r="FN286" s="26"/>
      <c r="FO286" s="26"/>
      <c r="FP286" s="26"/>
      <c r="FQ286" s="26"/>
      <c r="FR286" s="26"/>
      <c r="FS286" s="26"/>
      <c r="FT286" s="26"/>
      <c r="FU286" s="26"/>
      <c r="FV286" s="26"/>
      <c r="FW286" s="26"/>
      <c r="FX286" s="26"/>
      <c r="FY286" s="26"/>
      <c r="FZ286" s="26"/>
      <c r="GA286" s="26"/>
      <c r="GB286" s="26"/>
      <c r="GC286" s="26"/>
      <c r="GD286" s="26"/>
      <c r="GE286" s="26"/>
      <c r="GF286" s="26"/>
      <c r="GG286" s="26"/>
      <c r="GH286" s="26"/>
      <c r="GI286" s="26"/>
      <c r="GJ286" s="26"/>
      <c r="GK286" s="26"/>
      <c r="GL286" s="26"/>
      <c r="GM286" s="26"/>
      <c r="GN286" s="26"/>
      <c r="GO286" s="26"/>
      <c r="GP286" s="26"/>
      <c r="GQ286" s="26"/>
      <c r="GR286" s="26"/>
      <c r="GS286" s="26"/>
      <c r="GT286" s="26"/>
      <c r="GU286" s="26"/>
      <c r="GV286" s="26"/>
      <c r="GW286" s="26"/>
      <c r="GX286" s="26"/>
      <c r="GY286" s="26"/>
      <c r="GZ286" s="26"/>
      <c r="HA286" s="26"/>
      <c r="HB286" s="26"/>
      <c r="HC286" s="26"/>
      <c r="HD286" s="26"/>
      <c r="HE286" s="26"/>
      <c r="HF286" s="26"/>
      <c r="HG286" s="26"/>
      <c r="HH286" s="26"/>
    </row>
    <row r="287" spans="1:21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26"/>
      <c r="FB287" s="26"/>
      <c r="FC287" s="26"/>
      <c r="FD287" s="26"/>
      <c r="FE287" s="26"/>
      <c r="FF287" s="26"/>
      <c r="FG287" s="26"/>
      <c r="FH287" s="26"/>
      <c r="FI287" s="26"/>
      <c r="FJ287" s="26"/>
      <c r="FK287" s="26"/>
      <c r="FL287" s="26"/>
      <c r="FM287" s="26"/>
      <c r="FN287" s="26"/>
      <c r="FO287" s="26"/>
      <c r="FP287" s="26"/>
      <c r="FQ287" s="26"/>
      <c r="FR287" s="26"/>
      <c r="FS287" s="26"/>
      <c r="FT287" s="26"/>
      <c r="FU287" s="26"/>
      <c r="FV287" s="26"/>
      <c r="FW287" s="26"/>
      <c r="FX287" s="26"/>
      <c r="FY287" s="26"/>
      <c r="FZ287" s="26"/>
      <c r="GA287" s="26"/>
      <c r="GB287" s="26"/>
      <c r="GC287" s="26"/>
      <c r="GD287" s="26"/>
      <c r="GE287" s="26"/>
      <c r="GF287" s="26"/>
      <c r="GG287" s="26"/>
      <c r="GH287" s="26"/>
      <c r="GI287" s="26"/>
      <c r="GJ287" s="26"/>
      <c r="GK287" s="26"/>
      <c r="GL287" s="26"/>
      <c r="GM287" s="26"/>
      <c r="GN287" s="26"/>
      <c r="GO287" s="26"/>
      <c r="GP287" s="26"/>
      <c r="GQ287" s="26"/>
      <c r="GR287" s="26"/>
      <c r="GS287" s="26"/>
      <c r="GT287" s="26"/>
      <c r="GU287" s="26"/>
      <c r="GV287" s="26"/>
      <c r="GW287" s="26"/>
      <c r="GX287" s="26"/>
      <c r="GY287" s="26"/>
      <c r="GZ287" s="26"/>
      <c r="HA287" s="26"/>
      <c r="HB287" s="26"/>
      <c r="HC287" s="26"/>
      <c r="HD287" s="26"/>
      <c r="HE287" s="26"/>
      <c r="HF287" s="26"/>
      <c r="HG287" s="26"/>
      <c r="HH287" s="26"/>
    </row>
    <row r="288" spans="1:21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26"/>
      <c r="FB288" s="26"/>
      <c r="FC288" s="26"/>
      <c r="FD288" s="26"/>
      <c r="FE288" s="26"/>
      <c r="FF288" s="26"/>
      <c r="FG288" s="26"/>
      <c r="FH288" s="26"/>
      <c r="FI288" s="26"/>
      <c r="FJ288" s="26"/>
      <c r="FK288" s="26"/>
      <c r="FL288" s="26"/>
      <c r="FM288" s="26"/>
      <c r="FN288" s="26"/>
      <c r="FO288" s="26"/>
      <c r="FP288" s="26"/>
      <c r="FQ288" s="26"/>
      <c r="FR288" s="26"/>
      <c r="FS288" s="26"/>
      <c r="FT288" s="26"/>
      <c r="FU288" s="26"/>
      <c r="FV288" s="26"/>
      <c r="FW288" s="26"/>
      <c r="FX288" s="26"/>
      <c r="FY288" s="26"/>
      <c r="FZ288" s="26"/>
      <c r="GA288" s="26"/>
      <c r="GB288" s="26"/>
      <c r="GC288" s="26"/>
      <c r="GD288" s="26"/>
      <c r="GE288" s="26"/>
      <c r="GF288" s="26"/>
      <c r="GG288" s="26"/>
      <c r="GH288" s="26"/>
      <c r="GI288" s="26"/>
      <c r="GJ288" s="26"/>
      <c r="GK288" s="26"/>
      <c r="GL288" s="26"/>
      <c r="GM288" s="26"/>
      <c r="GN288" s="26"/>
      <c r="GO288" s="26"/>
      <c r="GP288" s="26"/>
      <c r="GQ288" s="26"/>
      <c r="GR288" s="26"/>
      <c r="GS288" s="26"/>
      <c r="GT288" s="26"/>
      <c r="GU288" s="26"/>
      <c r="GV288" s="26"/>
      <c r="GW288" s="26"/>
      <c r="GX288" s="26"/>
      <c r="GY288" s="26"/>
      <c r="GZ288" s="26"/>
      <c r="HA288" s="26"/>
      <c r="HB288" s="26"/>
      <c r="HC288" s="26"/>
      <c r="HD288" s="26"/>
      <c r="HE288" s="26"/>
      <c r="HF288" s="26"/>
      <c r="HG288" s="26"/>
      <c r="HH288" s="26"/>
    </row>
    <row r="289" spans="1:21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26"/>
      <c r="FB289" s="26"/>
      <c r="FC289" s="26"/>
      <c r="FD289" s="26"/>
      <c r="FE289" s="26"/>
      <c r="FF289" s="26"/>
      <c r="FG289" s="26"/>
      <c r="FH289" s="26"/>
      <c r="FI289" s="26"/>
      <c r="FJ289" s="26"/>
      <c r="FK289" s="26"/>
      <c r="FL289" s="26"/>
      <c r="FM289" s="26"/>
      <c r="FN289" s="26"/>
      <c r="FO289" s="26"/>
      <c r="FP289" s="26"/>
      <c r="FQ289" s="26"/>
      <c r="FR289" s="26"/>
      <c r="FS289" s="26"/>
      <c r="FT289" s="26"/>
      <c r="FU289" s="26"/>
      <c r="FV289" s="26"/>
      <c r="FW289" s="26"/>
      <c r="FX289" s="26"/>
      <c r="FY289" s="26"/>
      <c r="FZ289" s="26"/>
      <c r="GA289" s="26"/>
      <c r="GB289" s="26"/>
      <c r="GC289" s="26"/>
      <c r="GD289" s="26"/>
      <c r="GE289" s="26"/>
      <c r="GF289" s="26"/>
      <c r="GG289" s="26"/>
      <c r="GH289" s="26"/>
      <c r="GI289" s="26"/>
      <c r="GJ289" s="26"/>
      <c r="GK289" s="26"/>
      <c r="GL289" s="26"/>
      <c r="GM289" s="26"/>
      <c r="GN289" s="26"/>
      <c r="GO289" s="26"/>
      <c r="GP289" s="26"/>
      <c r="GQ289" s="26"/>
      <c r="GR289" s="26"/>
      <c r="GS289" s="26"/>
      <c r="GT289" s="26"/>
      <c r="GU289" s="26"/>
      <c r="GV289" s="26"/>
      <c r="GW289" s="26"/>
      <c r="GX289" s="26"/>
      <c r="GY289" s="26"/>
      <c r="GZ289" s="26"/>
      <c r="HA289" s="26"/>
      <c r="HB289" s="26"/>
      <c r="HC289" s="26"/>
      <c r="HD289" s="26"/>
      <c r="HE289" s="26"/>
      <c r="HF289" s="26"/>
      <c r="HG289" s="26"/>
      <c r="HH289" s="26"/>
    </row>
    <row r="290" spans="1:21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26"/>
      <c r="FB290" s="26"/>
      <c r="FC290" s="26"/>
      <c r="FD290" s="26"/>
      <c r="FE290" s="26"/>
      <c r="FF290" s="26"/>
      <c r="FG290" s="26"/>
      <c r="FH290" s="26"/>
      <c r="FI290" s="26"/>
      <c r="FJ290" s="26"/>
      <c r="FK290" s="26"/>
      <c r="FL290" s="26"/>
      <c r="FM290" s="26"/>
      <c r="FN290" s="26"/>
      <c r="FO290" s="26"/>
      <c r="FP290" s="26"/>
      <c r="FQ290" s="26"/>
      <c r="FR290" s="26"/>
      <c r="FS290" s="26"/>
      <c r="FT290" s="26"/>
      <c r="FU290" s="26"/>
      <c r="FV290" s="26"/>
      <c r="FW290" s="26"/>
      <c r="FX290" s="26"/>
      <c r="FY290" s="26"/>
      <c r="FZ290" s="26"/>
      <c r="GA290" s="26"/>
      <c r="GB290" s="26"/>
      <c r="GC290" s="26"/>
      <c r="GD290" s="26"/>
      <c r="GE290" s="26"/>
      <c r="GF290" s="26"/>
      <c r="GG290" s="26"/>
      <c r="GH290" s="26"/>
      <c r="GI290" s="26"/>
      <c r="GJ290" s="26"/>
      <c r="GK290" s="26"/>
      <c r="GL290" s="26"/>
      <c r="GM290" s="26"/>
      <c r="GN290" s="26"/>
      <c r="GO290" s="26"/>
      <c r="GP290" s="26"/>
      <c r="GQ290" s="26"/>
      <c r="GR290" s="26"/>
      <c r="GS290" s="26"/>
      <c r="GT290" s="26"/>
      <c r="GU290" s="26"/>
      <c r="GV290" s="26"/>
      <c r="GW290" s="26"/>
      <c r="GX290" s="26"/>
      <c r="GY290" s="26"/>
      <c r="GZ290" s="26"/>
      <c r="HA290" s="26"/>
      <c r="HB290" s="26"/>
      <c r="HC290" s="26"/>
      <c r="HD290" s="26"/>
      <c r="HE290" s="26"/>
      <c r="HF290" s="26"/>
      <c r="HG290" s="26"/>
      <c r="HH290" s="26"/>
    </row>
    <row r="291" spans="1:21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26"/>
      <c r="FB291" s="26"/>
      <c r="FC291" s="26"/>
      <c r="FD291" s="26"/>
      <c r="FE291" s="26"/>
      <c r="FF291" s="26"/>
      <c r="FG291" s="26"/>
      <c r="FH291" s="26"/>
      <c r="FI291" s="26"/>
      <c r="FJ291" s="26"/>
      <c r="FK291" s="26"/>
      <c r="FL291" s="26"/>
      <c r="FM291" s="26"/>
      <c r="FN291" s="26"/>
      <c r="FO291" s="26"/>
      <c r="FP291" s="26"/>
      <c r="FQ291" s="26"/>
      <c r="FR291" s="26"/>
      <c r="FS291" s="26"/>
      <c r="FT291" s="26"/>
      <c r="FU291" s="26"/>
      <c r="FV291" s="26"/>
      <c r="FW291" s="26"/>
      <c r="FX291" s="26"/>
      <c r="FY291" s="26"/>
      <c r="FZ291" s="26"/>
      <c r="GA291" s="26"/>
      <c r="GB291" s="26"/>
      <c r="GC291" s="26"/>
      <c r="GD291" s="26"/>
      <c r="GE291" s="26"/>
      <c r="GF291" s="26"/>
      <c r="GG291" s="26"/>
      <c r="GH291" s="26"/>
      <c r="GI291" s="26"/>
      <c r="GJ291" s="26"/>
      <c r="GK291" s="26"/>
      <c r="GL291" s="26"/>
      <c r="GM291" s="26"/>
      <c r="GN291" s="26"/>
      <c r="GO291" s="26"/>
      <c r="GP291" s="26"/>
      <c r="GQ291" s="26"/>
      <c r="GR291" s="26"/>
      <c r="GS291" s="26"/>
      <c r="GT291" s="26"/>
      <c r="GU291" s="26"/>
      <c r="GV291" s="26"/>
      <c r="GW291" s="26"/>
      <c r="GX291" s="26"/>
      <c r="GY291" s="26"/>
      <c r="GZ291" s="26"/>
      <c r="HA291" s="26"/>
      <c r="HB291" s="26"/>
      <c r="HC291" s="26"/>
      <c r="HD291" s="26"/>
      <c r="HE291" s="26"/>
      <c r="HF291" s="26"/>
      <c r="HG291" s="26"/>
      <c r="HH291" s="26"/>
    </row>
    <row r="292" spans="1:21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26"/>
      <c r="FB292" s="26"/>
      <c r="FC292" s="26"/>
      <c r="FD292" s="26"/>
      <c r="FE292" s="26"/>
      <c r="FF292" s="26"/>
      <c r="FG292" s="26"/>
      <c r="FH292" s="26"/>
      <c r="FI292" s="26"/>
      <c r="FJ292" s="26"/>
      <c r="FK292" s="26"/>
      <c r="FL292" s="26"/>
      <c r="FM292" s="26"/>
      <c r="FN292" s="26"/>
      <c r="FO292" s="26"/>
      <c r="FP292" s="26"/>
      <c r="FQ292" s="26"/>
      <c r="FR292" s="26"/>
      <c r="FS292" s="26"/>
      <c r="FT292" s="26"/>
      <c r="FU292" s="26"/>
      <c r="FV292" s="26"/>
      <c r="FW292" s="26"/>
      <c r="FX292" s="26"/>
      <c r="FY292" s="26"/>
      <c r="FZ292" s="26"/>
      <c r="GA292" s="26"/>
      <c r="GB292" s="26"/>
      <c r="GC292" s="26"/>
      <c r="GD292" s="26"/>
      <c r="GE292" s="26"/>
      <c r="GF292" s="26"/>
      <c r="GG292" s="26"/>
      <c r="GH292" s="26"/>
      <c r="GI292" s="26"/>
      <c r="GJ292" s="26"/>
      <c r="GK292" s="26"/>
      <c r="GL292" s="26"/>
      <c r="GM292" s="26"/>
      <c r="GN292" s="26"/>
      <c r="GO292" s="26"/>
      <c r="GP292" s="26"/>
      <c r="GQ292" s="26"/>
      <c r="GR292" s="26"/>
      <c r="GS292" s="26"/>
      <c r="GT292" s="26"/>
      <c r="GU292" s="26"/>
      <c r="GV292" s="26"/>
      <c r="GW292" s="26"/>
      <c r="GX292" s="26"/>
      <c r="GY292" s="26"/>
      <c r="GZ292" s="26"/>
      <c r="HA292" s="26"/>
      <c r="HB292" s="26"/>
      <c r="HC292" s="26"/>
      <c r="HD292" s="26"/>
      <c r="HE292" s="26"/>
      <c r="HF292" s="26"/>
      <c r="HG292" s="26"/>
      <c r="HH292" s="26"/>
    </row>
    <row r="293" spans="1:21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26"/>
      <c r="FB293" s="26"/>
      <c r="FC293" s="26"/>
      <c r="FD293" s="26"/>
      <c r="FE293" s="26"/>
      <c r="FF293" s="26"/>
      <c r="FG293" s="26"/>
      <c r="FH293" s="26"/>
      <c r="FI293" s="26"/>
      <c r="FJ293" s="26"/>
      <c r="FK293" s="26"/>
      <c r="FL293" s="26"/>
      <c r="FM293" s="26"/>
      <c r="FN293" s="26"/>
      <c r="FO293" s="26"/>
      <c r="FP293" s="26"/>
      <c r="FQ293" s="26"/>
      <c r="FR293" s="26"/>
      <c r="FS293" s="26"/>
      <c r="FT293" s="26"/>
      <c r="FU293" s="26"/>
      <c r="FV293" s="26"/>
      <c r="FW293" s="26"/>
      <c r="FX293" s="26"/>
      <c r="FY293" s="26"/>
      <c r="FZ293" s="26"/>
      <c r="GA293" s="26"/>
      <c r="GB293" s="26"/>
      <c r="GC293" s="26"/>
      <c r="GD293" s="26"/>
      <c r="GE293" s="26"/>
      <c r="GF293" s="26"/>
      <c r="GG293" s="26"/>
      <c r="GH293" s="26"/>
      <c r="GI293" s="26"/>
      <c r="GJ293" s="26"/>
      <c r="GK293" s="26"/>
      <c r="GL293" s="26"/>
      <c r="GM293" s="26"/>
      <c r="GN293" s="26"/>
      <c r="GO293" s="26"/>
      <c r="GP293" s="26"/>
      <c r="GQ293" s="26"/>
      <c r="GR293" s="26"/>
      <c r="GS293" s="26"/>
      <c r="GT293" s="26"/>
      <c r="GU293" s="26"/>
      <c r="GV293" s="26"/>
      <c r="GW293" s="26"/>
      <c r="GX293" s="26"/>
      <c r="GY293" s="26"/>
      <c r="GZ293" s="26"/>
      <c r="HA293" s="26"/>
      <c r="HB293" s="26"/>
      <c r="HC293" s="26"/>
      <c r="HD293" s="26"/>
      <c r="HE293" s="26"/>
      <c r="HF293" s="26"/>
      <c r="HG293" s="26"/>
      <c r="HH293" s="26"/>
    </row>
    <row r="294" spans="1:21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26"/>
      <c r="FB294" s="26"/>
      <c r="FC294" s="26"/>
      <c r="FD294" s="26"/>
      <c r="FE294" s="26"/>
      <c r="FF294" s="26"/>
      <c r="FG294" s="26"/>
      <c r="FH294" s="26"/>
      <c r="FI294" s="26"/>
      <c r="FJ294" s="26"/>
      <c r="FK294" s="26"/>
      <c r="FL294" s="26"/>
      <c r="FM294" s="26"/>
      <c r="FN294" s="26"/>
      <c r="FO294" s="26"/>
      <c r="FP294" s="26"/>
      <c r="FQ294" s="26"/>
      <c r="FR294" s="26"/>
      <c r="FS294" s="26"/>
      <c r="FT294" s="26"/>
      <c r="FU294" s="26"/>
      <c r="FV294" s="26"/>
      <c r="FW294" s="26"/>
      <c r="FX294" s="26"/>
      <c r="FY294" s="26"/>
      <c r="FZ294" s="26"/>
      <c r="GA294" s="26"/>
      <c r="GB294" s="26"/>
      <c r="GC294" s="26"/>
      <c r="GD294" s="26"/>
      <c r="GE294" s="26"/>
      <c r="GF294" s="26"/>
      <c r="GG294" s="26"/>
      <c r="GH294" s="26"/>
      <c r="GI294" s="26"/>
      <c r="GJ294" s="26"/>
      <c r="GK294" s="26"/>
      <c r="GL294" s="26"/>
      <c r="GM294" s="26"/>
      <c r="GN294" s="26"/>
      <c r="GO294" s="26"/>
      <c r="GP294" s="26"/>
      <c r="GQ294" s="26"/>
      <c r="GR294" s="26"/>
      <c r="GS294" s="26"/>
      <c r="GT294" s="26"/>
      <c r="GU294" s="26"/>
      <c r="GV294" s="26"/>
      <c r="GW294" s="26"/>
      <c r="GX294" s="26"/>
      <c r="GY294" s="26"/>
      <c r="GZ294" s="26"/>
      <c r="HA294" s="26"/>
      <c r="HB294" s="26"/>
      <c r="HC294" s="26"/>
      <c r="HD294" s="26"/>
      <c r="HE294" s="26"/>
      <c r="HF294" s="26"/>
      <c r="HG294" s="26"/>
      <c r="HH294" s="26"/>
    </row>
    <row r="295" spans="1:21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26"/>
      <c r="FB295" s="26"/>
      <c r="FC295" s="26"/>
      <c r="FD295" s="26"/>
      <c r="FE295" s="26"/>
      <c r="FF295" s="26"/>
      <c r="FG295" s="26"/>
      <c r="FH295" s="26"/>
      <c r="FI295" s="26"/>
      <c r="FJ295" s="26"/>
      <c r="FK295" s="26"/>
      <c r="FL295" s="26"/>
      <c r="FM295" s="26"/>
      <c r="FN295" s="26"/>
      <c r="FO295" s="26"/>
      <c r="FP295" s="26"/>
      <c r="FQ295" s="26"/>
      <c r="FR295" s="26"/>
      <c r="FS295" s="26"/>
      <c r="FT295" s="26"/>
      <c r="FU295" s="26"/>
      <c r="FV295" s="26"/>
      <c r="FW295" s="26"/>
      <c r="FX295" s="26"/>
      <c r="FY295" s="26"/>
      <c r="FZ295" s="26"/>
      <c r="GA295" s="26"/>
      <c r="GB295" s="26"/>
      <c r="GC295" s="26"/>
      <c r="GD295" s="26"/>
      <c r="GE295" s="26"/>
      <c r="GF295" s="26"/>
      <c r="GG295" s="26"/>
      <c r="GH295" s="26"/>
      <c r="GI295" s="26"/>
      <c r="GJ295" s="26"/>
      <c r="GK295" s="26"/>
      <c r="GL295" s="26"/>
      <c r="GM295" s="26"/>
      <c r="GN295" s="26"/>
      <c r="GO295" s="26"/>
      <c r="GP295" s="26"/>
      <c r="GQ295" s="26"/>
      <c r="GR295" s="26"/>
      <c r="GS295" s="26"/>
      <c r="GT295" s="26"/>
      <c r="GU295" s="26"/>
      <c r="GV295" s="26"/>
      <c r="GW295" s="26"/>
      <c r="GX295" s="26"/>
      <c r="GY295" s="26"/>
      <c r="GZ295" s="26"/>
      <c r="HA295" s="26"/>
      <c r="HB295" s="26"/>
      <c r="HC295" s="26"/>
      <c r="HD295" s="26"/>
      <c r="HE295" s="26"/>
      <c r="HF295" s="26"/>
      <c r="HG295" s="26"/>
      <c r="HH295" s="26"/>
    </row>
    <row r="296" spans="1:21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26"/>
      <c r="FB296" s="26"/>
      <c r="FC296" s="26"/>
      <c r="FD296" s="26"/>
      <c r="FE296" s="26"/>
      <c r="FF296" s="26"/>
      <c r="FG296" s="26"/>
      <c r="FH296" s="26"/>
      <c r="FI296" s="26"/>
      <c r="FJ296" s="26"/>
      <c r="FK296" s="26"/>
      <c r="FL296" s="26"/>
      <c r="FM296" s="26"/>
      <c r="FN296" s="26"/>
      <c r="FO296" s="26"/>
      <c r="FP296" s="26"/>
      <c r="FQ296" s="26"/>
      <c r="FR296" s="26"/>
      <c r="FS296" s="26"/>
      <c r="FT296" s="26"/>
      <c r="FU296" s="26"/>
      <c r="FV296" s="26"/>
      <c r="FW296" s="26"/>
      <c r="FX296" s="26"/>
      <c r="FY296" s="26"/>
      <c r="FZ296" s="26"/>
      <c r="GA296" s="26"/>
      <c r="GB296" s="26"/>
      <c r="GC296" s="26"/>
      <c r="GD296" s="26"/>
      <c r="GE296" s="26"/>
      <c r="GF296" s="26"/>
      <c r="GG296" s="26"/>
      <c r="GH296" s="26"/>
      <c r="GI296" s="26"/>
      <c r="GJ296" s="26"/>
      <c r="GK296" s="26"/>
      <c r="GL296" s="26"/>
      <c r="GM296" s="26"/>
      <c r="GN296" s="26"/>
      <c r="GO296" s="26"/>
      <c r="GP296" s="26"/>
      <c r="GQ296" s="26"/>
      <c r="GR296" s="26"/>
      <c r="GS296" s="26"/>
      <c r="GT296" s="26"/>
      <c r="GU296" s="26"/>
      <c r="GV296" s="26"/>
      <c r="GW296" s="26"/>
      <c r="GX296" s="26"/>
      <c r="GY296" s="26"/>
      <c r="GZ296" s="26"/>
      <c r="HA296" s="26"/>
      <c r="HB296" s="26"/>
      <c r="HC296" s="26"/>
      <c r="HD296" s="26"/>
      <c r="HE296" s="26"/>
      <c r="HF296" s="26"/>
      <c r="HG296" s="26"/>
      <c r="HH296" s="26"/>
    </row>
    <row r="297" spans="1:21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26"/>
      <c r="FB297" s="26"/>
      <c r="FC297" s="26"/>
      <c r="FD297" s="26"/>
      <c r="FE297" s="26"/>
      <c r="FF297" s="26"/>
      <c r="FG297" s="26"/>
      <c r="FH297" s="26"/>
      <c r="FI297" s="26"/>
      <c r="FJ297" s="26"/>
      <c r="FK297" s="26"/>
      <c r="FL297" s="26"/>
      <c r="FM297" s="26"/>
      <c r="FN297" s="26"/>
      <c r="FO297" s="26"/>
      <c r="FP297" s="26"/>
      <c r="FQ297" s="26"/>
      <c r="FR297" s="26"/>
      <c r="FS297" s="26"/>
      <c r="FT297" s="26"/>
      <c r="FU297" s="26"/>
      <c r="FV297" s="26"/>
      <c r="FW297" s="26"/>
      <c r="FX297" s="26"/>
      <c r="FY297" s="26"/>
      <c r="FZ297" s="26"/>
      <c r="GA297" s="26"/>
      <c r="GB297" s="26"/>
      <c r="GC297" s="26"/>
      <c r="GD297" s="26"/>
      <c r="GE297" s="26"/>
      <c r="GF297" s="26"/>
      <c r="GG297" s="26"/>
      <c r="GH297" s="26"/>
      <c r="GI297" s="26"/>
      <c r="GJ297" s="26"/>
      <c r="GK297" s="26"/>
      <c r="GL297" s="26"/>
      <c r="GM297" s="26"/>
      <c r="GN297" s="26"/>
      <c r="GO297" s="26"/>
      <c r="GP297" s="26"/>
      <c r="GQ297" s="26"/>
      <c r="GR297" s="26"/>
      <c r="GS297" s="26"/>
      <c r="GT297" s="26"/>
      <c r="GU297" s="26"/>
      <c r="GV297" s="26"/>
      <c r="GW297" s="26"/>
      <c r="GX297" s="26"/>
      <c r="GY297" s="26"/>
      <c r="GZ297" s="26"/>
      <c r="HA297" s="26"/>
      <c r="HB297" s="26"/>
      <c r="HC297" s="26"/>
      <c r="HD297" s="26"/>
      <c r="HE297" s="26"/>
      <c r="HF297" s="26"/>
      <c r="HG297" s="26"/>
      <c r="HH297" s="26"/>
    </row>
    <row r="298" spans="1:21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26"/>
      <c r="FB298" s="26"/>
      <c r="FC298" s="26"/>
      <c r="FD298" s="26"/>
      <c r="FE298" s="26"/>
      <c r="FF298" s="26"/>
      <c r="FG298" s="26"/>
      <c r="FH298" s="26"/>
      <c r="FI298" s="26"/>
      <c r="FJ298" s="26"/>
      <c r="FK298" s="26"/>
      <c r="FL298" s="26"/>
      <c r="FM298" s="26"/>
      <c r="FN298" s="26"/>
      <c r="FO298" s="26"/>
      <c r="FP298" s="26"/>
      <c r="FQ298" s="26"/>
      <c r="FR298" s="26"/>
      <c r="FS298" s="26"/>
      <c r="FT298" s="26"/>
      <c r="FU298" s="26"/>
      <c r="FV298" s="26"/>
      <c r="FW298" s="26"/>
      <c r="FX298" s="26"/>
      <c r="FY298" s="26"/>
      <c r="FZ298" s="26"/>
      <c r="GA298" s="26"/>
      <c r="GB298" s="26"/>
      <c r="GC298" s="26"/>
      <c r="GD298" s="26"/>
      <c r="GE298" s="26"/>
      <c r="GF298" s="26"/>
      <c r="GG298" s="26"/>
      <c r="GH298" s="26"/>
      <c r="GI298" s="26"/>
      <c r="GJ298" s="26"/>
      <c r="GK298" s="26"/>
      <c r="GL298" s="26"/>
      <c r="GM298" s="26"/>
      <c r="GN298" s="26"/>
      <c r="GO298" s="26"/>
      <c r="GP298" s="26"/>
      <c r="GQ298" s="26"/>
      <c r="GR298" s="26"/>
      <c r="GS298" s="26"/>
      <c r="GT298" s="26"/>
      <c r="GU298" s="26"/>
      <c r="GV298" s="26"/>
      <c r="GW298" s="26"/>
      <c r="GX298" s="26"/>
      <c r="GY298" s="26"/>
      <c r="GZ298" s="26"/>
      <c r="HA298" s="26"/>
      <c r="HB298" s="26"/>
      <c r="HC298" s="26"/>
      <c r="HD298" s="26"/>
      <c r="HE298" s="26"/>
      <c r="HF298" s="26"/>
      <c r="HG298" s="26"/>
      <c r="HH298" s="26"/>
    </row>
    <row r="299" spans="1:21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26"/>
      <c r="FB299" s="26"/>
      <c r="FC299" s="26"/>
      <c r="FD299" s="26"/>
      <c r="FE299" s="26"/>
      <c r="FF299" s="26"/>
      <c r="FG299" s="26"/>
      <c r="FH299" s="26"/>
      <c r="FI299" s="26"/>
      <c r="FJ299" s="26"/>
      <c r="FK299" s="26"/>
      <c r="FL299" s="26"/>
      <c r="FM299" s="26"/>
      <c r="FN299" s="26"/>
      <c r="FO299" s="26"/>
      <c r="FP299" s="26"/>
      <c r="FQ299" s="26"/>
      <c r="FR299" s="26"/>
      <c r="FS299" s="26"/>
      <c r="FT299" s="26"/>
      <c r="FU299" s="26"/>
      <c r="FV299" s="26"/>
      <c r="FW299" s="26"/>
      <c r="FX299" s="26"/>
      <c r="FY299" s="26"/>
      <c r="FZ299" s="26"/>
      <c r="GA299" s="26"/>
      <c r="GB299" s="26"/>
      <c r="GC299" s="26"/>
      <c r="GD299" s="26"/>
      <c r="GE299" s="26"/>
      <c r="GF299" s="26"/>
      <c r="GG299" s="26"/>
      <c r="GH299" s="26"/>
      <c r="GI299" s="26"/>
      <c r="GJ299" s="26"/>
      <c r="GK299" s="26"/>
      <c r="GL299" s="26"/>
      <c r="GM299" s="26"/>
      <c r="GN299" s="26"/>
      <c r="GO299" s="26"/>
      <c r="GP299" s="26"/>
      <c r="GQ299" s="26"/>
      <c r="GR299" s="26"/>
      <c r="GS299" s="26"/>
      <c r="GT299" s="26"/>
      <c r="GU299" s="26"/>
      <c r="GV299" s="26"/>
      <c r="GW299" s="26"/>
      <c r="GX299" s="26"/>
      <c r="GY299" s="26"/>
      <c r="GZ299" s="26"/>
      <c r="HA299" s="26"/>
      <c r="HB299" s="26"/>
      <c r="HC299" s="26"/>
      <c r="HD299" s="26"/>
      <c r="HE299" s="26"/>
      <c r="HF299" s="26"/>
      <c r="HG299" s="26"/>
      <c r="HH299" s="26"/>
    </row>
    <row r="300" spans="1:21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26"/>
      <c r="FB300" s="26"/>
      <c r="FC300" s="26"/>
      <c r="FD300" s="26"/>
      <c r="FE300" s="26"/>
      <c r="FF300" s="26"/>
      <c r="FG300" s="26"/>
      <c r="FH300" s="26"/>
      <c r="FI300" s="26"/>
      <c r="FJ300" s="26"/>
      <c r="FK300" s="26"/>
      <c r="FL300" s="26"/>
      <c r="FM300" s="26"/>
      <c r="FN300" s="26"/>
      <c r="FO300" s="26"/>
      <c r="FP300" s="26"/>
      <c r="FQ300" s="26"/>
      <c r="FR300" s="26"/>
      <c r="FS300" s="26"/>
      <c r="FT300" s="26"/>
      <c r="FU300" s="26"/>
      <c r="FV300" s="26"/>
      <c r="FW300" s="26"/>
      <c r="FX300" s="26"/>
      <c r="FY300" s="26"/>
      <c r="FZ300" s="26"/>
      <c r="GA300" s="26"/>
      <c r="GB300" s="26"/>
      <c r="GC300" s="26"/>
      <c r="GD300" s="26"/>
      <c r="GE300" s="26"/>
      <c r="GF300" s="26"/>
      <c r="GG300" s="26"/>
      <c r="GH300" s="26"/>
      <c r="GI300" s="26"/>
      <c r="GJ300" s="26"/>
      <c r="GK300" s="26"/>
      <c r="GL300" s="26"/>
      <c r="GM300" s="26"/>
      <c r="GN300" s="26"/>
      <c r="GO300" s="26"/>
      <c r="GP300" s="26"/>
      <c r="GQ300" s="26"/>
      <c r="GR300" s="26"/>
      <c r="GS300" s="26"/>
      <c r="GT300" s="26"/>
      <c r="GU300" s="26"/>
      <c r="GV300" s="26"/>
      <c r="GW300" s="26"/>
      <c r="GX300" s="26"/>
      <c r="GY300" s="26"/>
      <c r="GZ300" s="26"/>
      <c r="HA300" s="26"/>
      <c r="HB300" s="26"/>
      <c r="HC300" s="26"/>
      <c r="HD300" s="26"/>
      <c r="HE300" s="26"/>
      <c r="HF300" s="26"/>
      <c r="HG300" s="26"/>
      <c r="HH300" s="26"/>
    </row>
    <row r="301" spans="1:21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26"/>
      <c r="FB301" s="26"/>
      <c r="FC301" s="26"/>
      <c r="FD301" s="26"/>
      <c r="FE301" s="26"/>
      <c r="FF301" s="26"/>
      <c r="FG301" s="26"/>
      <c r="FH301" s="26"/>
      <c r="FI301" s="26"/>
      <c r="FJ301" s="26"/>
      <c r="FK301" s="26"/>
      <c r="FL301" s="26"/>
      <c r="FM301" s="26"/>
      <c r="FN301" s="26"/>
      <c r="FO301" s="26"/>
      <c r="FP301" s="26"/>
      <c r="FQ301" s="26"/>
      <c r="FR301" s="26"/>
      <c r="FS301" s="26"/>
      <c r="FT301" s="26"/>
      <c r="FU301" s="26"/>
      <c r="FV301" s="26"/>
      <c r="FW301" s="26"/>
      <c r="FX301" s="26"/>
      <c r="FY301" s="26"/>
      <c r="FZ301" s="26"/>
      <c r="GA301" s="26"/>
      <c r="GB301" s="26"/>
      <c r="GC301" s="26"/>
      <c r="GD301" s="26"/>
      <c r="GE301" s="26"/>
      <c r="GF301" s="26"/>
      <c r="GG301" s="26"/>
      <c r="GH301" s="26"/>
      <c r="GI301" s="26"/>
      <c r="GJ301" s="26"/>
      <c r="GK301" s="26"/>
      <c r="GL301" s="26"/>
      <c r="GM301" s="26"/>
      <c r="GN301" s="26"/>
      <c r="GO301" s="26"/>
      <c r="GP301" s="26"/>
      <c r="GQ301" s="26"/>
      <c r="GR301" s="26"/>
      <c r="GS301" s="26"/>
      <c r="GT301" s="26"/>
      <c r="GU301" s="26"/>
      <c r="GV301" s="26"/>
      <c r="GW301" s="26"/>
      <c r="GX301" s="26"/>
      <c r="GY301" s="26"/>
      <c r="GZ301" s="26"/>
      <c r="HA301" s="26"/>
      <c r="HB301" s="26"/>
      <c r="HC301" s="26"/>
      <c r="HD301" s="26"/>
      <c r="HE301" s="26"/>
      <c r="HF301" s="26"/>
      <c r="HG301" s="26"/>
      <c r="HH301" s="26"/>
    </row>
    <row r="302" spans="1:21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26"/>
      <c r="FB302" s="26"/>
      <c r="FC302" s="26"/>
      <c r="FD302" s="26"/>
      <c r="FE302" s="26"/>
      <c r="FF302" s="26"/>
      <c r="FG302" s="26"/>
      <c r="FH302" s="26"/>
      <c r="FI302" s="26"/>
      <c r="FJ302" s="26"/>
      <c r="FK302" s="26"/>
      <c r="FL302" s="26"/>
      <c r="FM302" s="26"/>
      <c r="FN302" s="26"/>
      <c r="FO302" s="26"/>
      <c r="FP302" s="26"/>
      <c r="FQ302" s="26"/>
      <c r="FR302" s="26"/>
      <c r="FS302" s="26"/>
      <c r="FT302" s="26"/>
      <c r="FU302" s="26"/>
      <c r="FV302" s="26"/>
      <c r="FW302" s="26"/>
      <c r="FX302" s="26"/>
      <c r="FY302" s="26"/>
      <c r="FZ302" s="26"/>
      <c r="GA302" s="26"/>
      <c r="GB302" s="26"/>
      <c r="GC302" s="26"/>
      <c r="GD302" s="26"/>
      <c r="GE302" s="26"/>
      <c r="GF302" s="26"/>
      <c r="GG302" s="26"/>
      <c r="GH302" s="26"/>
      <c r="GI302" s="26"/>
      <c r="GJ302" s="26"/>
      <c r="GK302" s="26"/>
      <c r="GL302" s="26"/>
      <c r="GM302" s="26"/>
      <c r="GN302" s="26"/>
      <c r="GO302" s="26"/>
      <c r="GP302" s="26"/>
      <c r="GQ302" s="26"/>
      <c r="GR302" s="26"/>
      <c r="GS302" s="26"/>
      <c r="GT302" s="26"/>
      <c r="GU302" s="26"/>
      <c r="GV302" s="26"/>
      <c r="GW302" s="26"/>
      <c r="GX302" s="26"/>
      <c r="GY302" s="26"/>
      <c r="GZ302" s="26"/>
      <c r="HA302" s="26"/>
      <c r="HB302" s="26"/>
      <c r="HC302" s="26"/>
      <c r="HD302" s="26"/>
      <c r="HE302" s="26"/>
      <c r="HF302" s="26"/>
      <c r="HG302" s="26"/>
      <c r="HH302" s="26"/>
    </row>
    <row r="303" spans="1:21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26"/>
      <c r="FB303" s="26"/>
      <c r="FC303" s="26"/>
      <c r="FD303" s="26"/>
      <c r="FE303" s="26"/>
      <c r="FF303" s="26"/>
      <c r="FG303" s="26"/>
      <c r="FH303" s="26"/>
      <c r="FI303" s="26"/>
      <c r="FJ303" s="26"/>
      <c r="FK303" s="26"/>
      <c r="FL303" s="26"/>
      <c r="FM303" s="26"/>
      <c r="FN303" s="26"/>
      <c r="FO303" s="26"/>
      <c r="FP303" s="26"/>
      <c r="FQ303" s="26"/>
      <c r="FR303" s="26"/>
      <c r="FS303" s="26"/>
      <c r="FT303" s="26"/>
      <c r="FU303" s="26"/>
      <c r="FV303" s="26"/>
      <c r="FW303" s="26"/>
      <c r="FX303" s="26"/>
      <c r="FY303" s="26"/>
      <c r="FZ303" s="26"/>
      <c r="GA303" s="26"/>
      <c r="GB303" s="26"/>
      <c r="GC303" s="26"/>
      <c r="GD303" s="26"/>
      <c r="GE303" s="26"/>
      <c r="GF303" s="26"/>
      <c r="GG303" s="26"/>
      <c r="GH303" s="26"/>
      <c r="GI303" s="26"/>
      <c r="GJ303" s="26"/>
      <c r="GK303" s="26"/>
      <c r="GL303" s="26"/>
      <c r="GM303" s="26"/>
      <c r="GN303" s="26"/>
      <c r="GO303" s="26"/>
      <c r="GP303" s="26"/>
      <c r="GQ303" s="26"/>
      <c r="GR303" s="26"/>
      <c r="GS303" s="26"/>
      <c r="GT303" s="26"/>
      <c r="GU303" s="26"/>
      <c r="GV303" s="26"/>
      <c r="GW303" s="26"/>
      <c r="GX303" s="26"/>
      <c r="GY303" s="26"/>
      <c r="GZ303" s="26"/>
      <c r="HA303" s="26"/>
      <c r="HB303" s="26"/>
      <c r="HC303" s="26"/>
      <c r="HD303" s="26"/>
      <c r="HE303" s="26"/>
      <c r="HF303" s="26"/>
      <c r="HG303" s="26"/>
      <c r="HH303" s="26"/>
    </row>
    <row r="304" spans="1:21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26"/>
      <c r="FB304" s="26"/>
      <c r="FC304" s="26"/>
      <c r="FD304" s="26"/>
      <c r="FE304" s="26"/>
      <c r="FF304" s="26"/>
      <c r="FG304" s="26"/>
      <c r="FH304" s="26"/>
      <c r="FI304" s="26"/>
      <c r="FJ304" s="26"/>
      <c r="FK304" s="26"/>
      <c r="FL304" s="26"/>
      <c r="FM304" s="26"/>
      <c r="FN304" s="26"/>
      <c r="FO304" s="26"/>
      <c r="FP304" s="26"/>
      <c r="FQ304" s="26"/>
      <c r="FR304" s="26"/>
      <c r="FS304" s="26"/>
      <c r="FT304" s="26"/>
      <c r="FU304" s="26"/>
      <c r="FV304" s="26"/>
      <c r="FW304" s="26"/>
      <c r="FX304" s="26"/>
      <c r="FY304" s="26"/>
      <c r="FZ304" s="26"/>
      <c r="GA304" s="26"/>
      <c r="GB304" s="26"/>
      <c r="GC304" s="26"/>
      <c r="GD304" s="26"/>
      <c r="GE304" s="26"/>
      <c r="GF304" s="26"/>
      <c r="GG304" s="26"/>
      <c r="GH304" s="26"/>
      <c r="GI304" s="26"/>
      <c r="GJ304" s="26"/>
      <c r="GK304" s="26"/>
      <c r="GL304" s="26"/>
      <c r="GM304" s="26"/>
      <c r="GN304" s="26"/>
      <c r="GO304" s="26"/>
      <c r="GP304" s="26"/>
      <c r="GQ304" s="26"/>
      <c r="GR304" s="26"/>
      <c r="GS304" s="26"/>
      <c r="GT304" s="26"/>
      <c r="GU304" s="26"/>
      <c r="GV304" s="26"/>
      <c r="GW304" s="26"/>
      <c r="GX304" s="26"/>
      <c r="GY304" s="26"/>
      <c r="GZ304" s="26"/>
      <c r="HA304" s="26"/>
      <c r="HB304" s="26"/>
      <c r="HC304" s="26"/>
      <c r="HD304" s="26"/>
      <c r="HE304" s="26"/>
      <c r="HF304" s="26"/>
      <c r="HG304" s="26"/>
      <c r="HH304" s="26"/>
    </row>
    <row r="305" spans="1:21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26"/>
      <c r="FB305" s="26"/>
      <c r="FC305" s="26"/>
      <c r="FD305" s="26"/>
      <c r="FE305" s="26"/>
      <c r="FF305" s="26"/>
      <c r="FG305" s="26"/>
      <c r="FH305" s="26"/>
      <c r="FI305" s="26"/>
      <c r="FJ305" s="26"/>
      <c r="FK305" s="26"/>
      <c r="FL305" s="26"/>
      <c r="FM305" s="26"/>
      <c r="FN305" s="26"/>
      <c r="FO305" s="26"/>
      <c r="FP305" s="26"/>
      <c r="FQ305" s="26"/>
      <c r="FR305" s="26"/>
      <c r="FS305" s="26"/>
      <c r="FT305" s="26"/>
      <c r="FU305" s="26"/>
      <c r="FV305" s="26"/>
      <c r="FW305" s="26"/>
      <c r="FX305" s="26"/>
      <c r="FY305" s="26"/>
      <c r="FZ305" s="26"/>
      <c r="GA305" s="26"/>
      <c r="GB305" s="26"/>
      <c r="GC305" s="26"/>
      <c r="GD305" s="26"/>
      <c r="GE305" s="26"/>
      <c r="GF305" s="26"/>
      <c r="GG305" s="26"/>
      <c r="GH305" s="26"/>
      <c r="GI305" s="26"/>
      <c r="GJ305" s="26"/>
      <c r="GK305" s="26"/>
      <c r="GL305" s="26"/>
      <c r="GM305" s="26"/>
      <c r="GN305" s="26"/>
      <c r="GO305" s="26"/>
      <c r="GP305" s="26"/>
      <c r="GQ305" s="26"/>
      <c r="GR305" s="26"/>
      <c r="GS305" s="26"/>
      <c r="GT305" s="26"/>
      <c r="GU305" s="26"/>
      <c r="GV305" s="26"/>
      <c r="GW305" s="26"/>
      <c r="GX305" s="26"/>
      <c r="GY305" s="26"/>
      <c r="GZ305" s="26"/>
      <c r="HA305" s="26"/>
      <c r="HB305" s="26"/>
      <c r="HC305" s="26"/>
      <c r="HD305" s="26"/>
      <c r="HE305" s="26"/>
      <c r="HF305" s="26"/>
      <c r="HG305" s="26"/>
      <c r="HH305" s="26"/>
    </row>
    <row r="306" spans="1:21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26"/>
      <c r="FB306" s="26"/>
      <c r="FC306" s="26"/>
      <c r="FD306" s="26"/>
      <c r="FE306" s="26"/>
      <c r="FF306" s="26"/>
      <c r="FG306" s="26"/>
      <c r="FH306" s="26"/>
      <c r="FI306" s="26"/>
      <c r="FJ306" s="26"/>
      <c r="FK306" s="26"/>
      <c r="FL306" s="26"/>
      <c r="FM306" s="26"/>
      <c r="FN306" s="26"/>
      <c r="FO306" s="26"/>
      <c r="FP306" s="26"/>
      <c r="FQ306" s="26"/>
      <c r="FR306" s="26"/>
      <c r="FS306" s="26"/>
      <c r="FT306" s="26"/>
      <c r="FU306" s="26"/>
      <c r="FV306" s="26"/>
      <c r="FW306" s="26"/>
      <c r="FX306" s="26"/>
      <c r="FY306" s="26"/>
      <c r="FZ306" s="26"/>
      <c r="GA306" s="26"/>
      <c r="GB306" s="26"/>
      <c r="GC306" s="26"/>
      <c r="GD306" s="26"/>
      <c r="GE306" s="26"/>
      <c r="GF306" s="26"/>
      <c r="GG306" s="26"/>
      <c r="GH306" s="26"/>
      <c r="GI306" s="26"/>
      <c r="GJ306" s="26"/>
      <c r="GK306" s="26"/>
      <c r="GL306" s="26"/>
      <c r="GM306" s="26"/>
      <c r="GN306" s="26"/>
      <c r="GO306" s="26"/>
      <c r="GP306" s="26"/>
      <c r="GQ306" s="26"/>
      <c r="GR306" s="26"/>
      <c r="GS306" s="26"/>
      <c r="GT306" s="26"/>
      <c r="GU306" s="26"/>
      <c r="GV306" s="26"/>
      <c r="GW306" s="26"/>
      <c r="GX306" s="26"/>
      <c r="GY306" s="26"/>
      <c r="GZ306" s="26"/>
      <c r="HA306" s="26"/>
      <c r="HB306" s="26"/>
      <c r="HC306" s="26"/>
      <c r="HD306" s="26"/>
      <c r="HE306" s="26"/>
      <c r="HF306" s="26"/>
      <c r="HG306" s="26"/>
      <c r="HH306" s="26"/>
    </row>
    <row r="307" spans="1:21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26"/>
      <c r="FB307" s="26"/>
      <c r="FC307" s="26"/>
      <c r="FD307" s="26"/>
      <c r="FE307" s="26"/>
      <c r="FF307" s="26"/>
      <c r="FG307" s="26"/>
      <c r="FH307" s="26"/>
      <c r="FI307" s="26"/>
      <c r="FJ307" s="26"/>
      <c r="FK307" s="26"/>
      <c r="FL307" s="26"/>
      <c r="FM307" s="26"/>
      <c r="FN307" s="26"/>
      <c r="FO307" s="26"/>
      <c r="FP307" s="26"/>
      <c r="FQ307" s="26"/>
      <c r="FR307" s="26"/>
      <c r="FS307" s="26"/>
      <c r="FT307" s="26"/>
      <c r="FU307" s="26"/>
      <c r="FV307" s="26"/>
      <c r="FW307" s="26"/>
      <c r="FX307" s="26"/>
      <c r="FY307" s="26"/>
      <c r="FZ307" s="26"/>
      <c r="GA307" s="26"/>
      <c r="GB307" s="26"/>
      <c r="GC307" s="26"/>
      <c r="GD307" s="26"/>
      <c r="GE307" s="26"/>
      <c r="GF307" s="26"/>
      <c r="GG307" s="26"/>
      <c r="GH307" s="26"/>
      <c r="GI307" s="26"/>
      <c r="GJ307" s="26"/>
      <c r="GK307" s="26"/>
      <c r="GL307" s="26"/>
      <c r="GM307" s="26"/>
      <c r="GN307" s="26"/>
      <c r="GO307" s="26"/>
      <c r="GP307" s="26"/>
      <c r="GQ307" s="26"/>
      <c r="GR307" s="26"/>
      <c r="GS307" s="26"/>
      <c r="GT307" s="26"/>
      <c r="GU307" s="26"/>
      <c r="GV307" s="26"/>
      <c r="GW307" s="26"/>
      <c r="GX307" s="26"/>
      <c r="GY307" s="26"/>
      <c r="GZ307" s="26"/>
      <c r="HA307" s="26"/>
      <c r="HB307" s="26"/>
      <c r="HC307" s="26"/>
      <c r="HD307" s="26"/>
      <c r="HE307" s="26"/>
      <c r="HF307" s="26"/>
      <c r="HG307" s="26"/>
      <c r="HH307" s="26"/>
    </row>
    <row r="308" spans="1:21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26"/>
      <c r="FB308" s="26"/>
      <c r="FC308" s="26"/>
      <c r="FD308" s="26"/>
      <c r="FE308" s="26"/>
      <c r="FF308" s="26"/>
      <c r="FG308" s="26"/>
      <c r="FH308" s="26"/>
      <c r="FI308" s="26"/>
      <c r="FJ308" s="26"/>
      <c r="FK308" s="26"/>
      <c r="FL308" s="26"/>
      <c r="FM308" s="26"/>
      <c r="FN308" s="26"/>
      <c r="FO308" s="26"/>
      <c r="FP308" s="26"/>
      <c r="FQ308" s="26"/>
      <c r="FR308" s="26"/>
      <c r="FS308" s="26"/>
      <c r="FT308" s="26"/>
      <c r="FU308" s="26"/>
      <c r="FV308" s="26"/>
      <c r="FW308" s="26"/>
      <c r="FX308" s="26"/>
      <c r="FY308" s="26"/>
      <c r="FZ308" s="26"/>
      <c r="GA308" s="26"/>
      <c r="GB308" s="26"/>
      <c r="GC308" s="26"/>
      <c r="GD308" s="26"/>
      <c r="GE308" s="26"/>
      <c r="GF308" s="26"/>
      <c r="GG308" s="26"/>
      <c r="GH308" s="26"/>
      <c r="GI308" s="26"/>
      <c r="GJ308" s="26"/>
      <c r="GK308" s="26"/>
      <c r="GL308" s="26"/>
      <c r="GM308" s="26"/>
      <c r="GN308" s="26"/>
      <c r="GO308" s="26"/>
      <c r="GP308" s="26"/>
      <c r="GQ308" s="26"/>
      <c r="GR308" s="26"/>
      <c r="GS308" s="26"/>
      <c r="GT308" s="26"/>
      <c r="GU308" s="26"/>
      <c r="GV308" s="26"/>
      <c r="GW308" s="26"/>
      <c r="GX308" s="26"/>
      <c r="GY308" s="26"/>
      <c r="GZ308" s="26"/>
      <c r="HA308" s="26"/>
      <c r="HB308" s="26"/>
      <c r="HC308" s="26"/>
      <c r="HD308" s="26"/>
      <c r="HE308" s="26"/>
      <c r="HF308" s="26"/>
      <c r="HG308" s="26"/>
      <c r="HH308" s="26"/>
    </row>
    <row r="309" spans="1:21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26"/>
      <c r="FB309" s="26"/>
      <c r="FC309" s="26"/>
      <c r="FD309" s="26"/>
      <c r="FE309" s="26"/>
      <c r="FF309" s="26"/>
      <c r="FG309" s="26"/>
      <c r="FH309" s="26"/>
      <c r="FI309" s="26"/>
      <c r="FJ309" s="26"/>
      <c r="FK309" s="26"/>
      <c r="FL309" s="26"/>
      <c r="FM309" s="26"/>
      <c r="FN309" s="26"/>
      <c r="FO309" s="26"/>
      <c r="FP309" s="26"/>
      <c r="FQ309" s="26"/>
      <c r="FR309" s="26"/>
      <c r="FS309" s="26"/>
      <c r="FT309" s="26"/>
      <c r="FU309" s="26"/>
      <c r="FV309" s="26"/>
      <c r="FW309" s="26"/>
      <c r="FX309" s="26"/>
      <c r="FY309" s="26"/>
      <c r="FZ309" s="26"/>
      <c r="GA309" s="26"/>
      <c r="GB309" s="26"/>
      <c r="GC309" s="26"/>
      <c r="GD309" s="26"/>
      <c r="GE309" s="26"/>
      <c r="GF309" s="26"/>
      <c r="GG309" s="26"/>
      <c r="GH309" s="26"/>
      <c r="GI309" s="26"/>
      <c r="GJ309" s="26"/>
      <c r="GK309" s="26"/>
      <c r="GL309" s="26"/>
      <c r="GM309" s="26"/>
      <c r="GN309" s="26"/>
      <c r="GO309" s="26"/>
      <c r="GP309" s="26"/>
      <c r="GQ309" s="26"/>
      <c r="GR309" s="26"/>
      <c r="GS309" s="26"/>
      <c r="GT309" s="26"/>
      <c r="GU309" s="26"/>
      <c r="GV309" s="26"/>
      <c r="GW309" s="26"/>
      <c r="GX309" s="26"/>
      <c r="GY309" s="26"/>
      <c r="GZ309" s="26"/>
      <c r="HA309" s="26"/>
      <c r="HB309" s="26"/>
      <c r="HC309" s="26"/>
      <c r="HD309" s="26"/>
      <c r="HE309" s="26"/>
      <c r="HF309" s="26"/>
      <c r="HG309" s="26"/>
      <c r="HH309" s="26"/>
    </row>
    <row r="310" spans="1:21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26"/>
      <c r="FB310" s="26"/>
      <c r="FC310" s="26"/>
      <c r="FD310" s="26"/>
      <c r="FE310" s="26"/>
      <c r="FF310" s="26"/>
      <c r="FG310" s="26"/>
      <c r="FH310" s="26"/>
      <c r="FI310" s="26"/>
      <c r="FJ310" s="26"/>
      <c r="FK310" s="26"/>
      <c r="FL310" s="26"/>
      <c r="FM310" s="26"/>
      <c r="FN310" s="26"/>
      <c r="FO310" s="26"/>
      <c r="FP310" s="26"/>
      <c r="FQ310" s="26"/>
      <c r="FR310" s="26"/>
      <c r="FS310" s="26"/>
      <c r="FT310" s="26"/>
      <c r="FU310" s="26"/>
      <c r="FV310" s="26"/>
      <c r="FW310" s="26"/>
      <c r="FX310" s="26"/>
      <c r="FY310" s="26"/>
      <c r="FZ310" s="26"/>
      <c r="GA310" s="26"/>
      <c r="GB310" s="26"/>
      <c r="GC310" s="26"/>
      <c r="GD310" s="26"/>
      <c r="GE310" s="26"/>
      <c r="GF310" s="26"/>
      <c r="GG310" s="26"/>
      <c r="GH310" s="26"/>
      <c r="GI310" s="26"/>
      <c r="GJ310" s="26"/>
      <c r="GK310" s="26"/>
      <c r="GL310" s="26"/>
      <c r="GM310" s="26"/>
      <c r="GN310" s="26"/>
      <c r="GO310" s="26"/>
      <c r="GP310" s="26"/>
      <c r="GQ310" s="26"/>
      <c r="GR310" s="26"/>
      <c r="GS310" s="26"/>
      <c r="GT310" s="26"/>
      <c r="GU310" s="26"/>
      <c r="GV310" s="26"/>
      <c r="GW310" s="26"/>
      <c r="GX310" s="26"/>
      <c r="GY310" s="26"/>
      <c r="GZ310" s="26"/>
      <c r="HA310" s="26"/>
      <c r="HB310" s="26"/>
      <c r="HC310" s="26"/>
      <c r="HD310" s="26"/>
      <c r="HE310" s="26"/>
      <c r="HF310" s="26"/>
      <c r="HG310" s="26"/>
      <c r="HH310" s="26"/>
    </row>
    <row r="311" spans="1:21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26"/>
      <c r="FB311" s="26"/>
      <c r="FC311" s="26"/>
      <c r="FD311" s="26"/>
      <c r="FE311" s="26"/>
      <c r="FF311" s="26"/>
      <c r="FG311" s="26"/>
      <c r="FH311" s="26"/>
      <c r="FI311" s="26"/>
      <c r="FJ311" s="26"/>
      <c r="FK311" s="26"/>
      <c r="FL311" s="26"/>
      <c r="FM311" s="26"/>
      <c r="FN311" s="26"/>
      <c r="FO311" s="26"/>
      <c r="FP311" s="26"/>
      <c r="FQ311" s="26"/>
      <c r="FR311" s="26"/>
      <c r="FS311" s="26"/>
      <c r="FT311" s="26"/>
      <c r="FU311" s="26"/>
      <c r="FV311" s="26"/>
      <c r="FW311" s="26"/>
      <c r="FX311" s="26"/>
      <c r="FY311" s="26"/>
      <c r="FZ311" s="26"/>
      <c r="GA311" s="26"/>
      <c r="GB311" s="26"/>
      <c r="GC311" s="26"/>
      <c r="GD311" s="26"/>
      <c r="GE311" s="26"/>
      <c r="GF311" s="26"/>
      <c r="GG311" s="26"/>
      <c r="GH311" s="26"/>
      <c r="GI311" s="26"/>
      <c r="GJ311" s="26"/>
      <c r="GK311" s="26"/>
      <c r="GL311" s="26"/>
      <c r="GM311" s="26"/>
      <c r="GN311" s="26"/>
      <c r="GO311" s="26"/>
      <c r="GP311" s="26"/>
      <c r="GQ311" s="26"/>
      <c r="GR311" s="26"/>
      <c r="GS311" s="26"/>
      <c r="GT311" s="26"/>
      <c r="GU311" s="26"/>
      <c r="GV311" s="26"/>
      <c r="GW311" s="26"/>
      <c r="GX311" s="26"/>
      <c r="GY311" s="26"/>
      <c r="GZ311" s="26"/>
      <c r="HA311" s="26"/>
      <c r="HB311" s="26"/>
      <c r="HC311" s="26"/>
      <c r="HD311" s="26"/>
      <c r="HE311" s="26"/>
      <c r="HF311" s="26"/>
      <c r="HG311" s="26"/>
      <c r="HH311" s="26"/>
    </row>
    <row r="312" spans="1:21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26"/>
      <c r="FB312" s="26"/>
      <c r="FC312" s="26"/>
      <c r="FD312" s="26"/>
      <c r="FE312" s="26"/>
      <c r="FF312" s="26"/>
      <c r="FG312" s="26"/>
      <c r="FH312" s="26"/>
      <c r="FI312" s="26"/>
      <c r="FJ312" s="26"/>
      <c r="FK312" s="26"/>
      <c r="FL312" s="26"/>
      <c r="FM312" s="26"/>
      <c r="FN312" s="26"/>
      <c r="FO312" s="26"/>
      <c r="FP312" s="26"/>
      <c r="FQ312" s="26"/>
      <c r="FR312" s="26"/>
      <c r="FS312" s="26"/>
      <c r="FT312" s="26"/>
      <c r="FU312" s="26"/>
      <c r="FV312" s="26"/>
      <c r="FW312" s="26"/>
      <c r="FX312" s="26"/>
      <c r="FY312" s="26"/>
      <c r="FZ312" s="26"/>
      <c r="GA312" s="26"/>
      <c r="GB312" s="26"/>
      <c r="GC312" s="26"/>
      <c r="GD312" s="26"/>
      <c r="GE312" s="26"/>
      <c r="GF312" s="26"/>
      <c r="GG312" s="26"/>
      <c r="GH312" s="26"/>
      <c r="GI312" s="26"/>
      <c r="GJ312" s="26"/>
      <c r="GK312" s="26"/>
      <c r="GL312" s="26"/>
      <c r="GM312" s="26"/>
      <c r="GN312" s="26"/>
      <c r="GO312" s="26"/>
      <c r="GP312" s="26"/>
      <c r="GQ312" s="26"/>
      <c r="GR312" s="26"/>
      <c r="GS312" s="26"/>
      <c r="GT312" s="26"/>
      <c r="GU312" s="26"/>
      <c r="GV312" s="26"/>
      <c r="GW312" s="26"/>
      <c r="GX312" s="26"/>
      <c r="GY312" s="26"/>
      <c r="GZ312" s="26"/>
      <c r="HA312" s="26"/>
      <c r="HB312" s="26"/>
      <c r="HC312" s="26"/>
      <c r="HD312" s="26"/>
      <c r="HE312" s="26"/>
      <c r="HF312" s="26"/>
      <c r="HG312" s="26"/>
      <c r="HH312" s="26"/>
    </row>
    <row r="313" spans="1:21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26"/>
      <c r="FB313" s="26"/>
      <c r="FC313" s="26"/>
      <c r="FD313" s="26"/>
      <c r="FE313" s="26"/>
      <c r="FF313" s="26"/>
      <c r="FG313" s="26"/>
      <c r="FH313" s="26"/>
      <c r="FI313" s="26"/>
      <c r="FJ313" s="26"/>
      <c r="FK313" s="26"/>
      <c r="FL313" s="26"/>
      <c r="FM313" s="26"/>
      <c r="FN313" s="26"/>
      <c r="FO313" s="26"/>
      <c r="FP313" s="26"/>
      <c r="FQ313" s="26"/>
      <c r="FR313" s="26"/>
      <c r="FS313" s="26"/>
      <c r="FT313" s="26"/>
      <c r="FU313" s="26"/>
      <c r="FV313" s="26"/>
      <c r="FW313" s="26"/>
      <c r="FX313" s="26"/>
      <c r="FY313" s="26"/>
      <c r="FZ313" s="26"/>
      <c r="GA313" s="26"/>
      <c r="GB313" s="26"/>
      <c r="GC313" s="26"/>
      <c r="GD313" s="26"/>
      <c r="GE313" s="26"/>
      <c r="GF313" s="26"/>
      <c r="GG313" s="26"/>
      <c r="GH313" s="26"/>
      <c r="GI313" s="26"/>
      <c r="GJ313" s="26"/>
      <c r="GK313" s="26"/>
      <c r="GL313" s="26"/>
      <c r="GM313" s="26"/>
      <c r="GN313" s="26"/>
      <c r="GO313" s="26"/>
      <c r="GP313" s="26"/>
      <c r="GQ313" s="26"/>
      <c r="GR313" s="26"/>
      <c r="GS313" s="26"/>
      <c r="GT313" s="26"/>
      <c r="GU313" s="26"/>
      <c r="GV313" s="26"/>
      <c r="GW313" s="26"/>
      <c r="GX313" s="26"/>
      <c r="GY313" s="26"/>
      <c r="GZ313" s="26"/>
      <c r="HA313" s="26"/>
      <c r="HB313" s="26"/>
      <c r="HC313" s="26"/>
      <c r="HD313" s="26"/>
      <c r="HE313" s="26"/>
      <c r="HF313" s="26"/>
      <c r="HG313" s="26"/>
      <c r="HH313" s="26"/>
    </row>
    <row r="314" spans="1:21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26"/>
      <c r="FB314" s="26"/>
      <c r="FC314" s="26"/>
      <c r="FD314" s="26"/>
      <c r="FE314" s="26"/>
      <c r="FF314" s="26"/>
      <c r="FG314" s="26"/>
      <c r="FH314" s="26"/>
      <c r="FI314" s="26"/>
      <c r="FJ314" s="26"/>
      <c r="FK314" s="26"/>
      <c r="FL314" s="26"/>
      <c r="FM314" s="26"/>
      <c r="FN314" s="26"/>
      <c r="FO314" s="26"/>
      <c r="FP314" s="26"/>
      <c r="FQ314" s="26"/>
      <c r="FR314" s="26"/>
      <c r="FS314" s="26"/>
      <c r="FT314" s="26"/>
      <c r="FU314" s="26"/>
      <c r="FV314" s="26"/>
      <c r="FW314" s="26"/>
      <c r="FX314" s="26"/>
      <c r="FY314" s="26"/>
      <c r="FZ314" s="26"/>
      <c r="GA314" s="26"/>
      <c r="GB314" s="26"/>
      <c r="GC314" s="26"/>
      <c r="GD314" s="26"/>
      <c r="GE314" s="26"/>
      <c r="GF314" s="26"/>
      <c r="GG314" s="26"/>
      <c r="GH314" s="26"/>
      <c r="GI314" s="26"/>
      <c r="GJ314" s="26"/>
      <c r="GK314" s="26"/>
      <c r="GL314" s="26"/>
      <c r="GM314" s="26"/>
      <c r="GN314" s="26"/>
      <c r="GO314" s="26"/>
      <c r="GP314" s="26"/>
      <c r="GQ314" s="26"/>
      <c r="GR314" s="26"/>
      <c r="GS314" s="26"/>
      <c r="GT314" s="26"/>
      <c r="GU314" s="26"/>
      <c r="GV314" s="26"/>
      <c r="GW314" s="26"/>
      <c r="GX314" s="26"/>
      <c r="GY314" s="26"/>
      <c r="GZ314" s="26"/>
      <c r="HA314" s="26"/>
      <c r="HB314" s="26"/>
      <c r="HC314" s="26"/>
      <c r="HD314" s="26"/>
      <c r="HE314" s="26"/>
      <c r="HF314" s="26"/>
      <c r="HG314" s="26"/>
      <c r="HH314" s="26"/>
    </row>
    <row r="315" spans="1:21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26"/>
      <c r="FB315" s="26"/>
      <c r="FC315" s="26"/>
      <c r="FD315" s="26"/>
      <c r="FE315" s="26"/>
      <c r="FF315" s="26"/>
      <c r="FG315" s="26"/>
      <c r="FH315" s="26"/>
      <c r="FI315" s="26"/>
      <c r="FJ315" s="26"/>
      <c r="FK315" s="26"/>
      <c r="FL315" s="26"/>
      <c r="FM315" s="26"/>
      <c r="FN315" s="26"/>
      <c r="FO315" s="26"/>
      <c r="FP315" s="26"/>
      <c r="FQ315" s="26"/>
      <c r="FR315" s="26"/>
      <c r="FS315" s="26"/>
      <c r="FT315" s="26"/>
      <c r="FU315" s="26"/>
      <c r="FV315" s="26"/>
      <c r="FW315" s="26"/>
      <c r="FX315" s="26"/>
      <c r="FY315" s="26"/>
      <c r="FZ315" s="26"/>
      <c r="GA315" s="26"/>
      <c r="GB315" s="26"/>
      <c r="GC315" s="26"/>
      <c r="GD315" s="26"/>
      <c r="GE315" s="26"/>
      <c r="GF315" s="26"/>
      <c r="GG315" s="26"/>
      <c r="GH315" s="26"/>
      <c r="GI315" s="26"/>
      <c r="GJ315" s="26"/>
      <c r="GK315" s="26"/>
      <c r="GL315" s="26"/>
      <c r="GM315" s="26"/>
      <c r="GN315" s="26"/>
      <c r="GO315" s="26"/>
      <c r="GP315" s="26"/>
      <c r="GQ315" s="26"/>
      <c r="GR315" s="26"/>
      <c r="GS315" s="26"/>
      <c r="GT315" s="26"/>
      <c r="GU315" s="26"/>
      <c r="GV315" s="26"/>
      <c r="GW315" s="26"/>
      <c r="GX315" s="26"/>
      <c r="GY315" s="26"/>
      <c r="GZ315" s="26"/>
      <c r="HA315" s="26"/>
      <c r="HB315" s="26"/>
      <c r="HC315" s="26"/>
      <c r="HD315" s="26"/>
      <c r="HE315" s="26"/>
      <c r="HF315" s="26"/>
      <c r="HG315" s="26"/>
      <c r="HH315" s="26"/>
    </row>
    <row r="316" spans="1:2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26"/>
      <c r="FB316" s="26"/>
      <c r="FC316" s="26"/>
      <c r="FD316" s="26"/>
      <c r="FE316" s="26"/>
      <c r="FF316" s="26"/>
      <c r="FG316" s="26"/>
      <c r="FH316" s="26"/>
      <c r="FI316" s="26"/>
      <c r="FJ316" s="26"/>
      <c r="FK316" s="26"/>
      <c r="FL316" s="26"/>
      <c r="FM316" s="26"/>
      <c r="FN316" s="26"/>
      <c r="FO316" s="26"/>
      <c r="FP316" s="26"/>
      <c r="FQ316" s="26"/>
      <c r="FR316" s="26"/>
      <c r="FS316" s="26"/>
      <c r="FT316" s="26"/>
      <c r="FU316" s="26"/>
      <c r="FV316" s="26"/>
      <c r="FW316" s="26"/>
      <c r="FX316" s="26"/>
      <c r="FY316" s="26"/>
      <c r="FZ316" s="26"/>
      <c r="GA316" s="26"/>
      <c r="GB316" s="26"/>
      <c r="GC316" s="26"/>
      <c r="GD316" s="26"/>
      <c r="GE316" s="26"/>
      <c r="GF316" s="26"/>
      <c r="GG316" s="26"/>
      <c r="GH316" s="26"/>
      <c r="GI316" s="26"/>
      <c r="GJ316" s="26"/>
      <c r="GK316" s="26"/>
      <c r="GL316" s="26"/>
      <c r="GM316" s="26"/>
      <c r="GN316" s="26"/>
      <c r="GO316" s="26"/>
      <c r="GP316" s="26"/>
      <c r="GQ316" s="26"/>
      <c r="GR316" s="26"/>
      <c r="GS316" s="26"/>
      <c r="GT316" s="26"/>
      <c r="GU316" s="26"/>
      <c r="GV316" s="26"/>
      <c r="GW316" s="26"/>
      <c r="GX316" s="26"/>
      <c r="GY316" s="26"/>
      <c r="GZ316" s="26"/>
      <c r="HA316" s="26"/>
      <c r="HB316" s="26"/>
      <c r="HC316" s="26"/>
      <c r="HD316" s="26"/>
      <c r="HE316" s="26"/>
      <c r="HF316" s="26"/>
      <c r="HG316" s="26"/>
      <c r="HH316" s="26"/>
    </row>
    <row r="317" spans="1:21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26"/>
      <c r="FB317" s="26"/>
      <c r="FC317" s="26"/>
      <c r="FD317" s="26"/>
      <c r="FE317" s="26"/>
      <c r="FF317" s="26"/>
      <c r="FG317" s="26"/>
      <c r="FH317" s="26"/>
      <c r="FI317" s="26"/>
      <c r="FJ317" s="26"/>
      <c r="FK317" s="26"/>
      <c r="FL317" s="26"/>
      <c r="FM317" s="26"/>
      <c r="FN317" s="26"/>
      <c r="FO317" s="26"/>
      <c r="FP317" s="26"/>
      <c r="FQ317" s="26"/>
      <c r="FR317" s="26"/>
      <c r="FS317" s="26"/>
      <c r="FT317" s="26"/>
      <c r="FU317" s="26"/>
      <c r="FV317" s="26"/>
      <c r="FW317" s="26"/>
      <c r="FX317" s="26"/>
      <c r="FY317" s="26"/>
      <c r="FZ317" s="26"/>
      <c r="GA317" s="26"/>
      <c r="GB317" s="26"/>
      <c r="GC317" s="26"/>
      <c r="GD317" s="26"/>
      <c r="GE317" s="26"/>
      <c r="GF317" s="26"/>
      <c r="GG317" s="26"/>
      <c r="GH317" s="26"/>
      <c r="GI317" s="26"/>
      <c r="GJ317" s="26"/>
      <c r="GK317" s="26"/>
      <c r="GL317" s="26"/>
      <c r="GM317" s="26"/>
      <c r="GN317" s="26"/>
      <c r="GO317" s="26"/>
      <c r="GP317" s="26"/>
      <c r="GQ317" s="26"/>
      <c r="GR317" s="26"/>
      <c r="GS317" s="26"/>
      <c r="GT317" s="26"/>
      <c r="GU317" s="26"/>
      <c r="GV317" s="26"/>
      <c r="GW317" s="26"/>
      <c r="GX317" s="26"/>
      <c r="GY317" s="26"/>
      <c r="GZ317" s="26"/>
      <c r="HA317" s="26"/>
      <c r="HB317" s="26"/>
      <c r="HC317" s="26"/>
      <c r="HD317" s="26"/>
      <c r="HE317" s="26"/>
      <c r="HF317" s="26"/>
      <c r="HG317" s="26"/>
      <c r="HH317" s="26"/>
    </row>
    <row r="318" spans="1:21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26"/>
      <c r="FB318" s="26"/>
      <c r="FC318" s="26"/>
      <c r="FD318" s="26"/>
      <c r="FE318" s="26"/>
      <c r="FF318" s="26"/>
      <c r="FG318" s="26"/>
      <c r="FH318" s="26"/>
      <c r="FI318" s="26"/>
      <c r="FJ318" s="26"/>
      <c r="FK318" s="26"/>
      <c r="FL318" s="26"/>
      <c r="FM318" s="26"/>
      <c r="FN318" s="26"/>
      <c r="FO318" s="26"/>
      <c r="FP318" s="26"/>
      <c r="FQ318" s="26"/>
      <c r="FR318" s="26"/>
      <c r="FS318" s="26"/>
      <c r="FT318" s="26"/>
      <c r="FU318" s="26"/>
      <c r="FV318" s="26"/>
      <c r="FW318" s="26"/>
      <c r="FX318" s="26"/>
      <c r="FY318" s="26"/>
      <c r="FZ318" s="26"/>
      <c r="GA318" s="26"/>
      <c r="GB318" s="26"/>
      <c r="GC318" s="26"/>
      <c r="GD318" s="26"/>
      <c r="GE318" s="26"/>
      <c r="GF318" s="26"/>
      <c r="GG318" s="26"/>
      <c r="GH318" s="26"/>
      <c r="GI318" s="26"/>
      <c r="GJ318" s="26"/>
      <c r="GK318" s="26"/>
      <c r="GL318" s="26"/>
      <c r="GM318" s="26"/>
      <c r="GN318" s="26"/>
      <c r="GO318" s="26"/>
      <c r="GP318" s="26"/>
      <c r="GQ318" s="26"/>
      <c r="GR318" s="26"/>
      <c r="GS318" s="26"/>
      <c r="GT318" s="26"/>
      <c r="GU318" s="26"/>
      <c r="GV318" s="26"/>
      <c r="GW318" s="26"/>
      <c r="GX318" s="26"/>
      <c r="GY318" s="26"/>
      <c r="GZ318" s="26"/>
      <c r="HA318" s="26"/>
      <c r="HB318" s="26"/>
      <c r="HC318" s="26"/>
      <c r="HD318" s="26"/>
      <c r="HE318" s="26"/>
      <c r="HF318" s="26"/>
      <c r="HG318" s="26"/>
      <c r="HH318" s="26"/>
    </row>
    <row r="319" spans="1:21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26"/>
      <c r="FB319" s="26"/>
      <c r="FC319" s="26"/>
      <c r="FD319" s="26"/>
      <c r="FE319" s="26"/>
      <c r="FF319" s="26"/>
      <c r="FG319" s="26"/>
      <c r="FH319" s="26"/>
      <c r="FI319" s="26"/>
      <c r="FJ319" s="26"/>
      <c r="FK319" s="26"/>
      <c r="FL319" s="26"/>
      <c r="FM319" s="26"/>
      <c r="FN319" s="26"/>
      <c r="FO319" s="26"/>
      <c r="FP319" s="26"/>
      <c r="FQ319" s="26"/>
      <c r="FR319" s="26"/>
      <c r="FS319" s="26"/>
      <c r="FT319" s="26"/>
      <c r="FU319" s="26"/>
      <c r="FV319" s="26"/>
      <c r="FW319" s="26"/>
      <c r="FX319" s="26"/>
      <c r="FY319" s="26"/>
      <c r="FZ319" s="26"/>
      <c r="GA319" s="26"/>
      <c r="GB319" s="26"/>
      <c r="GC319" s="26"/>
      <c r="GD319" s="26"/>
      <c r="GE319" s="26"/>
      <c r="GF319" s="26"/>
      <c r="GG319" s="26"/>
      <c r="GH319" s="26"/>
      <c r="GI319" s="26"/>
      <c r="GJ319" s="26"/>
      <c r="GK319" s="26"/>
      <c r="GL319" s="26"/>
      <c r="GM319" s="26"/>
      <c r="GN319" s="26"/>
      <c r="GO319" s="26"/>
      <c r="GP319" s="26"/>
      <c r="GQ319" s="26"/>
      <c r="GR319" s="26"/>
      <c r="GS319" s="26"/>
      <c r="GT319" s="26"/>
      <c r="GU319" s="26"/>
      <c r="GV319" s="26"/>
      <c r="GW319" s="26"/>
      <c r="GX319" s="26"/>
      <c r="GY319" s="26"/>
      <c r="GZ319" s="26"/>
      <c r="HA319" s="26"/>
      <c r="HB319" s="26"/>
      <c r="HC319" s="26"/>
      <c r="HD319" s="26"/>
      <c r="HE319" s="26"/>
      <c r="HF319" s="26"/>
      <c r="HG319" s="26"/>
      <c r="HH319" s="26"/>
    </row>
    <row r="320" spans="1:21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26"/>
      <c r="FB320" s="26"/>
      <c r="FC320" s="26"/>
      <c r="FD320" s="26"/>
      <c r="FE320" s="26"/>
      <c r="FF320" s="26"/>
      <c r="FG320" s="26"/>
      <c r="FH320" s="26"/>
      <c r="FI320" s="26"/>
      <c r="FJ320" s="26"/>
      <c r="FK320" s="26"/>
      <c r="FL320" s="26"/>
      <c r="FM320" s="26"/>
      <c r="FN320" s="26"/>
      <c r="FO320" s="26"/>
      <c r="FP320" s="26"/>
      <c r="FQ320" s="26"/>
      <c r="FR320" s="26"/>
      <c r="FS320" s="26"/>
      <c r="FT320" s="26"/>
      <c r="FU320" s="26"/>
      <c r="FV320" s="26"/>
      <c r="FW320" s="26"/>
      <c r="FX320" s="26"/>
      <c r="FY320" s="26"/>
      <c r="FZ320" s="26"/>
      <c r="GA320" s="26"/>
      <c r="GB320" s="26"/>
      <c r="GC320" s="26"/>
      <c r="GD320" s="26"/>
      <c r="GE320" s="26"/>
      <c r="GF320" s="26"/>
      <c r="GG320" s="26"/>
      <c r="GH320" s="26"/>
      <c r="GI320" s="26"/>
      <c r="GJ320" s="26"/>
      <c r="GK320" s="26"/>
      <c r="GL320" s="26"/>
      <c r="GM320" s="26"/>
      <c r="GN320" s="26"/>
      <c r="GO320" s="26"/>
      <c r="GP320" s="26"/>
      <c r="GQ320" s="26"/>
      <c r="GR320" s="26"/>
      <c r="GS320" s="26"/>
      <c r="GT320" s="26"/>
      <c r="GU320" s="26"/>
      <c r="GV320" s="26"/>
      <c r="GW320" s="26"/>
      <c r="GX320" s="26"/>
      <c r="GY320" s="26"/>
      <c r="GZ320" s="26"/>
      <c r="HA320" s="26"/>
      <c r="HB320" s="26"/>
      <c r="HC320" s="26"/>
      <c r="HD320" s="26"/>
      <c r="HE320" s="26"/>
      <c r="HF320" s="26"/>
      <c r="HG320" s="26"/>
      <c r="HH320" s="26"/>
    </row>
    <row r="321" spans="1:21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26"/>
      <c r="FB321" s="26"/>
      <c r="FC321" s="26"/>
      <c r="FD321" s="26"/>
      <c r="FE321" s="26"/>
      <c r="FF321" s="26"/>
      <c r="FG321" s="26"/>
      <c r="FH321" s="26"/>
      <c r="FI321" s="26"/>
      <c r="FJ321" s="26"/>
      <c r="FK321" s="26"/>
      <c r="FL321" s="26"/>
      <c r="FM321" s="26"/>
      <c r="FN321" s="26"/>
      <c r="FO321" s="26"/>
      <c r="FP321" s="26"/>
      <c r="FQ321" s="26"/>
      <c r="FR321" s="26"/>
      <c r="FS321" s="26"/>
      <c r="FT321" s="26"/>
      <c r="FU321" s="26"/>
      <c r="FV321" s="26"/>
      <c r="FW321" s="26"/>
      <c r="FX321" s="26"/>
      <c r="FY321" s="26"/>
      <c r="FZ321" s="26"/>
      <c r="GA321" s="26"/>
      <c r="GB321" s="26"/>
      <c r="GC321" s="26"/>
      <c r="GD321" s="26"/>
      <c r="GE321" s="26"/>
      <c r="GF321" s="26"/>
      <c r="GG321" s="26"/>
      <c r="GH321" s="26"/>
      <c r="GI321" s="26"/>
      <c r="GJ321" s="26"/>
      <c r="GK321" s="26"/>
      <c r="GL321" s="26"/>
      <c r="GM321" s="26"/>
      <c r="GN321" s="26"/>
      <c r="GO321" s="26"/>
      <c r="GP321" s="26"/>
      <c r="GQ321" s="26"/>
      <c r="GR321" s="26"/>
      <c r="GS321" s="26"/>
      <c r="GT321" s="26"/>
      <c r="GU321" s="26"/>
      <c r="GV321" s="26"/>
      <c r="GW321" s="26"/>
      <c r="GX321" s="26"/>
      <c r="GY321" s="26"/>
      <c r="GZ321" s="26"/>
      <c r="HA321" s="26"/>
      <c r="HB321" s="26"/>
      <c r="HC321" s="26"/>
      <c r="HD321" s="26"/>
      <c r="HE321" s="26"/>
      <c r="HF321" s="26"/>
      <c r="HG321" s="26"/>
      <c r="HH321" s="26"/>
    </row>
    <row r="322" spans="1:21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26"/>
      <c r="FB322" s="26"/>
      <c r="FC322" s="26"/>
      <c r="FD322" s="26"/>
      <c r="FE322" s="26"/>
      <c r="FF322" s="26"/>
      <c r="FG322" s="26"/>
      <c r="FH322" s="26"/>
      <c r="FI322" s="26"/>
      <c r="FJ322" s="26"/>
      <c r="FK322" s="26"/>
      <c r="FL322" s="26"/>
      <c r="FM322" s="26"/>
      <c r="FN322" s="26"/>
      <c r="FO322" s="26"/>
      <c r="FP322" s="26"/>
      <c r="FQ322" s="26"/>
      <c r="FR322" s="26"/>
      <c r="FS322" s="26"/>
      <c r="FT322" s="26"/>
      <c r="FU322" s="26"/>
      <c r="FV322" s="26"/>
      <c r="FW322" s="26"/>
      <c r="FX322" s="26"/>
      <c r="FY322" s="26"/>
      <c r="FZ322" s="26"/>
      <c r="GA322" s="26"/>
      <c r="GB322" s="26"/>
      <c r="GC322" s="26"/>
      <c r="GD322" s="26"/>
      <c r="GE322" s="26"/>
      <c r="GF322" s="26"/>
      <c r="GG322" s="26"/>
      <c r="GH322" s="26"/>
      <c r="GI322" s="26"/>
      <c r="GJ322" s="26"/>
      <c r="GK322" s="26"/>
      <c r="GL322" s="26"/>
      <c r="GM322" s="26"/>
      <c r="GN322" s="26"/>
      <c r="GO322" s="26"/>
      <c r="GP322" s="26"/>
      <c r="GQ322" s="26"/>
      <c r="GR322" s="26"/>
      <c r="GS322" s="26"/>
      <c r="GT322" s="26"/>
      <c r="GU322" s="26"/>
      <c r="GV322" s="26"/>
      <c r="GW322" s="26"/>
      <c r="GX322" s="26"/>
      <c r="GY322" s="26"/>
      <c r="GZ322" s="26"/>
      <c r="HA322" s="26"/>
      <c r="HB322" s="26"/>
      <c r="HC322" s="26"/>
      <c r="HD322" s="26"/>
      <c r="HE322" s="26"/>
      <c r="HF322" s="26"/>
      <c r="HG322" s="26"/>
      <c r="HH322" s="26"/>
    </row>
    <row r="323" spans="1:21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26"/>
      <c r="FB323" s="26"/>
      <c r="FC323" s="26"/>
      <c r="FD323" s="26"/>
      <c r="FE323" s="26"/>
      <c r="FF323" s="26"/>
      <c r="FG323" s="26"/>
      <c r="FH323" s="26"/>
      <c r="FI323" s="26"/>
      <c r="FJ323" s="26"/>
      <c r="FK323" s="26"/>
      <c r="FL323" s="26"/>
      <c r="FM323" s="26"/>
      <c r="FN323" s="26"/>
      <c r="FO323" s="26"/>
      <c r="FP323" s="26"/>
      <c r="FQ323" s="26"/>
      <c r="FR323" s="26"/>
      <c r="FS323" s="26"/>
      <c r="FT323" s="26"/>
      <c r="FU323" s="26"/>
      <c r="FV323" s="26"/>
      <c r="FW323" s="26"/>
      <c r="FX323" s="26"/>
      <c r="FY323" s="26"/>
      <c r="FZ323" s="26"/>
      <c r="GA323" s="26"/>
      <c r="GB323" s="26"/>
      <c r="GC323" s="26"/>
      <c r="GD323" s="26"/>
      <c r="GE323" s="26"/>
      <c r="GF323" s="26"/>
      <c r="GG323" s="26"/>
      <c r="GH323" s="26"/>
      <c r="GI323" s="26"/>
      <c r="GJ323" s="26"/>
      <c r="GK323" s="26"/>
      <c r="GL323" s="26"/>
      <c r="GM323" s="26"/>
      <c r="GN323" s="26"/>
      <c r="GO323" s="26"/>
      <c r="GP323" s="26"/>
      <c r="GQ323" s="26"/>
      <c r="GR323" s="26"/>
      <c r="GS323" s="26"/>
      <c r="GT323" s="26"/>
      <c r="GU323" s="26"/>
      <c r="GV323" s="26"/>
      <c r="GW323" s="26"/>
      <c r="GX323" s="26"/>
      <c r="GY323" s="26"/>
      <c r="GZ323" s="26"/>
      <c r="HA323" s="26"/>
      <c r="HB323" s="26"/>
      <c r="HC323" s="26"/>
      <c r="HD323" s="26"/>
      <c r="HE323" s="26"/>
      <c r="HF323" s="26"/>
      <c r="HG323" s="26"/>
      <c r="HH323" s="26"/>
    </row>
    <row r="324" spans="1:21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26"/>
      <c r="FB324" s="26"/>
      <c r="FC324" s="26"/>
      <c r="FD324" s="26"/>
      <c r="FE324" s="26"/>
      <c r="FF324" s="26"/>
      <c r="FG324" s="26"/>
      <c r="FH324" s="26"/>
      <c r="FI324" s="26"/>
      <c r="FJ324" s="26"/>
      <c r="FK324" s="26"/>
      <c r="FL324" s="26"/>
      <c r="FM324" s="26"/>
      <c r="FN324" s="26"/>
      <c r="FO324" s="26"/>
      <c r="FP324" s="26"/>
      <c r="FQ324" s="26"/>
      <c r="FR324" s="26"/>
      <c r="FS324" s="26"/>
      <c r="FT324" s="26"/>
      <c r="FU324" s="26"/>
      <c r="FV324" s="26"/>
      <c r="FW324" s="26"/>
      <c r="FX324" s="26"/>
      <c r="FY324" s="26"/>
      <c r="FZ324" s="26"/>
      <c r="GA324" s="26"/>
      <c r="GB324" s="26"/>
      <c r="GC324" s="26"/>
      <c r="GD324" s="26"/>
      <c r="GE324" s="26"/>
      <c r="GF324" s="26"/>
      <c r="GG324" s="26"/>
      <c r="GH324" s="26"/>
      <c r="GI324" s="26"/>
      <c r="GJ324" s="26"/>
      <c r="GK324" s="26"/>
      <c r="GL324" s="26"/>
      <c r="GM324" s="26"/>
      <c r="GN324" s="26"/>
      <c r="GO324" s="26"/>
      <c r="GP324" s="26"/>
      <c r="GQ324" s="26"/>
      <c r="GR324" s="26"/>
      <c r="GS324" s="26"/>
      <c r="GT324" s="26"/>
      <c r="GU324" s="26"/>
      <c r="GV324" s="26"/>
      <c r="GW324" s="26"/>
      <c r="GX324" s="26"/>
      <c r="GY324" s="26"/>
      <c r="GZ324" s="26"/>
      <c r="HA324" s="26"/>
      <c r="HB324" s="26"/>
      <c r="HC324" s="26"/>
      <c r="HD324" s="26"/>
      <c r="HE324" s="26"/>
      <c r="HF324" s="26"/>
      <c r="HG324" s="26"/>
      <c r="HH324" s="26"/>
    </row>
    <row r="325" spans="1:21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26"/>
      <c r="FB325" s="26"/>
      <c r="FC325" s="26"/>
      <c r="FD325" s="26"/>
      <c r="FE325" s="26"/>
      <c r="FF325" s="26"/>
      <c r="FG325" s="26"/>
      <c r="FH325" s="26"/>
      <c r="FI325" s="26"/>
      <c r="FJ325" s="26"/>
      <c r="FK325" s="26"/>
      <c r="FL325" s="26"/>
      <c r="FM325" s="26"/>
      <c r="FN325" s="26"/>
      <c r="FO325" s="26"/>
      <c r="FP325" s="26"/>
      <c r="FQ325" s="26"/>
      <c r="FR325" s="26"/>
      <c r="FS325" s="26"/>
      <c r="FT325" s="26"/>
      <c r="FU325" s="26"/>
      <c r="FV325" s="26"/>
      <c r="FW325" s="26"/>
      <c r="FX325" s="26"/>
      <c r="FY325" s="26"/>
      <c r="FZ325" s="26"/>
      <c r="GA325" s="26"/>
      <c r="GB325" s="26"/>
      <c r="GC325" s="26"/>
      <c r="GD325" s="26"/>
      <c r="GE325" s="26"/>
      <c r="GF325" s="26"/>
      <c r="GG325" s="26"/>
      <c r="GH325" s="26"/>
      <c r="GI325" s="26"/>
      <c r="GJ325" s="26"/>
      <c r="GK325" s="26"/>
      <c r="GL325" s="26"/>
      <c r="GM325" s="26"/>
      <c r="GN325" s="26"/>
      <c r="GO325" s="26"/>
      <c r="GP325" s="26"/>
      <c r="GQ325" s="26"/>
      <c r="GR325" s="26"/>
      <c r="GS325" s="26"/>
      <c r="GT325" s="26"/>
      <c r="GU325" s="26"/>
      <c r="GV325" s="26"/>
      <c r="GW325" s="26"/>
      <c r="GX325" s="26"/>
      <c r="GY325" s="26"/>
      <c r="GZ325" s="26"/>
      <c r="HA325" s="26"/>
      <c r="HB325" s="26"/>
      <c r="HC325" s="26"/>
      <c r="HD325" s="26"/>
      <c r="HE325" s="26"/>
      <c r="HF325" s="26"/>
      <c r="HG325" s="26"/>
      <c r="HH325" s="26"/>
    </row>
    <row r="326" spans="1:21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26"/>
      <c r="FB326" s="26"/>
      <c r="FC326" s="26"/>
      <c r="FD326" s="26"/>
      <c r="FE326" s="26"/>
      <c r="FF326" s="26"/>
      <c r="FG326" s="26"/>
      <c r="FH326" s="26"/>
      <c r="FI326" s="26"/>
      <c r="FJ326" s="26"/>
      <c r="FK326" s="26"/>
      <c r="FL326" s="26"/>
      <c r="FM326" s="26"/>
      <c r="FN326" s="26"/>
      <c r="FO326" s="26"/>
      <c r="FP326" s="26"/>
      <c r="FQ326" s="26"/>
      <c r="FR326" s="26"/>
      <c r="FS326" s="26"/>
      <c r="FT326" s="26"/>
      <c r="FU326" s="26"/>
      <c r="FV326" s="26"/>
      <c r="FW326" s="26"/>
      <c r="FX326" s="26"/>
      <c r="FY326" s="26"/>
      <c r="FZ326" s="26"/>
      <c r="GA326" s="26"/>
      <c r="GB326" s="26"/>
      <c r="GC326" s="26"/>
      <c r="GD326" s="26"/>
      <c r="GE326" s="26"/>
      <c r="GF326" s="26"/>
      <c r="GG326" s="26"/>
      <c r="GH326" s="26"/>
      <c r="GI326" s="26"/>
      <c r="GJ326" s="26"/>
      <c r="GK326" s="26"/>
      <c r="GL326" s="26"/>
      <c r="GM326" s="26"/>
      <c r="GN326" s="26"/>
      <c r="GO326" s="26"/>
      <c r="GP326" s="26"/>
      <c r="GQ326" s="26"/>
      <c r="GR326" s="26"/>
      <c r="GS326" s="26"/>
      <c r="GT326" s="26"/>
      <c r="GU326" s="26"/>
      <c r="GV326" s="26"/>
      <c r="GW326" s="26"/>
      <c r="GX326" s="26"/>
      <c r="GY326" s="26"/>
      <c r="GZ326" s="26"/>
      <c r="HA326" s="26"/>
      <c r="HB326" s="26"/>
      <c r="HC326" s="26"/>
      <c r="HD326" s="26"/>
      <c r="HE326" s="26"/>
      <c r="HF326" s="26"/>
      <c r="HG326" s="26"/>
      <c r="HH326" s="26"/>
    </row>
    <row r="327" spans="1:21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26"/>
      <c r="FB327" s="26"/>
      <c r="FC327" s="26"/>
      <c r="FD327" s="26"/>
      <c r="FE327" s="26"/>
      <c r="FF327" s="26"/>
      <c r="FG327" s="26"/>
      <c r="FH327" s="26"/>
      <c r="FI327" s="26"/>
      <c r="FJ327" s="26"/>
      <c r="FK327" s="26"/>
      <c r="FL327" s="26"/>
      <c r="FM327" s="26"/>
      <c r="FN327" s="26"/>
      <c r="FO327" s="26"/>
      <c r="FP327" s="26"/>
      <c r="FQ327" s="26"/>
      <c r="FR327" s="26"/>
      <c r="FS327" s="26"/>
      <c r="FT327" s="26"/>
      <c r="FU327" s="26"/>
      <c r="FV327" s="26"/>
      <c r="FW327" s="26"/>
      <c r="FX327" s="26"/>
      <c r="FY327" s="26"/>
      <c r="FZ327" s="26"/>
      <c r="GA327" s="26"/>
      <c r="GB327" s="26"/>
      <c r="GC327" s="26"/>
      <c r="GD327" s="26"/>
      <c r="GE327" s="26"/>
      <c r="GF327" s="26"/>
      <c r="GG327" s="26"/>
      <c r="GH327" s="26"/>
      <c r="GI327" s="26"/>
      <c r="GJ327" s="26"/>
      <c r="GK327" s="26"/>
      <c r="GL327" s="26"/>
      <c r="GM327" s="26"/>
      <c r="GN327" s="26"/>
      <c r="GO327" s="26"/>
      <c r="GP327" s="26"/>
      <c r="GQ327" s="26"/>
      <c r="GR327" s="26"/>
      <c r="GS327" s="26"/>
      <c r="GT327" s="26"/>
      <c r="GU327" s="26"/>
      <c r="GV327" s="26"/>
      <c r="GW327" s="26"/>
      <c r="GX327" s="26"/>
      <c r="GY327" s="26"/>
      <c r="GZ327" s="26"/>
      <c r="HA327" s="26"/>
      <c r="HB327" s="26"/>
      <c r="HC327" s="26"/>
      <c r="HD327" s="26"/>
      <c r="HE327" s="26"/>
      <c r="HF327" s="26"/>
      <c r="HG327" s="26"/>
      <c r="HH327" s="26"/>
    </row>
    <row r="328" spans="1:21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26"/>
      <c r="FB328" s="26"/>
      <c r="FC328" s="26"/>
      <c r="FD328" s="26"/>
      <c r="FE328" s="26"/>
      <c r="FF328" s="26"/>
      <c r="FG328" s="26"/>
      <c r="FH328" s="26"/>
      <c r="FI328" s="26"/>
      <c r="FJ328" s="26"/>
      <c r="FK328" s="26"/>
      <c r="FL328" s="26"/>
      <c r="FM328" s="26"/>
      <c r="FN328" s="26"/>
      <c r="FO328" s="26"/>
      <c r="FP328" s="26"/>
      <c r="FQ328" s="26"/>
      <c r="FR328" s="26"/>
      <c r="FS328" s="26"/>
      <c r="FT328" s="26"/>
      <c r="FU328" s="26"/>
      <c r="FV328" s="26"/>
      <c r="FW328" s="26"/>
      <c r="FX328" s="26"/>
      <c r="FY328" s="26"/>
      <c r="FZ328" s="26"/>
      <c r="GA328" s="26"/>
      <c r="GB328" s="26"/>
      <c r="GC328" s="26"/>
      <c r="GD328" s="26"/>
      <c r="GE328" s="26"/>
      <c r="GF328" s="26"/>
      <c r="GG328" s="26"/>
      <c r="GH328" s="26"/>
      <c r="GI328" s="26"/>
      <c r="GJ328" s="26"/>
      <c r="GK328" s="26"/>
      <c r="GL328" s="26"/>
      <c r="GM328" s="26"/>
      <c r="GN328" s="26"/>
      <c r="GO328" s="26"/>
      <c r="GP328" s="26"/>
      <c r="GQ328" s="26"/>
      <c r="GR328" s="26"/>
      <c r="GS328" s="26"/>
      <c r="GT328" s="26"/>
      <c r="GU328" s="26"/>
      <c r="GV328" s="26"/>
      <c r="GW328" s="26"/>
      <c r="GX328" s="26"/>
      <c r="GY328" s="26"/>
      <c r="GZ328" s="26"/>
      <c r="HA328" s="26"/>
      <c r="HB328" s="26"/>
      <c r="HC328" s="26"/>
      <c r="HD328" s="26"/>
      <c r="HE328" s="26"/>
      <c r="HF328" s="26"/>
      <c r="HG328" s="26"/>
      <c r="HH328" s="26"/>
    </row>
    <row r="329" spans="1:21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26"/>
      <c r="FB329" s="26"/>
      <c r="FC329" s="26"/>
      <c r="FD329" s="26"/>
      <c r="FE329" s="26"/>
      <c r="FF329" s="26"/>
      <c r="FG329" s="26"/>
      <c r="FH329" s="26"/>
      <c r="FI329" s="26"/>
      <c r="FJ329" s="26"/>
      <c r="FK329" s="26"/>
      <c r="FL329" s="26"/>
      <c r="FM329" s="26"/>
      <c r="FN329" s="26"/>
      <c r="FO329" s="26"/>
      <c r="FP329" s="26"/>
      <c r="FQ329" s="26"/>
      <c r="FR329" s="26"/>
      <c r="FS329" s="26"/>
      <c r="FT329" s="26"/>
      <c r="FU329" s="26"/>
      <c r="FV329" s="26"/>
      <c r="FW329" s="26"/>
      <c r="FX329" s="26"/>
      <c r="FY329" s="26"/>
      <c r="FZ329" s="26"/>
      <c r="GA329" s="26"/>
      <c r="GB329" s="26"/>
      <c r="GC329" s="26"/>
      <c r="GD329" s="26"/>
      <c r="GE329" s="26"/>
      <c r="GF329" s="26"/>
      <c r="GG329" s="26"/>
      <c r="GH329" s="26"/>
      <c r="GI329" s="26"/>
      <c r="GJ329" s="26"/>
      <c r="GK329" s="26"/>
      <c r="GL329" s="26"/>
      <c r="GM329" s="26"/>
      <c r="GN329" s="26"/>
      <c r="GO329" s="26"/>
      <c r="GP329" s="26"/>
      <c r="GQ329" s="26"/>
      <c r="GR329" s="26"/>
      <c r="GS329" s="26"/>
      <c r="GT329" s="26"/>
      <c r="GU329" s="26"/>
      <c r="GV329" s="26"/>
      <c r="GW329" s="26"/>
      <c r="GX329" s="26"/>
      <c r="GY329" s="26"/>
      <c r="GZ329" s="26"/>
      <c r="HA329" s="26"/>
      <c r="HB329" s="26"/>
      <c r="HC329" s="26"/>
      <c r="HD329" s="26"/>
      <c r="HE329" s="26"/>
      <c r="HF329" s="26"/>
      <c r="HG329" s="26"/>
      <c r="HH329" s="26"/>
    </row>
    <row r="330" spans="1:21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26"/>
      <c r="FB330" s="26"/>
      <c r="FC330" s="26"/>
      <c r="FD330" s="26"/>
      <c r="FE330" s="26"/>
      <c r="FF330" s="26"/>
      <c r="FG330" s="26"/>
      <c r="FH330" s="26"/>
      <c r="FI330" s="26"/>
      <c r="FJ330" s="26"/>
      <c r="FK330" s="26"/>
      <c r="FL330" s="26"/>
      <c r="FM330" s="26"/>
      <c r="FN330" s="26"/>
      <c r="FO330" s="26"/>
      <c r="FP330" s="26"/>
      <c r="FQ330" s="26"/>
      <c r="FR330" s="26"/>
      <c r="FS330" s="26"/>
      <c r="FT330" s="26"/>
      <c r="FU330" s="26"/>
      <c r="FV330" s="26"/>
      <c r="FW330" s="26"/>
      <c r="FX330" s="26"/>
      <c r="FY330" s="26"/>
      <c r="FZ330" s="26"/>
      <c r="GA330" s="26"/>
      <c r="GB330" s="26"/>
      <c r="GC330" s="26"/>
      <c r="GD330" s="26"/>
      <c r="GE330" s="26"/>
      <c r="GF330" s="26"/>
      <c r="GG330" s="26"/>
      <c r="GH330" s="26"/>
      <c r="GI330" s="26"/>
      <c r="GJ330" s="26"/>
      <c r="GK330" s="26"/>
      <c r="GL330" s="26"/>
      <c r="GM330" s="26"/>
      <c r="GN330" s="26"/>
      <c r="GO330" s="26"/>
      <c r="GP330" s="26"/>
      <c r="GQ330" s="26"/>
      <c r="GR330" s="26"/>
      <c r="GS330" s="26"/>
      <c r="GT330" s="26"/>
      <c r="GU330" s="26"/>
      <c r="GV330" s="26"/>
      <c r="GW330" s="26"/>
      <c r="GX330" s="26"/>
      <c r="GY330" s="26"/>
      <c r="GZ330" s="26"/>
      <c r="HA330" s="26"/>
      <c r="HB330" s="26"/>
      <c r="HC330" s="26"/>
      <c r="HD330" s="26"/>
      <c r="HE330" s="26"/>
      <c r="HF330" s="26"/>
      <c r="HG330" s="26"/>
      <c r="HH330" s="26"/>
    </row>
    <row r="331" spans="1:21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26"/>
      <c r="FB331" s="26"/>
      <c r="FC331" s="26"/>
      <c r="FD331" s="26"/>
      <c r="FE331" s="26"/>
      <c r="FF331" s="26"/>
      <c r="FG331" s="26"/>
      <c r="FH331" s="26"/>
      <c r="FI331" s="26"/>
      <c r="FJ331" s="26"/>
      <c r="FK331" s="26"/>
      <c r="FL331" s="26"/>
      <c r="FM331" s="26"/>
      <c r="FN331" s="26"/>
      <c r="FO331" s="26"/>
      <c r="FP331" s="26"/>
      <c r="FQ331" s="26"/>
      <c r="FR331" s="26"/>
      <c r="FS331" s="26"/>
      <c r="FT331" s="26"/>
      <c r="FU331" s="26"/>
      <c r="FV331" s="26"/>
      <c r="FW331" s="26"/>
      <c r="FX331" s="26"/>
      <c r="FY331" s="26"/>
      <c r="FZ331" s="26"/>
      <c r="GA331" s="26"/>
      <c r="GB331" s="26"/>
      <c r="GC331" s="26"/>
      <c r="GD331" s="26"/>
      <c r="GE331" s="26"/>
      <c r="GF331" s="26"/>
      <c r="GG331" s="26"/>
      <c r="GH331" s="26"/>
      <c r="GI331" s="26"/>
      <c r="GJ331" s="26"/>
      <c r="GK331" s="26"/>
      <c r="GL331" s="26"/>
      <c r="GM331" s="26"/>
      <c r="GN331" s="26"/>
      <c r="GO331" s="26"/>
      <c r="GP331" s="26"/>
      <c r="GQ331" s="26"/>
      <c r="GR331" s="26"/>
      <c r="GS331" s="26"/>
      <c r="GT331" s="26"/>
      <c r="GU331" s="26"/>
      <c r="GV331" s="26"/>
      <c r="GW331" s="26"/>
      <c r="GX331" s="26"/>
      <c r="GY331" s="26"/>
      <c r="GZ331" s="26"/>
      <c r="HA331" s="26"/>
      <c r="HB331" s="26"/>
      <c r="HC331" s="26"/>
      <c r="HD331" s="26"/>
      <c r="HE331" s="26"/>
      <c r="HF331" s="26"/>
      <c r="HG331" s="26"/>
      <c r="HH331" s="26"/>
    </row>
    <row r="332" spans="1:21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26"/>
      <c r="FB332" s="26"/>
      <c r="FC332" s="26"/>
      <c r="FD332" s="26"/>
      <c r="FE332" s="26"/>
      <c r="FF332" s="26"/>
      <c r="FG332" s="26"/>
      <c r="FH332" s="26"/>
      <c r="FI332" s="26"/>
      <c r="FJ332" s="26"/>
      <c r="FK332" s="26"/>
      <c r="FL332" s="26"/>
      <c r="FM332" s="26"/>
      <c r="FN332" s="26"/>
      <c r="FO332" s="26"/>
      <c r="FP332" s="26"/>
      <c r="FQ332" s="26"/>
      <c r="FR332" s="26"/>
      <c r="FS332" s="26"/>
      <c r="FT332" s="26"/>
      <c r="FU332" s="26"/>
      <c r="FV332" s="26"/>
      <c r="FW332" s="26"/>
      <c r="FX332" s="26"/>
      <c r="FY332" s="26"/>
      <c r="FZ332" s="26"/>
      <c r="GA332" s="26"/>
      <c r="GB332" s="26"/>
      <c r="GC332" s="26"/>
      <c r="GD332" s="26"/>
      <c r="GE332" s="26"/>
      <c r="GF332" s="26"/>
      <c r="GG332" s="26"/>
      <c r="GH332" s="26"/>
      <c r="GI332" s="26"/>
      <c r="GJ332" s="26"/>
      <c r="GK332" s="26"/>
      <c r="GL332" s="26"/>
      <c r="GM332" s="26"/>
      <c r="GN332" s="26"/>
      <c r="GO332" s="26"/>
      <c r="GP332" s="26"/>
      <c r="GQ332" s="26"/>
      <c r="GR332" s="26"/>
      <c r="GS332" s="26"/>
      <c r="GT332" s="26"/>
      <c r="GU332" s="26"/>
      <c r="GV332" s="26"/>
      <c r="GW332" s="26"/>
      <c r="GX332" s="26"/>
      <c r="GY332" s="26"/>
      <c r="GZ332" s="26"/>
      <c r="HA332" s="26"/>
      <c r="HB332" s="26"/>
      <c r="HC332" s="26"/>
      <c r="HD332" s="26"/>
      <c r="HE332" s="26"/>
      <c r="HF332" s="26"/>
      <c r="HG332" s="26"/>
      <c r="HH332" s="26"/>
    </row>
    <row r="333" spans="1:21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26"/>
      <c r="FB333" s="26"/>
      <c r="FC333" s="26"/>
      <c r="FD333" s="26"/>
      <c r="FE333" s="26"/>
      <c r="FF333" s="26"/>
      <c r="FG333" s="26"/>
      <c r="FH333" s="26"/>
      <c r="FI333" s="26"/>
      <c r="FJ333" s="26"/>
      <c r="FK333" s="26"/>
      <c r="FL333" s="26"/>
      <c r="FM333" s="26"/>
      <c r="FN333" s="26"/>
      <c r="FO333" s="26"/>
      <c r="FP333" s="26"/>
      <c r="FQ333" s="26"/>
      <c r="FR333" s="26"/>
      <c r="FS333" s="26"/>
      <c r="FT333" s="26"/>
      <c r="FU333" s="26"/>
      <c r="FV333" s="26"/>
      <c r="FW333" s="26"/>
      <c r="FX333" s="26"/>
      <c r="FY333" s="26"/>
      <c r="FZ333" s="26"/>
      <c r="GA333" s="26"/>
      <c r="GB333" s="26"/>
      <c r="GC333" s="26"/>
      <c r="GD333" s="26"/>
      <c r="GE333" s="26"/>
      <c r="GF333" s="26"/>
      <c r="GG333" s="26"/>
      <c r="GH333" s="26"/>
      <c r="GI333" s="26"/>
      <c r="GJ333" s="26"/>
      <c r="GK333" s="26"/>
      <c r="GL333" s="26"/>
      <c r="GM333" s="26"/>
      <c r="GN333" s="26"/>
      <c r="GO333" s="26"/>
      <c r="GP333" s="26"/>
      <c r="GQ333" s="26"/>
      <c r="GR333" s="26"/>
      <c r="GS333" s="26"/>
      <c r="GT333" s="26"/>
      <c r="GU333" s="26"/>
      <c r="GV333" s="26"/>
      <c r="GW333" s="26"/>
      <c r="GX333" s="26"/>
      <c r="GY333" s="26"/>
      <c r="GZ333" s="26"/>
      <c r="HA333" s="26"/>
      <c r="HB333" s="26"/>
      <c r="HC333" s="26"/>
      <c r="HD333" s="26"/>
      <c r="HE333" s="26"/>
      <c r="HF333" s="26"/>
      <c r="HG333" s="26"/>
      <c r="HH333" s="26"/>
    </row>
    <row r="334" spans="1:21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26"/>
      <c r="FB334" s="26"/>
      <c r="FC334" s="26"/>
      <c r="FD334" s="26"/>
      <c r="FE334" s="26"/>
      <c r="FF334" s="26"/>
      <c r="FG334" s="26"/>
      <c r="FH334" s="26"/>
      <c r="FI334" s="26"/>
      <c r="FJ334" s="26"/>
      <c r="FK334" s="26"/>
      <c r="FL334" s="26"/>
      <c r="FM334" s="26"/>
      <c r="FN334" s="26"/>
      <c r="FO334" s="26"/>
      <c r="FP334" s="26"/>
      <c r="FQ334" s="26"/>
      <c r="FR334" s="26"/>
      <c r="FS334" s="26"/>
      <c r="FT334" s="26"/>
      <c r="FU334" s="26"/>
      <c r="FV334" s="26"/>
      <c r="FW334" s="26"/>
      <c r="FX334" s="26"/>
      <c r="FY334" s="26"/>
      <c r="FZ334" s="26"/>
      <c r="GA334" s="26"/>
      <c r="GB334" s="26"/>
      <c r="GC334" s="26"/>
      <c r="GD334" s="26"/>
      <c r="GE334" s="26"/>
      <c r="GF334" s="26"/>
      <c r="GG334" s="26"/>
      <c r="GH334" s="26"/>
      <c r="GI334" s="26"/>
      <c r="GJ334" s="26"/>
      <c r="GK334" s="26"/>
      <c r="GL334" s="26"/>
      <c r="GM334" s="26"/>
      <c r="GN334" s="26"/>
      <c r="GO334" s="26"/>
      <c r="GP334" s="26"/>
      <c r="GQ334" s="26"/>
      <c r="GR334" s="26"/>
      <c r="GS334" s="26"/>
      <c r="GT334" s="26"/>
      <c r="GU334" s="26"/>
      <c r="GV334" s="26"/>
      <c r="GW334" s="26"/>
      <c r="GX334" s="26"/>
      <c r="GY334" s="26"/>
      <c r="GZ334" s="26"/>
      <c r="HA334" s="26"/>
      <c r="HB334" s="26"/>
      <c r="HC334" s="26"/>
      <c r="HD334" s="26"/>
      <c r="HE334" s="26"/>
      <c r="HF334" s="26"/>
      <c r="HG334" s="26"/>
      <c r="HH334" s="26"/>
    </row>
    <row r="335" spans="1:21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26"/>
      <c r="FB335" s="26"/>
      <c r="FC335" s="26"/>
      <c r="FD335" s="26"/>
      <c r="FE335" s="26"/>
      <c r="FF335" s="26"/>
      <c r="FG335" s="26"/>
      <c r="FH335" s="26"/>
      <c r="FI335" s="26"/>
      <c r="FJ335" s="26"/>
      <c r="FK335" s="26"/>
      <c r="FL335" s="26"/>
      <c r="FM335" s="26"/>
      <c r="FN335" s="26"/>
      <c r="FO335" s="26"/>
      <c r="FP335" s="26"/>
      <c r="FQ335" s="26"/>
      <c r="FR335" s="26"/>
      <c r="FS335" s="26"/>
      <c r="FT335" s="26"/>
      <c r="FU335" s="26"/>
      <c r="FV335" s="26"/>
      <c r="FW335" s="26"/>
      <c r="FX335" s="26"/>
      <c r="FY335" s="26"/>
      <c r="FZ335" s="26"/>
      <c r="GA335" s="26"/>
      <c r="GB335" s="26"/>
      <c r="GC335" s="26"/>
      <c r="GD335" s="26"/>
      <c r="GE335" s="26"/>
      <c r="GF335" s="26"/>
      <c r="GG335" s="26"/>
      <c r="GH335" s="26"/>
      <c r="GI335" s="26"/>
      <c r="GJ335" s="26"/>
      <c r="GK335" s="26"/>
      <c r="GL335" s="26"/>
      <c r="GM335" s="26"/>
      <c r="GN335" s="26"/>
      <c r="GO335" s="26"/>
      <c r="GP335" s="26"/>
      <c r="GQ335" s="26"/>
      <c r="GR335" s="26"/>
      <c r="GS335" s="26"/>
      <c r="GT335" s="26"/>
      <c r="GU335" s="26"/>
      <c r="GV335" s="26"/>
      <c r="GW335" s="26"/>
      <c r="GX335" s="26"/>
      <c r="GY335" s="26"/>
      <c r="GZ335" s="26"/>
      <c r="HA335" s="26"/>
      <c r="HB335" s="26"/>
      <c r="HC335" s="26"/>
      <c r="HD335" s="26"/>
      <c r="HE335" s="26"/>
      <c r="HF335" s="26"/>
      <c r="HG335" s="26"/>
      <c r="HH335" s="26"/>
    </row>
    <row r="336" spans="1:21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26"/>
      <c r="FB336" s="26"/>
      <c r="FC336" s="26"/>
      <c r="FD336" s="26"/>
      <c r="FE336" s="26"/>
      <c r="FF336" s="26"/>
      <c r="FG336" s="26"/>
      <c r="FH336" s="26"/>
      <c r="FI336" s="26"/>
      <c r="FJ336" s="26"/>
      <c r="FK336" s="26"/>
      <c r="FL336" s="26"/>
      <c r="FM336" s="26"/>
      <c r="FN336" s="26"/>
      <c r="FO336" s="26"/>
      <c r="FP336" s="26"/>
      <c r="FQ336" s="26"/>
      <c r="FR336" s="26"/>
      <c r="FS336" s="26"/>
      <c r="FT336" s="26"/>
      <c r="FU336" s="26"/>
      <c r="FV336" s="26"/>
      <c r="FW336" s="26"/>
      <c r="FX336" s="26"/>
      <c r="FY336" s="26"/>
      <c r="FZ336" s="26"/>
      <c r="GA336" s="26"/>
      <c r="GB336" s="26"/>
      <c r="GC336" s="26"/>
      <c r="GD336" s="26"/>
      <c r="GE336" s="26"/>
      <c r="GF336" s="26"/>
      <c r="GG336" s="26"/>
      <c r="GH336" s="26"/>
      <c r="GI336" s="26"/>
      <c r="GJ336" s="26"/>
      <c r="GK336" s="26"/>
      <c r="GL336" s="26"/>
      <c r="GM336" s="26"/>
      <c r="GN336" s="26"/>
      <c r="GO336" s="26"/>
      <c r="GP336" s="26"/>
      <c r="GQ336" s="26"/>
      <c r="GR336" s="26"/>
      <c r="GS336" s="26"/>
      <c r="GT336" s="26"/>
      <c r="GU336" s="26"/>
      <c r="GV336" s="26"/>
      <c r="GW336" s="26"/>
      <c r="GX336" s="26"/>
      <c r="GY336" s="26"/>
      <c r="GZ336" s="26"/>
      <c r="HA336" s="26"/>
      <c r="HB336" s="26"/>
      <c r="HC336" s="26"/>
      <c r="HD336" s="26"/>
      <c r="HE336" s="26"/>
      <c r="HF336" s="26"/>
      <c r="HG336" s="26"/>
      <c r="HH336" s="26"/>
    </row>
    <row r="337" spans="1:21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26"/>
      <c r="FB337" s="26"/>
      <c r="FC337" s="26"/>
      <c r="FD337" s="26"/>
      <c r="FE337" s="26"/>
      <c r="FF337" s="26"/>
      <c r="FG337" s="26"/>
      <c r="FH337" s="26"/>
      <c r="FI337" s="26"/>
      <c r="FJ337" s="26"/>
      <c r="FK337" s="26"/>
      <c r="FL337" s="26"/>
      <c r="FM337" s="26"/>
      <c r="FN337" s="26"/>
      <c r="FO337" s="26"/>
      <c r="FP337" s="26"/>
      <c r="FQ337" s="26"/>
      <c r="FR337" s="26"/>
      <c r="FS337" s="26"/>
      <c r="FT337" s="26"/>
      <c r="FU337" s="26"/>
      <c r="FV337" s="26"/>
      <c r="FW337" s="26"/>
      <c r="FX337" s="26"/>
      <c r="FY337" s="26"/>
      <c r="FZ337" s="26"/>
      <c r="GA337" s="26"/>
      <c r="GB337" s="26"/>
      <c r="GC337" s="26"/>
      <c r="GD337" s="26"/>
      <c r="GE337" s="26"/>
      <c r="GF337" s="26"/>
      <c r="GG337" s="26"/>
      <c r="GH337" s="26"/>
      <c r="GI337" s="26"/>
      <c r="GJ337" s="26"/>
      <c r="GK337" s="26"/>
      <c r="GL337" s="26"/>
      <c r="GM337" s="26"/>
      <c r="GN337" s="26"/>
      <c r="GO337" s="26"/>
      <c r="GP337" s="26"/>
      <c r="GQ337" s="26"/>
      <c r="GR337" s="26"/>
      <c r="GS337" s="26"/>
      <c r="GT337" s="26"/>
      <c r="GU337" s="26"/>
      <c r="GV337" s="26"/>
      <c r="GW337" s="26"/>
      <c r="GX337" s="26"/>
      <c r="GY337" s="26"/>
      <c r="GZ337" s="26"/>
      <c r="HA337" s="26"/>
      <c r="HB337" s="26"/>
      <c r="HC337" s="26"/>
      <c r="HD337" s="26"/>
      <c r="HE337" s="26"/>
      <c r="HF337" s="26"/>
      <c r="HG337" s="26"/>
      <c r="HH337" s="26"/>
    </row>
    <row r="338" spans="1:21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26"/>
      <c r="FB338" s="26"/>
      <c r="FC338" s="26"/>
      <c r="FD338" s="26"/>
      <c r="FE338" s="26"/>
      <c r="FF338" s="26"/>
      <c r="FG338" s="26"/>
      <c r="FH338" s="26"/>
      <c r="FI338" s="26"/>
      <c r="FJ338" s="26"/>
      <c r="FK338" s="26"/>
      <c r="FL338" s="26"/>
      <c r="FM338" s="26"/>
      <c r="FN338" s="26"/>
      <c r="FO338" s="26"/>
      <c r="FP338" s="26"/>
      <c r="FQ338" s="26"/>
      <c r="FR338" s="26"/>
      <c r="FS338" s="26"/>
      <c r="FT338" s="26"/>
      <c r="FU338" s="26"/>
      <c r="FV338" s="26"/>
      <c r="FW338" s="26"/>
      <c r="FX338" s="26"/>
      <c r="FY338" s="26"/>
      <c r="FZ338" s="26"/>
      <c r="GA338" s="26"/>
      <c r="GB338" s="26"/>
      <c r="GC338" s="26"/>
      <c r="GD338" s="26"/>
      <c r="GE338" s="26"/>
      <c r="GF338" s="26"/>
      <c r="GG338" s="26"/>
      <c r="GH338" s="26"/>
      <c r="GI338" s="26"/>
      <c r="GJ338" s="26"/>
      <c r="GK338" s="26"/>
      <c r="GL338" s="26"/>
      <c r="GM338" s="26"/>
      <c r="GN338" s="26"/>
      <c r="GO338" s="26"/>
      <c r="GP338" s="26"/>
      <c r="GQ338" s="26"/>
      <c r="GR338" s="26"/>
      <c r="GS338" s="26"/>
      <c r="GT338" s="26"/>
      <c r="GU338" s="26"/>
      <c r="GV338" s="26"/>
      <c r="GW338" s="26"/>
      <c r="GX338" s="26"/>
      <c r="GY338" s="26"/>
      <c r="GZ338" s="26"/>
      <c r="HA338" s="26"/>
      <c r="HB338" s="26"/>
      <c r="HC338" s="26"/>
      <c r="HD338" s="26"/>
      <c r="HE338" s="26"/>
      <c r="HF338" s="26"/>
      <c r="HG338" s="26"/>
      <c r="HH338" s="26"/>
    </row>
    <row r="339" spans="1:21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26"/>
      <c r="FB339" s="26"/>
      <c r="FC339" s="26"/>
      <c r="FD339" s="26"/>
      <c r="FE339" s="26"/>
      <c r="FF339" s="26"/>
      <c r="FG339" s="26"/>
      <c r="FH339" s="26"/>
      <c r="FI339" s="26"/>
      <c r="FJ339" s="26"/>
      <c r="FK339" s="26"/>
      <c r="FL339" s="26"/>
      <c r="FM339" s="26"/>
      <c r="FN339" s="26"/>
      <c r="FO339" s="26"/>
      <c r="FP339" s="26"/>
      <c r="FQ339" s="26"/>
      <c r="FR339" s="26"/>
      <c r="FS339" s="26"/>
      <c r="FT339" s="26"/>
      <c r="FU339" s="26"/>
      <c r="FV339" s="26"/>
      <c r="FW339" s="26"/>
      <c r="FX339" s="26"/>
      <c r="FY339" s="26"/>
      <c r="FZ339" s="26"/>
      <c r="GA339" s="26"/>
      <c r="GB339" s="26"/>
      <c r="GC339" s="26"/>
      <c r="GD339" s="26"/>
      <c r="GE339" s="26"/>
      <c r="GF339" s="26"/>
      <c r="GG339" s="26"/>
      <c r="GH339" s="26"/>
      <c r="GI339" s="26"/>
      <c r="GJ339" s="26"/>
      <c r="GK339" s="26"/>
      <c r="GL339" s="26"/>
      <c r="GM339" s="26"/>
      <c r="GN339" s="26"/>
      <c r="GO339" s="26"/>
      <c r="GP339" s="26"/>
      <c r="GQ339" s="26"/>
      <c r="GR339" s="26"/>
      <c r="GS339" s="26"/>
      <c r="GT339" s="26"/>
      <c r="GU339" s="26"/>
      <c r="GV339" s="26"/>
      <c r="GW339" s="26"/>
      <c r="GX339" s="26"/>
      <c r="GY339" s="26"/>
      <c r="GZ339" s="26"/>
      <c r="HA339" s="26"/>
      <c r="HB339" s="26"/>
      <c r="HC339" s="26"/>
      <c r="HD339" s="26"/>
      <c r="HE339" s="26"/>
      <c r="HF339" s="26"/>
      <c r="HG339" s="26"/>
      <c r="HH339" s="26"/>
    </row>
    <row r="340" spans="1:21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26"/>
      <c r="FB340" s="26"/>
      <c r="FC340" s="26"/>
      <c r="FD340" s="26"/>
      <c r="FE340" s="26"/>
      <c r="FF340" s="26"/>
      <c r="FG340" s="26"/>
      <c r="FH340" s="26"/>
      <c r="FI340" s="26"/>
      <c r="FJ340" s="26"/>
      <c r="FK340" s="26"/>
      <c r="FL340" s="26"/>
      <c r="FM340" s="26"/>
      <c r="FN340" s="26"/>
      <c r="FO340" s="26"/>
      <c r="FP340" s="26"/>
      <c r="FQ340" s="26"/>
      <c r="FR340" s="26"/>
      <c r="FS340" s="26"/>
      <c r="FT340" s="26"/>
      <c r="FU340" s="26"/>
      <c r="FV340" s="26"/>
      <c r="FW340" s="26"/>
      <c r="FX340" s="26"/>
      <c r="FY340" s="26"/>
      <c r="FZ340" s="26"/>
      <c r="GA340" s="26"/>
      <c r="GB340" s="26"/>
      <c r="GC340" s="26"/>
      <c r="GD340" s="26"/>
      <c r="GE340" s="26"/>
      <c r="GF340" s="26"/>
      <c r="GG340" s="26"/>
      <c r="GH340" s="26"/>
      <c r="GI340" s="26"/>
      <c r="GJ340" s="26"/>
      <c r="GK340" s="26"/>
      <c r="GL340" s="26"/>
      <c r="GM340" s="26"/>
      <c r="GN340" s="26"/>
      <c r="GO340" s="26"/>
      <c r="GP340" s="26"/>
      <c r="GQ340" s="26"/>
      <c r="GR340" s="26"/>
      <c r="GS340" s="26"/>
      <c r="GT340" s="26"/>
      <c r="GU340" s="26"/>
      <c r="GV340" s="26"/>
      <c r="GW340" s="26"/>
      <c r="GX340" s="26"/>
      <c r="GY340" s="26"/>
      <c r="GZ340" s="26"/>
      <c r="HA340" s="26"/>
      <c r="HB340" s="26"/>
      <c r="HC340" s="26"/>
      <c r="HD340" s="26"/>
      <c r="HE340" s="26"/>
      <c r="HF340" s="26"/>
      <c r="HG340" s="26"/>
      <c r="HH340" s="26"/>
    </row>
    <row r="341" spans="1:21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26"/>
      <c r="FB341" s="26"/>
      <c r="FC341" s="26"/>
      <c r="FD341" s="26"/>
      <c r="FE341" s="26"/>
      <c r="FF341" s="26"/>
      <c r="FG341" s="26"/>
      <c r="FH341" s="26"/>
      <c r="FI341" s="26"/>
      <c r="FJ341" s="26"/>
      <c r="FK341" s="26"/>
      <c r="FL341" s="26"/>
      <c r="FM341" s="26"/>
      <c r="FN341" s="26"/>
      <c r="FO341" s="26"/>
      <c r="FP341" s="26"/>
      <c r="FQ341" s="26"/>
      <c r="FR341" s="26"/>
      <c r="FS341" s="26"/>
      <c r="FT341" s="26"/>
      <c r="FU341" s="26"/>
      <c r="FV341" s="26"/>
      <c r="FW341" s="26"/>
      <c r="FX341" s="26"/>
      <c r="FY341" s="26"/>
      <c r="FZ341" s="26"/>
      <c r="GA341" s="26"/>
      <c r="GB341" s="26"/>
      <c r="GC341" s="26"/>
      <c r="GD341" s="26"/>
      <c r="GE341" s="26"/>
      <c r="GF341" s="26"/>
      <c r="GG341" s="26"/>
      <c r="GH341" s="26"/>
      <c r="GI341" s="26"/>
      <c r="GJ341" s="26"/>
      <c r="GK341" s="26"/>
      <c r="GL341" s="26"/>
      <c r="GM341" s="26"/>
      <c r="GN341" s="26"/>
      <c r="GO341" s="26"/>
      <c r="GP341" s="26"/>
      <c r="GQ341" s="26"/>
      <c r="GR341" s="26"/>
      <c r="GS341" s="26"/>
      <c r="GT341" s="26"/>
      <c r="GU341" s="26"/>
      <c r="GV341" s="26"/>
      <c r="GW341" s="26"/>
      <c r="GX341" s="26"/>
      <c r="GY341" s="26"/>
      <c r="GZ341" s="26"/>
      <c r="HA341" s="26"/>
      <c r="HB341" s="26"/>
      <c r="HC341" s="26"/>
      <c r="HD341" s="26"/>
      <c r="HE341" s="26"/>
      <c r="HF341" s="26"/>
      <c r="HG341" s="26"/>
      <c r="HH341" s="26"/>
    </row>
    <row r="342" spans="1:21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c r="CW342" s="26"/>
      <c r="CX342" s="26"/>
      <c r="CY342" s="26"/>
      <c r="CZ342" s="26"/>
      <c r="DA342" s="26"/>
      <c r="DB342" s="26"/>
      <c r="DC342" s="26"/>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26"/>
      <c r="FB342" s="26"/>
      <c r="FC342" s="26"/>
      <c r="FD342" s="26"/>
      <c r="FE342" s="26"/>
      <c r="FF342" s="26"/>
      <c r="FG342" s="26"/>
      <c r="FH342" s="26"/>
      <c r="FI342" s="26"/>
      <c r="FJ342" s="26"/>
      <c r="FK342" s="26"/>
      <c r="FL342" s="26"/>
      <c r="FM342" s="26"/>
      <c r="FN342" s="26"/>
      <c r="FO342" s="26"/>
      <c r="FP342" s="26"/>
      <c r="FQ342" s="26"/>
      <c r="FR342" s="26"/>
      <c r="FS342" s="26"/>
      <c r="FT342" s="26"/>
      <c r="FU342" s="26"/>
      <c r="FV342" s="26"/>
      <c r="FW342" s="26"/>
      <c r="FX342" s="26"/>
      <c r="FY342" s="26"/>
      <c r="FZ342" s="26"/>
      <c r="GA342" s="26"/>
      <c r="GB342" s="26"/>
      <c r="GC342" s="26"/>
      <c r="GD342" s="26"/>
      <c r="GE342" s="26"/>
      <c r="GF342" s="26"/>
      <c r="GG342" s="26"/>
      <c r="GH342" s="26"/>
      <c r="GI342" s="26"/>
      <c r="GJ342" s="26"/>
      <c r="GK342" s="26"/>
      <c r="GL342" s="26"/>
      <c r="GM342" s="26"/>
      <c r="GN342" s="26"/>
      <c r="GO342" s="26"/>
      <c r="GP342" s="26"/>
      <c r="GQ342" s="26"/>
      <c r="GR342" s="26"/>
      <c r="GS342" s="26"/>
      <c r="GT342" s="26"/>
      <c r="GU342" s="26"/>
      <c r="GV342" s="26"/>
      <c r="GW342" s="26"/>
      <c r="GX342" s="26"/>
      <c r="GY342" s="26"/>
      <c r="GZ342" s="26"/>
      <c r="HA342" s="26"/>
      <c r="HB342" s="26"/>
      <c r="HC342" s="26"/>
      <c r="HD342" s="26"/>
      <c r="HE342" s="26"/>
      <c r="HF342" s="26"/>
      <c r="HG342" s="26"/>
      <c r="HH342" s="26"/>
    </row>
    <row r="343" spans="1:21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26"/>
      <c r="FB343" s="26"/>
      <c r="FC343" s="26"/>
      <c r="FD343" s="26"/>
      <c r="FE343" s="26"/>
      <c r="FF343" s="26"/>
      <c r="FG343" s="26"/>
      <c r="FH343" s="26"/>
      <c r="FI343" s="26"/>
      <c r="FJ343" s="26"/>
      <c r="FK343" s="26"/>
      <c r="FL343" s="26"/>
      <c r="FM343" s="26"/>
      <c r="FN343" s="26"/>
      <c r="FO343" s="26"/>
      <c r="FP343" s="26"/>
      <c r="FQ343" s="26"/>
      <c r="FR343" s="26"/>
      <c r="FS343" s="26"/>
      <c r="FT343" s="26"/>
      <c r="FU343" s="26"/>
      <c r="FV343" s="26"/>
      <c r="FW343" s="26"/>
      <c r="FX343" s="26"/>
      <c r="FY343" s="26"/>
      <c r="FZ343" s="26"/>
      <c r="GA343" s="26"/>
      <c r="GB343" s="26"/>
      <c r="GC343" s="26"/>
      <c r="GD343" s="26"/>
      <c r="GE343" s="26"/>
      <c r="GF343" s="26"/>
      <c r="GG343" s="26"/>
      <c r="GH343" s="26"/>
      <c r="GI343" s="26"/>
      <c r="GJ343" s="26"/>
      <c r="GK343" s="26"/>
      <c r="GL343" s="26"/>
      <c r="GM343" s="26"/>
      <c r="GN343" s="26"/>
      <c r="GO343" s="26"/>
      <c r="GP343" s="26"/>
      <c r="GQ343" s="26"/>
      <c r="GR343" s="26"/>
      <c r="GS343" s="26"/>
      <c r="GT343" s="26"/>
      <c r="GU343" s="26"/>
      <c r="GV343" s="26"/>
      <c r="GW343" s="26"/>
      <c r="GX343" s="26"/>
      <c r="GY343" s="26"/>
      <c r="GZ343" s="26"/>
      <c r="HA343" s="26"/>
      <c r="HB343" s="26"/>
      <c r="HC343" s="26"/>
      <c r="HD343" s="26"/>
      <c r="HE343" s="26"/>
      <c r="HF343" s="26"/>
      <c r="HG343" s="26"/>
      <c r="HH343" s="26"/>
    </row>
    <row r="344" spans="1:21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26"/>
      <c r="FB344" s="26"/>
      <c r="FC344" s="26"/>
      <c r="FD344" s="26"/>
      <c r="FE344" s="26"/>
      <c r="FF344" s="26"/>
      <c r="FG344" s="26"/>
      <c r="FH344" s="26"/>
      <c r="FI344" s="26"/>
      <c r="FJ344" s="26"/>
      <c r="FK344" s="26"/>
      <c r="FL344" s="26"/>
      <c r="FM344" s="26"/>
      <c r="FN344" s="26"/>
      <c r="FO344" s="26"/>
      <c r="FP344" s="26"/>
      <c r="FQ344" s="26"/>
      <c r="FR344" s="26"/>
      <c r="FS344" s="26"/>
      <c r="FT344" s="26"/>
      <c r="FU344" s="26"/>
      <c r="FV344" s="26"/>
      <c r="FW344" s="26"/>
      <c r="FX344" s="26"/>
      <c r="FY344" s="26"/>
      <c r="FZ344" s="26"/>
      <c r="GA344" s="26"/>
      <c r="GB344" s="26"/>
      <c r="GC344" s="26"/>
      <c r="GD344" s="26"/>
      <c r="GE344" s="26"/>
      <c r="GF344" s="26"/>
      <c r="GG344" s="26"/>
      <c r="GH344" s="26"/>
      <c r="GI344" s="26"/>
      <c r="GJ344" s="26"/>
      <c r="GK344" s="26"/>
      <c r="GL344" s="26"/>
      <c r="GM344" s="26"/>
      <c r="GN344" s="26"/>
      <c r="GO344" s="26"/>
      <c r="GP344" s="26"/>
      <c r="GQ344" s="26"/>
      <c r="GR344" s="26"/>
      <c r="GS344" s="26"/>
      <c r="GT344" s="26"/>
      <c r="GU344" s="26"/>
      <c r="GV344" s="26"/>
      <c r="GW344" s="26"/>
      <c r="GX344" s="26"/>
      <c r="GY344" s="26"/>
      <c r="GZ344" s="26"/>
      <c r="HA344" s="26"/>
      <c r="HB344" s="26"/>
      <c r="HC344" s="26"/>
      <c r="HD344" s="26"/>
      <c r="HE344" s="26"/>
      <c r="HF344" s="26"/>
      <c r="HG344" s="26"/>
      <c r="HH344" s="26"/>
    </row>
    <row r="345" spans="1:21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26"/>
      <c r="FB345" s="26"/>
      <c r="FC345" s="26"/>
      <c r="FD345" s="26"/>
      <c r="FE345" s="26"/>
      <c r="FF345" s="26"/>
      <c r="FG345" s="26"/>
      <c r="FH345" s="26"/>
      <c r="FI345" s="26"/>
      <c r="FJ345" s="26"/>
      <c r="FK345" s="26"/>
      <c r="FL345" s="26"/>
      <c r="FM345" s="26"/>
      <c r="FN345" s="26"/>
      <c r="FO345" s="26"/>
      <c r="FP345" s="26"/>
      <c r="FQ345" s="26"/>
      <c r="FR345" s="26"/>
      <c r="FS345" s="26"/>
      <c r="FT345" s="26"/>
      <c r="FU345" s="26"/>
      <c r="FV345" s="26"/>
      <c r="FW345" s="26"/>
      <c r="FX345" s="26"/>
      <c r="FY345" s="26"/>
      <c r="FZ345" s="26"/>
      <c r="GA345" s="26"/>
      <c r="GB345" s="26"/>
      <c r="GC345" s="26"/>
      <c r="GD345" s="26"/>
      <c r="GE345" s="26"/>
      <c r="GF345" s="26"/>
      <c r="GG345" s="26"/>
      <c r="GH345" s="26"/>
      <c r="GI345" s="26"/>
      <c r="GJ345" s="26"/>
      <c r="GK345" s="26"/>
      <c r="GL345" s="26"/>
      <c r="GM345" s="26"/>
      <c r="GN345" s="26"/>
      <c r="GO345" s="26"/>
      <c r="GP345" s="26"/>
      <c r="GQ345" s="26"/>
      <c r="GR345" s="26"/>
      <c r="GS345" s="26"/>
      <c r="GT345" s="26"/>
      <c r="GU345" s="26"/>
      <c r="GV345" s="26"/>
      <c r="GW345" s="26"/>
      <c r="GX345" s="26"/>
      <c r="GY345" s="26"/>
      <c r="GZ345" s="26"/>
      <c r="HA345" s="26"/>
      <c r="HB345" s="26"/>
      <c r="HC345" s="26"/>
      <c r="HD345" s="26"/>
      <c r="HE345" s="26"/>
      <c r="HF345" s="26"/>
      <c r="HG345" s="26"/>
      <c r="HH345" s="26"/>
    </row>
    <row r="346" spans="1:21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26"/>
      <c r="FB346" s="26"/>
      <c r="FC346" s="26"/>
      <c r="FD346" s="26"/>
      <c r="FE346" s="26"/>
      <c r="FF346" s="26"/>
      <c r="FG346" s="26"/>
      <c r="FH346" s="26"/>
      <c r="FI346" s="26"/>
      <c r="FJ346" s="26"/>
      <c r="FK346" s="26"/>
      <c r="FL346" s="26"/>
      <c r="FM346" s="26"/>
      <c r="FN346" s="26"/>
      <c r="FO346" s="26"/>
      <c r="FP346" s="26"/>
      <c r="FQ346" s="26"/>
      <c r="FR346" s="26"/>
      <c r="FS346" s="26"/>
      <c r="FT346" s="26"/>
      <c r="FU346" s="26"/>
      <c r="FV346" s="26"/>
      <c r="FW346" s="26"/>
      <c r="FX346" s="26"/>
      <c r="FY346" s="26"/>
      <c r="FZ346" s="26"/>
      <c r="GA346" s="26"/>
      <c r="GB346" s="26"/>
      <c r="GC346" s="26"/>
      <c r="GD346" s="26"/>
      <c r="GE346" s="26"/>
      <c r="GF346" s="26"/>
      <c r="GG346" s="26"/>
      <c r="GH346" s="26"/>
      <c r="GI346" s="26"/>
      <c r="GJ346" s="26"/>
      <c r="GK346" s="26"/>
      <c r="GL346" s="26"/>
      <c r="GM346" s="26"/>
      <c r="GN346" s="26"/>
      <c r="GO346" s="26"/>
      <c r="GP346" s="26"/>
      <c r="GQ346" s="26"/>
      <c r="GR346" s="26"/>
      <c r="GS346" s="26"/>
      <c r="GT346" s="26"/>
      <c r="GU346" s="26"/>
      <c r="GV346" s="26"/>
      <c r="GW346" s="26"/>
      <c r="GX346" s="26"/>
      <c r="GY346" s="26"/>
      <c r="GZ346" s="26"/>
      <c r="HA346" s="26"/>
      <c r="HB346" s="26"/>
      <c r="HC346" s="26"/>
      <c r="HD346" s="26"/>
      <c r="HE346" s="26"/>
      <c r="HF346" s="26"/>
      <c r="HG346" s="26"/>
      <c r="HH346" s="26"/>
    </row>
    <row r="347" spans="1:21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26"/>
      <c r="FB347" s="26"/>
      <c r="FC347" s="26"/>
      <c r="FD347" s="26"/>
      <c r="FE347" s="26"/>
      <c r="FF347" s="26"/>
      <c r="FG347" s="26"/>
      <c r="FH347" s="26"/>
      <c r="FI347" s="26"/>
      <c r="FJ347" s="26"/>
      <c r="FK347" s="26"/>
      <c r="FL347" s="26"/>
      <c r="FM347" s="26"/>
      <c r="FN347" s="26"/>
      <c r="FO347" s="26"/>
      <c r="FP347" s="26"/>
      <c r="FQ347" s="26"/>
      <c r="FR347" s="26"/>
      <c r="FS347" s="26"/>
      <c r="FT347" s="26"/>
      <c r="FU347" s="26"/>
      <c r="FV347" s="26"/>
      <c r="FW347" s="26"/>
      <c r="FX347" s="26"/>
      <c r="FY347" s="26"/>
      <c r="FZ347" s="26"/>
      <c r="GA347" s="26"/>
      <c r="GB347" s="26"/>
      <c r="GC347" s="26"/>
      <c r="GD347" s="26"/>
      <c r="GE347" s="26"/>
      <c r="GF347" s="26"/>
      <c r="GG347" s="26"/>
      <c r="GH347" s="26"/>
      <c r="GI347" s="26"/>
      <c r="GJ347" s="26"/>
      <c r="GK347" s="26"/>
      <c r="GL347" s="26"/>
      <c r="GM347" s="26"/>
      <c r="GN347" s="26"/>
      <c r="GO347" s="26"/>
      <c r="GP347" s="26"/>
      <c r="GQ347" s="26"/>
      <c r="GR347" s="26"/>
      <c r="GS347" s="26"/>
      <c r="GT347" s="26"/>
      <c r="GU347" s="26"/>
      <c r="GV347" s="26"/>
      <c r="GW347" s="26"/>
      <c r="GX347" s="26"/>
      <c r="GY347" s="26"/>
      <c r="GZ347" s="26"/>
      <c r="HA347" s="26"/>
      <c r="HB347" s="26"/>
      <c r="HC347" s="26"/>
      <c r="HD347" s="26"/>
      <c r="HE347" s="26"/>
      <c r="HF347" s="26"/>
      <c r="HG347" s="26"/>
      <c r="HH347" s="26"/>
    </row>
    <row r="348" spans="1:21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26"/>
      <c r="FB348" s="26"/>
      <c r="FC348" s="26"/>
      <c r="FD348" s="26"/>
      <c r="FE348" s="26"/>
      <c r="FF348" s="26"/>
      <c r="FG348" s="26"/>
      <c r="FH348" s="26"/>
      <c r="FI348" s="26"/>
      <c r="FJ348" s="26"/>
      <c r="FK348" s="26"/>
      <c r="FL348" s="26"/>
      <c r="FM348" s="26"/>
      <c r="FN348" s="26"/>
      <c r="FO348" s="26"/>
      <c r="FP348" s="26"/>
      <c r="FQ348" s="26"/>
      <c r="FR348" s="26"/>
      <c r="FS348" s="26"/>
      <c r="FT348" s="26"/>
      <c r="FU348" s="26"/>
      <c r="FV348" s="26"/>
      <c r="FW348" s="26"/>
      <c r="FX348" s="26"/>
      <c r="FY348" s="26"/>
      <c r="FZ348" s="26"/>
      <c r="GA348" s="26"/>
      <c r="GB348" s="26"/>
      <c r="GC348" s="26"/>
      <c r="GD348" s="26"/>
      <c r="GE348" s="26"/>
      <c r="GF348" s="26"/>
      <c r="GG348" s="26"/>
      <c r="GH348" s="26"/>
      <c r="GI348" s="26"/>
      <c r="GJ348" s="26"/>
      <c r="GK348" s="26"/>
      <c r="GL348" s="26"/>
      <c r="GM348" s="26"/>
      <c r="GN348" s="26"/>
      <c r="GO348" s="26"/>
      <c r="GP348" s="26"/>
      <c r="GQ348" s="26"/>
      <c r="GR348" s="26"/>
      <c r="GS348" s="26"/>
      <c r="GT348" s="26"/>
      <c r="GU348" s="26"/>
      <c r="GV348" s="26"/>
      <c r="GW348" s="26"/>
      <c r="GX348" s="26"/>
      <c r="GY348" s="26"/>
      <c r="GZ348" s="26"/>
      <c r="HA348" s="26"/>
      <c r="HB348" s="26"/>
      <c r="HC348" s="26"/>
      <c r="HD348" s="26"/>
      <c r="HE348" s="26"/>
      <c r="HF348" s="26"/>
      <c r="HG348" s="26"/>
      <c r="HH348" s="26"/>
    </row>
    <row r="349" spans="1:21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26"/>
      <c r="FB349" s="26"/>
      <c r="FC349" s="26"/>
      <c r="FD349" s="26"/>
      <c r="FE349" s="26"/>
      <c r="FF349" s="26"/>
      <c r="FG349" s="26"/>
      <c r="FH349" s="26"/>
      <c r="FI349" s="26"/>
      <c r="FJ349" s="26"/>
      <c r="FK349" s="26"/>
      <c r="FL349" s="26"/>
      <c r="FM349" s="26"/>
      <c r="FN349" s="26"/>
      <c r="FO349" s="26"/>
      <c r="FP349" s="26"/>
      <c r="FQ349" s="26"/>
      <c r="FR349" s="26"/>
      <c r="FS349" s="26"/>
      <c r="FT349" s="26"/>
      <c r="FU349" s="26"/>
      <c r="FV349" s="26"/>
      <c r="FW349" s="26"/>
      <c r="FX349" s="26"/>
      <c r="FY349" s="26"/>
      <c r="FZ349" s="26"/>
      <c r="GA349" s="26"/>
      <c r="GB349" s="26"/>
      <c r="GC349" s="26"/>
      <c r="GD349" s="26"/>
      <c r="GE349" s="26"/>
      <c r="GF349" s="26"/>
      <c r="GG349" s="26"/>
      <c r="GH349" s="26"/>
      <c r="GI349" s="26"/>
      <c r="GJ349" s="26"/>
      <c r="GK349" s="26"/>
      <c r="GL349" s="26"/>
      <c r="GM349" s="26"/>
      <c r="GN349" s="26"/>
      <c r="GO349" s="26"/>
      <c r="GP349" s="26"/>
      <c r="GQ349" s="26"/>
      <c r="GR349" s="26"/>
      <c r="GS349" s="26"/>
      <c r="GT349" s="26"/>
      <c r="GU349" s="26"/>
      <c r="GV349" s="26"/>
      <c r="GW349" s="26"/>
      <c r="GX349" s="26"/>
      <c r="GY349" s="26"/>
      <c r="GZ349" s="26"/>
      <c r="HA349" s="26"/>
      <c r="HB349" s="26"/>
      <c r="HC349" s="26"/>
      <c r="HD349" s="26"/>
      <c r="HE349" s="26"/>
      <c r="HF349" s="26"/>
      <c r="HG349" s="26"/>
      <c r="HH349" s="26"/>
    </row>
    <row r="350" spans="1:21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26"/>
      <c r="FB350" s="26"/>
      <c r="FC350" s="26"/>
      <c r="FD350" s="26"/>
      <c r="FE350" s="26"/>
      <c r="FF350" s="26"/>
      <c r="FG350" s="26"/>
      <c r="FH350" s="26"/>
      <c r="FI350" s="26"/>
      <c r="FJ350" s="26"/>
      <c r="FK350" s="26"/>
      <c r="FL350" s="26"/>
      <c r="FM350" s="26"/>
      <c r="FN350" s="26"/>
      <c r="FO350" s="26"/>
      <c r="FP350" s="26"/>
      <c r="FQ350" s="26"/>
      <c r="FR350" s="26"/>
      <c r="FS350" s="26"/>
      <c r="FT350" s="26"/>
      <c r="FU350" s="26"/>
      <c r="FV350" s="26"/>
      <c r="FW350" s="26"/>
      <c r="FX350" s="26"/>
      <c r="FY350" s="26"/>
      <c r="FZ350" s="26"/>
      <c r="GA350" s="26"/>
      <c r="GB350" s="26"/>
      <c r="GC350" s="26"/>
      <c r="GD350" s="26"/>
      <c r="GE350" s="26"/>
      <c r="GF350" s="26"/>
      <c r="GG350" s="26"/>
      <c r="GH350" s="26"/>
      <c r="GI350" s="26"/>
      <c r="GJ350" s="26"/>
      <c r="GK350" s="26"/>
      <c r="GL350" s="26"/>
      <c r="GM350" s="26"/>
      <c r="GN350" s="26"/>
      <c r="GO350" s="26"/>
      <c r="GP350" s="26"/>
      <c r="GQ350" s="26"/>
      <c r="GR350" s="26"/>
      <c r="GS350" s="26"/>
      <c r="GT350" s="26"/>
      <c r="GU350" s="26"/>
      <c r="GV350" s="26"/>
      <c r="GW350" s="26"/>
      <c r="GX350" s="26"/>
      <c r="GY350" s="26"/>
      <c r="GZ350" s="26"/>
      <c r="HA350" s="26"/>
      <c r="HB350" s="26"/>
      <c r="HC350" s="26"/>
      <c r="HD350" s="26"/>
      <c r="HE350" s="26"/>
      <c r="HF350" s="26"/>
      <c r="HG350" s="26"/>
      <c r="HH350" s="26"/>
    </row>
    <row r="351" spans="1:21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26"/>
      <c r="FB351" s="26"/>
      <c r="FC351" s="26"/>
      <c r="FD351" s="26"/>
      <c r="FE351" s="26"/>
      <c r="FF351" s="26"/>
      <c r="FG351" s="26"/>
      <c r="FH351" s="26"/>
      <c r="FI351" s="26"/>
      <c r="FJ351" s="26"/>
      <c r="FK351" s="26"/>
      <c r="FL351" s="26"/>
      <c r="FM351" s="26"/>
      <c r="FN351" s="26"/>
      <c r="FO351" s="26"/>
      <c r="FP351" s="26"/>
      <c r="FQ351" s="26"/>
      <c r="FR351" s="26"/>
      <c r="FS351" s="26"/>
      <c r="FT351" s="26"/>
      <c r="FU351" s="26"/>
      <c r="FV351" s="26"/>
      <c r="FW351" s="26"/>
      <c r="FX351" s="26"/>
      <c r="FY351" s="26"/>
      <c r="FZ351" s="26"/>
      <c r="GA351" s="26"/>
      <c r="GB351" s="26"/>
      <c r="GC351" s="26"/>
      <c r="GD351" s="26"/>
      <c r="GE351" s="26"/>
      <c r="GF351" s="26"/>
      <c r="GG351" s="26"/>
      <c r="GH351" s="26"/>
      <c r="GI351" s="26"/>
      <c r="GJ351" s="26"/>
      <c r="GK351" s="26"/>
      <c r="GL351" s="26"/>
      <c r="GM351" s="26"/>
      <c r="GN351" s="26"/>
      <c r="GO351" s="26"/>
      <c r="GP351" s="26"/>
      <c r="GQ351" s="26"/>
      <c r="GR351" s="26"/>
      <c r="GS351" s="26"/>
      <c r="GT351" s="26"/>
      <c r="GU351" s="26"/>
      <c r="GV351" s="26"/>
      <c r="GW351" s="26"/>
      <c r="GX351" s="26"/>
      <c r="GY351" s="26"/>
      <c r="GZ351" s="26"/>
      <c r="HA351" s="26"/>
      <c r="HB351" s="26"/>
      <c r="HC351" s="26"/>
      <c r="HD351" s="26"/>
      <c r="HE351" s="26"/>
      <c r="HF351" s="26"/>
      <c r="HG351" s="26"/>
      <c r="HH351" s="26"/>
    </row>
    <row r="352" spans="1:21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26"/>
      <c r="FB352" s="26"/>
      <c r="FC352" s="26"/>
      <c r="FD352" s="26"/>
      <c r="FE352" s="26"/>
      <c r="FF352" s="26"/>
      <c r="FG352" s="26"/>
      <c r="FH352" s="26"/>
      <c r="FI352" s="26"/>
      <c r="FJ352" s="26"/>
      <c r="FK352" s="26"/>
      <c r="FL352" s="26"/>
      <c r="FM352" s="26"/>
      <c r="FN352" s="26"/>
      <c r="FO352" s="26"/>
      <c r="FP352" s="26"/>
      <c r="FQ352" s="26"/>
      <c r="FR352" s="26"/>
      <c r="FS352" s="26"/>
      <c r="FT352" s="26"/>
      <c r="FU352" s="26"/>
      <c r="FV352" s="26"/>
      <c r="FW352" s="26"/>
      <c r="FX352" s="26"/>
      <c r="FY352" s="26"/>
      <c r="FZ352" s="26"/>
      <c r="GA352" s="26"/>
      <c r="GB352" s="26"/>
      <c r="GC352" s="26"/>
      <c r="GD352" s="26"/>
      <c r="GE352" s="26"/>
      <c r="GF352" s="26"/>
      <c r="GG352" s="26"/>
      <c r="GH352" s="26"/>
      <c r="GI352" s="26"/>
      <c r="GJ352" s="26"/>
      <c r="GK352" s="26"/>
      <c r="GL352" s="26"/>
      <c r="GM352" s="26"/>
      <c r="GN352" s="26"/>
      <c r="GO352" s="26"/>
      <c r="GP352" s="26"/>
      <c r="GQ352" s="26"/>
      <c r="GR352" s="26"/>
      <c r="GS352" s="26"/>
      <c r="GT352" s="26"/>
      <c r="GU352" s="26"/>
      <c r="GV352" s="26"/>
      <c r="GW352" s="26"/>
      <c r="GX352" s="26"/>
      <c r="GY352" s="26"/>
      <c r="GZ352" s="26"/>
      <c r="HA352" s="26"/>
      <c r="HB352" s="26"/>
      <c r="HC352" s="26"/>
      <c r="HD352" s="26"/>
      <c r="HE352" s="26"/>
      <c r="HF352" s="26"/>
      <c r="HG352" s="26"/>
      <c r="HH352" s="26"/>
    </row>
    <row r="353" spans="1:21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26"/>
      <c r="FC353" s="26"/>
      <c r="FD353" s="26"/>
      <c r="FE353" s="26"/>
      <c r="FF353" s="26"/>
      <c r="FG353" s="26"/>
      <c r="FH353" s="26"/>
      <c r="FI353" s="26"/>
      <c r="FJ353" s="26"/>
      <c r="FK353" s="26"/>
      <c r="FL353" s="26"/>
      <c r="FM353" s="26"/>
      <c r="FN353" s="26"/>
      <c r="FO353" s="26"/>
      <c r="FP353" s="26"/>
      <c r="FQ353" s="26"/>
      <c r="FR353" s="26"/>
      <c r="FS353" s="26"/>
      <c r="FT353" s="26"/>
      <c r="FU353" s="26"/>
      <c r="FV353" s="26"/>
      <c r="FW353" s="26"/>
      <c r="FX353" s="26"/>
      <c r="FY353" s="26"/>
      <c r="FZ353" s="26"/>
      <c r="GA353" s="26"/>
      <c r="GB353" s="26"/>
      <c r="GC353" s="26"/>
      <c r="GD353" s="26"/>
      <c r="GE353" s="26"/>
      <c r="GF353" s="26"/>
      <c r="GG353" s="26"/>
      <c r="GH353" s="26"/>
      <c r="GI353" s="26"/>
      <c r="GJ353" s="26"/>
      <c r="GK353" s="26"/>
      <c r="GL353" s="26"/>
      <c r="GM353" s="26"/>
      <c r="GN353" s="26"/>
      <c r="GO353" s="26"/>
      <c r="GP353" s="26"/>
      <c r="GQ353" s="26"/>
      <c r="GR353" s="26"/>
      <c r="GS353" s="26"/>
      <c r="GT353" s="26"/>
      <c r="GU353" s="26"/>
      <c r="GV353" s="26"/>
      <c r="GW353" s="26"/>
      <c r="GX353" s="26"/>
      <c r="GY353" s="26"/>
      <c r="GZ353" s="26"/>
      <c r="HA353" s="26"/>
      <c r="HB353" s="26"/>
      <c r="HC353" s="26"/>
      <c r="HD353" s="26"/>
      <c r="HE353" s="26"/>
      <c r="HF353" s="26"/>
      <c r="HG353" s="26"/>
      <c r="HH353" s="26"/>
    </row>
    <row r="354" spans="1:21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26"/>
      <c r="FB354" s="26"/>
      <c r="FC354" s="26"/>
      <c r="FD354" s="26"/>
      <c r="FE354" s="26"/>
      <c r="FF354" s="26"/>
      <c r="FG354" s="26"/>
      <c r="FH354" s="26"/>
      <c r="FI354" s="26"/>
      <c r="FJ354" s="26"/>
      <c r="FK354" s="26"/>
      <c r="FL354" s="26"/>
      <c r="FM354" s="26"/>
      <c r="FN354" s="26"/>
      <c r="FO354" s="26"/>
      <c r="FP354" s="26"/>
      <c r="FQ354" s="26"/>
      <c r="FR354" s="26"/>
      <c r="FS354" s="26"/>
      <c r="FT354" s="26"/>
      <c r="FU354" s="26"/>
      <c r="FV354" s="26"/>
      <c r="FW354" s="26"/>
      <c r="FX354" s="26"/>
      <c r="FY354" s="26"/>
      <c r="FZ354" s="26"/>
      <c r="GA354" s="26"/>
      <c r="GB354" s="26"/>
      <c r="GC354" s="26"/>
      <c r="GD354" s="26"/>
      <c r="GE354" s="26"/>
      <c r="GF354" s="26"/>
      <c r="GG354" s="26"/>
      <c r="GH354" s="26"/>
      <c r="GI354" s="26"/>
      <c r="GJ354" s="26"/>
      <c r="GK354" s="26"/>
      <c r="GL354" s="26"/>
      <c r="GM354" s="26"/>
      <c r="GN354" s="26"/>
      <c r="GO354" s="26"/>
      <c r="GP354" s="26"/>
      <c r="GQ354" s="26"/>
      <c r="GR354" s="26"/>
      <c r="GS354" s="26"/>
      <c r="GT354" s="26"/>
      <c r="GU354" s="26"/>
      <c r="GV354" s="26"/>
      <c r="GW354" s="26"/>
      <c r="GX354" s="26"/>
      <c r="GY354" s="26"/>
      <c r="GZ354" s="26"/>
      <c r="HA354" s="26"/>
      <c r="HB354" s="26"/>
      <c r="HC354" s="26"/>
      <c r="HD354" s="26"/>
      <c r="HE354" s="26"/>
      <c r="HF354" s="26"/>
      <c r="HG354" s="26"/>
      <c r="HH354" s="26"/>
    </row>
    <row r="355" spans="1:21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26"/>
      <c r="FB355" s="26"/>
      <c r="FC355" s="26"/>
      <c r="FD355" s="26"/>
      <c r="FE355" s="26"/>
      <c r="FF355" s="26"/>
      <c r="FG355" s="26"/>
      <c r="FH355" s="26"/>
      <c r="FI355" s="26"/>
      <c r="FJ355" s="26"/>
      <c r="FK355" s="26"/>
      <c r="FL355" s="26"/>
      <c r="FM355" s="26"/>
      <c r="FN355" s="26"/>
      <c r="FO355" s="26"/>
      <c r="FP355" s="26"/>
      <c r="FQ355" s="26"/>
      <c r="FR355" s="26"/>
      <c r="FS355" s="26"/>
      <c r="FT355" s="26"/>
      <c r="FU355" s="26"/>
      <c r="FV355" s="26"/>
      <c r="FW355" s="26"/>
      <c r="FX355" s="26"/>
      <c r="FY355" s="26"/>
      <c r="FZ355" s="26"/>
      <c r="GA355" s="26"/>
      <c r="GB355" s="26"/>
      <c r="GC355" s="26"/>
      <c r="GD355" s="26"/>
      <c r="GE355" s="26"/>
      <c r="GF355" s="26"/>
      <c r="GG355" s="26"/>
      <c r="GH355" s="26"/>
      <c r="GI355" s="26"/>
      <c r="GJ355" s="26"/>
      <c r="GK355" s="26"/>
      <c r="GL355" s="26"/>
      <c r="GM355" s="26"/>
      <c r="GN355" s="26"/>
      <c r="GO355" s="26"/>
      <c r="GP355" s="26"/>
      <c r="GQ355" s="26"/>
      <c r="GR355" s="26"/>
      <c r="GS355" s="26"/>
      <c r="GT355" s="26"/>
      <c r="GU355" s="26"/>
      <c r="GV355" s="26"/>
      <c r="GW355" s="26"/>
      <c r="GX355" s="26"/>
      <c r="GY355" s="26"/>
      <c r="GZ355" s="26"/>
      <c r="HA355" s="26"/>
      <c r="HB355" s="26"/>
      <c r="HC355" s="26"/>
      <c r="HD355" s="26"/>
      <c r="HE355" s="26"/>
      <c r="HF355" s="26"/>
      <c r="HG355" s="26"/>
      <c r="HH355" s="26"/>
    </row>
    <row r="356" spans="1:21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26"/>
      <c r="FB356" s="26"/>
      <c r="FC356" s="26"/>
      <c r="FD356" s="26"/>
      <c r="FE356" s="26"/>
      <c r="FF356" s="26"/>
      <c r="FG356" s="26"/>
      <c r="FH356" s="26"/>
      <c r="FI356" s="26"/>
      <c r="FJ356" s="26"/>
      <c r="FK356" s="26"/>
      <c r="FL356" s="26"/>
      <c r="FM356" s="26"/>
      <c r="FN356" s="26"/>
      <c r="FO356" s="26"/>
      <c r="FP356" s="26"/>
      <c r="FQ356" s="26"/>
      <c r="FR356" s="26"/>
      <c r="FS356" s="26"/>
      <c r="FT356" s="26"/>
      <c r="FU356" s="26"/>
      <c r="FV356" s="26"/>
      <c r="FW356" s="26"/>
      <c r="FX356" s="26"/>
      <c r="FY356" s="26"/>
      <c r="FZ356" s="26"/>
      <c r="GA356" s="26"/>
      <c r="GB356" s="26"/>
      <c r="GC356" s="26"/>
      <c r="GD356" s="26"/>
      <c r="GE356" s="26"/>
      <c r="GF356" s="26"/>
      <c r="GG356" s="26"/>
      <c r="GH356" s="26"/>
      <c r="GI356" s="26"/>
      <c r="GJ356" s="26"/>
      <c r="GK356" s="26"/>
      <c r="GL356" s="26"/>
      <c r="GM356" s="26"/>
      <c r="GN356" s="26"/>
      <c r="GO356" s="26"/>
      <c r="GP356" s="26"/>
      <c r="GQ356" s="26"/>
      <c r="GR356" s="26"/>
      <c r="GS356" s="26"/>
      <c r="GT356" s="26"/>
      <c r="GU356" s="26"/>
      <c r="GV356" s="26"/>
      <c r="GW356" s="26"/>
      <c r="GX356" s="26"/>
      <c r="GY356" s="26"/>
      <c r="GZ356" s="26"/>
      <c r="HA356" s="26"/>
      <c r="HB356" s="26"/>
      <c r="HC356" s="26"/>
      <c r="HD356" s="26"/>
      <c r="HE356" s="26"/>
      <c r="HF356" s="26"/>
      <c r="HG356" s="26"/>
      <c r="HH356" s="26"/>
    </row>
    <row r="357" spans="1:21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26"/>
      <c r="FB357" s="26"/>
      <c r="FC357" s="26"/>
      <c r="FD357" s="26"/>
      <c r="FE357" s="26"/>
      <c r="FF357" s="26"/>
      <c r="FG357" s="26"/>
      <c r="FH357" s="26"/>
      <c r="FI357" s="26"/>
      <c r="FJ357" s="26"/>
      <c r="FK357" s="26"/>
      <c r="FL357" s="26"/>
      <c r="FM357" s="26"/>
      <c r="FN357" s="26"/>
      <c r="FO357" s="26"/>
      <c r="FP357" s="26"/>
      <c r="FQ357" s="26"/>
      <c r="FR357" s="26"/>
      <c r="FS357" s="26"/>
      <c r="FT357" s="26"/>
      <c r="FU357" s="26"/>
      <c r="FV357" s="26"/>
      <c r="FW357" s="26"/>
      <c r="FX357" s="26"/>
      <c r="FY357" s="26"/>
      <c r="FZ357" s="26"/>
      <c r="GA357" s="26"/>
      <c r="GB357" s="26"/>
      <c r="GC357" s="26"/>
      <c r="GD357" s="26"/>
      <c r="GE357" s="26"/>
      <c r="GF357" s="26"/>
      <c r="GG357" s="26"/>
      <c r="GH357" s="26"/>
      <c r="GI357" s="26"/>
      <c r="GJ357" s="26"/>
      <c r="GK357" s="26"/>
      <c r="GL357" s="26"/>
      <c r="GM357" s="26"/>
      <c r="GN357" s="26"/>
      <c r="GO357" s="26"/>
      <c r="GP357" s="26"/>
      <c r="GQ357" s="26"/>
      <c r="GR357" s="26"/>
      <c r="GS357" s="26"/>
      <c r="GT357" s="26"/>
      <c r="GU357" s="26"/>
      <c r="GV357" s="26"/>
      <c r="GW357" s="26"/>
      <c r="GX357" s="26"/>
      <c r="GY357" s="26"/>
      <c r="GZ357" s="26"/>
      <c r="HA357" s="26"/>
      <c r="HB357" s="26"/>
      <c r="HC357" s="26"/>
      <c r="HD357" s="26"/>
      <c r="HE357" s="26"/>
      <c r="HF357" s="26"/>
      <c r="HG357" s="26"/>
      <c r="HH357" s="26"/>
    </row>
    <row r="358" spans="1:21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26"/>
      <c r="FB358" s="26"/>
      <c r="FC358" s="26"/>
      <c r="FD358" s="26"/>
      <c r="FE358" s="26"/>
      <c r="FF358" s="26"/>
      <c r="FG358" s="26"/>
      <c r="FH358" s="26"/>
      <c r="FI358" s="26"/>
      <c r="FJ358" s="26"/>
      <c r="FK358" s="26"/>
      <c r="FL358" s="26"/>
      <c r="FM358" s="26"/>
      <c r="FN358" s="26"/>
      <c r="FO358" s="26"/>
      <c r="FP358" s="26"/>
      <c r="FQ358" s="26"/>
      <c r="FR358" s="26"/>
      <c r="FS358" s="26"/>
      <c r="FT358" s="26"/>
      <c r="FU358" s="26"/>
      <c r="FV358" s="26"/>
      <c r="FW358" s="26"/>
      <c r="FX358" s="26"/>
      <c r="FY358" s="26"/>
      <c r="FZ358" s="26"/>
      <c r="GA358" s="26"/>
      <c r="GB358" s="26"/>
      <c r="GC358" s="26"/>
      <c r="GD358" s="26"/>
      <c r="GE358" s="26"/>
      <c r="GF358" s="26"/>
      <c r="GG358" s="26"/>
      <c r="GH358" s="26"/>
      <c r="GI358" s="26"/>
      <c r="GJ358" s="26"/>
      <c r="GK358" s="26"/>
      <c r="GL358" s="26"/>
      <c r="GM358" s="26"/>
      <c r="GN358" s="26"/>
      <c r="GO358" s="26"/>
      <c r="GP358" s="26"/>
      <c r="GQ358" s="26"/>
      <c r="GR358" s="26"/>
      <c r="GS358" s="26"/>
      <c r="GT358" s="26"/>
      <c r="GU358" s="26"/>
      <c r="GV358" s="26"/>
      <c r="GW358" s="26"/>
      <c r="GX358" s="26"/>
      <c r="GY358" s="26"/>
      <c r="GZ358" s="26"/>
      <c r="HA358" s="26"/>
      <c r="HB358" s="26"/>
      <c r="HC358" s="26"/>
      <c r="HD358" s="26"/>
      <c r="HE358" s="26"/>
      <c r="HF358" s="26"/>
      <c r="HG358" s="26"/>
      <c r="HH358" s="26"/>
    </row>
    <row r="359" spans="1:21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26"/>
      <c r="FB359" s="26"/>
      <c r="FC359" s="26"/>
      <c r="FD359" s="26"/>
      <c r="FE359" s="26"/>
      <c r="FF359" s="26"/>
      <c r="FG359" s="26"/>
      <c r="FH359" s="26"/>
      <c r="FI359" s="26"/>
      <c r="FJ359" s="26"/>
      <c r="FK359" s="26"/>
      <c r="FL359" s="26"/>
      <c r="FM359" s="26"/>
      <c r="FN359" s="26"/>
      <c r="FO359" s="26"/>
      <c r="FP359" s="26"/>
      <c r="FQ359" s="26"/>
      <c r="FR359" s="26"/>
      <c r="FS359" s="26"/>
      <c r="FT359" s="26"/>
      <c r="FU359" s="26"/>
      <c r="FV359" s="26"/>
      <c r="FW359" s="26"/>
      <c r="FX359" s="26"/>
      <c r="FY359" s="26"/>
      <c r="FZ359" s="26"/>
      <c r="GA359" s="26"/>
      <c r="GB359" s="26"/>
      <c r="GC359" s="26"/>
      <c r="GD359" s="26"/>
      <c r="GE359" s="26"/>
      <c r="GF359" s="26"/>
      <c r="GG359" s="26"/>
      <c r="GH359" s="26"/>
      <c r="GI359" s="26"/>
      <c r="GJ359" s="26"/>
      <c r="GK359" s="26"/>
      <c r="GL359" s="26"/>
      <c r="GM359" s="26"/>
      <c r="GN359" s="26"/>
      <c r="GO359" s="26"/>
      <c r="GP359" s="26"/>
      <c r="GQ359" s="26"/>
      <c r="GR359" s="26"/>
      <c r="GS359" s="26"/>
      <c r="GT359" s="26"/>
      <c r="GU359" s="26"/>
      <c r="GV359" s="26"/>
      <c r="GW359" s="26"/>
      <c r="GX359" s="26"/>
      <c r="GY359" s="26"/>
      <c r="GZ359" s="26"/>
      <c r="HA359" s="26"/>
      <c r="HB359" s="26"/>
      <c r="HC359" s="26"/>
      <c r="HD359" s="26"/>
      <c r="HE359" s="26"/>
      <c r="HF359" s="26"/>
      <c r="HG359" s="26"/>
      <c r="HH359" s="26"/>
    </row>
    <row r="360" spans="1:21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26"/>
      <c r="FB360" s="26"/>
      <c r="FC360" s="26"/>
      <c r="FD360" s="26"/>
      <c r="FE360" s="26"/>
      <c r="FF360" s="26"/>
      <c r="FG360" s="26"/>
      <c r="FH360" s="26"/>
      <c r="FI360" s="26"/>
      <c r="FJ360" s="26"/>
      <c r="FK360" s="26"/>
      <c r="FL360" s="26"/>
      <c r="FM360" s="26"/>
      <c r="FN360" s="26"/>
      <c r="FO360" s="26"/>
      <c r="FP360" s="26"/>
      <c r="FQ360" s="26"/>
      <c r="FR360" s="26"/>
      <c r="FS360" s="26"/>
      <c r="FT360" s="26"/>
      <c r="FU360" s="26"/>
      <c r="FV360" s="26"/>
      <c r="FW360" s="26"/>
      <c r="FX360" s="26"/>
      <c r="FY360" s="26"/>
      <c r="FZ360" s="26"/>
      <c r="GA360" s="26"/>
      <c r="GB360" s="26"/>
      <c r="GC360" s="26"/>
      <c r="GD360" s="26"/>
      <c r="GE360" s="26"/>
      <c r="GF360" s="26"/>
      <c r="GG360" s="26"/>
      <c r="GH360" s="26"/>
      <c r="GI360" s="26"/>
      <c r="GJ360" s="26"/>
      <c r="GK360" s="26"/>
      <c r="GL360" s="26"/>
      <c r="GM360" s="26"/>
      <c r="GN360" s="26"/>
      <c r="GO360" s="26"/>
      <c r="GP360" s="26"/>
      <c r="GQ360" s="26"/>
      <c r="GR360" s="26"/>
      <c r="GS360" s="26"/>
      <c r="GT360" s="26"/>
      <c r="GU360" s="26"/>
      <c r="GV360" s="26"/>
      <c r="GW360" s="26"/>
      <c r="GX360" s="26"/>
      <c r="GY360" s="26"/>
      <c r="GZ360" s="26"/>
      <c r="HA360" s="26"/>
      <c r="HB360" s="26"/>
      <c r="HC360" s="26"/>
      <c r="HD360" s="26"/>
      <c r="HE360" s="26"/>
      <c r="HF360" s="26"/>
      <c r="HG360" s="26"/>
      <c r="HH360" s="26"/>
    </row>
    <row r="361" spans="1:21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26"/>
      <c r="FB361" s="26"/>
      <c r="FC361" s="26"/>
      <c r="FD361" s="26"/>
      <c r="FE361" s="26"/>
      <c r="FF361" s="26"/>
      <c r="FG361" s="26"/>
      <c r="FH361" s="26"/>
      <c r="FI361" s="26"/>
      <c r="FJ361" s="26"/>
      <c r="FK361" s="26"/>
      <c r="FL361" s="26"/>
      <c r="FM361" s="26"/>
      <c r="FN361" s="26"/>
      <c r="FO361" s="26"/>
      <c r="FP361" s="26"/>
      <c r="FQ361" s="26"/>
      <c r="FR361" s="26"/>
      <c r="FS361" s="26"/>
      <c r="FT361" s="26"/>
      <c r="FU361" s="26"/>
      <c r="FV361" s="26"/>
      <c r="FW361" s="26"/>
      <c r="FX361" s="26"/>
      <c r="FY361" s="26"/>
      <c r="FZ361" s="26"/>
      <c r="GA361" s="26"/>
      <c r="GB361" s="26"/>
      <c r="GC361" s="26"/>
      <c r="GD361" s="26"/>
      <c r="GE361" s="26"/>
      <c r="GF361" s="26"/>
      <c r="GG361" s="26"/>
      <c r="GH361" s="26"/>
      <c r="GI361" s="26"/>
      <c r="GJ361" s="26"/>
      <c r="GK361" s="26"/>
      <c r="GL361" s="26"/>
      <c r="GM361" s="26"/>
      <c r="GN361" s="26"/>
      <c r="GO361" s="26"/>
      <c r="GP361" s="26"/>
      <c r="GQ361" s="26"/>
      <c r="GR361" s="26"/>
      <c r="GS361" s="26"/>
      <c r="GT361" s="26"/>
      <c r="GU361" s="26"/>
      <c r="GV361" s="26"/>
      <c r="GW361" s="26"/>
      <c r="GX361" s="26"/>
      <c r="GY361" s="26"/>
      <c r="GZ361" s="26"/>
      <c r="HA361" s="26"/>
      <c r="HB361" s="26"/>
      <c r="HC361" s="26"/>
      <c r="HD361" s="26"/>
      <c r="HE361" s="26"/>
      <c r="HF361" s="26"/>
      <c r="HG361" s="26"/>
      <c r="HH361" s="26"/>
    </row>
    <row r="362" spans="1:21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26"/>
      <c r="FB362" s="26"/>
      <c r="FC362" s="26"/>
      <c r="FD362" s="26"/>
      <c r="FE362" s="26"/>
      <c r="FF362" s="26"/>
      <c r="FG362" s="26"/>
      <c r="FH362" s="26"/>
      <c r="FI362" s="26"/>
      <c r="FJ362" s="26"/>
      <c r="FK362" s="26"/>
      <c r="FL362" s="26"/>
      <c r="FM362" s="26"/>
      <c r="FN362" s="26"/>
      <c r="FO362" s="26"/>
      <c r="FP362" s="26"/>
      <c r="FQ362" s="26"/>
      <c r="FR362" s="26"/>
      <c r="FS362" s="26"/>
      <c r="FT362" s="26"/>
      <c r="FU362" s="26"/>
      <c r="FV362" s="26"/>
      <c r="FW362" s="26"/>
      <c r="FX362" s="26"/>
      <c r="FY362" s="26"/>
      <c r="FZ362" s="26"/>
      <c r="GA362" s="26"/>
      <c r="GB362" s="26"/>
      <c r="GC362" s="26"/>
      <c r="GD362" s="26"/>
      <c r="GE362" s="26"/>
      <c r="GF362" s="26"/>
      <c r="GG362" s="26"/>
      <c r="GH362" s="26"/>
      <c r="GI362" s="26"/>
      <c r="GJ362" s="26"/>
      <c r="GK362" s="26"/>
      <c r="GL362" s="26"/>
      <c r="GM362" s="26"/>
      <c r="GN362" s="26"/>
      <c r="GO362" s="26"/>
      <c r="GP362" s="26"/>
      <c r="GQ362" s="26"/>
      <c r="GR362" s="26"/>
      <c r="GS362" s="26"/>
      <c r="GT362" s="26"/>
      <c r="GU362" s="26"/>
      <c r="GV362" s="26"/>
      <c r="GW362" s="26"/>
      <c r="GX362" s="26"/>
      <c r="GY362" s="26"/>
      <c r="GZ362" s="26"/>
      <c r="HA362" s="26"/>
      <c r="HB362" s="26"/>
      <c r="HC362" s="26"/>
      <c r="HD362" s="26"/>
      <c r="HE362" s="26"/>
      <c r="HF362" s="26"/>
      <c r="HG362" s="26"/>
      <c r="HH362" s="26"/>
    </row>
    <row r="363" spans="1:21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26"/>
      <c r="FB363" s="26"/>
      <c r="FC363" s="26"/>
      <c r="FD363" s="26"/>
      <c r="FE363" s="26"/>
      <c r="FF363" s="26"/>
      <c r="FG363" s="26"/>
      <c r="FH363" s="26"/>
      <c r="FI363" s="26"/>
      <c r="FJ363" s="26"/>
      <c r="FK363" s="26"/>
      <c r="FL363" s="26"/>
      <c r="FM363" s="26"/>
      <c r="FN363" s="26"/>
      <c r="FO363" s="26"/>
      <c r="FP363" s="26"/>
      <c r="FQ363" s="26"/>
      <c r="FR363" s="26"/>
      <c r="FS363" s="26"/>
      <c r="FT363" s="26"/>
      <c r="FU363" s="26"/>
      <c r="FV363" s="26"/>
      <c r="FW363" s="26"/>
      <c r="FX363" s="26"/>
      <c r="FY363" s="26"/>
      <c r="FZ363" s="26"/>
      <c r="GA363" s="26"/>
      <c r="GB363" s="26"/>
      <c r="GC363" s="26"/>
      <c r="GD363" s="26"/>
      <c r="GE363" s="26"/>
      <c r="GF363" s="26"/>
      <c r="GG363" s="26"/>
      <c r="GH363" s="26"/>
      <c r="GI363" s="26"/>
      <c r="GJ363" s="26"/>
      <c r="GK363" s="26"/>
      <c r="GL363" s="26"/>
      <c r="GM363" s="26"/>
      <c r="GN363" s="26"/>
      <c r="GO363" s="26"/>
      <c r="GP363" s="26"/>
      <c r="GQ363" s="26"/>
      <c r="GR363" s="26"/>
      <c r="GS363" s="26"/>
      <c r="GT363" s="26"/>
      <c r="GU363" s="26"/>
      <c r="GV363" s="26"/>
      <c r="GW363" s="26"/>
      <c r="GX363" s="26"/>
      <c r="GY363" s="26"/>
      <c r="GZ363" s="26"/>
      <c r="HA363" s="26"/>
      <c r="HB363" s="26"/>
      <c r="HC363" s="26"/>
      <c r="HD363" s="26"/>
      <c r="HE363" s="26"/>
      <c r="HF363" s="26"/>
      <c r="HG363" s="26"/>
      <c r="HH363" s="26"/>
    </row>
    <row r="364" spans="1:21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26"/>
      <c r="FB364" s="26"/>
      <c r="FC364" s="26"/>
      <c r="FD364" s="26"/>
      <c r="FE364" s="26"/>
      <c r="FF364" s="26"/>
      <c r="FG364" s="26"/>
      <c r="FH364" s="26"/>
      <c r="FI364" s="26"/>
      <c r="FJ364" s="26"/>
      <c r="FK364" s="26"/>
      <c r="FL364" s="26"/>
      <c r="FM364" s="26"/>
      <c r="FN364" s="26"/>
      <c r="FO364" s="26"/>
      <c r="FP364" s="26"/>
      <c r="FQ364" s="26"/>
      <c r="FR364" s="26"/>
      <c r="FS364" s="26"/>
      <c r="FT364" s="26"/>
      <c r="FU364" s="26"/>
      <c r="FV364" s="26"/>
      <c r="FW364" s="26"/>
      <c r="FX364" s="26"/>
      <c r="FY364" s="26"/>
      <c r="FZ364" s="26"/>
      <c r="GA364" s="26"/>
      <c r="GB364" s="26"/>
      <c r="GC364" s="26"/>
      <c r="GD364" s="26"/>
      <c r="GE364" s="26"/>
      <c r="GF364" s="26"/>
      <c r="GG364" s="26"/>
      <c r="GH364" s="26"/>
      <c r="GI364" s="26"/>
      <c r="GJ364" s="26"/>
      <c r="GK364" s="26"/>
      <c r="GL364" s="26"/>
      <c r="GM364" s="26"/>
      <c r="GN364" s="26"/>
      <c r="GO364" s="26"/>
      <c r="GP364" s="26"/>
      <c r="GQ364" s="26"/>
      <c r="GR364" s="26"/>
      <c r="GS364" s="26"/>
      <c r="GT364" s="26"/>
      <c r="GU364" s="26"/>
      <c r="GV364" s="26"/>
      <c r="GW364" s="26"/>
      <c r="GX364" s="26"/>
      <c r="GY364" s="26"/>
      <c r="GZ364" s="26"/>
      <c r="HA364" s="26"/>
      <c r="HB364" s="26"/>
      <c r="HC364" s="26"/>
      <c r="HD364" s="26"/>
      <c r="HE364" s="26"/>
      <c r="HF364" s="26"/>
      <c r="HG364" s="26"/>
      <c r="HH364" s="26"/>
    </row>
    <row r="365" spans="1:21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26"/>
      <c r="FB365" s="26"/>
      <c r="FC365" s="26"/>
      <c r="FD365" s="26"/>
      <c r="FE365" s="26"/>
      <c r="FF365" s="26"/>
      <c r="FG365" s="26"/>
      <c r="FH365" s="26"/>
      <c r="FI365" s="26"/>
      <c r="FJ365" s="26"/>
      <c r="FK365" s="26"/>
      <c r="FL365" s="26"/>
      <c r="FM365" s="26"/>
      <c r="FN365" s="26"/>
      <c r="FO365" s="26"/>
      <c r="FP365" s="26"/>
      <c r="FQ365" s="26"/>
      <c r="FR365" s="26"/>
      <c r="FS365" s="26"/>
      <c r="FT365" s="26"/>
      <c r="FU365" s="26"/>
      <c r="FV365" s="26"/>
      <c r="FW365" s="26"/>
      <c r="FX365" s="26"/>
      <c r="FY365" s="26"/>
      <c r="FZ365" s="26"/>
      <c r="GA365" s="26"/>
      <c r="GB365" s="26"/>
      <c r="GC365" s="26"/>
      <c r="GD365" s="26"/>
      <c r="GE365" s="26"/>
      <c r="GF365" s="26"/>
      <c r="GG365" s="26"/>
      <c r="GH365" s="26"/>
      <c r="GI365" s="26"/>
      <c r="GJ365" s="26"/>
      <c r="GK365" s="26"/>
      <c r="GL365" s="26"/>
      <c r="GM365" s="26"/>
      <c r="GN365" s="26"/>
      <c r="GO365" s="26"/>
      <c r="GP365" s="26"/>
      <c r="GQ365" s="26"/>
      <c r="GR365" s="26"/>
      <c r="GS365" s="26"/>
      <c r="GT365" s="26"/>
      <c r="GU365" s="26"/>
      <c r="GV365" s="26"/>
      <c r="GW365" s="26"/>
      <c r="GX365" s="26"/>
      <c r="GY365" s="26"/>
      <c r="GZ365" s="26"/>
      <c r="HA365" s="26"/>
      <c r="HB365" s="26"/>
      <c r="HC365" s="26"/>
      <c r="HD365" s="26"/>
      <c r="HE365" s="26"/>
      <c r="HF365" s="26"/>
      <c r="HG365" s="26"/>
      <c r="HH365" s="26"/>
    </row>
    <row r="366" spans="1:21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26"/>
      <c r="FB366" s="26"/>
      <c r="FC366" s="26"/>
      <c r="FD366" s="26"/>
      <c r="FE366" s="26"/>
      <c r="FF366" s="26"/>
      <c r="FG366" s="26"/>
      <c r="FH366" s="26"/>
      <c r="FI366" s="26"/>
      <c r="FJ366" s="26"/>
      <c r="FK366" s="26"/>
      <c r="FL366" s="26"/>
      <c r="FM366" s="26"/>
      <c r="FN366" s="26"/>
      <c r="FO366" s="26"/>
      <c r="FP366" s="26"/>
      <c r="FQ366" s="26"/>
      <c r="FR366" s="26"/>
      <c r="FS366" s="26"/>
      <c r="FT366" s="26"/>
      <c r="FU366" s="26"/>
      <c r="FV366" s="26"/>
      <c r="FW366" s="26"/>
      <c r="FX366" s="26"/>
      <c r="FY366" s="26"/>
      <c r="FZ366" s="26"/>
      <c r="GA366" s="26"/>
      <c r="GB366" s="26"/>
      <c r="GC366" s="26"/>
      <c r="GD366" s="26"/>
      <c r="GE366" s="26"/>
      <c r="GF366" s="26"/>
      <c r="GG366" s="26"/>
      <c r="GH366" s="26"/>
      <c r="GI366" s="26"/>
      <c r="GJ366" s="26"/>
      <c r="GK366" s="26"/>
      <c r="GL366" s="26"/>
      <c r="GM366" s="26"/>
      <c r="GN366" s="26"/>
      <c r="GO366" s="26"/>
      <c r="GP366" s="26"/>
      <c r="GQ366" s="26"/>
      <c r="GR366" s="26"/>
      <c r="GS366" s="26"/>
      <c r="GT366" s="26"/>
      <c r="GU366" s="26"/>
      <c r="GV366" s="26"/>
      <c r="GW366" s="26"/>
      <c r="GX366" s="26"/>
      <c r="GY366" s="26"/>
      <c r="GZ366" s="26"/>
      <c r="HA366" s="26"/>
      <c r="HB366" s="26"/>
      <c r="HC366" s="26"/>
      <c r="HD366" s="26"/>
      <c r="HE366" s="26"/>
      <c r="HF366" s="26"/>
      <c r="HG366" s="26"/>
      <c r="HH366" s="26"/>
    </row>
    <row r="367" spans="1:21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26"/>
      <c r="FB367" s="26"/>
      <c r="FC367" s="26"/>
      <c r="FD367" s="26"/>
      <c r="FE367" s="26"/>
      <c r="FF367" s="26"/>
      <c r="FG367" s="26"/>
      <c r="FH367" s="26"/>
      <c r="FI367" s="26"/>
      <c r="FJ367" s="26"/>
      <c r="FK367" s="26"/>
      <c r="FL367" s="26"/>
      <c r="FM367" s="26"/>
      <c r="FN367" s="26"/>
      <c r="FO367" s="26"/>
      <c r="FP367" s="26"/>
      <c r="FQ367" s="26"/>
      <c r="FR367" s="26"/>
      <c r="FS367" s="26"/>
      <c r="FT367" s="26"/>
      <c r="FU367" s="26"/>
      <c r="FV367" s="26"/>
      <c r="FW367" s="26"/>
      <c r="FX367" s="26"/>
      <c r="FY367" s="26"/>
      <c r="FZ367" s="26"/>
      <c r="GA367" s="26"/>
      <c r="GB367" s="26"/>
      <c r="GC367" s="26"/>
      <c r="GD367" s="26"/>
      <c r="GE367" s="26"/>
      <c r="GF367" s="26"/>
      <c r="GG367" s="26"/>
      <c r="GH367" s="26"/>
      <c r="GI367" s="26"/>
      <c r="GJ367" s="26"/>
      <c r="GK367" s="26"/>
      <c r="GL367" s="26"/>
      <c r="GM367" s="26"/>
      <c r="GN367" s="26"/>
      <c r="GO367" s="26"/>
      <c r="GP367" s="26"/>
      <c r="GQ367" s="26"/>
      <c r="GR367" s="26"/>
      <c r="GS367" s="26"/>
      <c r="GT367" s="26"/>
      <c r="GU367" s="26"/>
      <c r="GV367" s="26"/>
      <c r="GW367" s="26"/>
      <c r="GX367" s="26"/>
      <c r="GY367" s="26"/>
      <c r="GZ367" s="26"/>
      <c r="HA367" s="26"/>
      <c r="HB367" s="26"/>
      <c r="HC367" s="26"/>
      <c r="HD367" s="26"/>
      <c r="HE367" s="26"/>
      <c r="HF367" s="26"/>
      <c r="HG367" s="26"/>
      <c r="HH367" s="26"/>
    </row>
    <row r="368" spans="1:21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26"/>
      <c r="FB368" s="26"/>
      <c r="FC368" s="26"/>
      <c r="FD368" s="26"/>
      <c r="FE368" s="26"/>
      <c r="FF368" s="26"/>
      <c r="FG368" s="26"/>
      <c r="FH368" s="26"/>
      <c r="FI368" s="26"/>
      <c r="FJ368" s="26"/>
      <c r="FK368" s="26"/>
      <c r="FL368" s="26"/>
      <c r="FM368" s="26"/>
      <c r="FN368" s="26"/>
      <c r="FO368" s="26"/>
      <c r="FP368" s="26"/>
      <c r="FQ368" s="26"/>
      <c r="FR368" s="26"/>
      <c r="FS368" s="26"/>
      <c r="FT368" s="26"/>
      <c r="FU368" s="26"/>
      <c r="FV368" s="26"/>
      <c r="FW368" s="26"/>
      <c r="FX368" s="26"/>
      <c r="FY368" s="26"/>
      <c r="FZ368" s="26"/>
      <c r="GA368" s="26"/>
      <c r="GB368" s="26"/>
      <c r="GC368" s="26"/>
      <c r="GD368" s="26"/>
      <c r="GE368" s="26"/>
      <c r="GF368" s="26"/>
      <c r="GG368" s="26"/>
      <c r="GH368" s="26"/>
      <c r="GI368" s="26"/>
      <c r="GJ368" s="26"/>
      <c r="GK368" s="26"/>
      <c r="GL368" s="26"/>
      <c r="GM368" s="26"/>
      <c r="GN368" s="26"/>
      <c r="GO368" s="26"/>
      <c r="GP368" s="26"/>
      <c r="GQ368" s="26"/>
      <c r="GR368" s="26"/>
      <c r="GS368" s="26"/>
      <c r="GT368" s="26"/>
      <c r="GU368" s="26"/>
      <c r="GV368" s="26"/>
      <c r="GW368" s="26"/>
      <c r="GX368" s="26"/>
      <c r="GY368" s="26"/>
      <c r="GZ368" s="26"/>
      <c r="HA368" s="26"/>
      <c r="HB368" s="26"/>
      <c r="HC368" s="26"/>
      <c r="HD368" s="26"/>
      <c r="HE368" s="26"/>
      <c r="HF368" s="26"/>
      <c r="HG368" s="26"/>
      <c r="HH368" s="26"/>
    </row>
    <row r="369" spans="1:21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26"/>
      <c r="FB369" s="26"/>
      <c r="FC369" s="26"/>
      <c r="FD369" s="26"/>
      <c r="FE369" s="26"/>
      <c r="FF369" s="26"/>
      <c r="FG369" s="26"/>
      <c r="FH369" s="26"/>
      <c r="FI369" s="26"/>
      <c r="FJ369" s="26"/>
      <c r="FK369" s="26"/>
      <c r="FL369" s="26"/>
      <c r="FM369" s="26"/>
      <c r="FN369" s="26"/>
      <c r="FO369" s="26"/>
      <c r="FP369" s="26"/>
      <c r="FQ369" s="26"/>
      <c r="FR369" s="26"/>
      <c r="FS369" s="26"/>
      <c r="FT369" s="26"/>
      <c r="FU369" s="26"/>
      <c r="FV369" s="26"/>
      <c r="FW369" s="26"/>
      <c r="FX369" s="26"/>
      <c r="FY369" s="26"/>
      <c r="FZ369" s="26"/>
      <c r="GA369" s="26"/>
      <c r="GB369" s="26"/>
      <c r="GC369" s="26"/>
      <c r="GD369" s="26"/>
      <c r="GE369" s="26"/>
      <c r="GF369" s="26"/>
      <c r="GG369" s="26"/>
      <c r="GH369" s="26"/>
      <c r="GI369" s="26"/>
      <c r="GJ369" s="26"/>
      <c r="GK369" s="26"/>
      <c r="GL369" s="26"/>
      <c r="GM369" s="26"/>
      <c r="GN369" s="26"/>
      <c r="GO369" s="26"/>
      <c r="GP369" s="26"/>
      <c r="GQ369" s="26"/>
      <c r="GR369" s="26"/>
      <c r="GS369" s="26"/>
      <c r="GT369" s="26"/>
      <c r="GU369" s="26"/>
      <c r="GV369" s="26"/>
      <c r="GW369" s="26"/>
      <c r="GX369" s="26"/>
      <c r="GY369" s="26"/>
      <c r="GZ369" s="26"/>
      <c r="HA369" s="26"/>
      <c r="HB369" s="26"/>
      <c r="HC369" s="26"/>
      <c r="HD369" s="26"/>
      <c r="HE369" s="26"/>
      <c r="HF369" s="26"/>
      <c r="HG369" s="26"/>
      <c r="HH369" s="26"/>
    </row>
    <row r="370" spans="1:21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26"/>
      <c r="FB370" s="26"/>
      <c r="FC370" s="26"/>
      <c r="FD370" s="26"/>
      <c r="FE370" s="26"/>
      <c r="FF370" s="26"/>
      <c r="FG370" s="26"/>
      <c r="FH370" s="26"/>
      <c r="FI370" s="26"/>
      <c r="FJ370" s="26"/>
      <c r="FK370" s="26"/>
      <c r="FL370" s="26"/>
      <c r="FM370" s="26"/>
      <c r="FN370" s="26"/>
      <c r="FO370" s="26"/>
      <c r="FP370" s="26"/>
      <c r="FQ370" s="26"/>
      <c r="FR370" s="26"/>
      <c r="FS370" s="26"/>
      <c r="FT370" s="26"/>
      <c r="FU370" s="26"/>
      <c r="FV370" s="26"/>
      <c r="FW370" s="26"/>
      <c r="FX370" s="26"/>
      <c r="FY370" s="26"/>
      <c r="FZ370" s="26"/>
      <c r="GA370" s="26"/>
      <c r="GB370" s="26"/>
      <c r="GC370" s="26"/>
      <c r="GD370" s="26"/>
      <c r="GE370" s="26"/>
      <c r="GF370" s="26"/>
      <c r="GG370" s="26"/>
      <c r="GH370" s="26"/>
      <c r="GI370" s="26"/>
      <c r="GJ370" s="26"/>
      <c r="GK370" s="26"/>
      <c r="GL370" s="26"/>
      <c r="GM370" s="26"/>
      <c r="GN370" s="26"/>
      <c r="GO370" s="26"/>
      <c r="GP370" s="26"/>
      <c r="GQ370" s="26"/>
      <c r="GR370" s="26"/>
      <c r="GS370" s="26"/>
      <c r="GT370" s="26"/>
      <c r="GU370" s="26"/>
      <c r="GV370" s="26"/>
      <c r="GW370" s="26"/>
      <c r="GX370" s="26"/>
      <c r="GY370" s="26"/>
      <c r="GZ370" s="26"/>
      <c r="HA370" s="26"/>
      <c r="HB370" s="26"/>
      <c r="HC370" s="26"/>
      <c r="HD370" s="26"/>
      <c r="HE370" s="26"/>
      <c r="HF370" s="26"/>
      <c r="HG370" s="26"/>
      <c r="HH370" s="26"/>
    </row>
    <row r="371" spans="1:21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26"/>
      <c r="FB371" s="26"/>
      <c r="FC371" s="26"/>
      <c r="FD371" s="26"/>
      <c r="FE371" s="26"/>
      <c r="FF371" s="26"/>
      <c r="FG371" s="26"/>
      <c r="FH371" s="26"/>
      <c r="FI371" s="26"/>
      <c r="FJ371" s="26"/>
      <c r="FK371" s="26"/>
      <c r="FL371" s="26"/>
      <c r="FM371" s="26"/>
      <c r="FN371" s="26"/>
      <c r="FO371" s="26"/>
      <c r="FP371" s="26"/>
      <c r="FQ371" s="26"/>
      <c r="FR371" s="26"/>
      <c r="FS371" s="26"/>
      <c r="FT371" s="26"/>
      <c r="FU371" s="26"/>
      <c r="FV371" s="26"/>
      <c r="FW371" s="26"/>
      <c r="FX371" s="26"/>
      <c r="FY371" s="26"/>
      <c r="FZ371" s="26"/>
      <c r="GA371" s="26"/>
      <c r="GB371" s="26"/>
      <c r="GC371" s="26"/>
      <c r="GD371" s="26"/>
      <c r="GE371" s="26"/>
      <c r="GF371" s="26"/>
      <c r="GG371" s="26"/>
      <c r="GH371" s="26"/>
      <c r="GI371" s="26"/>
      <c r="GJ371" s="26"/>
      <c r="GK371" s="26"/>
      <c r="GL371" s="26"/>
      <c r="GM371" s="26"/>
      <c r="GN371" s="26"/>
      <c r="GO371" s="26"/>
      <c r="GP371" s="26"/>
      <c r="GQ371" s="26"/>
      <c r="GR371" s="26"/>
      <c r="GS371" s="26"/>
      <c r="GT371" s="26"/>
      <c r="GU371" s="26"/>
      <c r="GV371" s="26"/>
      <c r="GW371" s="26"/>
      <c r="GX371" s="26"/>
      <c r="GY371" s="26"/>
      <c r="GZ371" s="26"/>
      <c r="HA371" s="26"/>
      <c r="HB371" s="26"/>
      <c r="HC371" s="26"/>
      <c r="HD371" s="26"/>
      <c r="HE371" s="26"/>
      <c r="HF371" s="26"/>
      <c r="HG371" s="26"/>
      <c r="HH371" s="26"/>
    </row>
    <row r="372" spans="1:21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26"/>
      <c r="FB372" s="26"/>
      <c r="FC372" s="26"/>
      <c r="FD372" s="26"/>
      <c r="FE372" s="26"/>
      <c r="FF372" s="26"/>
      <c r="FG372" s="26"/>
      <c r="FH372" s="26"/>
      <c r="FI372" s="26"/>
      <c r="FJ372" s="26"/>
      <c r="FK372" s="26"/>
      <c r="FL372" s="26"/>
      <c r="FM372" s="26"/>
      <c r="FN372" s="26"/>
      <c r="FO372" s="26"/>
      <c r="FP372" s="26"/>
      <c r="FQ372" s="26"/>
      <c r="FR372" s="26"/>
      <c r="FS372" s="26"/>
      <c r="FT372" s="26"/>
      <c r="FU372" s="26"/>
      <c r="FV372" s="26"/>
      <c r="FW372" s="26"/>
      <c r="FX372" s="26"/>
      <c r="FY372" s="26"/>
      <c r="FZ372" s="26"/>
      <c r="GA372" s="26"/>
      <c r="GB372" s="26"/>
      <c r="GC372" s="26"/>
      <c r="GD372" s="26"/>
      <c r="GE372" s="26"/>
      <c r="GF372" s="26"/>
      <c r="GG372" s="26"/>
      <c r="GH372" s="26"/>
      <c r="GI372" s="26"/>
      <c r="GJ372" s="26"/>
      <c r="GK372" s="26"/>
      <c r="GL372" s="26"/>
      <c r="GM372" s="26"/>
      <c r="GN372" s="26"/>
      <c r="GO372" s="26"/>
      <c r="GP372" s="26"/>
      <c r="GQ372" s="26"/>
      <c r="GR372" s="26"/>
      <c r="GS372" s="26"/>
      <c r="GT372" s="26"/>
      <c r="GU372" s="26"/>
      <c r="GV372" s="26"/>
      <c r="GW372" s="26"/>
      <c r="GX372" s="26"/>
      <c r="GY372" s="26"/>
      <c r="GZ372" s="26"/>
      <c r="HA372" s="26"/>
      <c r="HB372" s="26"/>
      <c r="HC372" s="26"/>
      <c r="HD372" s="26"/>
      <c r="HE372" s="26"/>
      <c r="HF372" s="26"/>
      <c r="HG372" s="26"/>
      <c r="HH372" s="26"/>
    </row>
    <row r="373" spans="1:21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26"/>
      <c r="FB373" s="26"/>
      <c r="FC373" s="26"/>
      <c r="FD373" s="26"/>
      <c r="FE373" s="26"/>
      <c r="FF373" s="26"/>
      <c r="FG373" s="26"/>
      <c r="FH373" s="26"/>
      <c r="FI373" s="26"/>
      <c r="FJ373" s="26"/>
      <c r="FK373" s="26"/>
      <c r="FL373" s="26"/>
      <c r="FM373" s="26"/>
      <c r="FN373" s="26"/>
      <c r="FO373" s="26"/>
      <c r="FP373" s="26"/>
      <c r="FQ373" s="26"/>
      <c r="FR373" s="26"/>
      <c r="FS373" s="26"/>
      <c r="FT373" s="26"/>
      <c r="FU373" s="26"/>
      <c r="FV373" s="26"/>
      <c r="FW373" s="26"/>
      <c r="FX373" s="26"/>
      <c r="FY373" s="26"/>
      <c r="FZ373" s="26"/>
      <c r="GA373" s="26"/>
      <c r="GB373" s="26"/>
      <c r="GC373" s="26"/>
      <c r="GD373" s="26"/>
      <c r="GE373" s="26"/>
      <c r="GF373" s="26"/>
      <c r="GG373" s="26"/>
      <c r="GH373" s="26"/>
      <c r="GI373" s="26"/>
      <c r="GJ373" s="26"/>
      <c r="GK373" s="26"/>
      <c r="GL373" s="26"/>
      <c r="GM373" s="26"/>
      <c r="GN373" s="26"/>
      <c r="GO373" s="26"/>
      <c r="GP373" s="26"/>
      <c r="GQ373" s="26"/>
      <c r="GR373" s="26"/>
      <c r="GS373" s="26"/>
      <c r="GT373" s="26"/>
      <c r="GU373" s="26"/>
      <c r="GV373" s="26"/>
      <c r="GW373" s="26"/>
      <c r="GX373" s="26"/>
      <c r="GY373" s="26"/>
      <c r="GZ373" s="26"/>
      <c r="HA373" s="26"/>
      <c r="HB373" s="26"/>
      <c r="HC373" s="26"/>
      <c r="HD373" s="26"/>
      <c r="HE373" s="26"/>
      <c r="HF373" s="26"/>
      <c r="HG373" s="26"/>
      <c r="HH373" s="26"/>
    </row>
    <row r="374" spans="1:216">
      <c r="A374" s="26"/>
      <c r="B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26"/>
      <c r="FB374" s="26"/>
      <c r="FC374" s="26"/>
      <c r="FD374" s="26"/>
      <c r="FE374" s="26"/>
      <c r="FF374" s="26"/>
      <c r="FG374" s="26"/>
      <c r="FH374" s="26"/>
      <c r="FI374" s="26"/>
      <c r="FJ374" s="26"/>
      <c r="FK374" s="26"/>
      <c r="FL374" s="26"/>
      <c r="FM374" s="26"/>
      <c r="FN374" s="26"/>
      <c r="FO374" s="26"/>
      <c r="FP374" s="26"/>
      <c r="FQ374" s="26"/>
      <c r="FR374" s="26"/>
      <c r="FS374" s="26"/>
      <c r="FT374" s="26"/>
      <c r="FU374" s="26"/>
      <c r="FV374" s="26"/>
      <c r="FW374" s="26"/>
      <c r="FX374" s="26"/>
      <c r="FY374" s="26"/>
      <c r="FZ374" s="26"/>
      <c r="GA374" s="26"/>
      <c r="GB374" s="26"/>
      <c r="GC374" s="26"/>
      <c r="GD374" s="26"/>
      <c r="GE374" s="26"/>
      <c r="GF374" s="26"/>
      <c r="GG374" s="26"/>
      <c r="GH374" s="26"/>
      <c r="GI374" s="26"/>
      <c r="GJ374" s="26"/>
      <c r="GK374" s="26"/>
      <c r="GL374" s="26"/>
      <c r="GM374" s="26"/>
      <c r="GN374" s="26"/>
      <c r="GO374" s="26"/>
      <c r="GP374" s="26"/>
      <c r="GQ374" s="26"/>
      <c r="GR374" s="26"/>
      <c r="GS374" s="26"/>
      <c r="GT374" s="26"/>
      <c r="GU374" s="26"/>
      <c r="GV374" s="26"/>
      <c r="GW374" s="26"/>
      <c r="GX374" s="26"/>
      <c r="GY374" s="26"/>
      <c r="GZ374" s="26"/>
      <c r="HA374" s="26"/>
      <c r="HB374" s="26"/>
      <c r="HC374" s="26"/>
      <c r="HD374" s="26"/>
      <c r="HE374" s="26"/>
      <c r="HF374" s="26"/>
      <c r="HG374" s="26"/>
      <c r="HH374" s="26"/>
    </row>
    <row r="375" spans="1:216">
      <c r="A375" s="26"/>
      <c r="B375" s="26"/>
      <c r="C375" s="26"/>
      <c r="D375" s="26"/>
      <c r="E375" s="26"/>
      <c r="F375" s="26"/>
      <c r="G375" s="26"/>
      <c r="H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26"/>
      <c r="FB375" s="26"/>
      <c r="FC375" s="26"/>
      <c r="FD375" s="26"/>
      <c r="FE375" s="26"/>
      <c r="FF375" s="26"/>
      <c r="FG375" s="26"/>
      <c r="FH375" s="26"/>
      <c r="FI375" s="26"/>
      <c r="FJ375" s="26"/>
      <c r="FK375" s="26"/>
      <c r="FL375" s="26"/>
      <c r="FM375" s="26"/>
      <c r="FN375" s="26"/>
      <c r="FO375" s="26"/>
      <c r="FP375" s="26"/>
      <c r="FQ375" s="26"/>
      <c r="FR375" s="26"/>
      <c r="FS375" s="26"/>
      <c r="FT375" s="26"/>
      <c r="FU375" s="26"/>
      <c r="FV375" s="26"/>
      <c r="FW375" s="26"/>
      <c r="FX375" s="26"/>
      <c r="FY375" s="26"/>
      <c r="FZ375" s="26"/>
      <c r="GA375" s="26"/>
      <c r="GB375" s="26"/>
      <c r="GC375" s="26"/>
      <c r="GD375" s="26"/>
      <c r="GE375" s="26"/>
      <c r="GF375" s="26"/>
      <c r="GG375" s="26"/>
      <c r="GH375" s="26"/>
      <c r="GI375" s="26"/>
      <c r="GJ375" s="26"/>
      <c r="GK375" s="26"/>
      <c r="GL375" s="26"/>
      <c r="GM375" s="26"/>
      <c r="GN375" s="26"/>
      <c r="GO375" s="26"/>
      <c r="GP375" s="26"/>
      <c r="GQ375" s="26"/>
      <c r="GR375" s="26"/>
      <c r="GS375" s="26"/>
      <c r="GT375" s="26"/>
      <c r="GU375" s="26"/>
      <c r="GV375" s="26"/>
      <c r="GW375" s="26"/>
      <c r="GX375" s="26"/>
      <c r="GY375" s="26"/>
      <c r="GZ375" s="26"/>
      <c r="HA375" s="26"/>
      <c r="HB375" s="26"/>
      <c r="HC375" s="26"/>
      <c r="HD375" s="26"/>
      <c r="HE375" s="26"/>
      <c r="HF375" s="26"/>
      <c r="HG375" s="26"/>
      <c r="HH375" s="26"/>
    </row>
    <row r="376" spans="1:21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26"/>
      <c r="FB376" s="26"/>
      <c r="FC376" s="26"/>
      <c r="FD376" s="26"/>
      <c r="FE376" s="26"/>
      <c r="FF376" s="26"/>
      <c r="FG376" s="26"/>
      <c r="FH376" s="26"/>
      <c r="FI376" s="26"/>
      <c r="FJ376" s="26"/>
      <c r="FK376" s="26"/>
      <c r="FL376" s="26"/>
      <c r="FM376" s="26"/>
      <c r="FN376" s="26"/>
      <c r="FO376" s="26"/>
      <c r="FP376" s="26"/>
      <c r="FQ376" s="26"/>
      <c r="FR376" s="26"/>
      <c r="FS376" s="26"/>
      <c r="FT376" s="26"/>
      <c r="FU376" s="26"/>
      <c r="FV376" s="26"/>
      <c r="FW376" s="26"/>
      <c r="FX376" s="26"/>
      <c r="FY376" s="26"/>
      <c r="FZ376" s="26"/>
      <c r="GA376" s="26"/>
      <c r="GB376" s="26"/>
      <c r="GC376" s="26"/>
      <c r="GD376" s="26"/>
      <c r="GE376" s="26"/>
      <c r="GF376" s="26"/>
      <c r="GG376" s="26"/>
      <c r="GH376" s="26"/>
      <c r="GI376" s="26"/>
      <c r="GJ376" s="26"/>
      <c r="GK376" s="26"/>
      <c r="GL376" s="26"/>
      <c r="GM376" s="26"/>
      <c r="GN376" s="26"/>
      <c r="GO376" s="26"/>
      <c r="GP376" s="26"/>
      <c r="GQ376" s="26"/>
      <c r="GR376" s="26"/>
      <c r="GS376" s="26"/>
      <c r="GT376" s="26"/>
      <c r="GU376" s="26"/>
      <c r="GV376" s="26"/>
      <c r="GW376" s="26"/>
      <c r="GX376" s="26"/>
      <c r="GY376" s="26"/>
      <c r="GZ376" s="26"/>
      <c r="HA376" s="26"/>
      <c r="HB376" s="26"/>
      <c r="HC376" s="26"/>
      <c r="HD376" s="26"/>
      <c r="HE376" s="26"/>
      <c r="HF376" s="26"/>
      <c r="HG376" s="26"/>
      <c r="HH376" s="26"/>
    </row>
    <row r="377" spans="1:21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c r="CW377" s="26"/>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26"/>
      <c r="FB377" s="26"/>
      <c r="FC377" s="26"/>
      <c r="FD377" s="26"/>
      <c r="FE377" s="26"/>
      <c r="FF377" s="26"/>
      <c r="FG377" s="26"/>
      <c r="FH377" s="26"/>
      <c r="FI377" s="26"/>
      <c r="FJ377" s="26"/>
      <c r="FK377" s="26"/>
      <c r="FL377" s="26"/>
      <c r="FM377" s="26"/>
      <c r="FN377" s="26"/>
      <c r="FO377" s="26"/>
      <c r="FP377" s="26"/>
      <c r="FQ377" s="26"/>
      <c r="FR377" s="26"/>
      <c r="FS377" s="26"/>
      <c r="FT377" s="26"/>
      <c r="FU377" s="26"/>
      <c r="FV377" s="26"/>
      <c r="FW377" s="26"/>
      <c r="FX377" s="26"/>
      <c r="FY377" s="26"/>
      <c r="FZ377" s="26"/>
      <c r="GA377" s="26"/>
      <c r="GB377" s="26"/>
      <c r="GC377" s="26"/>
      <c r="GD377" s="26"/>
      <c r="GE377" s="26"/>
      <c r="GF377" s="26"/>
      <c r="GG377" s="26"/>
      <c r="GH377" s="26"/>
      <c r="GI377" s="26"/>
      <c r="GJ377" s="26"/>
      <c r="GK377" s="26"/>
      <c r="GL377" s="26"/>
      <c r="GM377" s="26"/>
      <c r="GN377" s="26"/>
      <c r="GO377" s="26"/>
      <c r="GP377" s="26"/>
      <c r="GQ377" s="26"/>
      <c r="GR377" s="26"/>
      <c r="GS377" s="26"/>
      <c r="GT377" s="26"/>
      <c r="GU377" s="26"/>
      <c r="GV377" s="26"/>
      <c r="GW377" s="26"/>
      <c r="GX377" s="26"/>
      <c r="GY377" s="26"/>
      <c r="GZ377" s="26"/>
      <c r="HA377" s="26"/>
      <c r="HB377" s="26"/>
      <c r="HC377" s="26"/>
      <c r="HD377" s="26"/>
      <c r="HE377" s="26"/>
      <c r="HF377" s="26"/>
      <c r="HG377" s="26"/>
      <c r="HH377" s="26"/>
    </row>
    <row r="378" spans="1:21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26"/>
      <c r="FB378" s="26"/>
      <c r="FC378" s="26"/>
      <c r="FD378" s="26"/>
      <c r="FE378" s="26"/>
      <c r="FF378" s="26"/>
      <c r="FG378" s="26"/>
      <c r="FH378" s="26"/>
      <c r="FI378" s="26"/>
      <c r="FJ378" s="26"/>
      <c r="FK378" s="26"/>
      <c r="FL378" s="26"/>
      <c r="FM378" s="26"/>
      <c r="FN378" s="26"/>
      <c r="FO378" s="26"/>
      <c r="FP378" s="26"/>
      <c r="FQ378" s="26"/>
      <c r="FR378" s="26"/>
      <c r="FS378" s="26"/>
      <c r="FT378" s="26"/>
      <c r="FU378" s="26"/>
      <c r="FV378" s="26"/>
      <c r="FW378" s="26"/>
      <c r="FX378" s="26"/>
      <c r="FY378" s="26"/>
      <c r="FZ378" s="26"/>
      <c r="GA378" s="26"/>
      <c r="GB378" s="26"/>
      <c r="GC378" s="26"/>
      <c r="GD378" s="26"/>
      <c r="GE378" s="26"/>
      <c r="GF378" s="26"/>
      <c r="GG378" s="26"/>
      <c r="GH378" s="26"/>
      <c r="GI378" s="26"/>
      <c r="GJ378" s="26"/>
      <c r="GK378" s="26"/>
      <c r="GL378" s="26"/>
      <c r="GM378" s="26"/>
      <c r="GN378" s="26"/>
      <c r="GO378" s="26"/>
      <c r="GP378" s="26"/>
      <c r="GQ378" s="26"/>
      <c r="GR378" s="26"/>
      <c r="GS378" s="26"/>
      <c r="GT378" s="26"/>
      <c r="GU378" s="26"/>
      <c r="GV378" s="26"/>
      <c r="GW378" s="26"/>
      <c r="GX378" s="26"/>
      <c r="GY378" s="26"/>
      <c r="GZ378" s="26"/>
      <c r="HA378" s="26"/>
      <c r="HB378" s="26"/>
      <c r="HC378" s="26"/>
      <c r="HD378" s="26"/>
      <c r="HE378" s="26"/>
      <c r="HF378" s="26"/>
      <c r="HG378" s="26"/>
      <c r="HH378" s="26"/>
    </row>
    <row r="379" spans="1:21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c r="CW379" s="26"/>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26"/>
      <c r="FB379" s="26"/>
      <c r="FC379" s="26"/>
      <c r="FD379" s="26"/>
      <c r="FE379" s="26"/>
      <c r="FF379" s="26"/>
      <c r="FG379" s="26"/>
      <c r="FH379" s="26"/>
      <c r="FI379" s="26"/>
      <c r="FJ379" s="26"/>
      <c r="FK379" s="26"/>
      <c r="FL379" s="26"/>
      <c r="FM379" s="26"/>
      <c r="FN379" s="26"/>
      <c r="FO379" s="26"/>
      <c r="FP379" s="26"/>
      <c r="FQ379" s="26"/>
      <c r="FR379" s="26"/>
      <c r="FS379" s="26"/>
      <c r="FT379" s="26"/>
      <c r="FU379" s="26"/>
      <c r="FV379" s="26"/>
      <c r="FW379" s="26"/>
      <c r="FX379" s="26"/>
      <c r="FY379" s="26"/>
      <c r="FZ379" s="26"/>
      <c r="GA379" s="26"/>
      <c r="GB379" s="26"/>
      <c r="GC379" s="26"/>
      <c r="GD379" s="26"/>
      <c r="GE379" s="26"/>
      <c r="GF379" s="26"/>
      <c r="GG379" s="26"/>
      <c r="GH379" s="26"/>
      <c r="GI379" s="26"/>
      <c r="GJ379" s="26"/>
      <c r="GK379" s="26"/>
      <c r="GL379" s="26"/>
      <c r="GM379" s="26"/>
      <c r="GN379" s="26"/>
      <c r="GO379" s="26"/>
      <c r="GP379" s="26"/>
      <c r="GQ379" s="26"/>
      <c r="GR379" s="26"/>
      <c r="GS379" s="26"/>
      <c r="GT379" s="26"/>
      <c r="GU379" s="26"/>
      <c r="GV379" s="26"/>
      <c r="GW379" s="26"/>
      <c r="GX379" s="26"/>
      <c r="GY379" s="26"/>
      <c r="GZ379" s="26"/>
      <c r="HA379" s="26"/>
      <c r="HB379" s="26"/>
      <c r="HC379" s="26"/>
      <c r="HD379" s="26"/>
      <c r="HE379" s="26"/>
      <c r="HF379" s="26"/>
      <c r="HG379" s="26"/>
      <c r="HH379" s="26"/>
    </row>
    <row r="380" spans="1:21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26"/>
      <c r="FB380" s="26"/>
      <c r="FC380" s="26"/>
      <c r="FD380" s="26"/>
      <c r="FE380" s="26"/>
      <c r="FF380" s="26"/>
      <c r="FG380" s="26"/>
      <c r="FH380" s="26"/>
      <c r="FI380" s="26"/>
      <c r="FJ380" s="26"/>
      <c r="FK380" s="26"/>
      <c r="FL380" s="26"/>
      <c r="FM380" s="26"/>
      <c r="FN380" s="26"/>
      <c r="FO380" s="26"/>
      <c r="FP380" s="26"/>
      <c r="FQ380" s="26"/>
      <c r="FR380" s="26"/>
      <c r="FS380" s="26"/>
      <c r="FT380" s="26"/>
      <c r="FU380" s="26"/>
      <c r="FV380" s="26"/>
      <c r="FW380" s="26"/>
      <c r="FX380" s="26"/>
      <c r="FY380" s="26"/>
      <c r="FZ380" s="26"/>
      <c r="GA380" s="26"/>
      <c r="GB380" s="26"/>
      <c r="GC380" s="26"/>
      <c r="GD380" s="26"/>
      <c r="GE380" s="26"/>
      <c r="GF380" s="26"/>
      <c r="GG380" s="26"/>
      <c r="GH380" s="26"/>
      <c r="GI380" s="26"/>
      <c r="GJ380" s="26"/>
      <c r="GK380" s="26"/>
      <c r="GL380" s="26"/>
      <c r="GM380" s="26"/>
      <c r="GN380" s="26"/>
      <c r="GO380" s="26"/>
      <c r="GP380" s="26"/>
      <c r="GQ380" s="26"/>
      <c r="GR380" s="26"/>
      <c r="GS380" s="26"/>
      <c r="GT380" s="26"/>
      <c r="GU380" s="26"/>
      <c r="GV380" s="26"/>
      <c r="GW380" s="26"/>
      <c r="GX380" s="26"/>
      <c r="GY380" s="26"/>
      <c r="GZ380" s="26"/>
      <c r="HA380" s="26"/>
      <c r="HB380" s="26"/>
      <c r="HC380" s="26"/>
      <c r="HD380" s="26"/>
      <c r="HE380" s="26"/>
      <c r="HF380" s="26"/>
      <c r="HG380" s="26"/>
      <c r="HH380" s="26"/>
    </row>
    <row r="381" spans="1:21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c r="CW381" s="26"/>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26"/>
      <c r="FB381" s="26"/>
      <c r="FC381" s="26"/>
      <c r="FD381" s="26"/>
      <c r="FE381" s="26"/>
      <c r="FF381" s="26"/>
      <c r="FG381" s="26"/>
      <c r="FH381" s="26"/>
      <c r="FI381" s="26"/>
      <c r="FJ381" s="26"/>
      <c r="FK381" s="26"/>
      <c r="FL381" s="26"/>
      <c r="FM381" s="26"/>
      <c r="FN381" s="26"/>
      <c r="FO381" s="26"/>
      <c r="FP381" s="26"/>
      <c r="FQ381" s="26"/>
      <c r="FR381" s="26"/>
      <c r="FS381" s="26"/>
      <c r="FT381" s="26"/>
      <c r="FU381" s="26"/>
      <c r="FV381" s="26"/>
      <c r="FW381" s="26"/>
      <c r="FX381" s="26"/>
      <c r="FY381" s="26"/>
      <c r="FZ381" s="26"/>
      <c r="GA381" s="26"/>
      <c r="GB381" s="26"/>
      <c r="GC381" s="26"/>
      <c r="GD381" s="26"/>
      <c r="GE381" s="26"/>
      <c r="GF381" s="26"/>
      <c r="GG381" s="26"/>
      <c r="GH381" s="26"/>
      <c r="GI381" s="26"/>
      <c r="GJ381" s="26"/>
      <c r="GK381" s="26"/>
      <c r="GL381" s="26"/>
      <c r="GM381" s="26"/>
      <c r="GN381" s="26"/>
      <c r="GO381" s="26"/>
      <c r="GP381" s="26"/>
      <c r="GQ381" s="26"/>
      <c r="GR381" s="26"/>
      <c r="GS381" s="26"/>
      <c r="GT381" s="26"/>
      <c r="GU381" s="26"/>
      <c r="GV381" s="26"/>
      <c r="GW381" s="26"/>
      <c r="GX381" s="26"/>
      <c r="GY381" s="26"/>
      <c r="GZ381" s="26"/>
      <c r="HA381" s="26"/>
      <c r="HB381" s="26"/>
      <c r="HC381" s="26"/>
      <c r="HD381" s="26"/>
      <c r="HE381" s="26"/>
      <c r="HF381" s="26"/>
      <c r="HG381" s="26"/>
      <c r="HH381" s="26"/>
    </row>
    <row r="382" spans="1:21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26"/>
      <c r="FB382" s="26"/>
      <c r="FC382" s="26"/>
      <c r="FD382" s="26"/>
      <c r="FE382" s="26"/>
      <c r="FF382" s="26"/>
      <c r="FG382" s="26"/>
      <c r="FH382" s="26"/>
      <c r="FI382" s="26"/>
      <c r="FJ382" s="26"/>
      <c r="FK382" s="26"/>
      <c r="FL382" s="26"/>
      <c r="FM382" s="26"/>
      <c r="FN382" s="26"/>
      <c r="FO382" s="26"/>
      <c r="FP382" s="26"/>
      <c r="FQ382" s="26"/>
      <c r="FR382" s="26"/>
      <c r="FS382" s="26"/>
      <c r="FT382" s="26"/>
      <c r="FU382" s="26"/>
      <c r="FV382" s="26"/>
      <c r="FW382" s="26"/>
      <c r="FX382" s="26"/>
      <c r="FY382" s="26"/>
      <c r="FZ382" s="26"/>
      <c r="GA382" s="26"/>
      <c r="GB382" s="26"/>
      <c r="GC382" s="26"/>
      <c r="GD382" s="26"/>
      <c r="GE382" s="26"/>
      <c r="GF382" s="26"/>
      <c r="GG382" s="26"/>
      <c r="GH382" s="26"/>
      <c r="GI382" s="26"/>
      <c r="GJ382" s="26"/>
      <c r="GK382" s="26"/>
      <c r="GL382" s="26"/>
      <c r="GM382" s="26"/>
      <c r="GN382" s="26"/>
      <c r="GO382" s="26"/>
      <c r="GP382" s="26"/>
      <c r="GQ382" s="26"/>
      <c r="GR382" s="26"/>
      <c r="GS382" s="26"/>
      <c r="GT382" s="26"/>
      <c r="GU382" s="26"/>
      <c r="GV382" s="26"/>
      <c r="GW382" s="26"/>
      <c r="GX382" s="26"/>
      <c r="GY382" s="26"/>
      <c r="GZ382" s="26"/>
      <c r="HA382" s="26"/>
      <c r="HB382" s="26"/>
      <c r="HC382" s="26"/>
      <c r="HD382" s="26"/>
      <c r="HE382" s="26"/>
      <c r="HF382" s="26"/>
      <c r="HG382" s="26"/>
      <c r="HH382" s="26"/>
    </row>
    <row r="383" spans="1:21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26"/>
      <c r="FB383" s="26"/>
      <c r="FC383" s="26"/>
      <c r="FD383" s="26"/>
      <c r="FE383" s="26"/>
      <c r="FF383" s="26"/>
      <c r="FG383" s="26"/>
      <c r="FH383" s="26"/>
      <c r="FI383" s="26"/>
      <c r="FJ383" s="26"/>
      <c r="FK383" s="26"/>
      <c r="FL383" s="26"/>
      <c r="FM383" s="26"/>
      <c r="FN383" s="26"/>
      <c r="FO383" s="26"/>
      <c r="FP383" s="26"/>
      <c r="FQ383" s="26"/>
      <c r="FR383" s="26"/>
      <c r="FS383" s="26"/>
      <c r="FT383" s="26"/>
      <c r="FU383" s="26"/>
      <c r="FV383" s="26"/>
      <c r="FW383" s="26"/>
      <c r="FX383" s="26"/>
      <c r="FY383" s="26"/>
      <c r="FZ383" s="26"/>
      <c r="GA383" s="26"/>
      <c r="GB383" s="26"/>
      <c r="GC383" s="26"/>
      <c r="GD383" s="26"/>
      <c r="GE383" s="26"/>
      <c r="GF383" s="26"/>
      <c r="GG383" s="26"/>
      <c r="GH383" s="26"/>
      <c r="GI383" s="26"/>
      <c r="GJ383" s="26"/>
      <c r="GK383" s="26"/>
      <c r="GL383" s="26"/>
      <c r="GM383" s="26"/>
      <c r="GN383" s="26"/>
      <c r="GO383" s="26"/>
      <c r="GP383" s="26"/>
      <c r="GQ383" s="26"/>
      <c r="GR383" s="26"/>
      <c r="GS383" s="26"/>
      <c r="GT383" s="26"/>
      <c r="GU383" s="26"/>
      <c r="GV383" s="26"/>
      <c r="GW383" s="26"/>
      <c r="GX383" s="26"/>
      <c r="GY383" s="26"/>
      <c r="GZ383" s="26"/>
      <c r="HA383" s="26"/>
      <c r="HB383" s="26"/>
      <c r="HC383" s="26"/>
      <c r="HD383" s="26"/>
      <c r="HE383" s="26"/>
      <c r="HF383" s="26"/>
      <c r="HG383" s="26"/>
      <c r="HH383" s="26"/>
    </row>
    <row r="384" spans="1:21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c r="CW384" s="26"/>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26"/>
      <c r="FB384" s="26"/>
      <c r="FC384" s="26"/>
      <c r="FD384" s="26"/>
      <c r="FE384" s="26"/>
      <c r="FF384" s="26"/>
      <c r="FG384" s="26"/>
      <c r="FH384" s="26"/>
      <c r="FI384" s="26"/>
      <c r="FJ384" s="26"/>
      <c r="FK384" s="26"/>
      <c r="FL384" s="26"/>
      <c r="FM384" s="26"/>
      <c r="FN384" s="26"/>
      <c r="FO384" s="26"/>
      <c r="FP384" s="26"/>
      <c r="FQ384" s="26"/>
      <c r="FR384" s="26"/>
      <c r="FS384" s="26"/>
      <c r="FT384" s="26"/>
      <c r="FU384" s="26"/>
      <c r="FV384" s="26"/>
      <c r="FW384" s="26"/>
      <c r="FX384" s="26"/>
      <c r="FY384" s="26"/>
      <c r="FZ384" s="26"/>
      <c r="GA384" s="26"/>
      <c r="GB384" s="26"/>
      <c r="GC384" s="26"/>
      <c r="GD384" s="26"/>
      <c r="GE384" s="26"/>
      <c r="GF384" s="26"/>
      <c r="GG384" s="26"/>
      <c r="GH384" s="26"/>
      <c r="GI384" s="26"/>
      <c r="GJ384" s="26"/>
      <c r="GK384" s="26"/>
      <c r="GL384" s="26"/>
      <c r="GM384" s="26"/>
      <c r="GN384" s="26"/>
      <c r="GO384" s="26"/>
      <c r="GP384" s="26"/>
      <c r="GQ384" s="26"/>
      <c r="GR384" s="26"/>
      <c r="GS384" s="26"/>
      <c r="GT384" s="26"/>
      <c r="GU384" s="26"/>
      <c r="GV384" s="26"/>
      <c r="GW384" s="26"/>
      <c r="GX384" s="26"/>
      <c r="GY384" s="26"/>
      <c r="GZ384" s="26"/>
      <c r="HA384" s="26"/>
      <c r="HB384" s="26"/>
      <c r="HC384" s="26"/>
      <c r="HD384" s="26"/>
      <c r="HE384" s="26"/>
      <c r="HF384" s="26"/>
      <c r="HG384" s="26"/>
      <c r="HH384" s="26"/>
    </row>
    <row r="385" spans="1:21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c r="CW385" s="26"/>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26"/>
      <c r="FB385" s="26"/>
      <c r="FC385" s="26"/>
      <c r="FD385" s="26"/>
      <c r="FE385" s="26"/>
      <c r="FF385" s="26"/>
      <c r="FG385" s="26"/>
      <c r="FH385" s="26"/>
      <c r="FI385" s="26"/>
      <c r="FJ385" s="26"/>
      <c r="FK385" s="26"/>
      <c r="FL385" s="26"/>
      <c r="FM385" s="26"/>
      <c r="FN385" s="26"/>
      <c r="FO385" s="26"/>
      <c r="FP385" s="26"/>
      <c r="FQ385" s="26"/>
      <c r="FR385" s="26"/>
      <c r="FS385" s="26"/>
      <c r="FT385" s="26"/>
      <c r="FU385" s="26"/>
      <c r="FV385" s="26"/>
      <c r="FW385" s="26"/>
      <c r="FX385" s="26"/>
      <c r="FY385" s="26"/>
      <c r="FZ385" s="26"/>
      <c r="GA385" s="26"/>
      <c r="GB385" s="26"/>
      <c r="GC385" s="26"/>
      <c r="GD385" s="26"/>
      <c r="GE385" s="26"/>
      <c r="GF385" s="26"/>
      <c r="GG385" s="26"/>
      <c r="GH385" s="26"/>
      <c r="GI385" s="26"/>
      <c r="GJ385" s="26"/>
      <c r="GK385" s="26"/>
      <c r="GL385" s="26"/>
      <c r="GM385" s="26"/>
      <c r="GN385" s="26"/>
      <c r="GO385" s="26"/>
      <c r="GP385" s="26"/>
      <c r="GQ385" s="26"/>
      <c r="GR385" s="26"/>
      <c r="GS385" s="26"/>
      <c r="GT385" s="26"/>
      <c r="GU385" s="26"/>
      <c r="GV385" s="26"/>
      <c r="GW385" s="26"/>
      <c r="GX385" s="26"/>
      <c r="GY385" s="26"/>
      <c r="GZ385" s="26"/>
      <c r="HA385" s="26"/>
      <c r="HB385" s="26"/>
      <c r="HC385" s="26"/>
      <c r="HD385" s="26"/>
      <c r="HE385" s="26"/>
      <c r="HF385" s="26"/>
      <c r="HG385" s="26"/>
      <c r="HH385" s="26"/>
    </row>
    <row r="386" spans="1:21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c r="CW386" s="26"/>
      <c r="CX386" s="26"/>
      <c r="CY386" s="26"/>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26"/>
      <c r="FB386" s="26"/>
      <c r="FC386" s="26"/>
      <c r="FD386" s="26"/>
      <c r="FE386" s="26"/>
      <c r="FF386" s="26"/>
      <c r="FG386" s="26"/>
      <c r="FH386" s="26"/>
      <c r="FI386" s="26"/>
      <c r="FJ386" s="26"/>
      <c r="FK386" s="26"/>
      <c r="FL386" s="26"/>
      <c r="FM386" s="26"/>
      <c r="FN386" s="26"/>
      <c r="FO386" s="26"/>
      <c r="FP386" s="26"/>
      <c r="FQ386" s="26"/>
      <c r="FR386" s="26"/>
      <c r="FS386" s="26"/>
      <c r="FT386" s="26"/>
      <c r="FU386" s="26"/>
      <c r="FV386" s="26"/>
      <c r="FW386" s="26"/>
      <c r="FX386" s="26"/>
      <c r="FY386" s="26"/>
      <c r="FZ386" s="26"/>
      <c r="GA386" s="26"/>
      <c r="GB386" s="26"/>
      <c r="GC386" s="26"/>
      <c r="GD386" s="26"/>
      <c r="GE386" s="26"/>
      <c r="GF386" s="26"/>
      <c r="GG386" s="26"/>
      <c r="GH386" s="26"/>
      <c r="GI386" s="26"/>
      <c r="GJ386" s="26"/>
      <c r="GK386" s="26"/>
      <c r="GL386" s="26"/>
      <c r="GM386" s="26"/>
      <c r="GN386" s="26"/>
      <c r="GO386" s="26"/>
      <c r="GP386" s="26"/>
      <c r="GQ386" s="26"/>
      <c r="GR386" s="26"/>
      <c r="GS386" s="26"/>
      <c r="GT386" s="26"/>
      <c r="GU386" s="26"/>
      <c r="GV386" s="26"/>
      <c r="GW386" s="26"/>
      <c r="GX386" s="26"/>
      <c r="GY386" s="26"/>
      <c r="GZ386" s="26"/>
      <c r="HA386" s="26"/>
      <c r="HB386" s="26"/>
      <c r="HC386" s="26"/>
      <c r="HD386" s="26"/>
      <c r="HE386" s="26"/>
      <c r="HF386" s="26"/>
      <c r="HG386" s="26"/>
      <c r="HH386" s="26"/>
    </row>
    <row r="387" spans="1:21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26"/>
      <c r="FB387" s="26"/>
      <c r="FC387" s="26"/>
      <c r="FD387" s="26"/>
      <c r="FE387" s="26"/>
      <c r="FF387" s="26"/>
      <c r="FG387" s="26"/>
      <c r="FH387" s="26"/>
      <c r="FI387" s="26"/>
      <c r="FJ387" s="26"/>
      <c r="FK387" s="26"/>
      <c r="FL387" s="26"/>
      <c r="FM387" s="26"/>
      <c r="FN387" s="26"/>
      <c r="FO387" s="26"/>
      <c r="FP387" s="26"/>
      <c r="FQ387" s="26"/>
      <c r="FR387" s="26"/>
      <c r="FS387" s="26"/>
      <c r="FT387" s="26"/>
      <c r="FU387" s="26"/>
      <c r="FV387" s="26"/>
      <c r="FW387" s="26"/>
      <c r="FX387" s="26"/>
      <c r="FY387" s="26"/>
      <c r="FZ387" s="26"/>
      <c r="GA387" s="26"/>
      <c r="GB387" s="26"/>
      <c r="GC387" s="26"/>
      <c r="GD387" s="26"/>
      <c r="GE387" s="26"/>
      <c r="GF387" s="26"/>
      <c r="GG387" s="26"/>
      <c r="GH387" s="26"/>
      <c r="GI387" s="26"/>
      <c r="GJ387" s="26"/>
      <c r="GK387" s="26"/>
      <c r="GL387" s="26"/>
      <c r="GM387" s="26"/>
      <c r="GN387" s="26"/>
      <c r="GO387" s="26"/>
      <c r="GP387" s="26"/>
      <c r="GQ387" s="26"/>
      <c r="GR387" s="26"/>
      <c r="GS387" s="26"/>
      <c r="GT387" s="26"/>
      <c r="GU387" s="26"/>
      <c r="GV387" s="26"/>
      <c r="GW387" s="26"/>
      <c r="GX387" s="26"/>
      <c r="GY387" s="26"/>
      <c r="GZ387" s="26"/>
      <c r="HA387" s="26"/>
      <c r="HB387" s="26"/>
      <c r="HC387" s="26"/>
      <c r="HD387" s="26"/>
      <c r="HE387" s="26"/>
      <c r="HF387" s="26"/>
      <c r="HG387" s="26"/>
      <c r="HH387" s="26"/>
    </row>
    <row r="388" spans="1:21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c r="CW388" s="26"/>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26"/>
      <c r="FB388" s="26"/>
      <c r="FC388" s="26"/>
      <c r="FD388" s="26"/>
      <c r="FE388" s="26"/>
      <c r="FF388" s="26"/>
      <c r="FG388" s="26"/>
      <c r="FH388" s="26"/>
      <c r="FI388" s="26"/>
      <c r="FJ388" s="26"/>
      <c r="FK388" s="26"/>
      <c r="FL388" s="26"/>
      <c r="FM388" s="26"/>
      <c r="FN388" s="26"/>
      <c r="FO388" s="26"/>
      <c r="FP388" s="26"/>
      <c r="FQ388" s="26"/>
      <c r="FR388" s="26"/>
      <c r="FS388" s="26"/>
      <c r="FT388" s="26"/>
      <c r="FU388" s="26"/>
      <c r="FV388" s="26"/>
      <c r="FW388" s="26"/>
      <c r="FX388" s="26"/>
      <c r="FY388" s="26"/>
      <c r="FZ388" s="26"/>
      <c r="GA388" s="26"/>
      <c r="GB388" s="26"/>
      <c r="GC388" s="26"/>
      <c r="GD388" s="26"/>
      <c r="GE388" s="26"/>
      <c r="GF388" s="26"/>
      <c r="GG388" s="26"/>
      <c r="GH388" s="26"/>
      <c r="GI388" s="26"/>
      <c r="GJ388" s="26"/>
      <c r="GK388" s="26"/>
      <c r="GL388" s="26"/>
      <c r="GM388" s="26"/>
      <c r="GN388" s="26"/>
      <c r="GO388" s="26"/>
      <c r="GP388" s="26"/>
      <c r="GQ388" s="26"/>
      <c r="GR388" s="26"/>
      <c r="GS388" s="26"/>
      <c r="GT388" s="26"/>
      <c r="GU388" s="26"/>
      <c r="GV388" s="26"/>
      <c r="GW388" s="26"/>
      <c r="GX388" s="26"/>
      <c r="GY388" s="26"/>
      <c r="GZ388" s="26"/>
      <c r="HA388" s="26"/>
      <c r="HB388" s="26"/>
      <c r="HC388" s="26"/>
      <c r="HD388" s="26"/>
      <c r="HE388" s="26"/>
      <c r="HF388" s="26"/>
      <c r="HG388" s="26"/>
      <c r="HH388" s="26"/>
    </row>
    <row r="389" spans="1:21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c r="CW389" s="26"/>
      <c r="CX389" s="26"/>
      <c r="CY389" s="26"/>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26"/>
      <c r="FB389" s="26"/>
      <c r="FC389" s="26"/>
      <c r="FD389" s="26"/>
      <c r="FE389" s="26"/>
      <c r="FF389" s="26"/>
      <c r="FG389" s="26"/>
      <c r="FH389" s="26"/>
      <c r="FI389" s="26"/>
      <c r="FJ389" s="26"/>
      <c r="FK389" s="26"/>
      <c r="FL389" s="26"/>
      <c r="FM389" s="26"/>
      <c r="FN389" s="26"/>
      <c r="FO389" s="26"/>
      <c r="FP389" s="26"/>
      <c r="FQ389" s="26"/>
      <c r="FR389" s="26"/>
      <c r="FS389" s="26"/>
      <c r="FT389" s="26"/>
      <c r="FU389" s="26"/>
      <c r="FV389" s="26"/>
      <c r="FW389" s="26"/>
      <c r="FX389" s="26"/>
      <c r="FY389" s="26"/>
      <c r="FZ389" s="26"/>
      <c r="GA389" s="26"/>
      <c r="GB389" s="26"/>
      <c r="GC389" s="26"/>
      <c r="GD389" s="26"/>
      <c r="GE389" s="26"/>
      <c r="GF389" s="26"/>
      <c r="GG389" s="26"/>
      <c r="GH389" s="26"/>
      <c r="GI389" s="26"/>
      <c r="GJ389" s="26"/>
      <c r="GK389" s="26"/>
      <c r="GL389" s="26"/>
      <c r="GM389" s="26"/>
      <c r="GN389" s="26"/>
      <c r="GO389" s="26"/>
      <c r="GP389" s="26"/>
      <c r="GQ389" s="26"/>
      <c r="GR389" s="26"/>
      <c r="GS389" s="26"/>
      <c r="GT389" s="26"/>
      <c r="GU389" s="26"/>
      <c r="GV389" s="26"/>
      <c r="GW389" s="26"/>
      <c r="GX389" s="26"/>
      <c r="GY389" s="26"/>
      <c r="GZ389" s="26"/>
      <c r="HA389" s="26"/>
      <c r="HB389" s="26"/>
      <c r="HC389" s="26"/>
      <c r="HD389" s="26"/>
      <c r="HE389" s="26"/>
      <c r="HF389" s="26"/>
      <c r="HG389" s="26"/>
      <c r="HH389" s="26"/>
    </row>
    <row r="390" spans="1:21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26"/>
      <c r="FB390" s="26"/>
      <c r="FC390" s="26"/>
      <c r="FD390" s="26"/>
      <c r="FE390" s="26"/>
      <c r="FF390" s="26"/>
      <c r="FG390" s="26"/>
      <c r="FH390" s="26"/>
      <c r="FI390" s="26"/>
      <c r="FJ390" s="26"/>
      <c r="FK390" s="26"/>
      <c r="FL390" s="26"/>
      <c r="FM390" s="26"/>
      <c r="FN390" s="26"/>
      <c r="FO390" s="26"/>
      <c r="FP390" s="26"/>
      <c r="FQ390" s="26"/>
      <c r="FR390" s="26"/>
      <c r="FS390" s="26"/>
      <c r="FT390" s="26"/>
      <c r="FU390" s="26"/>
      <c r="FV390" s="26"/>
      <c r="FW390" s="26"/>
      <c r="FX390" s="26"/>
      <c r="FY390" s="26"/>
      <c r="FZ390" s="26"/>
      <c r="GA390" s="26"/>
      <c r="GB390" s="26"/>
      <c r="GC390" s="26"/>
      <c r="GD390" s="26"/>
      <c r="GE390" s="26"/>
      <c r="GF390" s="26"/>
      <c r="GG390" s="26"/>
      <c r="GH390" s="26"/>
      <c r="GI390" s="26"/>
      <c r="GJ390" s="26"/>
      <c r="GK390" s="26"/>
      <c r="GL390" s="26"/>
      <c r="GM390" s="26"/>
      <c r="GN390" s="26"/>
      <c r="GO390" s="26"/>
      <c r="GP390" s="26"/>
      <c r="GQ390" s="26"/>
      <c r="GR390" s="26"/>
      <c r="GS390" s="26"/>
      <c r="GT390" s="26"/>
      <c r="GU390" s="26"/>
      <c r="GV390" s="26"/>
      <c r="GW390" s="26"/>
      <c r="GX390" s="26"/>
      <c r="GY390" s="26"/>
      <c r="GZ390" s="26"/>
      <c r="HA390" s="26"/>
      <c r="HB390" s="26"/>
      <c r="HC390" s="26"/>
      <c r="HD390" s="26"/>
      <c r="HE390" s="26"/>
      <c r="HF390" s="26"/>
      <c r="HG390" s="26"/>
      <c r="HH390" s="26"/>
    </row>
    <row r="391" spans="1:21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26"/>
      <c r="FB391" s="26"/>
      <c r="FC391" s="26"/>
      <c r="FD391" s="26"/>
      <c r="FE391" s="26"/>
      <c r="FF391" s="26"/>
      <c r="FG391" s="26"/>
      <c r="FH391" s="26"/>
      <c r="FI391" s="26"/>
      <c r="FJ391" s="26"/>
      <c r="FK391" s="26"/>
      <c r="FL391" s="26"/>
      <c r="FM391" s="26"/>
      <c r="FN391" s="26"/>
      <c r="FO391" s="26"/>
      <c r="FP391" s="26"/>
      <c r="FQ391" s="26"/>
      <c r="FR391" s="26"/>
      <c r="FS391" s="26"/>
      <c r="FT391" s="26"/>
      <c r="FU391" s="26"/>
      <c r="FV391" s="26"/>
      <c r="FW391" s="26"/>
      <c r="FX391" s="26"/>
      <c r="FY391" s="26"/>
      <c r="FZ391" s="26"/>
      <c r="GA391" s="26"/>
      <c r="GB391" s="26"/>
      <c r="GC391" s="26"/>
      <c r="GD391" s="26"/>
      <c r="GE391" s="26"/>
      <c r="GF391" s="26"/>
      <c r="GG391" s="26"/>
      <c r="GH391" s="26"/>
      <c r="GI391" s="26"/>
      <c r="GJ391" s="26"/>
      <c r="GK391" s="26"/>
      <c r="GL391" s="26"/>
      <c r="GM391" s="26"/>
      <c r="GN391" s="26"/>
      <c r="GO391" s="26"/>
      <c r="GP391" s="26"/>
      <c r="GQ391" s="26"/>
      <c r="GR391" s="26"/>
      <c r="GS391" s="26"/>
      <c r="GT391" s="26"/>
      <c r="GU391" s="26"/>
      <c r="GV391" s="26"/>
      <c r="GW391" s="26"/>
      <c r="GX391" s="26"/>
      <c r="GY391" s="26"/>
      <c r="GZ391" s="26"/>
      <c r="HA391" s="26"/>
      <c r="HB391" s="26"/>
      <c r="HC391" s="26"/>
      <c r="HD391" s="26"/>
      <c r="HE391" s="26"/>
      <c r="HF391" s="26"/>
      <c r="HG391" s="26"/>
      <c r="HH391" s="26"/>
    </row>
    <row r="392" spans="1:21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26"/>
      <c r="FB392" s="26"/>
      <c r="FC392" s="26"/>
      <c r="FD392" s="26"/>
      <c r="FE392" s="26"/>
      <c r="FF392" s="26"/>
      <c r="FG392" s="26"/>
      <c r="FH392" s="26"/>
      <c r="FI392" s="26"/>
      <c r="FJ392" s="26"/>
      <c r="FK392" s="26"/>
      <c r="FL392" s="26"/>
      <c r="FM392" s="26"/>
      <c r="FN392" s="26"/>
      <c r="FO392" s="26"/>
      <c r="FP392" s="26"/>
      <c r="FQ392" s="26"/>
      <c r="FR392" s="26"/>
      <c r="FS392" s="26"/>
      <c r="FT392" s="26"/>
      <c r="FU392" s="26"/>
      <c r="FV392" s="26"/>
      <c r="FW392" s="26"/>
      <c r="FX392" s="26"/>
      <c r="FY392" s="26"/>
      <c r="FZ392" s="26"/>
      <c r="GA392" s="26"/>
      <c r="GB392" s="26"/>
      <c r="GC392" s="26"/>
      <c r="GD392" s="26"/>
      <c r="GE392" s="26"/>
      <c r="GF392" s="26"/>
      <c r="GG392" s="26"/>
      <c r="GH392" s="26"/>
      <c r="GI392" s="26"/>
      <c r="GJ392" s="26"/>
      <c r="GK392" s="26"/>
      <c r="GL392" s="26"/>
      <c r="GM392" s="26"/>
      <c r="GN392" s="26"/>
      <c r="GO392" s="26"/>
      <c r="GP392" s="26"/>
      <c r="GQ392" s="26"/>
      <c r="GR392" s="26"/>
      <c r="GS392" s="26"/>
      <c r="GT392" s="26"/>
      <c r="GU392" s="26"/>
      <c r="GV392" s="26"/>
      <c r="GW392" s="26"/>
      <c r="GX392" s="26"/>
      <c r="GY392" s="26"/>
      <c r="GZ392" s="26"/>
      <c r="HA392" s="26"/>
      <c r="HB392" s="26"/>
      <c r="HC392" s="26"/>
      <c r="HD392" s="26"/>
      <c r="HE392" s="26"/>
      <c r="HF392" s="26"/>
      <c r="HG392" s="26"/>
      <c r="HH392" s="26"/>
    </row>
    <row r="393" spans="1:21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26"/>
      <c r="FB393" s="26"/>
      <c r="FC393" s="26"/>
      <c r="FD393" s="26"/>
      <c r="FE393" s="26"/>
      <c r="FF393" s="26"/>
      <c r="FG393" s="26"/>
      <c r="FH393" s="26"/>
      <c r="FI393" s="26"/>
      <c r="FJ393" s="26"/>
      <c r="FK393" s="26"/>
      <c r="FL393" s="26"/>
      <c r="FM393" s="26"/>
      <c r="FN393" s="26"/>
      <c r="FO393" s="26"/>
      <c r="FP393" s="26"/>
      <c r="FQ393" s="26"/>
      <c r="FR393" s="26"/>
      <c r="FS393" s="26"/>
      <c r="FT393" s="26"/>
      <c r="FU393" s="26"/>
      <c r="FV393" s="26"/>
      <c r="FW393" s="26"/>
      <c r="FX393" s="26"/>
      <c r="FY393" s="26"/>
      <c r="FZ393" s="26"/>
      <c r="GA393" s="26"/>
      <c r="GB393" s="26"/>
      <c r="GC393" s="26"/>
      <c r="GD393" s="26"/>
      <c r="GE393" s="26"/>
      <c r="GF393" s="26"/>
      <c r="GG393" s="26"/>
      <c r="GH393" s="26"/>
      <c r="GI393" s="26"/>
      <c r="GJ393" s="26"/>
      <c r="GK393" s="26"/>
      <c r="GL393" s="26"/>
      <c r="GM393" s="26"/>
      <c r="GN393" s="26"/>
      <c r="GO393" s="26"/>
      <c r="GP393" s="26"/>
      <c r="GQ393" s="26"/>
      <c r="GR393" s="26"/>
      <c r="GS393" s="26"/>
      <c r="GT393" s="26"/>
      <c r="GU393" s="26"/>
      <c r="GV393" s="26"/>
      <c r="GW393" s="26"/>
      <c r="GX393" s="26"/>
      <c r="GY393" s="26"/>
      <c r="GZ393" s="26"/>
      <c r="HA393" s="26"/>
      <c r="HB393" s="26"/>
      <c r="HC393" s="26"/>
      <c r="HD393" s="26"/>
      <c r="HE393" s="26"/>
      <c r="HF393" s="26"/>
      <c r="HG393" s="26"/>
      <c r="HH393" s="26"/>
    </row>
    <row r="394" spans="1:21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c r="CW394" s="26"/>
      <c r="CX394" s="26"/>
      <c r="CY394" s="26"/>
      <c r="CZ394" s="26"/>
      <c r="DA394" s="26"/>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26"/>
      <c r="FB394" s="26"/>
      <c r="FC394" s="26"/>
      <c r="FD394" s="26"/>
      <c r="FE394" s="26"/>
      <c r="FF394" s="26"/>
      <c r="FG394" s="26"/>
      <c r="FH394" s="26"/>
      <c r="FI394" s="26"/>
      <c r="FJ394" s="26"/>
      <c r="FK394" s="26"/>
      <c r="FL394" s="26"/>
      <c r="FM394" s="26"/>
      <c r="FN394" s="26"/>
      <c r="FO394" s="26"/>
      <c r="FP394" s="26"/>
      <c r="FQ394" s="26"/>
      <c r="FR394" s="26"/>
      <c r="FS394" s="26"/>
      <c r="FT394" s="26"/>
      <c r="FU394" s="26"/>
      <c r="FV394" s="26"/>
      <c r="FW394" s="26"/>
      <c r="FX394" s="26"/>
      <c r="FY394" s="26"/>
      <c r="FZ394" s="26"/>
      <c r="GA394" s="26"/>
      <c r="GB394" s="26"/>
      <c r="GC394" s="26"/>
      <c r="GD394" s="26"/>
      <c r="GE394" s="26"/>
      <c r="GF394" s="26"/>
      <c r="GG394" s="26"/>
      <c r="GH394" s="26"/>
      <c r="GI394" s="26"/>
      <c r="GJ394" s="26"/>
      <c r="GK394" s="26"/>
      <c r="GL394" s="26"/>
      <c r="GM394" s="26"/>
      <c r="GN394" s="26"/>
      <c r="GO394" s="26"/>
      <c r="GP394" s="26"/>
      <c r="GQ394" s="26"/>
      <c r="GR394" s="26"/>
      <c r="GS394" s="26"/>
      <c r="GT394" s="26"/>
      <c r="GU394" s="26"/>
      <c r="GV394" s="26"/>
      <c r="GW394" s="26"/>
      <c r="GX394" s="26"/>
      <c r="GY394" s="26"/>
      <c r="GZ394" s="26"/>
      <c r="HA394" s="26"/>
      <c r="HB394" s="26"/>
      <c r="HC394" s="26"/>
      <c r="HD394" s="26"/>
      <c r="HE394" s="26"/>
      <c r="HF394" s="26"/>
      <c r="HG394" s="26"/>
      <c r="HH394" s="26"/>
    </row>
    <row r="395" spans="1:21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c r="CW395" s="26"/>
      <c r="CX395" s="26"/>
      <c r="CY395" s="26"/>
      <c r="CZ395" s="26"/>
      <c r="DA395" s="26"/>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26"/>
      <c r="FB395" s="26"/>
      <c r="FC395" s="26"/>
      <c r="FD395" s="26"/>
      <c r="FE395" s="26"/>
      <c r="FF395" s="26"/>
      <c r="FG395" s="26"/>
      <c r="FH395" s="26"/>
      <c r="FI395" s="26"/>
      <c r="FJ395" s="26"/>
      <c r="FK395" s="26"/>
      <c r="FL395" s="26"/>
      <c r="FM395" s="26"/>
      <c r="FN395" s="26"/>
      <c r="FO395" s="26"/>
      <c r="FP395" s="26"/>
      <c r="FQ395" s="26"/>
      <c r="FR395" s="26"/>
      <c r="FS395" s="26"/>
      <c r="FT395" s="26"/>
      <c r="FU395" s="26"/>
      <c r="FV395" s="26"/>
      <c r="FW395" s="26"/>
      <c r="FX395" s="26"/>
      <c r="FY395" s="26"/>
      <c r="FZ395" s="26"/>
      <c r="GA395" s="26"/>
      <c r="GB395" s="26"/>
      <c r="GC395" s="26"/>
      <c r="GD395" s="26"/>
      <c r="GE395" s="26"/>
      <c r="GF395" s="26"/>
      <c r="GG395" s="26"/>
      <c r="GH395" s="26"/>
      <c r="GI395" s="26"/>
      <c r="GJ395" s="26"/>
      <c r="GK395" s="26"/>
      <c r="GL395" s="26"/>
      <c r="GM395" s="26"/>
      <c r="GN395" s="26"/>
      <c r="GO395" s="26"/>
      <c r="GP395" s="26"/>
      <c r="GQ395" s="26"/>
      <c r="GR395" s="26"/>
      <c r="GS395" s="26"/>
      <c r="GT395" s="26"/>
      <c r="GU395" s="26"/>
      <c r="GV395" s="26"/>
      <c r="GW395" s="26"/>
      <c r="GX395" s="26"/>
      <c r="GY395" s="26"/>
      <c r="GZ395" s="26"/>
      <c r="HA395" s="26"/>
      <c r="HB395" s="26"/>
      <c r="HC395" s="26"/>
      <c r="HD395" s="26"/>
      <c r="HE395" s="26"/>
      <c r="HF395" s="26"/>
      <c r="HG395" s="26"/>
      <c r="HH395" s="26"/>
    </row>
    <row r="396" spans="1:21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c r="CW396" s="26"/>
      <c r="CX396" s="26"/>
      <c r="CY396" s="26"/>
      <c r="CZ396" s="26"/>
      <c r="DA396" s="26"/>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26"/>
      <c r="FB396" s="26"/>
      <c r="FC396" s="26"/>
      <c r="FD396" s="26"/>
      <c r="FE396" s="26"/>
      <c r="FF396" s="26"/>
      <c r="FG396" s="26"/>
      <c r="FH396" s="26"/>
      <c r="FI396" s="26"/>
      <c r="FJ396" s="26"/>
      <c r="FK396" s="26"/>
      <c r="FL396" s="26"/>
      <c r="FM396" s="26"/>
      <c r="FN396" s="26"/>
      <c r="FO396" s="26"/>
      <c r="FP396" s="26"/>
      <c r="FQ396" s="26"/>
      <c r="FR396" s="26"/>
      <c r="FS396" s="26"/>
      <c r="FT396" s="26"/>
      <c r="FU396" s="26"/>
      <c r="FV396" s="26"/>
      <c r="FW396" s="26"/>
      <c r="FX396" s="26"/>
      <c r="FY396" s="26"/>
      <c r="FZ396" s="26"/>
      <c r="GA396" s="26"/>
      <c r="GB396" s="26"/>
      <c r="GC396" s="26"/>
      <c r="GD396" s="26"/>
      <c r="GE396" s="26"/>
      <c r="GF396" s="26"/>
      <c r="GG396" s="26"/>
      <c r="GH396" s="26"/>
      <c r="GI396" s="26"/>
      <c r="GJ396" s="26"/>
      <c r="GK396" s="26"/>
      <c r="GL396" s="26"/>
      <c r="GM396" s="26"/>
      <c r="GN396" s="26"/>
      <c r="GO396" s="26"/>
      <c r="GP396" s="26"/>
      <c r="GQ396" s="26"/>
      <c r="GR396" s="26"/>
      <c r="GS396" s="26"/>
      <c r="GT396" s="26"/>
      <c r="GU396" s="26"/>
      <c r="GV396" s="26"/>
      <c r="GW396" s="26"/>
      <c r="GX396" s="26"/>
      <c r="GY396" s="26"/>
      <c r="GZ396" s="26"/>
      <c r="HA396" s="26"/>
      <c r="HB396" s="26"/>
      <c r="HC396" s="26"/>
      <c r="HD396" s="26"/>
      <c r="HE396" s="26"/>
      <c r="HF396" s="26"/>
      <c r="HG396" s="26"/>
      <c r="HH396" s="26"/>
    </row>
    <row r="397" spans="1:21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26"/>
      <c r="FB397" s="26"/>
      <c r="FC397" s="26"/>
      <c r="FD397" s="26"/>
      <c r="FE397" s="26"/>
      <c r="FF397" s="26"/>
      <c r="FG397" s="26"/>
      <c r="FH397" s="26"/>
      <c r="FI397" s="26"/>
      <c r="FJ397" s="26"/>
      <c r="FK397" s="26"/>
      <c r="FL397" s="26"/>
      <c r="FM397" s="26"/>
      <c r="FN397" s="26"/>
      <c r="FO397" s="26"/>
      <c r="FP397" s="26"/>
      <c r="FQ397" s="26"/>
      <c r="FR397" s="26"/>
      <c r="FS397" s="26"/>
      <c r="FT397" s="26"/>
      <c r="FU397" s="26"/>
      <c r="FV397" s="26"/>
      <c r="FW397" s="26"/>
      <c r="FX397" s="26"/>
      <c r="FY397" s="26"/>
      <c r="FZ397" s="26"/>
      <c r="GA397" s="26"/>
      <c r="GB397" s="26"/>
      <c r="GC397" s="26"/>
      <c r="GD397" s="26"/>
      <c r="GE397" s="26"/>
      <c r="GF397" s="26"/>
      <c r="GG397" s="26"/>
      <c r="GH397" s="26"/>
      <c r="GI397" s="26"/>
      <c r="GJ397" s="26"/>
      <c r="GK397" s="26"/>
      <c r="GL397" s="26"/>
      <c r="GM397" s="26"/>
      <c r="GN397" s="26"/>
      <c r="GO397" s="26"/>
      <c r="GP397" s="26"/>
      <c r="GQ397" s="26"/>
      <c r="GR397" s="26"/>
      <c r="GS397" s="26"/>
      <c r="GT397" s="26"/>
      <c r="GU397" s="26"/>
      <c r="GV397" s="26"/>
      <c r="GW397" s="26"/>
      <c r="GX397" s="26"/>
      <c r="GY397" s="26"/>
      <c r="GZ397" s="26"/>
      <c r="HA397" s="26"/>
      <c r="HB397" s="26"/>
      <c r="HC397" s="26"/>
      <c r="HD397" s="26"/>
      <c r="HE397" s="26"/>
      <c r="HF397" s="26"/>
      <c r="HG397" s="26"/>
      <c r="HH397" s="26"/>
    </row>
    <row r="398" spans="1:21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26"/>
      <c r="FB398" s="26"/>
      <c r="FC398" s="26"/>
      <c r="FD398" s="26"/>
      <c r="FE398" s="26"/>
      <c r="FF398" s="26"/>
      <c r="FG398" s="26"/>
      <c r="FH398" s="26"/>
      <c r="FI398" s="26"/>
      <c r="FJ398" s="26"/>
      <c r="FK398" s="26"/>
      <c r="FL398" s="26"/>
      <c r="FM398" s="26"/>
      <c r="FN398" s="26"/>
      <c r="FO398" s="26"/>
      <c r="FP398" s="26"/>
      <c r="FQ398" s="26"/>
      <c r="FR398" s="26"/>
      <c r="FS398" s="26"/>
      <c r="FT398" s="26"/>
      <c r="FU398" s="26"/>
      <c r="FV398" s="26"/>
      <c r="FW398" s="26"/>
      <c r="FX398" s="26"/>
      <c r="FY398" s="26"/>
      <c r="FZ398" s="26"/>
      <c r="GA398" s="26"/>
      <c r="GB398" s="26"/>
      <c r="GC398" s="26"/>
      <c r="GD398" s="26"/>
      <c r="GE398" s="26"/>
      <c r="GF398" s="26"/>
      <c r="GG398" s="26"/>
      <c r="GH398" s="26"/>
      <c r="GI398" s="26"/>
      <c r="GJ398" s="26"/>
      <c r="GK398" s="26"/>
      <c r="GL398" s="26"/>
      <c r="GM398" s="26"/>
      <c r="GN398" s="26"/>
      <c r="GO398" s="26"/>
      <c r="GP398" s="26"/>
      <c r="GQ398" s="26"/>
      <c r="GR398" s="26"/>
      <c r="GS398" s="26"/>
      <c r="GT398" s="26"/>
      <c r="GU398" s="26"/>
      <c r="GV398" s="26"/>
      <c r="GW398" s="26"/>
      <c r="GX398" s="26"/>
      <c r="GY398" s="26"/>
      <c r="GZ398" s="26"/>
      <c r="HA398" s="26"/>
      <c r="HB398" s="26"/>
      <c r="HC398" s="26"/>
      <c r="HD398" s="26"/>
      <c r="HE398" s="26"/>
      <c r="HF398" s="26"/>
      <c r="HG398" s="26"/>
      <c r="HH398" s="26"/>
    </row>
    <row r="399" spans="1:21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c r="CW399" s="26"/>
      <c r="CX399" s="26"/>
      <c r="CY399" s="26"/>
      <c r="CZ399" s="26"/>
      <c r="DA399" s="26"/>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26"/>
      <c r="FB399" s="26"/>
      <c r="FC399" s="26"/>
      <c r="FD399" s="26"/>
      <c r="FE399" s="26"/>
      <c r="FF399" s="26"/>
      <c r="FG399" s="26"/>
      <c r="FH399" s="26"/>
      <c r="FI399" s="26"/>
      <c r="FJ399" s="26"/>
      <c r="FK399" s="26"/>
      <c r="FL399" s="26"/>
      <c r="FM399" s="26"/>
      <c r="FN399" s="26"/>
      <c r="FO399" s="26"/>
      <c r="FP399" s="26"/>
      <c r="FQ399" s="26"/>
      <c r="FR399" s="26"/>
      <c r="FS399" s="26"/>
      <c r="FT399" s="26"/>
      <c r="FU399" s="26"/>
      <c r="FV399" s="26"/>
      <c r="FW399" s="26"/>
      <c r="FX399" s="26"/>
      <c r="FY399" s="26"/>
      <c r="FZ399" s="26"/>
      <c r="GA399" s="26"/>
      <c r="GB399" s="26"/>
      <c r="GC399" s="26"/>
      <c r="GD399" s="26"/>
      <c r="GE399" s="26"/>
      <c r="GF399" s="26"/>
      <c r="GG399" s="26"/>
      <c r="GH399" s="26"/>
      <c r="GI399" s="26"/>
      <c r="GJ399" s="26"/>
      <c r="GK399" s="26"/>
      <c r="GL399" s="26"/>
      <c r="GM399" s="26"/>
      <c r="GN399" s="26"/>
      <c r="GO399" s="26"/>
      <c r="GP399" s="26"/>
      <c r="GQ399" s="26"/>
      <c r="GR399" s="26"/>
      <c r="GS399" s="26"/>
      <c r="GT399" s="26"/>
      <c r="GU399" s="26"/>
      <c r="GV399" s="26"/>
      <c r="GW399" s="26"/>
      <c r="GX399" s="26"/>
      <c r="GY399" s="26"/>
      <c r="GZ399" s="26"/>
      <c r="HA399" s="26"/>
      <c r="HB399" s="26"/>
      <c r="HC399" s="26"/>
      <c r="HD399" s="26"/>
      <c r="HE399" s="26"/>
      <c r="HF399" s="26"/>
      <c r="HG399" s="26"/>
      <c r="HH399" s="26"/>
    </row>
    <row r="400" spans="1:21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26"/>
      <c r="FC400" s="26"/>
      <c r="FD400" s="26"/>
      <c r="FE400" s="26"/>
      <c r="FF400" s="26"/>
      <c r="FG400" s="26"/>
      <c r="FH400" s="26"/>
      <c r="FI400" s="26"/>
      <c r="FJ400" s="26"/>
      <c r="FK400" s="26"/>
      <c r="FL400" s="26"/>
      <c r="FM400" s="26"/>
      <c r="FN400" s="26"/>
      <c r="FO400" s="26"/>
      <c r="FP400" s="26"/>
      <c r="FQ400" s="26"/>
      <c r="FR400" s="26"/>
      <c r="FS400" s="26"/>
      <c r="FT400" s="26"/>
      <c r="FU400" s="26"/>
      <c r="FV400" s="26"/>
      <c r="FW400" s="26"/>
      <c r="FX400" s="26"/>
      <c r="FY400" s="26"/>
      <c r="FZ400" s="26"/>
      <c r="GA400" s="26"/>
      <c r="GB400" s="26"/>
      <c r="GC400" s="26"/>
      <c r="GD400" s="26"/>
      <c r="GE400" s="26"/>
      <c r="GF400" s="26"/>
      <c r="GG400" s="26"/>
      <c r="GH400" s="26"/>
      <c r="GI400" s="26"/>
      <c r="GJ400" s="26"/>
      <c r="GK400" s="26"/>
      <c r="GL400" s="26"/>
      <c r="GM400" s="26"/>
      <c r="GN400" s="26"/>
      <c r="GO400" s="26"/>
      <c r="GP400" s="26"/>
      <c r="GQ400" s="26"/>
      <c r="GR400" s="26"/>
      <c r="GS400" s="26"/>
      <c r="GT400" s="26"/>
      <c r="GU400" s="26"/>
      <c r="GV400" s="26"/>
      <c r="GW400" s="26"/>
      <c r="GX400" s="26"/>
      <c r="GY400" s="26"/>
      <c r="GZ400" s="26"/>
      <c r="HA400" s="26"/>
      <c r="HB400" s="26"/>
      <c r="HC400" s="26"/>
      <c r="HD400" s="26"/>
      <c r="HE400" s="26"/>
      <c r="HF400" s="26"/>
      <c r="HG400" s="26"/>
      <c r="HH400" s="26"/>
    </row>
    <row r="401" spans="1:21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26"/>
      <c r="FC401" s="26"/>
      <c r="FD401" s="26"/>
      <c r="FE401" s="26"/>
      <c r="FF401" s="26"/>
      <c r="FG401" s="26"/>
      <c r="FH401" s="26"/>
      <c r="FI401" s="26"/>
      <c r="FJ401" s="26"/>
      <c r="FK401" s="26"/>
      <c r="FL401" s="26"/>
      <c r="FM401" s="26"/>
      <c r="FN401" s="26"/>
      <c r="FO401" s="26"/>
      <c r="FP401" s="26"/>
      <c r="FQ401" s="26"/>
      <c r="FR401" s="26"/>
      <c r="FS401" s="26"/>
      <c r="FT401" s="26"/>
      <c r="FU401" s="26"/>
      <c r="FV401" s="26"/>
      <c r="FW401" s="26"/>
      <c r="FX401" s="26"/>
      <c r="FY401" s="26"/>
      <c r="FZ401" s="26"/>
      <c r="GA401" s="26"/>
      <c r="GB401" s="26"/>
      <c r="GC401" s="26"/>
      <c r="GD401" s="26"/>
      <c r="GE401" s="26"/>
      <c r="GF401" s="26"/>
      <c r="GG401" s="26"/>
      <c r="GH401" s="26"/>
      <c r="GI401" s="26"/>
      <c r="GJ401" s="26"/>
      <c r="GK401" s="26"/>
      <c r="GL401" s="26"/>
      <c r="GM401" s="26"/>
      <c r="GN401" s="26"/>
      <c r="GO401" s="26"/>
      <c r="GP401" s="26"/>
      <c r="GQ401" s="26"/>
      <c r="GR401" s="26"/>
      <c r="GS401" s="26"/>
      <c r="GT401" s="26"/>
      <c r="GU401" s="26"/>
      <c r="GV401" s="26"/>
      <c r="GW401" s="26"/>
      <c r="GX401" s="26"/>
      <c r="GY401" s="26"/>
      <c r="GZ401" s="26"/>
      <c r="HA401" s="26"/>
      <c r="HB401" s="26"/>
      <c r="HC401" s="26"/>
      <c r="HD401" s="26"/>
      <c r="HE401" s="26"/>
      <c r="HF401" s="26"/>
      <c r="HG401" s="26"/>
      <c r="HH401" s="26"/>
    </row>
    <row r="402" spans="1:21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26"/>
      <c r="FC402" s="26"/>
      <c r="FD402" s="26"/>
      <c r="FE402" s="26"/>
      <c r="FF402" s="26"/>
      <c r="FG402" s="26"/>
      <c r="FH402" s="26"/>
      <c r="FI402" s="26"/>
      <c r="FJ402" s="26"/>
      <c r="FK402" s="26"/>
      <c r="FL402" s="26"/>
      <c r="FM402" s="26"/>
      <c r="FN402" s="26"/>
      <c r="FO402" s="26"/>
      <c r="FP402" s="26"/>
      <c r="FQ402" s="26"/>
      <c r="FR402" s="26"/>
      <c r="FS402" s="26"/>
      <c r="FT402" s="26"/>
      <c r="FU402" s="26"/>
      <c r="FV402" s="26"/>
      <c r="FW402" s="26"/>
      <c r="FX402" s="26"/>
      <c r="FY402" s="26"/>
      <c r="FZ402" s="26"/>
      <c r="GA402" s="26"/>
      <c r="GB402" s="26"/>
      <c r="GC402" s="26"/>
      <c r="GD402" s="26"/>
      <c r="GE402" s="26"/>
      <c r="GF402" s="26"/>
      <c r="GG402" s="26"/>
      <c r="GH402" s="26"/>
      <c r="GI402" s="26"/>
      <c r="GJ402" s="26"/>
      <c r="GK402" s="26"/>
      <c r="GL402" s="26"/>
      <c r="GM402" s="26"/>
      <c r="GN402" s="26"/>
      <c r="GO402" s="26"/>
      <c r="GP402" s="26"/>
      <c r="GQ402" s="26"/>
      <c r="GR402" s="26"/>
      <c r="GS402" s="26"/>
      <c r="GT402" s="26"/>
      <c r="GU402" s="26"/>
      <c r="GV402" s="26"/>
      <c r="GW402" s="26"/>
      <c r="GX402" s="26"/>
      <c r="GY402" s="26"/>
      <c r="GZ402" s="26"/>
      <c r="HA402" s="26"/>
      <c r="HB402" s="26"/>
      <c r="HC402" s="26"/>
      <c r="HD402" s="26"/>
      <c r="HE402" s="26"/>
      <c r="HF402" s="26"/>
      <c r="HG402" s="26"/>
      <c r="HH402" s="26"/>
    </row>
    <row r="403" spans="1:21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26"/>
      <c r="FC403" s="26"/>
      <c r="FD403" s="26"/>
      <c r="FE403" s="26"/>
      <c r="FF403" s="26"/>
      <c r="FG403" s="26"/>
      <c r="FH403" s="26"/>
      <c r="FI403" s="26"/>
      <c r="FJ403" s="26"/>
      <c r="FK403" s="26"/>
      <c r="FL403" s="26"/>
      <c r="FM403" s="26"/>
      <c r="FN403" s="26"/>
      <c r="FO403" s="26"/>
      <c r="FP403" s="26"/>
      <c r="FQ403" s="26"/>
      <c r="FR403" s="26"/>
      <c r="FS403" s="26"/>
      <c r="FT403" s="26"/>
      <c r="FU403" s="26"/>
      <c r="FV403" s="26"/>
      <c r="FW403" s="26"/>
      <c r="FX403" s="26"/>
      <c r="FY403" s="26"/>
      <c r="FZ403" s="26"/>
      <c r="GA403" s="26"/>
      <c r="GB403" s="26"/>
      <c r="GC403" s="26"/>
      <c r="GD403" s="26"/>
      <c r="GE403" s="26"/>
      <c r="GF403" s="26"/>
      <c r="GG403" s="26"/>
      <c r="GH403" s="26"/>
      <c r="GI403" s="26"/>
      <c r="GJ403" s="26"/>
      <c r="GK403" s="26"/>
      <c r="GL403" s="26"/>
      <c r="GM403" s="26"/>
      <c r="GN403" s="26"/>
      <c r="GO403" s="26"/>
      <c r="GP403" s="26"/>
      <c r="GQ403" s="26"/>
      <c r="GR403" s="26"/>
      <c r="GS403" s="26"/>
      <c r="GT403" s="26"/>
      <c r="GU403" s="26"/>
      <c r="GV403" s="26"/>
      <c r="GW403" s="26"/>
      <c r="GX403" s="26"/>
      <c r="GY403" s="26"/>
      <c r="GZ403" s="26"/>
      <c r="HA403" s="26"/>
      <c r="HB403" s="26"/>
      <c r="HC403" s="26"/>
      <c r="HD403" s="26"/>
      <c r="HE403" s="26"/>
      <c r="HF403" s="26"/>
      <c r="HG403" s="26"/>
      <c r="HH403" s="26"/>
    </row>
    <row r="404" spans="1:21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26"/>
      <c r="FC404" s="26"/>
      <c r="FD404" s="26"/>
      <c r="FE404" s="26"/>
      <c r="FF404" s="26"/>
      <c r="FG404" s="26"/>
      <c r="FH404" s="26"/>
      <c r="FI404" s="26"/>
      <c r="FJ404" s="26"/>
      <c r="FK404" s="26"/>
      <c r="FL404" s="26"/>
      <c r="FM404" s="26"/>
      <c r="FN404" s="26"/>
      <c r="FO404" s="26"/>
      <c r="FP404" s="26"/>
      <c r="FQ404" s="26"/>
      <c r="FR404" s="26"/>
      <c r="FS404" s="26"/>
      <c r="FT404" s="26"/>
      <c r="FU404" s="26"/>
      <c r="FV404" s="26"/>
      <c r="FW404" s="26"/>
      <c r="FX404" s="26"/>
      <c r="FY404" s="26"/>
      <c r="FZ404" s="26"/>
      <c r="GA404" s="26"/>
      <c r="GB404" s="26"/>
      <c r="GC404" s="26"/>
      <c r="GD404" s="26"/>
      <c r="GE404" s="26"/>
      <c r="GF404" s="26"/>
      <c r="GG404" s="26"/>
      <c r="GH404" s="26"/>
      <c r="GI404" s="26"/>
      <c r="GJ404" s="26"/>
      <c r="GK404" s="26"/>
      <c r="GL404" s="26"/>
      <c r="GM404" s="26"/>
      <c r="GN404" s="26"/>
      <c r="GO404" s="26"/>
      <c r="GP404" s="26"/>
      <c r="GQ404" s="26"/>
      <c r="GR404" s="26"/>
      <c r="GS404" s="26"/>
      <c r="GT404" s="26"/>
      <c r="GU404" s="26"/>
      <c r="GV404" s="26"/>
      <c r="GW404" s="26"/>
      <c r="GX404" s="26"/>
      <c r="GY404" s="26"/>
      <c r="GZ404" s="26"/>
      <c r="HA404" s="26"/>
      <c r="HB404" s="26"/>
      <c r="HC404" s="26"/>
      <c r="HD404" s="26"/>
      <c r="HE404" s="26"/>
      <c r="HF404" s="26"/>
      <c r="HG404" s="26"/>
      <c r="HH404" s="26"/>
    </row>
    <row r="405" spans="1:21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26"/>
      <c r="FC405" s="26"/>
      <c r="FD405" s="26"/>
      <c r="FE405" s="26"/>
      <c r="FF405" s="26"/>
      <c r="FG405" s="26"/>
      <c r="FH405" s="26"/>
      <c r="FI405" s="26"/>
      <c r="FJ405" s="26"/>
      <c r="FK405" s="26"/>
      <c r="FL405" s="26"/>
      <c r="FM405" s="26"/>
      <c r="FN405" s="26"/>
      <c r="FO405" s="26"/>
      <c r="FP405" s="26"/>
      <c r="FQ405" s="26"/>
      <c r="FR405" s="26"/>
      <c r="FS405" s="26"/>
      <c r="FT405" s="26"/>
      <c r="FU405" s="26"/>
      <c r="FV405" s="26"/>
      <c r="FW405" s="26"/>
      <c r="FX405" s="26"/>
      <c r="FY405" s="26"/>
      <c r="FZ405" s="26"/>
      <c r="GA405" s="26"/>
      <c r="GB405" s="26"/>
      <c r="GC405" s="26"/>
      <c r="GD405" s="26"/>
      <c r="GE405" s="26"/>
      <c r="GF405" s="26"/>
      <c r="GG405" s="26"/>
      <c r="GH405" s="26"/>
      <c r="GI405" s="26"/>
      <c r="GJ405" s="26"/>
      <c r="GK405" s="26"/>
      <c r="GL405" s="26"/>
      <c r="GM405" s="26"/>
      <c r="GN405" s="26"/>
      <c r="GO405" s="26"/>
      <c r="GP405" s="26"/>
      <c r="GQ405" s="26"/>
      <c r="GR405" s="26"/>
      <c r="GS405" s="26"/>
      <c r="GT405" s="26"/>
      <c r="GU405" s="26"/>
      <c r="GV405" s="26"/>
      <c r="GW405" s="26"/>
      <c r="GX405" s="26"/>
      <c r="GY405" s="26"/>
      <c r="GZ405" s="26"/>
      <c r="HA405" s="26"/>
      <c r="HB405" s="26"/>
      <c r="HC405" s="26"/>
      <c r="HD405" s="26"/>
      <c r="HE405" s="26"/>
      <c r="HF405" s="26"/>
      <c r="HG405" s="26"/>
      <c r="HH405" s="26"/>
    </row>
    <row r="406" spans="1:21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26"/>
      <c r="FB406" s="26"/>
      <c r="FC406" s="26"/>
      <c r="FD406" s="26"/>
      <c r="FE406" s="26"/>
      <c r="FF406" s="26"/>
      <c r="FG406" s="26"/>
      <c r="FH406" s="26"/>
      <c r="FI406" s="26"/>
      <c r="FJ406" s="26"/>
      <c r="FK406" s="26"/>
      <c r="FL406" s="26"/>
      <c r="FM406" s="26"/>
      <c r="FN406" s="26"/>
      <c r="FO406" s="26"/>
      <c r="FP406" s="26"/>
      <c r="FQ406" s="26"/>
      <c r="FR406" s="26"/>
      <c r="FS406" s="26"/>
      <c r="FT406" s="26"/>
      <c r="FU406" s="26"/>
      <c r="FV406" s="26"/>
      <c r="FW406" s="26"/>
      <c r="FX406" s="26"/>
      <c r="FY406" s="26"/>
      <c r="FZ406" s="26"/>
      <c r="GA406" s="26"/>
      <c r="GB406" s="26"/>
      <c r="GC406" s="26"/>
      <c r="GD406" s="26"/>
      <c r="GE406" s="26"/>
      <c r="GF406" s="26"/>
      <c r="GG406" s="26"/>
      <c r="GH406" s="26"/>
      <c r="GI406" s="26"/>
      <c r="GJ406" s="26"/>
      <c r="GK406" s="26"/>
      <c r="GL406" s="26"/>
      <c r="GM406" s="26"/>
      <c r="GN406" s="26"/>
      <c r="GO406" s="26"/>
      <c r="GP406" s="26"/>
      <c r="GQ406" s="26"/>
      <c r="GR406" s="26"/>
      <c r="GS406" s="26"/>
      <c r="GT406" s="26"/>
      <c r="GU406" s="26"/>
      <c r="GV406" s="26"/>
      <c r="GW406" s="26"/>
      <c r="GX406" s="26"/>
      <c r="GY406" s="26"/>
      <c r="GZ406" s="26"/>
      <c r="HA406" s="26"/>
      <c r="HB406" s="26"/>
      <c r="HC406" s="26"/>
      <c r="HD406" s="26"/>
      <c r="HE406" s="26"/>
      <c r="HF406" s="26"/>
      <c r="HG406" s="26"/>
      <c r="HH406" s="26"/>
    </row>
    <row r="407" spans="1:21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c r="CW407" s="26"/>
      <c r="CX407" s="26"/>
      <c r="CY407" s="26"/>
      <c r="CZ407" s="26"/>
      <c r="DA407" s="26"/>
      <c r="DB407" s="26"/>
      <c r="DC407" s="26"/>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26"/>
      <c r="FB407" s="26"/>
      <c r="FC407" s="26"/>
      <c r="FD407" s="26"/>
      <c r="FE407" s="26"/>
      <c r="FF407" s="26"/>
      <c r="FG407" s="26"/>
      <c r="FH407" s="26"/>
      <c r="FI407" s="26"/>
      <c r="FJ407" s="26"/>
      <c r="FK407" s="26"/>
      <c r="FL407" s="26"/>
      <c r="FM407" s="26"/>
      <c r="FN407" s="26"/>
      <c r="FO407" s="26"/>
      <c r="FP407" s="26"/>
      <c r="FQ407" s="26"/>
      <c r="FR407" s="26"/>
      <c r="FS407" s="26"/>
      <c r="FT407" s="26"/>
      <c r="FU407" s="26"/>
      <c r="FV407" s="26"/>
      <c r="FW407" s="26"/>
      <c r="FX407" s="26"/>
      <c r="FY407" s="26"/>
      <c r="FZ407" s="26"/>
      <c r="GA407" s="26"/>
      <c r="GB407" s="26"/>
      <c r="GC407" s="26"/>
      <c r="GD407" s="26"/>
      <c r="GE407" s="26"/>
      <c r="GF407" s="26"/>
      <c r="GG407" s="26"/>
      <c r="GH407" s="26"/>
      <c r="GI407" s="26"/>
      <c r="GJ407" s="26"/>
      <c r="GK407" s="26"/>
      <c r="GL407" s="26"/>
      <c r="GM407" s="26"/>
      <c r="GN407" s="26"/>
      <c r="GO407" s="26"/>
      <c r="GP407" s="26"/>
      <c r="GQ407" s="26"/>
      <c r="GR407" s="26"/>
      <c r="GS407" s="26"/>
      <c r="GT407" s="26"/>
      <c r="GU407" s="26"/>
      <c r="GV407" s="26"/>
      <c r="GW407" s="26"/>
      <c r="GX407" s="26"/>
      <c r="GY407" s="26"/>
      <c r="GZ407" s="26"/>
      <c r="HA407" s="26"/>
      <c r="HB407" s="26"/>
      <c r="HC407" s="26"/>
      <c r="HD407" s="26"/>
      <c r="HE407" s="26"/>
      <c r="HF407" s="26"/>
      <c r="HG407" s="26"/>
      <c r="HH407" s="26"/>
    </row>
    <row r="408" spans="1:21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c r="CW408" s="26"/>
      <c r="CX408" s="26"/>
      <c r="CY408" s="26"/>
      <c r="CZ408" s="26"/>
      <c r="DA408" s="26"/>
      <c r="DB408" s="26"/>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26"/>
      <c r="FB408" s="26"/>
      <c r="FC408" s="26"/>
      <c r="FD408" s="26"/>
      <c r="FE408" s="26"/>
      <c r="FF408" s="26"/>
      <c r="FG408" s="26"/>
      <c r="FH408" s="26"/>
      <c r="FI408" s="26"/>
      <c r="FJ408" s="26"/>
      <c r="FK408" s="26"/>
      <c r="FL408" s="26"/>
      <c r="FM408" s="26"/>
      <c r="FN408" s="26"/>
      <c r="FO408" s="26"/>
      <c r="FP408" s="26"/>
      <c r="FQ408" s="26"/>
      <c r="FR408" s="26"/>
      <c r="FS408" s="26"/>
      <c r="FT408" s="26"/>
      <c r="FU408" s="26"/>
      <c r="FV408" s="26"/>
      <c r="FW408" s="26"/>
      <c r="FX408" s="26"/>
      <c r="FY408" s="26"/>
      <c r="FZ408" s="26"/>
      <c r="GA408" s="26"/>
      <c r="GB408" s="26"/>
      <c r="GC408" s="26"/>
      <c r="GD408" s="26"/>
      <c r="GE408" s="26"/>
      <c r="GF408" s="26"/>
      <c r="GG408" s="26"/>
      <c r="GH408" s="26"/>
      <c r="GI408" s="26"/>
      <c r="GJ408" s="26"/>
      <c r="GK408" s="26"/>
      <c r="GL408" s="26"/>
      <c r="GM408" s="26"/>
      <c r="GN408" s="26"/>
      <c r="GO408" s="26"/>
      <c r="GP408" s="26"/>
      <c r="GQ408" s="26"/>
      <c r="GR408" s="26"/>
      <c r="GS408" s="26"/>
      <c r="GT408" s="26"/>
      <c r="GU408" s="26"/>
      <c r="GV408" s="26"/>
      <c r="GW408" s="26"/>
      <c r="GX408" s="26"/>
      <c r="GY408" s="26"/>
      <c r="GZ408" s="26"/>
      <c r="HA408" s="26"/>
      <c r="HB408" s="26"/>
      <c r="HC408" s="26"/>
      <c r="HD408" s="26"/>
      <c r="HE408" s="26"/>
      <c r="HF408" s="26"/>
      <c r="HG408" s="26"/>
      <c r="HH408" s="26"/>
    </row>
    <row r="409" spans="1:21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26"/>
      <c r="FB409" s="26"/>
      <c r="FC409" s="26"/>
      <c r="FD409" s="26"/>
      <c r="FE409" s="26"/>
      <c r="FF409" s="26"/>
      <c r="FG409" s="26"/>
      <c r="FH409" s="26"/>
      <c r="FI409" s="26"/>
      <c r="FJ409" s="26"/>
      <c r="FK409" s="26"/>
      <c r="FL409" s="26"/>
      <c r="FM409" s="26"/>
      <c r="FN409" s="26"/>
      <c r="FO409" s="26"/>
      <c r="FP409" s="26"/>
      <c r="FQ409" s="26"/>
      <c r="FR409" s="26"/>
      <c r="FS409" s="26"/>
      <c r="FT409" s="26"/>
      <c r="FU409" s="26"/>
      <c r="FV409" s="26"/>
      <c r="FW409" s="26"/>
      <c r="FX409" s="26"/>
      <c r="FY409" s="26"/>
      <c r="FZ409" s="26"/>
      <c r="GA409" s="26"/>
      <c r="GB409" s="26"/>
      <c r="GC409" s="26"/>
      <c r="GD409" s="26"/>
      <c r="GE409" s="26"/>
      <c r="GF409" s="26"/>
      <c r="GG409" s="26"/>
      <c r="GH409" s="26"/>
      <c r="GI409" s="26"/>
      <c r="GJ409" s="26"/>
      <c r="GK409" s="26"/>
      <c r="GL409" s="26"/>
      <c r="GM409" s="26"/>
      <c r="GN409" s="26"/>
      <c r="GO409" s="26"/>
      <c r="GP409" s="26"/>
      <c r="GQ409" s="26"/>
      <c r="GR409" s="26"/>
      <c r="GS409" s="26"/>
      <c r="GT409" s="26"/>
      <c r="GU409" s="26"/>
      <c r="GV409" s="26"/>
      <c r="GW409" s="26"/>
      <c r="GX409" s="26"/>
      <c r="GY409" s="26"/>
      <c r="GZ409" s="26"/>
      <c r="HA409" s="26"/>
      <c r="HB409" s="26"/>
      <c r="HC409" s="26"/>
      <c r="HD409" s="26"/>
      <c r="HE409" s="26"/>
      <c r="HF409" s="26"/>
      <c r="HG409" s="26"/>
      <c r="HH409" s="26"/>
    </row>
    <row r="410" spans="1:21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26"/>
      <c r="FB410" s="26"/>
      <c r="FC410" s="26"/>
      <c r="FD410" s="26"/>
      <c r="FE410" s="26"/>
      <c r="FF410" s="26"/>
      <c r="FG410" s="26"/>
      <c r="FH410" s="26"/>
      <c r="FI410" s="26"/>
      <c r="FJ410" s="26"/>
      <c r="FK410" s="26"/>
      <c r="FL410" s="26"/>
      <c r="FM410" s="26"/>
      <c r="FN410" s="26"/>
      <c r="FO410" s="26"/>
      <c r="FP410" s="26"/>
      <c r="FQ410" s="26"/>
      <c r="FR410" s="26"/>
      <c r="FS410" s="26"/>
      <c r="FT410" s="26"/>
      <c r="FU410" s="26"/>
      <c r="FV410" s="26"/>
      <c r="FW410" s="26"/>
      <c r="FX410" s="26"/>
      <c r="FY410" s="26"/>
      <c r="FZ410" s="26"/>
      <c r="GA410" s="26"/>
      <c r="GB410" s="26"/>
      <c r="GC410" s="26"/>
      <c r="GD410" s="26"/>
      <c r="GE410" s="26"/>
      <c r="GF410" s="26"/>
      <c r="GG410" s="26"/>
      <c r="GH410" s="26"/>
      <c r="GI410" s="26"/>
      <c r="GJ410" s="26"/>
      <c r="GK410" s="26"/>
      <c r="GL410" s="26"/>
      <c r="GM410" s="26"/>
      <c r="GN410" s="26"/>
      <c r="GO410" s="26"/>
      <c r="GP410" s="26"/>
      <c r="GQ410" s="26"/>
      <c r="GR410" s="26"/>
      <c r="GS410" s="26"/>
      <c r="GT410" s="26"/>
      <c r="GU410" s="26"/>
      <c r="GV410" s="26"/>
      <c r="GW410" s="26"/>
      <c r="GX410" s="26"/>
      <c r="GY410" s="26"/>
      <c r="GZ410" s="26"/>
      <c r="HA410" s="26"/>
      <c r="HB410" s="26"/>
      <c r="HC410" s="26"/>
      <c r="HD410" s="26"/>
      <c r="HE410" s="26"/>
      <c r="HF410" s="26"/>
      <c r="HG410" s="26"/>
      <c r="HH410" s="26"/>
    </row>
    <row r="411" spans="1:21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c r="CW411" s="26"/>
      <c r="CX411" s="26"/>
      <c r="CY411" s="26"/>
      <c r="CZ411" s="26"/>
      <c r="DA411" s="26"/>
      <c r="DB411" s="26"/>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26"/>
      <c r="FB411" s="26"/>
      <c r="FC411" s="26"/>
      <c r="FD411" s="26"/>
      <c r="FE411" s="26"/>
      <c r="FF411" s="26"/>
      <c r="FG411" s="26"/>
      <c r="FH411" s="26"/>
      <c r="FI411" s="26"/>
      <c r="FJ411" s="26"/>
      <c r="FK411" s="26"/>
      <c r="FL411" s="26"/>
      <c r="FM411" s="26"/>
      <c r="FN411" s="26"/>
      <c r="FO411" s="26"/>
      <c r="FP411" s="26"/>
      <c r="FQ411" s="26"/>
      <c r="FR411" s="26"/>
      <c r="FS411" s="26"/>
      <c r="FT411" s="26"/>
      <c r="FU411" s="26"/>
      <c r="FV411" s="26"/>
      <c r="FW411" s="26"/>
      <c r="FX411" s="26"/>
      <c r="FY411" s="26"/>
      <c r="FZ411" s="26"/>
      <c r="GA411" s="26"/>
      <c r="GB411" s="26"/>
      <c r="GC411" s="26"/>
      <c r="GD411" s="26"/>
      <c r="GE411" s="26"/>
      <c r="GF411" s="26"/>
      <c r="GG411" s="26"/>
      <c r="GH411" s="26"/>
      <c r="GI411" s="26"/>
      <c r="GJ411" s="26"/>
      <c r="GK411" s="26"/>
      <c r="GL411" s="26"/>
      <c r="GM411" s="26"/>
      <c r="GN411" s="26"/>
      <c r="GO411" s="26"/>
      <c r="GP411" s="26"/>
      <c r="GQ411" s="26"/>
      <c r="GR411" s="26"/>
      <c r="GS411" s="26"/>
      <c r="GT411" s="26"/>
      <c r="GU411" s="26"/>
      <c r="GV411" s="26"/>
      <c r="GW411" s="26"/>
      <c r="GX411" s="26"/>
      <c r="GY411" s="26"/>
      <c r="GZ411" s="26"/>
      <c r="HA411" s="26"/>
      <c r="HB411" s="26"/>
      <c r="HC411" s="26"/>
      <c r="HD411" s="26"/>
      <c r="HE411" s="26"/>
      <c r="HF411" s="26"/>
      <c r="HG411" s="26"/>
      <c r="HH411" s="26"/>
    </row>
    <row r="412" spans="1:21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26"/>
      <c r="FB412" s="26"/>
      <c r="FC412" s="26"/>
      <c r="FD412" s="26"/>
      <c r="FE412" s="26"/>
      <c r="FF412" s="26"/>
      <c r="FG412" s="26"/>
      <c r="FH412" s="26"/>
      <c r="FI412" s="26"/>
      <c r="FJ412" s="26"/>
      <c r="FK412" s="26"/>
      <c r="FL412" s="26"/>
      <c r="FM412" s="26"/>
      <c r="FN412" s="26"/>
      <c r="FO412" s="26"/>
      <c r="FP412" s="26"/>
      <c r="FQ412" s="26"/>
      <c r="FR412" s="26"/>
      <c r="FS412" s="26"/>
      <c r="FT412" s="26"/>
      <c r="FU412" s="26"/>
      <c r="FV412" s="26"/>
      <c r="FW412" s="26"/>
      <c r="FX412" s="26"/>
      <c r="FY412" s="26"/>
      <c r="FZ412" s="26"/>
      <c r="GA412" s="26"/>
      <c r="GB412" s="26"/>
      <c r="GC412" s="26"/>
      <c r="GD412" s="26"/>
      <c r="GE412" s="26"/>
      <c r="GF412" s="26"/>
      <c r="GG412" s="26"/>
      <c r="GH412" s="26"/>
      <c r="GI412" s="26"/>
      <c r="GJ412" s="26"/>
      <c r="GK412" s="26"/>
      <c r="GL412" s="26"/>
      <c r="GM412" s="26"/>
      <c r="GN412" s="26"/>
      <c r="GO412" s="26"/>
      <c r="GP412" s="26"/>
      <c r="GQ412" s="26"/>
      <c r="GR412" s="26"/>
      <c r="GS412" s="26"/>
      <c r="GT412" s="26"/>
      <c r="GU412" s="26"/>
      <c r="GV412" s="26"/>
      <c r="GW412" s="26"/>
      <c r="GX412" s="26"/>
      <c r="GY412" s="26"/>
      <c r="GZ412" s="26"/>
      <c r="HA412" s="26"/>
      <c r="HB412" s="26"/>
      <c r="HC412" s="26"/>
      <c r="HD412" s="26"/>
      <c r="HE412" s="26"/>
      <c r="HF412" s="26"/>
      <c r="HG412" s="26"/>
      <c r="HH412" s="26"/>
    </row>
    <row r="413" spans="1:21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26"/>
      <c r="FB413" s="26"/>
      <c r="FC413" s="26"/>
      <c r="FD413" s="26"/>
      <c r="FE413" s="26"/>
      <c r="FF413" s="26"/>
      <c r="FG413" s="26"/>
      <c r="FH413" s="26"/>
      <c r="FI413" s="26"/>
      <c r="FJ413" s="26"/>
      <c r="FK413" s="26"/>
      <c r="FL413" s="26"/>
      <c r="FM413" s="26"/>
      <c r="FN413" s="26"/>
      <c r="FO413" s="26"/>
      <c r="FP413" s="26"/>
      <c r="FQ413" s="26"/>
      <c r="FR413" s="26"/>
      <c r="FS413" s="26"/>
      <c r="FT413" s="26"/>
      <c r="FU413" s="26"/>
      <c r="FV413" s="26"/>
      <c r="FW413" s="26"/>
      <c r="FX413" s="26"/>
      <c r="FY413" s="26"/>
      <c r="FZ413" s="26"/>
      <c r="GA413" s="26"/>
      <c r="GB413" s="26"/>
      <c r="GC413" s="26"/>
      <c r="GD413" s="26"/>
      <c r="GE413" s="26"/>
      <c r="GF413" s="26"/>
      <c r="GG413" s="26"/>
      <c r="GH413" s="26"/>
      <c r="GI413" s="26"/>
      <c r="GJ413" s="26"/>
      <c r="GK413" s="26"/>
      <c r="GL413" s="26"/>
      <c r="GM413" s="26"/>
      <c r="GN413" s="26"/>
      <c r="GO413" s="26"/>
      <c r="GP413" s="26"/>
      <c r="GQ413" s="26"/>
      <c r="GR413" s="26"/>
      <c r="GS413" s="26"/>
      <c r="GT413" s="26"/>
      <c r="GU413" s="26"/>
      <c r="GV413" s="26"/>
      <c r="GW413" s="26"/>
      <c r="GX413" s="26"/>
      <c r="GY413" s="26"/>
      <c r="GZ413" s="26"/>
      <c r="HA413" s="26"/>
      <c r="HB413" s="26"/>
      <c r="HC413" s="26"/>
      <c r="HD413" s="26"/>
      <c r="HE413" s="26"/>
      <c r="HF413" s="26"/>
      <c r="HG413" s="26"/>
      <c r="HH413" s="26"/>
    </row>
    <row r="414" spans="1:21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26"/>
      <c r="FB414" s="26"/>
      <c r="FC414" s="26"/>
      <c r="FD414" s="26"/>
      <c r="FE414" s="26"/>
      <c r="FF414" s="26"/>
      <c r="FG414" s="26"/>
      <c r="FH414" s="26"/>
      <c r="FI414" s="26"/>
      <c r="FJ414" s="26"/>
      <c r="FK414" s="26"/>
      <c r="FL414" s="26"/>
      <c r="FM414" s="26"/>
      <c r="FN414" s="26"/>
      <c r="FO414" s="26"/>
      <c r="FP414" s="26"/>
      <c r="FQ414" s="26"/>
      <c r="FR414" s="26"/>
      <c r="FS414" s="26"/>
      <c r="FT414" s="26"/>
      <c r="FU414" s="26"/>
      <c r="FV414" s="26"/>
      <c r="FW414" s="26"/>
      <c r="FX414" s="26"/>
      <c r="FY414" s="26"/>
      <c r="FZ414" s="26"/>
      <c r="GA414" s="26"/>
      <c r="GB414" s="26"/>
      <c r="GC414" s="26"/>
      <c r="GD414" s="26"/>
      <c r="GE414" s="26"/>
      <c r="GF414" s="26"/>
      <c r="GG414" s="26"/>
      <c r="GH414" s="26"/>
      <c r="GI414" s="26"/>
      <c r="GJ414" s="26"/>
      <c r="GK414" s="26"/>
      <c r="GL414" s="26"/>
      <c r="GM414" s="26"/>
      <c r="GN414" s="26"/>
      <c r="GO414" s="26"/>
      <c r="GP414" s="26"/>
      <c r="GQ414" s="26"/>
      <c r="GR414" s="26"/>
      <c r="GS414" s="26"/>
      <c r="GT414" s="26"/>
      <c r="GU414" s="26"/>
      <c r="GV414" s="26"/>
      <c r="GW414" s="26"/>
      <c r="GX414" s="26"/>
      <c r="GY414" s="26"/>
      <c r="GZ414" s="26"/>
      <c r="HA414" s="26"/>
      <c r="HB414" s="26"/>
      <c r="HC414" s="26"/>
      <c r="HD414" s="26"/>
      <c r="HE414" s="26"/>
      <c r="HF414" s="26"/>
      <c r="HG414" s="26"/>
      <c r="HH414" s="26"/>
    </row>
    <row r="415" spans="1:21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26"/>
      <c r="FB415" s="26"/>
      <c r="FC415" s="26"/>
      <c r="FD415" s="26"/>
      <c r="FE415" s="26"/>
      <c r="FF415" s="26"/>
      <c r="FG415" s="26"/>
      <c r="FH415" s="26"/>
      <c r="FI415" s="26"/>
      <c r="FJ415" s="26"/>
      <c r="FK415" s="26"/>
      <c r="FL415" s="26"/>
      <c r="FM415" s="26"/>
      <c r="FN415" s="26"/>
      <c r="FO415" s="26"/>
      <c r="FP415" s="26"/>
      <c r="FQ415" s="26"/>
      <c r="FR415" s="26"/>
      <c r="FS415" s="26"/>
      <c r="FT415" s="26"/>
      <c r="FU415" s="26"/>
      <c r="FV415" s="26"/>
      <c r="FW415" s="26"/>
      <c r="FX415" s="26"/>
      <c r="FY415" s="26"/>
      <c r="FZ415" s="26"/>
      <c r="GA415" s="26"/>
      <c r="GB415" s="26"/>
      <c r="GC415" s="26"/>
      <c r="GD415" s="26"/>
      <c r="GE415" s="26"/>
      <c r="GF415" s="26"/>
      <c r="GG415" s="26"/>
      <c r="GH415" s="26"/>
      <c r="GI415" s="26"/>
      <c r="GJ415" s="26"/>
      <c r="GK415" s="26"/>
      <c r="GL415" s="26"/>
      <c r="GM415" s="26"/>
      <c r="GN415" s="26"/>
      <c r="GO415" s="26"/>
      <c r="GP415" s="26"/>
      <c r="GQ415" s="26"/>
      <c r="GR415" s="26"/>
      <c r="GS415" s="26"/>
      <c r="GT415" s="26"/>
      <c r="GU415" s="26"/>
      <c r="GV415" s="26"/>
      <c r="GW415" s="26"/>
      <c r="GX415" s="26"/>
      <c r="GY415" s="26"/>
      <c r="GZ415" s="26"/>
      <c r="HA415" s="26"/>
      <c r="HB415" s="26"/>
      <c r="HC415" s="26"/>
      <c r="HD415" s="26"/>
      <c r="HE415" s="26"/>
      <c r="HF415" s="26"/>
      <c r="HG415" s="26"/>
      <c r="HH415" s="26"/>
    </row>
    <row r="416" spans="1:2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26"/>
      <c r="FB416" s="26"/>
      <c r="FC416" s="26"/>
      <c r="FD416" s="26"/>
      <c r="FE416" s="26"/>
      <c r="FF416" s="26"/>
      <c r="FG416" s="26"/>
      <c r="FH416" s="26"/>
      <c r="FI416" s="26"/>
      <c r="FJ416" s="26"/>
      <c r="FK416" s="26"/>
      <c r="FL416" s="26"/>
      <c r="FM416" s="26"/>
      <c r="FN416" s="26"/>
      <c r="FO416" s="26"/>
      <c r="FP416" s="26"/>
      <c r="FQ416" s="26"/>
      <c r="FR416" s="26"/>
      <c r="FS416" s="26"/>
      <c r="FT416" s="26"/>
      <c r="FU416" s="26"/>
      <c r="FV416" s="26"/>
      <c r="FW416" s="26"/>
      <c r="FX416" s="26"/>
      <c r="FY416" s="26"/>
      <c r="FZ416" s="26"/>
      <c r="GA416" s="26"/>
      <c r="GB416" s="26"/>
      <c r="GC416" s="26"/>
      <c r="GD416" s="26"/>
      <c r="GE416" s="26"/>
      <c r="GF416" s="26"/>
      <c r="GG416" s="26"/>
      <c r="GH416" s="26"/>
      <c r="GI416" s="26"/>
      <c r="GJ416" s="26"/>
      <c r="GK416" s="26"/>
      <c r="GL416" s="26"/>
      <c r="GM416" s="26"/>
      <c r="GN416" s="26"/>
      <c r="GO416" s="26"/>
      <c r="GP416" s="26"/>
      <c r="GQ416" s="26"/>
      <c r="GR416" s="26"/>
      <c r="GS416" s="26"/>
      <c r="GT416" s="26"/>
      <c r="GU416" s="26"/>
      <c r="GV416" s="26"/>
      <c r="GW416" s="26"/>
      <c r="GX416" s="26"/>
      <c r="GY416" s="26"/>
      <c r="GZ416" s="26"/>
      <c r="HA416" s="26"/>
      <c r="HB416" s="26"/>
      <c r="HC416" s="26"/>
      <c r="HD416" s="26"/>
      <c r="HE416" s="26"/>
      <c r="HF416" s="26"/>
      <c r="HG416" s="26"/>
      <c r="HH416" s="26"/>
    </row>
    <row r="417" spans="1:21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26"/>
      <c r="FB417" s="26"/>
      <c r="FC417" s="26"/>
      <c r="FD417" s="26"/>
      <c r="FE417" s="26"/>
      <c r="FF417" s="26"/>
      <c r="FG417" s="26"/>
      <c r="FH417" s="26"/>
      <c r="FI417" s="26"/>
      <c r="FJ417" s="26"/>
      <c r="FK417" s="26"/>
      <c r="FL417" s="26"/>
      <c r="FM417" s="26"/>
      <c r="FN417" s="26"/>
      <c r="FO417" s="26"/>
      <c r="FP417" s="26"/>
      <c r="FQ417" s="26"/>
      <c r="FR417" s="26"/>
      <c r="FS417" s="26"/>
      <c r="FT417" s="26"/>
      <c r="FU417" s="26"/>
      <c r="FV417" s="26"/>
      <c r="FW417" s="26"/>
      <c r="FX417" s="26"/>
      <c r="FY417" s="26"/>
      <c r="FZ417" s="26"/>
      <c r="GA417" s="26"/>
      <c r="GB417" s="26"/>
      <c r="GC417" s="26"/>
      <c r="GD417" s="26"/>
      <c r="GE417" s="26"/>
      <c r="GF417" s="26"/>
      <c r="GG417" s="26"/>
      <c r="GH417" s="26"/>
      <c r="GI417" s="26"/>
      <c r="GJ417" s="26"/>
      <c r="GK417" s="26"/>
      <c r="GL417" s="26"/>
      <c r="GM417" s="26"/>
      <c r="GN417" s="26"/>
      <c r="GO417" s="26"/>
      <c r="GP417" s="26"/>
      <c r="GQ417" s="26"/>
      <c r="GR417" s="26"/>
      <c r="GS417" s="26"/>
      <c r="GT417" s="26"/>
      <c r="GU417" s="26"/>
      <c r="GV417" s="26"/>
      <c r="GW417" s="26"/>
      <c r="GX417" s="26"/>
      <c r="GY417" s="26"/>
      <c r="GZ417" s="26"/>
      <c r="HA417" s="26"/>
      <c r="HB417" s="26"/>
      <c r="HC417" s="26"/>
      <c r="HD417" s="26"/>
      <c r="HE417" s="26"/>
      <c r="HF417" s="26"/>
      <c r="HG417" s="26"/>
      <c r="HH417" s="26"/>
    </row>
    <row r="418" spans="1:21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26"/>
      <c r="FB418" s="26"/>
      <c r="FC418" s="26"/>
      <c r="FD418" s="26"/>
      <c r="FE418" s="26"/>
      <c r="FF418" s="26"/>
      <c r="FG418" s="26"/>
      <c r="FH418" s="26"/>
      <c r="FI418" s="26"/>
      <c r="FJ418" s="26"/>
      <c r="FK418" s="26"/>
      <c r="FL418" s="26"/>
      <c r="FM418" s="26"/>
      <c r="FN418" s="26"/>
      <c r="FO418" s="26"/>
      <c r="FP418" s="26"/>
      <c r="FQ418" s="26"/>
      <c r="FR418" s="26"/>
      <c r="FS418" s="26"/>
      <c r="FT418" s="26"/>
      <c r="FU418" s="26"/>
      <c r="FV418" s="26"/>
      <c r="FW418" s="26"/>
      <c r="FX418" s="26"/>
      <c r="FY418" s="26"/>
      <c r="FZ418" s="26"/>
      <c r="GA418" s="26"/>
      <c r="GB418" s="26"/>
      <c r="GC418" s="26"/>
      <c r="GD418" s="26"/>
      <c r="GE418" s="26"/>
      <c r="GF418" s="26"/>
      <c r="GG418" s="26"/>
      <c r="GH418" s="26"/>
      <c r="GI418" s="26"/>
      <c r="GJ418" s="26"/>
      <c r="GK418" s="26"/>
      <c r="GL418" s="26"/>
      <c r="GM418" s="26"/>
      <c r="GN418" s="26"/>
      <c r="GO418" s="26"/>
      <c r="GP418" s="26"/>
      <c r="GQ418" s="26"/>
      <c r="GR418" s="26"/>
      <c r="GS418" s="26"/>
      <c r="GT418" s="26"/>
      <c r="GU418" s="26"/>
      <c r="GV418" s="26"/>
      <c r="GW418" s="26"/>
      <c r="GX418" s="26"/>
      <c r="GY418" s="26"/>
      <c r="GZ418" s="26"/>
      <c r="HA418" s="26"/>
      <c r="HB418" s="26"/>
      <c r="HC418" s="26"/>
      <c r="HD418" s="26"/>
      <c r="HE418" s="26"/>
      <c r="HF418" s="26"/>
      <c r="HG418" s="26"/>
      <c r="HH418" s="26"/>
    </row>
    <row r="419" spans="1:21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c r="CW419" s="26"/>
      <c r="CX419" s="26"/>
      <c r="CY419" s="26"/>
      <c r="CZ419" s="26"/>
      <c r="DA419" s="26"/>
      <c r="DB419" s="26"/>
      <c r="DC419" s="26"/>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26"/>
      <c r="FB419" s="26"/>
      <c r="FC419" s="26"/>
      <c r="FD419" s="26"/>
      <c r="FE419" s="26"/>
      <c r="FF419" s="26"/>
      <c r="FG419" s="26"/>
      <c r="FH419" s="26"/>
      <c r="FI419" s="26"/>
      <c r="FJ419" s="26"/>
      <c r="FK419" s="26"/>
      <c r="FL419" s="26"/>
      <c r="FM419" s="26"/>
      <c r="FN419" s="26"/>
      <c r="FO419" s="26"/>
      <c r="FP419" s="26"/>
      <c r="FQ419" s="26"/>
      <c r="FR419" s="26"/>
      <c r="FS419" s="26"/>
      <c r="FT419" s="26"/>
      <c r="FU419" s="26"/>
      <c r="FV419" s="26"/>
      <c r="FW419" s="26"/>
      <c r="FX419" s="26"/>
      <c r="FY419" s="26"/>
      <c r="FZ419" s="26"/>
      <c r="GA419" s="26"/>
      <c r="GB419" s="26"/>
      <c r="GC419" s="26"/>
      <c r="GD419" s="26"/>
      <c r="GE419" s="26"/>
      <c r="GF419" s="26"/>
      <c r="GG419" s="26"/>
      <c r="GH419" s="26"/>
      <c r="GI419" s="26"/>
      <c r="GJ419" s="26"/>
      <c r="GK419" s="26"/>
      <c r="GL419" s="26"/>
      <c r="GM419" s="26"/>
      <c r="GN419" s="26"/>
      <c r="GO419" s="26"/>
      <c r="GP419" s="26"/>
      <c r="GQ419" s="26"/>
      <c r="GR419" s="26"/>
      <c r="GS419" s="26"/>
      <c r="GT419" s="26"/>
      <c r="GU419" s="26"/>
      <c r="GV419" s="26"/>
      <c r="GW419" s="26"/>
      <c r="GX419" s="26"/>
      <c r="GY419" s="26"/>
      <c r="GZ419" s="26"/>
      <c r="HA419" s="26"/>
      <c r="HB419" s="26"/>
      <c r="HC419" s="26"/>
      <c r="HD419" s="26"/>
      <c r="HE419" s="26"/>
      <c r="HF419" s="26"/>
      <c r="HG419" s="26"/>
      <c r="HH419" s="26"/>
    </row>
    <row r="420" spans="1:21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26"/>
      <c r="FB420" s="26"/>
      <c r="FC420" s="26"/>
      <c r="FD420" s="26"/>
      <c r="FE420" s="26"/>
      <c r="FF420" s="26"/>
      <c r="FG420" s="26"/>
      <c r="FH420" s="26"/>
      <c r="FI420" s="26"/>
      <c r="FJ420" s="26"/>
      <c r="FK420" s="26"/>
      <c r="FL420" s="26"/>
      <c r="FM420" s="26"/>
      <c r="FN420" s="26"/>
      <c r="FO420" s="26"/>
      <c r="FP420" s="26"/>
      <c r="FQ420" s="26"/>
      <c r="FR420" s="26"/>
      <c r="FS420" s="26"/>
      <c r="FT420" s="26"/>
      <c r="FU420" s="26"/>
      <c r="FV420" s="26"/>
      <c r="FW420" s="26"/>
      <c r="FX420" s="26"/>
      <c r="FY420" s="26"/>
      <c r="FZ420" s="26"/>
      <c r="GA420" s="26"/>
      <c r="GB420" s="26"/>
      <c r="GC420" s="26"/>
      <c r="GD420" s="26"/>
      <c r="GE420" s="26"/>
      <c r="GF420" s="26"/>
      <c r="GG420" s="26"/>
      <c r="GH420" s="26"/>
      <c r="GI420" s="26"/>
      <c r="GJ420" s="26"/>
      <c r="GK420" s="26"/>
      <c r="GL420" s="26"/>
      <c r="GM420" s="26"/>
      <c r="GN420" s="26"/>
      <c r="GO420" s="26"/>
      <c r="GP420" s="26"/>
      <c r="GQ420" s="26"/>
      <c r="GR420" s="26"/>
      <c r="GS420" s="26"/>
      <c r="GT420" s="26"/>
      <c r="GU420" s="26"/>
      <c r="GV420" s="26"/>
      <c r="GW420" s="26"/>
      <c r="GX420" s="26"/>
      <c r="GY420" s="26"/>
      <c r="GZ420" s="26"/>
      <c r="HA420" s="26"/>
      <c r="HB420" s="26"/>
      <c r="HC420" s="26"/>
      <c r="HD420" s="26"/>
      <c r="HE420" s="26"/>
      <c r="HF420" s="26"/>
      <c r="HG420" s="26"/>
      <c r="HH420" s="26"/>
    </row>
    <row r="421" spans="1:21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26"/>
      <c r="FB421" s="26"/>
      <c r="FC421" s="26"/>
      <c r="FD421" s="26"/>
      <c r="FE421" s="26"/>
      <c r="FF421" s="26"/>
      <c r="FG421" s="26"/>
      <c r="FH421" s="26"/>
      <c r="FI421" s="26"/>
      <c r="FJ421" s="26"/>
      <c r="FK421" s="26"/>
      <c r="FL421" s="26"/>
      <c r="FM421" s="26"/>
      <c r="FN421" s="26"/>
      <c r="FO421" s="26"/>
      <c r="FP421" s="26"/>
      <c r="FQ421" s="26"/>
      <c r="FR421" s="26"/>
      <c r="FS421" s="26"/>
      <c r="FT421" s="26"/>
      <c r="FU421" s="26"/>
      <c r="FV421" s="26"/>
      <c r="FW421" s="26"/>
      <c r="FX421" s="26"/>
      <c r="FY421" s="26"/>
      <c r="FZ421" s="26"/>
      <c r="GA421" s="26"/>
      <c r="GB421" s="26"/>
      <c r="GC421" s="26"/>
      <c r="GD421" s="26"/>
      <c r="GE421" s="26"/>
      <c r="GF421" s="26"/>
      <c r="GG421" s="26"/>
      <c r="GH421" s="26"/>
      <c r="GI421" s="26"/>
      <c r="GJ421" s="26"/>
      <c r="GK421" s="26"/>
      <c r="GL421" s="26"/>
      <c r="GM421" s="26"/>
      <c r="GN421" s="26"/>
      <c r="GO421" s="26"/>
      <c r="GP421" s="26"/>
      <c r="GQ421" s="26"/>
      <c r="GR421" s="26"/>
      <c r="GS421" s="26"/>
      <c r="GT421" s="26"/>
      <c r="GU421" s="26"/>
      <c r="GV421" s="26"/>
      <c r="GW421" s="26"/>
      <c r="GX421" s="26"/>
      <c r="GY421" s="26"/>
      <c r="GZ421" s="26"/>
      <c r="HA421" s="26"/>
      <c r="HB421" s="26"/>
      <c r="HC421" s="26"/>
      <c r="HD421" s="26"/>
      <c r="HE421" s="26"/>
      <c r="HF421" s="26"/>
      <c r="HG421" s="26"/>
      <c r="HH421" s="26"/>
    </row>
    <row r="422" spans="1:21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c r="CW422" s="26"/>
      <c r="CX422" s="26"/>
      <c r="CY422" s="26"/>
      <c r="CZ422" s="26"/>
      <c r="DA422" s="26"/>
      <c r="DB422" s="26"/>
      <c r="DC422" s="26"/>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26"/>
      <c r="FB422" s="26"/>
      <c r="FC422" s="26"/>
      <c r="FD422" s="26"/>
      <c r="FE422" s="26"/>
      <c r="FF422" s="26"/>
      <c r="FG422" s="26"/>
      <c r="FH422" s="26"/>
      <c r="FI422" s="26"/>
      <c r="FJ422" s="26"/>
      <c r="FK422" s="26"/>
      <c r="FL422" s="26"/>
      <c r="FM422" s="26"/>
      <c r="FN422" s="26"/>
      <c r="FO422" s="26"/>
      <c r="FP422" s="26"/>
      <c r="FQ422" s="26"/>
      <c r="FR422" s="26"/>
      <c r="FS422" s="26"/>
      <c r="FT422" s="26"/>
      <c r="FU422" s="26"/>
      <c r="FV422" s="26"/>
      <c r="FW422" s="26"/>
      <c r="FX422" s="26"/>
      <c r="FY422" s="26"/>
      <c r="FZ422" s="26"/>
      <c r="GA422" s="26"/>
      <c r="GB422" s="26"/>
      <c r="GC422" s="26"/>
      <c r="GD422" s="26"/>
      <c r="GE422" s="26"/>
      <c r="GF422" s="26"/>
      <c r="GG422" s="26"/>
      <c r="GH422" s="26"/>
      <c r="GI422" s="26"/>
      <c r="GJ422" s="26"/>
      <c r="GK422" s="26"/>
      <c r="GL422" s="26"/>
      <c r="GM422" s="26"/>
      <c r="GN422" s="26"/>
      <c r="GO422" s="26"/>
      <c r="GP422" s="26"/>
      <c r="GQ422" s="26"/>
      <c r="GR422" s="26"/>
      <c r="GS422" s="26"/>
      <c r="GT422" s="26"/>
      <c r="GU422" s="26"/>
      <c r="GV422" s="26"/>
      <c r="GW422" s="26"/>
      <c r="GX422" s="26"/>
      <c r="GY422" s="26"/>
      <c r="GZ422" s="26"/>
      <c r="HA422" s="26"/>
      <c r="HB422" s="26"/>
      <c r="HC422" s="26"/>
      <c r="HD422" s="26"/>
      <c r="HE422" s="26"/>
      <c r="HF422" s="26"/>
      <c r="HG422" s="26"/>
      <c r="HH422" s="26"/>
    </row>
    <row r="423" spans="1:21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c r="CW423" s="26"/>
      <c r="CX423" s="26"/>
      <c r="CY423" s="26"/>
      <c r="CZ423" s="26"/>
      <c r="DA423" s="26"/>
      <c r="DB423" s="26"/>
      <c r="DC423" s="26"/>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26"/>
      <c r="FB423" s="26"/>
      <c r="FC423" s="26"/>
      <c r="FD423" s="26"/>
      <c r="FE423" s="26"/>
      <c r="FF423" s="26"/>
      <c r="FG423" s="26"/>
      <c r="FH423" s="26"/>
      <c r="FI423" s="26"/>
      <c r="FJ423" s="26"/>
      <c r="FK423" s="26"/>
      <c r="FL423" s="26"/>
      <c r="FM423" s="26"/>
      <c r="FN423" s="26"/>
      <c r="FO423" s="26"/>
      <c r="FP423" s="26"/>
      <c r="FQ423" s="26"/>
      <c r="FR423" s="26"/>
      <c r="FS423" s="26"/>
      <c r="FT423" s="26"/>
      <c r="FU423" s="26"/>
      <c r="FV423" s="26"/>
      <c r="FW423" s="26"/>
      <c r="FX423" s="26"/>
      <c r="FY423" s="26"/>
      <c r="FZ423" s="26"/>
      <c r="GA423" s="26"/>
      <c r="GB423" s="26"/>
      <c r="GC423" s="26"/>
      <c r="GD423" s="26"/>
      <c r="GE423" s="26"/>
      <c r="GF423" s="26"/>
      <c r="GG423" s="26"/>
      <c r="GH423" s="26"/>
      <c r="GI423" s="26"/>
      <c r="GJ423" s="26"/>
      <c r="GK423" s="26"/>
      <c r="GL423" s="26"/>
      <c r="GM423" s="26"/>
      <c r="GN423" s="26"/>
      <c r="GO423" s="26"/>
      <c r="GP423" s="26"/>
      <c r="GQ423" s="26"/>
      <c r="GR423" s="26"/>
      <c r="GS423" s="26"/>
      <c r="GT423" s="26"/>
      <c r="GU423" s="26"/>
      <c r="GV423" s="26"/>
      <c r="GW423" s="26"/>
      <c r="GX423" s="26"/>
      <c r="GY423" s="26"/>
      <c r="GZ423" s="26"/>
      <c r="HA423" s="26"/>
      <c r="HB423" s="26"/>
      <c r="HC423" s="26"/>
      <c r="HD423" s="26"/>
      <c r="HE423" s="26"/>
      <c r="HF423" s="26"/>
      <c r="HG423" s="26"/>
      <c r="HH423" s="26"/>
    </row>
    <row r="424" spans="1:21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26"/>
      <c r="FB424" s="26"/>
      <c r="FC424" s="26"/>
      <c r="FD424" s="26"/>
      <c r="FE424" s="26"/>
      <c r="FF424" s="26"/>
      <c r="FG424" s="26"/>
      <c r="FH424" s="26"/>
      <c r="FI424" s="26"/>
      <c r="FJ424" s="26"/>
      <c r="FK424" s="26"/>
      <c r="FL424" s="26"/>
      <c r="FM424" s="26"/>
      <c r="FN424" s="26"/>
      <c r="FO424" s="26"/>
      <c r="FP424" s="26"/>
      <c r="FQ424" s="26"/>
      <c r="FR424" s="26"/>
      <c r="FS424" s="26"/>
      <c r="FT424" s="26"/>
      <c r="FU424" s="26"/>
      <c r="FV424" s="26"/>
      <c r="FW424" s="26"/>
      <c r="FX424" s="26"/>
      <c r="FY424" s="26"/>
      <c r="FZ424" s="26"/>
      <c r="GA424" s="26"/>
      <c r="GB424" s="26"/>
      <c r="GC424" s="26"/>
      <c r="GD424" s="26"/>
      <c r="GE424" s="26"/>
      <c r="GF424" s="26"/>
      <c r="GG424" s="26"/>
      <c r="GH424" s="26"/>
      <c r="GI424" s="26"/>
      <c r="GJ424" s="26"/>
      <c r="GK424" s="26"/>
      <c r="GL424" s="26"/>
      <c r="GM424" s="26"/>
      <c r="GN424" s="26"/>
      <c r="GO424" s="26"/>
      <c r="GP424" s="26"/>
      <c r="GQ424" s="26"/>
      <c r="GR424" s="26"/>
      <c r="GS424" s="26"/>
      <c r="GT424" s="26"/>
      <c r="GU424" s="26"/>
      <c r="GV424" s="26"/>
      <c r="GW424" s="26"/>
      <c r="GX424" s="26"/>
      <c r="GY424" s="26"/>
      <c r="GZ424" s="26"/>
      <c r="HA424" s="26"/>
      <c r="HB424" s="26"/>
      <c r="HC424" s="26"/>
      <c r="HD424" s="26"/>
      <c r="HE424" s="26"/>
      <c r="HF424" s="26"/>
      <c r="HG424" s="26"/>
      <c r="HH424" s="26"/>
    </row>
    <row r="425" spans="1:21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c r="CW425" s="26"/>
      <c r="CX425" s="26"/>
      <c r="CY425" s="26"/>
      <c r="CZ425" s="26"/>
      <c r="DA425" s="26"/>
      <c r="DB425" s="26"/>
      <c r="DC425" s="26"/>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26"/>
      <c r="FB425" s="26"/>
      <c r="FC425" s="26"/>
      <c r="FD425" s="26"/>
      <c r="FE425" s="26"/>
      <c r="FF425" s="26"/>
      <c r="FG425" s="26"/>
      <c r="FH425" s="26"/>
      <c r="FI425" s="26"/>
      <c r="FJ425" s="26"/>
      <c r="FK425" s="26"/>
      <c r="FL425" s="26"/>
      <c r="FM425" s="26"/>
      <c r="FN425" s="26"/>
      <c r="FO425" s="26"/>
      <c r="FP425" s="26"/>
      <c r="FQ425" s="26"/>
      <c r="FR425" s="26"/>
      <c r="FS425" s="26"/>
      <c r="FT425" s="26"/>
      <c r="FU425" s="26"/>
      <c r="FV425" s="26"/>
      <c r="FW425" s="26"/>
      <c r="FX425" s="26"/>
      <c r="FY425" s="26"/>
      <c r="FZ425" s="26"/>
      <c r="GA425" s="26"/>
      <c r="GB425" s="26"/>
      <c r="GC425" s="26"/>
      <c r="GD425" s="26"/>
      <c r="GE425" s="26"/>
      <c r="GF425" s="26"/>
      <c r="GG425" s="26"/>
      <c r="GH425" s="26"/>
      <c r="GI425" s="26"/>
      <c r="GJ425" s="26"/>
      <c r="GK425" s="26"/>
      <c r="GL425" s="26"/>
      <c r="GM425" s="26"/>
      <c r="GN425" s="26"/>
      <c r="GO425" s="26"/>
      <c r="GP425" s="26"/>
      <c r="GQ425" s="26"/>
      <c r="GR425" s="26"/>
      <c r="GS425" s="26"/>
      <c r="GT425" s="26"/>
      <c r="GU425" s="26"/>
      <c r="GV425" s="26"/>
      <c r="GW425" s="26"/>
      <c r="GX425" s="26"/>
      <c r="GY425" s="26"/>
      <c r="GZ425" s="26"/>
      <c r="HA425" s="26"/>
      <c r="HB425" s="26"/>
      <c r="HC425" s="26"/>
      <c r="HD425" s="26"/>
      <c r="HE425" s="26"/>
      <c r="HF425" s="26"/>
      <c r="HG425" s="26"/>
      <c r="HH425" s="26"/>
    </row>
    <row r="426" spans="1:21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26"/>
      <c r="FB426" s="26"/>
      <c r="FC426" s="26"/>
      <c r="FD426" s="26"/>
      <c r="FE426" s="26"/>
      <c r="FF426" s="26"/>
      <c r="FG426" s="26"/>
      <c r="FH426" s="26"/>
      <c r="FI426" s="26"/>
      <c r="FJ426" s="26"/>
      <c r="FK426" s="26"/>
      <c r="FL426" s="26"/>
      <c r="FM426" s="26"/>
      <c r="FN426" s="26"/>
      <c r="FO426" s="26"/>
      <c r="FP426" s="26"/>
      <c r="FQ426" s="26"/>
      <c r="FR426" s="26"/>
      <c r="FS426" s="26"/>
      <c r="FT426" s="26"/>
      <c r="FU426" s="26"/>
      <c r="FV426" s="26"/>
      <c r="FW426" s="26"/>
      <c r="FX426" s="26"/>
      <c r="FY426" s="26"/>
      <c r="FZ426" s="26"/>
      <c r="GA426" s="26"/>
      <c r="GB426" s="26"/>
      <c r="GC426" s="26"/>
      <c r="GD426" s="26"/>
      <c r="GE426" s="26"/>
      <c r="GF426" s="26"/>
      <c r="GG426" s="26"/>
      <c r="GH426" s="26"/>
      <c r="GI426" s="26"/>
      <c r="GJ426" s="26"/>
      <c r="GK426" s="26"/>
      <c r="GL426" s="26"/>
      <c r="GM426" s="26"/>
      <c r="GN426" s="26"/>
      <c r="GO426" s="26"/>
      <c r="GP426" s="26"/>
      <c r="GQ426" s="26"/>
      <c r="GR426" s="26"/>
      <c r="GS426" s="26"/>
      <c r="GT426" s="26"/>
      <c r="GU426" s="26"/>
      <c r="GV426" s="26"/>
      <c r="GW426" s="26"/>
      <c r="GX426" s="26"/>
      <c r="GY426" s="26"/>
      <c r="GZ426" s="26"/>
      <c r="HA426" s="26"/>
      <c r="HB426" s="26"/>
      <c r="HC426" s="26"/>
      <c r="HD426" s="26"/>
      <c r="HE426" s="26"/>
      <c r="HF426" s="26"/>
      <c r="HG426" s="26"/>
      <c r="HH426" s="26"/>
    </row>
    <row r="427" spans="1:21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26"/>
      <c r="FB427" s="26"/>
      <c r="FC427" s="26"/>
      <c r="FD427" s="26"/>
      <c r="FE427" s="26"/>
      <c r="FF427" s="26"/>
      <c r="FG427" s="26"/>
      <c r="FH427" s="26"/>
      <c r="FI427" s="26"/>
      <c r="FJ427" s="26"/>
      <c r="FK427" s="26"/>
      <c r="FL427" s="26"/>
      <c r="FM427" s="26"/>
      <c r="FN427" s="26"/>
      <c r="FO427" s="26"/>
      <c r="FP427" s="26"/>
      <c r="FQ427" s="26"/>
      <c r="FR427" s="26"/>
      <c r="FS427" s="26"/>
      <c r="FT427" s="26"/>
      <c r="FU427" s="26"/>
      <c r="FV427" s="26"/>
      <c r="FW427" s="26"/>
      <c r="FX427" s="26"/>
      <c r="FY427" s="26"/>
      <c r="FZ427" s="26"/>
      <c r="GA427" s="26"/>
      <c r="GB427" s="26"/>
      <c r="GC427" s="26"/>
      <c r="GD427" s="26"/>
      <c r="GE427" s="26"/>
      <c r="GF427" s="26"/>
      <c r="GG427" s="26"/>
      <c r="GH427" s="26"/>
      <c r="GI427" s="26"/>
      <c r="GJ427" s="26"/>
      <c r="GK427" s="26"/>
      <c r="GL427" s="26"/>
      <c r="GM427" s="26"/>
      <c r="GN427" s="26"/>
      <c r="GO427" s="26"/>
      <c r="GP427" s="26"/>
      <c r="GQ427" s="26"/>
      <c r="GR427" s="26"/>
      <c r="GS427" s="26"/>
      <c r="GT427" s="26"/>
      <c r="GU427" s="26"/>
      <c r="GV427" s="26"/>
      <c r="GW427" s="26"/>
      <c r="GX427" s="26"/>
      <c r="GY427" s="26"/>
      <c r="GZ427" s="26"/>
      <c r="HA427" s="26"/>
      <c r="HB427" s="26"/>
      <c r="HC427" s="26"/>
      <c r="HD427" s="26"/>
      <c r="HE427" s="26"/>
      <c r="HF427" s="26"/>
      <c r="HG427" s="26"/>
      <c r="HH427" s="26"/>
    </row>
    <row r="428" spans="1:21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26"/>
      <c r="FB428" s="26"/>
      <c r="FC428" s="26"/>
      <c r="FD428" s="26"/>
      <c r="FE428" s="26"/>
      <c r="FF428" s="26"/>
      <c r="FG428" s="26"/>
      <c r="FH428" s="26"/>
      <c r="FI428" s="26"/>
      <c r="FJ428" s="26"/>
      <c r="FK428" s="26"/>
      <c r="FL428" s="26"/>
      <c r="FM428" s="26"/>
      <c r="FN428" s="26"/>
      <c r="FO428" s="26"/>
      <c r="FP428" s="26"/>
      <c r="FQ428" s="26"/>
      <c r="FR428" s="26"/>
      <c r="FS428" s="26"/>
      <c r="FT428" s="26"/>
      <c r="FU428" s="26"/>
      <c r="FV428" s="26"/>
      <c r="FW428" s="26"/>
      <c r="FX428" s="26"/>
      <c r="FY428" s="26"/>
      <c r="FZ428" s="26"/>
      <c r="GA428" s="26"/>
      <c r="GB428" s="26"/>
      <c r="GC428" s="26"/>
      <c r="GD428" s="26"/>
      <c r="GE428" s="26"/>
      <c r="GF428" s="26"/>
      <c r="GG428" s="26"/>
      <c r="GH428" s="26"/>
      <c r="GI428" s="26"/>
      <c r="GJ428" s="26"/>
      <c r="GK428" s="26"/>
      <c r="GL428" s="26"/>
      <c r="GM428" s="26"/>
      <c r="GN428" s="26"/>
      <c r="GO428" s="26"/>
      <c r="GP428" s="26"/>
      <c r="GQ428" s="26"/>
      <c r="GR428" s="26"/>
      <c r="GS428" s="26"/>
      <c r="GT428" s="26"/>
      <c r="GU428" s="26"/>
      <c r="GV428" s="26"/>
      <c r="GW428" s="26"/>
      <c r="GX428" s="26"/>
      <c r="GY428" s="26"/>
      <c r="GZ428" s="26"/>
      <c r="HA428" s="26"/>
      <c r="HB428" s="26"/>
      <c r="HC428" s="26"/>
      <c r="HD428" s="26"/>
      <c r="HE428" s="26"/>
      <c r="HF428" s="26"/>
      <c r="HG428" s="26"/>
      <c r="HH428" s="26"/>
    </row>
    <row r="429" spans="1:21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c r="DA429" s="26"/>
      <c r="DB429" s="26"/>
      <c r="DC429" s="26"/>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26"/>
      <c r="FB429" s="26"/>
      <c r="FC429" s="26"/>
      <c r="FD429" s="26"/>
      <c r="FE429" s="26"/>
      <c r="FF429" s="26"/>
      <c r="FG429" s="26"/>
      <c r="FH429" s="26"/>
      <c r="FI429" s="26"/>
      <c r="FJ429" s="26"/>
      <c r="FK429" s="26"/>
      <c r="FL429" s="26"/>
      <c r="FM429" s="26"/>
      <c r="FN429" s="26"/>
      <c r="FO429" s="26"/>
      <c r="FP429" s="26"/>
      <c r="FQ429" s="26"/>
      <c r="FR429" s="26"/>
      <c r="FS429" s="26"/>
      <c r="FT429" s="26"/>
      <c r="FU429" s="26"/>
      <c r="FV429" s="26"/>
      <c r="FW429" s="26"/>
      <c r="FX429" s="26"/>
      <c r="FY429" s="26"/>
      <c r="FZ429" s="26"/>
      <c r="GA429" s="26"/>
      <c r="GB429" s="26"/>
      <c r="GC429" s="26"/>
      <c r="GD429" s="26"/>
      <c r="GE429" s="26"/>
      <c r="GF429" s="26"/>
      <c r="GG429" s="26"/>
      <c r="GH429" s="26"/>
      <c r="GI429" s="26"/>
      <c r="GJ429" s="26"/>
      <c r="GK429" s="26"/>
      <c r="GL429" s="26"/>
      <c r="GM429" s="26"/>
      <c r="GN429" s="26"/>
      <c r="GO429" s="26"/>
      <c r="GP429" s="26"/>
      <c r="GQ429" s="26"/>
      <c r="GR429" s="26"/>
      <c r="GS429" s="26"/>
      <c r="GT429" s="26"/>
      <c r="GU429" s="26"/>
      <c r="GV429" s="26"/>
      <c r="GW429" s="26"/>
      <c r="GX429" s="26"/>
      <c r="GY429" s="26"/>
      <c r="GZ429" s="26"/>
      <c r="HA429" s="26"/>
      <c r="HB429" s="26"/>
      <c r="HC429" s="26"/>
      <c r="HD429" s="26"/>
      <c r="HE429" s="26"/>
      <c r="HF429" s="26"/>
      <c r="HG429" s="26"/>
      <c r="HH429" s="26"/>
    </row>
    <row r="430" spans="1:21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c r="DA430" s="26"/>
      <c r="DB430" s="26"/>
      <c r="DC430" s="26"/>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26"/>
      <c r="FB430" s="26"/>
      <c r="FC430" s="26"/>
      <c r="FD430" s="26"/>
      <c r="FE430" s="26"/>
      <c r="FF430" s="26"/>
      <c r="FG430" s="26"/>
      <c r="FH430" s="26"/>
      <c r="FI430" s="26"/>
      <c r="FJ430" s="26"/>
      <c r="FK430" s="26"/>
      <c r="FL430" s="26"/>
      <c r="FM430" s="26"/>
      <c r="FN430" s="26"/>
      <c r="FO430" s="26"/>
      <c r="FP430" s="26"/>
      <c r="FQ430" s="26"/>
      <c r="FR430" s="26"/>
      <c r="FS430" s="26"/>
      <c r="FT430" s="26"/>
      <c r="FU430" s="26"/>
      <c r="FV430" s="26"/>
      <c r="FW430" s="26"/>
      <c r="FX430" s="26"/>
      <c r="FY430" s="26"/>
      <c r="FZ430" s="26"/>
      <c r="GA430" s="26"/>
      <c r="GB430" s="26"/>
      <c r="GC430" s="26"/>
      <c r="GD430" s="26"/>
      <c r="GE430" s="26"/>
      <c r="GF430" s="26"/>
      <c r="GG430" s="26"/>
      <c r="GH430" s="26"/>
      <c r="GI430" s="26"/>
      <c r="GJ430" s="26"/>
      <c r="GK430" s="26"/>
      <c r="GL430" s="26"/>
      <c r="GM430" s="26"/>
      <c r="GN430" s="26"/>
      <c r="GO430" s="26"/>
      <c r="GP430" s="26"/>
      <c r="GQ430" s="26"/>
      <c r="GR430" s="26"/>
      <c r="GS430" s="26"/>
      <c r="GT430" s="26"/>
      <c r="GU430" s="26"/>
      <c r="GV430" s="26"/>
      <c r="GW430" s="26"/>
      <c r="GX430" s="26"/>
      <c r="GY430" s="26"/>
      <c r="GZ430" s="26"/>
      <c r="HA430" s="26"/>
      <c r="HB430" s="26"/>
      <c r="HC430" s="26"/>
      <c r="HD430" s="26"/>
      <c r="HE430" s="26"/>
      <c r="HF430" s="26"/>
      <c r="HG430" s="26"/>
      <c r="HH430" s="26"/>
    </row>
    <row r="431" spans="1:21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c r="DA431" s="26"/>
      <c r="DB431" s="26"/>
      <c r="DC431" s="26"/>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26"/>
      <c r="FB431" s="26"/>
      <c r="FC431" s="26"/>
      <c r="FD431" s="26"/>
      <c r="FE431" s="26"/>
      <c r="FF431" s="26"/>
      <c r="FG431" s="26"/>
      <c r="FH431" s="26"/>
      <c r="FI431" s="26"/>
      <c r="FJ431" s="26"/>
      <c r="FK431" s="26"/>
      <c r="FL431" s="26"/>
      <c r="FM431" s="26"/>
      <c r="FN431" s="26"/>
      <c r="FO431" s="26"/>
      <c r="FP431" s="26"/>
      <c r="FQ431" s="26"/>
      <c r="FR431" s="26"/>
      <c r="FS431" s="26"/>
      <c r="FT431" s="26"/>
      <c r="FU431" s="26"/>
      <c r="FV431" s="26"/>
      <c r="FW431" s="26"/>
      <c r="FX431" s="26"/>
      <c r="FY431" s="26"/>
      <c r="FZ431" s="26"/>
      <c r="GA431" s="26"/>
      <c r="GB431" s="26"/>
      <c r="GC431" s="26"/>
      <c r="GD431" s="26"/>
      <c r="GE431" s="26"/>
      <c r="GF431" s="26"/>
      <c r="GG431" s="26"/>
      <c r="GH431" s="26"/>
      <c r="GI431" s="26"/>
      <c r="GJ431" s="26"/>
      <c r="GK431" s="26"/>
      <c r="GL431" s="26"/>
      <c r="GM431" s="26"/>
      <c r="GN431" s="26"/>
      <c r="GO431" s="26"/>
      <c r="GP431" s="26"/>
      <c r="GQ431" s="26"/>
      <c r="GR431" s="26"/>
      <c r="GS431" s="26"/>
      <c r="GT431" s="26"/>
      <c r="GU431" s="26"/>
      <c r="GV431" s="26"/>
      <c r="GW431" s="26"/>
      <c r="GX431" s="26"/>
      <c r="GY431" s="26"/>
      <c r="GZ431" s="26"/>
      <c r="HA431" s="26"/>
      <c r="HB431" s="26"/>
      <c r="HC431" s="26"/>
      <c r="HD431" s="26"/>
      <c r="HE431" s="26"/>
      <c r="HF431" s="26"/>
      <c r="HG431" s="26"/>
      <c r="HH431" s="26"/>
    </row>
    <row r="432" spans="1:21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26"/>
      <c r="FB432" s="26"/>
      <c r="FC432" s="26"/>
      <c r="FD432" s="26"/>
      <c r="FE432" s="26"/>
      <c r="FF432" s="26"/>
      <c r="FG432" s="26"/>
      <c r="FH432" s="26"/>
      <c r="FI432" s="26"/>
      <c r="FJ432" s="26"/>
      <c r="FK432" s="26"/>
      <c r="FL432" s="26"/>
      <c r="FM432" s="26"/>
      <c r="FN432" s="26"/>
      <c r="FO432" s="26"/>
      <c r="FP432" s="26"/>
      <c r="FQ432" s="26"/>
      <c r="FR432" s="26"/>
      <c r="FS432" s="26"/>
      <c r="FT432" s="26"/>
      <c r="FU432" s="26"/>
      <c r="FV432" s="26"/>
      <c r="FW432" s="26"/>
      <c r="FX432" s="26"/>
      <c r="FY432" s="26"/>
      <c r="FZ432" s="26"/>
      <c r="GA432" s="26"/>
      <c r="GB432" s="26"/>
      <c r="GC432" s="26"/>
      <c r="GD432" s="26"/>
      <c r="GE432" s="26"/>
      <c r="GF432" s="26"/>
      <c r="GG432" s="26"/>
      <c r="GH432" s="26"/>
      <c r="GI432" s="26"/>
      <c r="GJ432" s="26"/>
      <c r="GK432" s="26"/>
      <c r="GL432" s="26"/>
      <c r="GM432" s="26"/>
      <c r="GN432" s="26"/>
      <c r="GO432" s="26"/>
      <c r="GP432" s="26"/>
      <c r="GQ432" s="26"/>
      <c r="GR432" s="26"/>
      <c r="GS432" s="26"/>
      <c r="GT432" s="26"/>
      <c r="GU432" s="26"/>
      <c r="GV432" s="26"/>
      <c r="GW432" s="26"/>
      <c r="GX432" s="26"/>
      <c r="GY432" s="26"/>
      <c r="GZ432" s="26"/>
      <c r="HA432" s="26"/>
      <c r="HB432" s="26"/>
      <c r="HC432" s="26"/>
      <c r="HD432" s="26"/>
      <c r="HE432" s="26"/>
      <c r="HF432" s="26"/>
      <c r="HG432" s="26"/>
      <c r="HH432" s="26"/>
    </row>
    <row r="433" spans="1:21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26"/>
      <c r="FB433" s="26"/>
      <c r="FC433" s="26"/>
      <c r="FD433" s="26"/>
      <c r="FE433" s="26"/>
      <c r="FF433" s="26"/>
      <c r="FG433" s="26"/>
      <c r="FH433" s="26"/>
      <c r="FI433" s="26"/>
      <c r="FJ433" s="26"/>
      <c r="FK433" s="26"/>
      <c r="FL433" s="26"/>
      <c r="FM433" s="26"/>
      <c r="FN433" s="26"/>
      <c r="FO433" s="26"/>
      <c r="FP433" s="26"/>
      <c r="FQ433" s="26"/>
      <c r="FR433" s="26"/>
      <c r="FS433" s="26"/>
      <c r="FT433" s="26"/>
      <c r="FU433" s="26"/>
      <c r="FV433" s="26"/>
      <c r="FW433" s="26"/>
      <c r="FX433" s="26"/>
      <c r="FY433" s="26"/>
      <c r="FZ433" s="26"/>
      <c r="GA433" s="26"/>
      <c r="GB433" s="26"/>
      <c r="GC433" s="26"/>
      <c r="GD433" s="26"/>
      <c r="GE433" s="26"/>
      <c r="GF433" s="26"/>
      <c r="GG433" s="26"/>
      <c r="GH433" s="26"/>
      <c r="GI433" s="26"/>
      <c r="GJ433" s="26"/>
      <c r="GK433" s="26"/>
      <c r="GL433" s="26"/>
      <c r="GM433" s="26"/>
      <c r="GN433" s="26"/>
      <c r="GO433" s="26"/>
      <c r="GP433" s="26"/>
      <c r="GQ433" s="26"/>
      <c r="GR433" s="26"/>
      <c r="GS433" s="26"/>
      <c r="GT433" s="26"/>
      <c r="GU433" s="26"/>
      <c r="GV433" s="26"/>
      <c r="GW433" s="26"/>
      <c r="GX433" s="26"/>
      <c r="GY433" s="26"/>
      <c r="GZ433" s="26"/>
      <c r="HA433" s="26"/>
      <c r="HB433" s="26"/>
      <c r="HC433" s="26"/>
      <c r="HD433" s="26"/>
      <c r="HE433" s="26"/>
      <c r="HF433" s="26"/>
      <c r="HG433" s="26"/>
      <c r="HH433" s="26"/>
    </row>
    <row r="434" spans="1:21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26"/>
      <c r="FB434" s="26"/>
      <c r="FC434" s="26"/>
      <c r="FD434" s="26"/>
      <c r="FE434" s="26"/>
      <c r="FF434" s="26"/>
      <c r="FG434" s="26"/>
      <c r="FH434" s="26"/>
      <c r="FI434" s="26"/>
      <c r="FJ434" s="26"/>
      <c r="FK434" s="26"/>
      <c r="FL434" s="26"/>
      <c r="FM434" s="26"/>
      <c r="FN434" s="26"/>
      <c r="FO434" s="26"/>
      <c r="FP434" s="26"/>
      <c r="FQ434" s="26"/>
      <c r="FR434" s="26"/>
      <c r="FS434" s="26"/>
      <c r="FT434" s="26"/>
      <c r="FU434" s="26"/>
      <c r="FV434" s="26"/>
      <c r="FW434" s="26"/>
      <c r="FX434" s="26"/>
      <c r="FY434" s="26"/>
      <c r="FZ434" s="26"/>
      <c r="GA434" s="26"/>
      <c r="GB434" s="26"/>
      <c r="GC434" s="26"/>
      <c r="GD434" s="26"/>
      <c r="GE434" s="26"/>
      <c r="GF434" s="26"/>
      <c r="GG434" s="26"/>
      <c r="GH434" s="26"/>
      <c r="GI434" s="26"/>
      <c r="GJ434" s="26"/>
      <c r="GK434" s="26"/>
      <c r="GL434" s="26"/>
      <c r="GM434" s="26"/>
      <c r="GN434" s="26"/>
      <c r="GO434" s="26"/>
      <c r="GP434" s="26"/>
      <c r="GQ434" s="26"/>
      <c r="GR434" s="26"/>
      <c r="GS434" s="26"/>
      <c r="GT434" s="26"/>
      <c r="GU434" s="26"/>
      <c r="GV434" s="26"/>
      <c r="GW434" s="26"/>
      <c r="GX434" s="26"/>
      <c r="GY434" s="26"/>
      <c r="GZ434" s="26"/>
      <c r="HA434" s="26"/>
      <c r="HB434" s="26"/>
      <c r="HC434" s="26"/>
      <c r="HD434" s="26"/>
      <c r="HE434" s="26"/>
      <c r="HF434" s="26"/>
      <c r="HG434" s="26"/>
      <c r="HH434" s="26"/>
    </row>
    <row r="435" spans="1:21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c r="DA435" s="26"/>
      <c r="DB435" s="26"/>
      <c r="DC435" s="26"/>
      <c r="DD435" s="26"/>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26"/>
      <c r="EA435" s="26"/>
      <c r="EB435" s="26"/>
      <c r="EC435" s="26"/>
      <c r="ED435" s="26"/>
      <c r="EE435" s="26"/>
      <c r="EF435" s="26"/>
      <c r="EG435" s="26"/>
      <c r="EH435" s="26"/>
      <c r="EI435" s="26"/>
      <c r="EJ435" s="26"/>
      <c r="EK435" s="26"/>
      <c r="EL435" s="26"/>
      <c r="EM435" s="26"/>
      <c r="EN435" s="26"/>
      <c r="EO435" s="26"/>
      <c r="EP435" s="26"/>
      <c r="EQ435" s="26"/>
      <c r="ER435" s="26"/>
      <c r="ES435" s="26"/>
      <c r="ET435" s="26"/>
      <c r="EU435" s="26"/>
      <c r="EV435" s="26"/>
      <c r="EW435" s="26"/>
      <c r="EX435" s="26"/>
      <c r="EY435" s="26"/>
      <c r="EZ435" s="26"/>
      <c r="FA435" s="26"/>
      <c r="FB435" s="26"/>
      <c r="FC435" s="26"/>
      <c r="FD435" s="26"/>
      <c r="FE435" s="26"/>
      <c r="FF435" s="26"/>
      <c r="FG435" s="26"/>
      <c r="FH435" s="26"/>
      <c r="FI435" s="26"/>
      <c r="FJ435" s="26"/>
      <c r="FK435" s="26"/>
      <c r="FL435" s="26"/>
      <c r="FM435" s="26"/>
      <c r="FN435" s="26"/>
      <c r="FO435" s="26"/>
      <c r="FP435" s="26"/>
      <c r="FQ435" s="26"/>
      <c r="FR435" s="26"/>
      <c r="FS435" s="26"/>
      <c r="FT435" s="26"/>
      <c r="FU435" s="26"/>
      <c r="FV435" s="26"/>
      <c r="FW435" s="26"/>
      <c r="FX435" s="26"/>
      <c r="FY435" s="26"/>
      <c r="FZ435" s="26"/>
      <c r="GA435" s="26"/>
      <c r="GB435" s="26"/>
      <c r="GC435" s="26"/>
      <c r="GD435" s="26"/>
      <c r="GE435" s="26"/>
      <c r="GF435" s="26"/>
      <c r="GG435" s="26"/>
      <c r="GH435" s="26"/>
      <c r="GI435" s="26"/>
      <c r="GJ435" s="26"/>
      <c r="GK435" s="26"/>
      <c r="GL435" s="26"/>
      <c r="GM435" s="26"/>
      <c r="GN435" s="26"/>
      <c r="GO435" s="26"/>
      <c r="GP435" s="26"/>
      <c r="GQ435" s="26"/>
      <c r="GR435" s="26"/>
      <c r="GS435" s="26"/>
      <c r="GT435" s="26"/>
      <c r="GU435" s="26"/>
      <c r="GV435" s="26"/>
      <c r="GW435" s="26"/>
      <c r="GX435" s="26"/>
      <c r="GY435" s="26"/>
      <c r="GZ435" s="26"/>
      <c r="HA435" s="26"/>
      <c r="HB435" s="26"/>
      <c r="HC435" s="26"/>
      <c r="HD435" s="26"/>
      <c r="HE435" s="26"/>
      <c r="HF435" s="26"/>
      <c r="HG435" s="26"/>
      <c r="HH435" s="26"/>
    </row>
    <row r="436" spans="1:21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c r="DA436" s="26"/>
      <c r="DB436" s="26"/>
      <c r="DC436" s="26"/>
      <c r="DD436" s="26"/>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26"/>
      <c r="EA436" s="26"/>
      <c r="EB436" s="26"/>
      <c r="EC436" s="26"/>
      <c r="ED436" s="26"/>
      <c r="EE436" s="26"/>
      <c r="EF436" s="26"/>
      <c r="EG436" s="26"/>
      <c r="EH436" s="26"/>
      <c r="EI436" s="26"/>
      <c r="EJ436" s="26"/>
      <c r="EK436" s="26"/>
      <c r="EL436" s="26"/>
      <c r="EM436" s="26"/>
      <c r="EN436" s="26"/>
      <c r="EO436" s="26"/>
      <c r="EP436" s="26"/>
      <c r="EQ436" s="26"/>
      <c r="ER436" s="26"/>
      <c r="ES436" s="26"/>
      <c r="ET436" s="26"/>
      <c r="EU436" s="26"/>
      <c r="EV436" s="26"/>
      <c r="EW436" s="26"/>
      <c r="EX436" s="26"/>
      <c r="EY436" s="26"/>
      <c r="EZ436" s="26"/>
      <c r="FA436" s="26"/>
      <c r="FB436" s="26"/>
      <c r="FC436" s="26"/>
      <c r="FD436" s="26"/>
      <c r="FE436" s="26"/>
      <c r="FF436" s="26"/>
      <c r="FG436" s="26"/>
      <c r="FH436" s="26"/>
      <c r="FI436" s="26"/>
      <c r="FJ436" s="26"/>
      <c r="FK436" s="26"/>
      <c r="FL436" s="26"/>
      <c r="FM436" s="26"/>
      <c r="FN436" s="26"/>
      <c r="FO436" s="26"/>
      <c r="FP436" s="26"/>
      <c r="FQ436" s="26"/>
      <c r="FR436" s="26"/>
      <c r="FS436" s="26"/>
      <c r="FT436" s="26"/>
      <c r="FU436" s="26"/>
      <c r="FV436" s="26"/>
      <c r="FW436" s="26"/>
      <c r="FX436" s="26"/>
      <c r="FY436" s="26"/>
      <c r="FZ436" s="26"/>
      <c r="GA436" s="26"/>
      <c r="GB436" s="26"/>
      <c r="GC436" s="26"/>
      <c r="GD436" s="26"/>
      <c r="GE436" s="26"/>
      <c r="GF436" s="26"/>
      <c r="GG436" s="26"/>
      <c r="GH436" s="26"/>
      <c r="GI436" s="26"/>
      <c r="GJ436" s="26"/>
      <c r="GK436" s="26"/>
      <c r="GL436" s="26"/>
      <c r="GM436" s="26"/>
      <c r="GN436" s="26"/>
      <c r="GO436" s="26"/>
      <c r="GP436" s="26"/>
      <c r="GQ436" s="26"/>
      <c r="GR436" s="26"/>
      <c r="GS436" s="26"/>
      <c r="GT436" s="26"/>
      <c r="GU436" s="26"/>
      <c r="GV436" s="26"/>
      <c r="GW436" s="26"/>
      <c r="GX436" s="26"/>
      <c r="GY436" s="26"/>
      <c r="GZ436" s="26"/>
      <c r="HA436" s="26"/>
      <c r="HB436" s="26"/>
      <c r="HC436" s="26"/>
      <c r="HD436" s="26"/>
      <c r="HE436" s="26"/>
      <c r="HF436" s="26"/>
      <c r="HG436" s="26"/>
      <c r="HH436" s="26"/>
    </row>
    <row r="437" spans="1:21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c r="CW437" s="26"/>
      <c r="CX437" s="26"/>
      <c r="CY437" s="26"/>
      <c r="CZ437" s="26"/>
      <c r="DA437" s="26"/>
      <c r="DB437" s="26"/>
      <c r="DC437" s="26"/>
      <c r="DD437" s="26"/>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26"/>
      <c r="EA437" s="26"/>
      <c r="EB437" s="26"/>
      <c r="EC437" s="26"/>
      <c r="ED437" s="26"/>
      <c r="EE437" s="26"/>
      <c r="EF437" s="26"/>
      <c r="EG437" s="26"/>
      <c r="EH437" s="26"/>
      <c r="EI437" s="26"/>
      <c r="EJ437" s="26"/>
      <c r="EK437" s="26"/>
      <c r="EL437" s="26"/>
      <c r="EM437" s="26"/>
      <c r="EN437" s="26"/>
      <c r="EO437" s="26"/>
      <c r="EP437" s="26"/>
      <c r="EQ437" s="26"/>
      <c r="ER437" s="26"/>
      <c r="ES437" s="26"/>
      <c r="ET437" s="26"/>
      <c r="EU437" s="26"/>
      <c r="EV437" s="26"/>
      <c r="EW437" s="26"/>
      <c r="EX437" s="26"/>
      <c r="EY437" s="26"/>
      <c r="EZ437" s="26"/>
      <c r="FA437" s="26"/>
      <c r="FB437" s="26"/>
      <c r="FC437" s="26"/>
      <c r="FD437" s="26"/>
      <c r="FE437" s="26"/>
      <c r="FF437" s="26"/>
      <c r="FG437" s="26"/>
      <c r="FH437" s="26"/>
      <c r="FI437" s="26"/>
      <c r="FJ437" s="26"/>
      <c r="FK437" s="26"/>
      <c r="FL437" s="26"/>
      <c r="FM437" s="26"/>
      <c r="FN437" s="26"/>
      <c r="FO437" s="26"/>
      <c r="FP437" s="26"/>
      <c r="FQ437" s="26"/>
      <c r="FR437" s="26"/>
      <c r="FS437" s="26"/>
      <c r="FT437" s="26"/>
      <c r="FU437" s="26"/>
      <c r="FV437" s="26"/>
      <c r="FW437" s="26"/>
      <c r="FX437" s="26"/>
      <c r="FY437" s="26"/>
      <c r="FZ437" s="26"/>
      <c r="GA437" s="26"/>
      <c r="GB437" s="26"/>
      <c r="GC437" s="26"/>
      <c r="GD437" s="26"/>
      <c r="GE437" s="26"/>
      <c r="GF437" s="26"/>
      <c r="GG437" s="26"/>
      <c r="GH437" s="26"/>
      <c r="GI437" s="26"/>
      <c r="GJ437" s="26"/>
      <c r="GK437" s="26"/>
      <c r="GL437" s="26"/>
      <c r="GM437" s="26"/>
      <c r="GN437" s="26"/>
      <c r="GO437" s="26"/>
      <c r="GP437" s="26"/>
      <c r="GQ437" s="26"/>
      <c r="GR437" s="26"/>
      <c r="GS437" s="26"/>
      <c r="GT437" s="26"/>
      <c r="GU437" s="26"/>
      <c r="GV437" s="26"/>
      <c r="GW437" s="26"/>
      <c r="GX437" s="26"/>
      <c r="GY437" s="26"/>
      <c r="GZ437" s="26"/>
      <c r="HA437" s="26"/>
      <c r="HB437" s="26"/>
      <c r="HC437" s="26"/>
      <c r="HD437" s="26"/>
      <c r="HE437" s="26"/>
      <c r="HF437" s="26"/>
      <c r="HG437" s="26"/>
      <c r="HH437" s="26"/>
    </row>
    <row r="438" spans="1:21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c r="DA438" s="26"/>
      <c r="DB438" s="26"/>
      <c r="DC438" s="26"/>
      <c r="DD438" s="26"/>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26"/>
      <c r="EA438" s="26"/>
      <c r="EB438" s="26"/>
      <c r="EC438" s="26"/>
      <c r="ED438" s="26"/>
      <c r="EE438" s="26"/>
      <c r="EF438" s="26"/>
      <c r="EG438" s="26"/>
      <c r="EH438" s="26"/>
      <c r="EI438" s="26"/>
      <c r="EJ438" s="26"/>
      <c r="EK438" s="26"/>
      <c r="EL438" s="26"/>
      <c r="EM438" s="26"/>
      <c r="EN438" s="26"/>
      <c r="EO438" s="26"/>
      <c r="EP438" s="26"/>
      <c r="EQ438" s="26"/>
      <c r="ER438" s="26"/>
      <c r="ES438" s="26"/>
      <c r="ET438" s="26"/>
      <c r="EU438" s="26"/>
      <c r="EV438" s="26"/>
      <c r="EW438" s="26"/>
      <c r="EX438" s="26"/>
      <c r="EY438" s="26"/>
      <c r="EZ438" s="26"/>
      <c r="FA438" s="26"/>
      <c r="FB438" s="26"/>
      <c r="FC438" s="26"/>
      <c r="FD438" s="26"/>
      <c r="FE438" s="26"/>
      <c r="FF438" s="26"/>
      <c r="FG438" s="26"/>
      <c r="FH438" s="26"/>
      <c r="FI438" s="26"/>
      <c r="FJ438" s="26"/>
      <c r="FK438" s="26"/>
      <c r="FL438" s="26"/>
      <c r="FM438" s="26"/>
      <c r="FN438" s="26"/>
      <c r="FO438" s="26"/>
      <c r="FP438" s="26"/>
      <c r="FQ438" s="26"/>
      <c r="FR438" s="26"/>
      <c r="FS438" s="26"/>
      <c r="FT438" s="26"/>
      <c r="FU438" s="26"/>
      <c r="FV438" s="26"/>
      <c r="FW438" s="26"/>
      <c r="FX438" s="26"/>
      <c r="FY438" s="26"/>
      <c r="FZ438" s="26"/>
      <c r="GA438" s="26"/>
      <c r="GB438" s="26"/>
      <c r="GC438" s="26"/>
      <c r="GD438" s="26"/>
      <c r="GE438" s="26"/>
      <c r="GF438" s="26"/>
      <c r="GG438" s="26"/>
      <c r="GH438" s="26"/>
      <c r="GI438" s="26"/>
      <c r="GJ438" s="26"/>
      <c r="GK438" s="26"/>
      <c r="GL438" s="26"/>
      <c r="GM438" s="26"/>
      <c r="GN438" s="26"/>
      <c r="GO438" s="26"/>
      <c r="GP438" s="26"/>
      <c r="GQ438" s="26"/>
      <c r="GR438" s="26"/>
      <c r="GS438" s="26"/>
      <c r="GT438" s="26"/>
      <c r="GU438" s="26"/>
      <c r="GV438" s="26"/>
      <c r="GW438" s="26"/>
      <c r="GX438" s="26"/>
      <c r="GY438" s="26"/>
      <c r="GZ438" s="26"/>
      <c r="HA438" s="26"/>
      <c r="HB438" s="26"/>
      <c r="HC438" s="26"/>
      <c r="HD438" s="26"/>
      <c r="HE438" s="26"/>
      <c r="HF438" s="26"/>
      <c r="HG438" s="26"/>
      <c r="HH438" s="26"/>
    </row>
    <row r="439" spans="1:21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c r="CW439" s="26"/>
      <c r="CX439" s="26"/>
      <c r="CY439" s="26"/>
      <c r="CZ439" s="26"/>
      <c r="DA439" s="26"/>
      <c r="DB439" s="26"/>
      <c r="DC439" s="26"/>
      <c r="DD439" s="26"/>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26"/>
      <c r="EA439" s="26"/>
      <c r="EB439" s="26"/>
      <c r="EC439" s="26"/>
      <c r="ED439" s="26"/>
      <c r="EE439" s="26"/>
      <c r="EF439" s="26"/>
      <c r="EG439" s="26"/>
      <c r="EH439" s="26"/>
      <c r="EI439" s="26"/>
      <c r="EJ439" s="26"/>
      <c r="EK439" s="26"/>
      <c r="EL439" s="26"/>
      <c r="EM439" s="26"/>
      <c r="EN439" s="26"/>
      <c r="EO439" s="26"/>
      <c r="EP439" s="26"/>
      <c r="EQ439" s="26"/>
      <c r="ER439" s="26"/>
      <c r="ES439" s="26"/>
      <c r="ET439" s="26"/>
      <c r="EU439" s="26"/>
      <c r="EV439" s="26"/>
      <c r="EW439" s="26"/>
      <c r="EX439" s="26"/>
      <c r="EY439" s="26"/>
      <c r="EZ439" s="26"/>
      <c r="FA439" s="26"/>
      <c r="FB439" s="26"/>
      <c r="FC439" s="26"/>
      <c r="FD439" s="26"/>
      <c r="FE439" s="26"/>
      <c r="FF439" s="26"/>
      <c r="FG439" s="26"/>
      <c r="FH439" s="26"/>
      <c r="FI439" s="26"/>
      <c r="FJ439" s="26"/>
      <c r="FK439" s="26"/>
      <c r="FL439" s="26"/>
      <c r="FM439" s="26"/>
      <c r="FN439" s="26"/>
      <c r="FO439" s="26"/>
      <c r="FP439" s="26"/>
      <c r="FQ439" s="26"/>
      <c r="FR439" s="26"/>
      <c r="FS439" s="26"/>
      <c r="FT439" s="26"/>
      <c r="FU439" s="26"/>
      <c r="FV439" s="26"/>
      <c r="FW439" s="26"/>
      <c r="FX439" s="26"/>
      <c r="FY439" s="26"/>
      <c r="FZ439" s="26"/>
      <c r="GA439" s="26"/>
      <c r="GB439" s="26"/>
      <c r="GC439" s="26"/>
      <c r="GD439" s="26"/>
      <c r="GE439" s="26"/>
      <c r="GF439" s="26"/>
      <c r="GG439" s="26"/>
      <c r="GH439" s="26"/>
      <c r="GI439" s="26"/>
      <c r="GJ439" s="26"/>
      <c r="GK439" s="26"/>
      <c r="GL439" s="26"/>
      <c r="GM439" s="26"/>
      <c r="GN439" s="26"/>
      <c r="GO439" s="26"/>
      <c r="GP439" s="26"/>
      <c r="GQ439" s="26"/>
      <c r="GR439" s="26"/>
      <c r="GS439" s="26"/>
      <c r="GT439" s="26"/>
      <c r="GU439" s="26"/>
      <c r="GV439" s="26"/>
      <c r="GW439" s="26"/>
      <c r="GX439" s="26"/>
      <c r="GY439" s="26"/>
      <c r="GZ439" s="26"/>
      <c r="HA439" s="26"/>
      <c r="HB439" s="26"/>
      <c r="HC439" s="26"/>
      <c r="HD439" s="26"/>
      <c r="HE439" s="26"/>
      <c r="HF439" s="26"/>
      <c r="HG439" s="26"/>
      <c r="HH439" s="26"/>
    </row>
    <row r="440" spans="1:21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c r="CW440" s="26"/>
      <c r="CX440" s="26"/>
      <c r="CY440" s="26"/>
      <c r="CZ440" s="26"/>
      <c r="DA440" s="26"/>
      <c r="DB440" s="26"/>
      <c r="DC440" s="26"/>
      <c r="DD440" s="26"/>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26"/>
      <c r="EA440" s="26"/>
      <c r="EB440" s="26"/>
      <c r="EC440" s="26"/>
      <c r="ED440" s="26"/>
      <c r="EE440" s="26"/>
      <c r="EF440" s="26"/>
      <c r="EG440" s="26"/>
      <c r="EH440" s="26"/>
      <c r="EI440" s="26"/>
      <c r="EJ440" s="26"/>
      <c r="EK440" s="26"/>
      <c r="EL440" s="26"/>
      <c r="EM440" s="26"/>
      <c r="EN440" s="26"/>
      <c r="EO440" s="26"/>
      <c r="EP440" s="26"/>
      <c r="EQ440" s="26"/>
      <c r="ER440" s="26"/>
      <c r="ES440" s="26"/>
      <c r="ET440" s="26"/>
      <c r="EU440" s="26"/>
      <c r="EV440" s="26"/>
      <c r="EW440" s="26"/>
      <c r="EX440" s="26"/>
      <c r="EY440" s="26"/>
      <c r="EZ440" s="26"/>
      <c r="FA440" s="26"/>
      <c r="FB440" s="26"/>
      <c r="FC440" s="26"/>
      <c r="FD440" s="26"/>
      <c r="FE440" s="26"/>
      <c r="FF440" s="26"/>
      <c r="FG440" s="26"/>
      <c r="FH440" s="26"/>
      <c r="FI440" s="26"/>
      <c r="FJ440" s="26"/>
      <c r="FK440" s="26"/>
      <c r="FL440" s="26"/>
      <c r="FM440" s="26"/>
      <c r="FN440" s="26"/>
      <c r="FO440" s="26"/>
      <c r="FP440" s="26"/>
      <c r="FQ440" s="26"/>
      <c r="FR440" s="26"/>
      <c r="FS440" s="26"/>
      <c r="FT440" s="26"/>
      <c r="FU440" s="26"/>
      <c r="FV440" s="26"/>
      <c r="FW440" s="26"/>
      <c r="FX440" s="26"/>
      <c r="FY440" s="26"/>
      <c r="FZ440" s="26"/>
      <c r="GA440" s="26"/>
      <c r="GB440" s="26"/>
      <c r="GC440" s="26"/>
      <c r="GD440" s="26"/>
      <c r="GE440" s="26"/>
      <c r="GF440" s="26"/>
      <c r="GG440" s="26"/>
      <c r="GH440" s="26"/>
      <c r="GI440" s="26"/>
      <c r="GJ440" s="26"/>
      <c r="GK440" s="26"/>
      <c r="GL440" s="26"/>
      <c r="GM440" s="26"/>
      <c r="GN440" s="26"/>
      <c r="GO440" s="26"/>
      <c r="GP440" s="26"/>
      <c r="GQ440" s="26"/>
      <c r="GR440" s="26"/>
      <c r="GS440" s="26"/>
      <c r="GT440" s="26"/>
      <c r="GU440" s="26"/>
      <c r="GV440" s="26"/>
      <c r="GW440" s="26"/>
      <c r="GX440" s="26"/>
      <c r="GY440" s="26"/>
      <c r="GZ440" s="26"/>
      <c r="HA440" s="26"/>
      <c r="HB440" s="26"/>
      <c r="HC440" s="26"/>
      <c r="HD440" s="26"/>
      <c r="HE440" s="26"/>
      <c r="HF440" s="26"/>
      <c r="HG440" s="26"/>
      <c r="HH440" s="26"/>
    </row>
    <row r="441" spans="1:21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c r="CW441" s="26"/>
      <c r="CX441" s="26"/>
      <c r="CY441" s="26"/>
      <c r="CZ441" s="26"/>
      <c r="DA441" s="26"/>
      <c r="DB441" s="26"/>
      <c r="DC441" s="26"/>
      <c r="DD441" s="26"/>
      <c r="DE441" s="26"/>
      <c r="DF441" s="26"/>
      <c r="DG441" s="26"/>
      <c r="DH441" s="26"/>
      <c r="DI441" s="26"/>
      <c r="DJ441" s="26"/>
      <c r="DK441" s="26"/>
      <c r="DL441" s="26"/>
      <c r="DM441" s="26"/>
      <c r="DN441" s="26"/>
      <c r="DO441" s="26"/>
      <c r="DP441" s="26"/>
      <c r="DQ441" s="26"/>
      <c r="DR441" s="26"/>
      <c r="DS441" s="26"/>
      <c r="DT441" s="26"/>
      <c r="DU441" s="26"/>
      <c r="DV441" s="26"/>
      <c r="DW441" s="26"/>
      <c r="DX441" s="26"/>
      <c r="DY441" s="26"/>
      <c r="DZ441" s="26"/>
      <c r="EA441" s="26"/>
      <c r="EB441" s="26"/>
      <c r="EC441" s="26"/>
      <c r="ED441" s="26"/>
      <c r="EE441" s="26"/>
      <c r="EF441" s="26"/>
      <c r="EG441" s="26"/>
      <c r="EH441" s="26"/>
      <c r="EI441" s="26"/>
      <c r="EJ441" s="26"/>
      <c r="EK441" s="26"/>
      <c r="EL441" s="26"/>
      <c r="EM441" s="26"/>
      <c r="EN441" s="26"/>
      <c r="EO441" s="26"/>
      <c r="EP441" s="26"/>
      <c r="EQ441" s="26"/>
      <c r="ER441" s="26"/>
      <c r="ES441" s="26"/>
      <c r="ET441" s="26"/>
      <c r="EU441" s="26"/>
      <c r="EV441" s="26"/>
      <c r="EW441" s="26"/>
      <c r="EX441" s="26"/>
      <c r="EY441" s="26"/>
      <c r="EZ441" s="26"/>
      <c r="FA441" s="26"/>
      <c r="FB441" s="26"/>
      <c r="FC441" s="26"/>
      <c r="FD441" s="26"/>
      <c r="FE441" s="26"/>
      <c r="FF441" s="26"/>
      <c r="FG441" s="26"/>
      <c r="FH441" s="26"/>
      <c r="FI441" s="26"/>
      <c r="FJ441" s="26"/>
      <c r="FK441" s="26"/>
      <c r="FL441" s="26"/>
      <c r="FM441" s="26"/>
      <c r="FN441" s="26"/>
      <c r="FO441" s="26"/>
      <c r="FP441" s="26"/>
      <c r="FQ441" s="26"/>
      <c r="FR441" s="26"/>
      <c r="FS441" s="26"/>
      <c r="FT441" s="26"/>
      <c r="FU441" s="26"/>
      <c r="FV441" s="26"/>
      <c r="FW441" s="26"/>
      <c r="FX441" s="26"/>
      <c r="FY441" s="26"/>
      <c r="FZ441" s="26"/>
      <c r="GA441" s="26"/>
      <c r="GB441" s="26"/>
      <c r="GC441" s="26"/>
      <c r="GD441" s="26"/>
      <c r="GE441" s="26"/>
      <c r="GF441" s="26"/>
      <c r="GG441" s="26"/>
      <c r="GH441" s="26"/>
      <c r="GI441" s="26"/>
      <c r="GJ441" s="26"/>
      <c r="GK441" s="26"/>
      <c r="GL441" s="26"/>
      <c r="GM441" s="26"/>
      <c r="GN441" s="26"/>
      <c r="GO441" s="26"/>
      <c r="GP441" s="26"/>
      <c r="GQ441" s="26"/>
      <c r="GR441" s="26"/>
      <c r="GS441" s="26"/>
      <c r="GT441" s="26"/>
      <c r="GU441" s="26"/>
      <c r="GV441" s="26"/>
      <c r="GW441" s="26"/>
      <c r="GX441" s="26"/>
      <c r="GY441" s="26"/>
      <c r="GZ441" s="26"/>
      <c r="HA441" s="26"/>
      <c r="HB441" s="26"/>
      <c r="HC441" s="26"/>
      <c r="HD441" s="26"/>
      <c r="HE441" s="26"/>
      <c r="HF441" s="26"/>
      <c r="HG441" s="26"/>
      <c r="HH441" s="26"/>
    </row>
    <row r="442" spans="1:21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c r="DA442" s="26"/>
      <c r="DB442" s="26"/>
      <c r="DC442" s="26"/>
      <c r="DD442" s="26"/>
      <c r="DE442" s="26"/>
      <c r="DF442" s="26"/>
      <c r="DG442" s="26"/>
      <c r="DH442" s="26"/>
      <c r="DI442" s="26"/>
      <c r="DJ442" s="26"/>
      <c r="DK442" s="26"/>
      <c r="DL442" s="26"/>
      <c r="DM442" s="26"/>
      <c r="DN442" s="26"/>
      <c r="DO442" s="26"/>
      <c r="DP442" s="26"/>
      <c r="DQ442" s="26"/>
      <c r="DR442" s="26"/>
      <c r="DS442" s="26"/>
      <c r="DT442" s="26"/>
      <c r="DU442" s="26"/>
      <c r="DV442" s="26"/>
      <c r="DW442" s="26"/>
      <c r="DX442" s="26"/>
      <c r="DY442" s="26"/>
      <c r="DZ442" s="26"/>
      <c r="EA442" s="26"/>
      <c r="EB442" s="26"/>
      <c r="EC442" s="26"/>
      <c r="ED442" s="26"/>
      <c r="EE442" s="26"/>
      <c r="EF442" s="26"/>
      <c r="EG442" s="26"/>
      <c r="EH442" s="26"/>
      <c r="EI442" s="26"/>
      <c r="EJ442" s="26"/>
      <c r="EK442" s="26"/>
      <c r="EL442" s="26"/>
      <c r="EM442" s="26"/>
      <c r="EN442" s="26"/>
      <c r="EO442" s="26"/>
      <c r="EP442" s="26"/>
      <c r="EQ442" s="26"/>
      <c r="ER442" s="26"/>
      <c r="ES442" s="26"/>
      <c r="ET442" s="26"/>
      <c r="EU442" s="26"/>
      <c r="EV442" s="26"/>
      <c r="EW442" s="26"/>
      <c r="EX442" s="26"/>
      <c r="EY442" s="26"/>
      <c r="EZ442" s="26"/>
      <c r="FA442" s="26"/>
      <c r="FB442" s="26"/>
      <c r="FC442" s="26"/>
      <c r="FD442" s="26"/>
      <c r="FE442" s="26"/>
      <c r="FF442" s="26"/>
      <c r="FG442" s="26"/>
      <c r="FH442" s="26"/>
      <c r="FI442" s="26"/>
      <c r="FJ442" s="26"/>
      <c r="FK442" s="26"/>
      <c r="FL442" s="26"/>
      <c r="FM442" s="26"/>
      <c r="FN442" s="26"/>
      <c r="FO442" s="26"/>
      <c r="FP442" s="26"/>
      <c r="FQ442" s="26"/>
      <c r="FR442" s="26"/>
      <c r="FS442" s="26"/>
      <c r="FT442" s="26"/>
      <c r="FU442" s="26"/>
      <c r="FV442" s="26"/>
      <c r="FW442" s="26"/>
      <c r="FX442" s="26"/>
      <c r="FY442" s="26"/>
      <c r="FZ442" s="26"/>
      <c r="GA442" s="26"/>
      <c r="GB442" s="26"/>
      <c r="GC442" s="26"/>
      <c r="GD442" s="26"/>
      <c r="GE442" s="26"/>
      <c r="GF442" s="26"/>
      <c r="GG442" s="26"/>
      <c r="GH442" s="26"/>
      <c r="GI442" s="26"/>
      <c r="GJ442" s="26"/>
      <c r="GK442" s="26"/>
      <c r="GL442" s="26"/>
      <c r="GM442" s="26"/>
      <c r="GN442" s="26"/>
      <c r="GO442" s="26"/>
      <c r="GP442" s="26"/>
      <c r="GQ442" s="26"/>
      <c r="GR442" s="26"/>
      <c r="GS442" s="26"/>
      <c r="GT442" s="26"/>
      <c r="GU442" s="26"/>
      <c r="GV442" s="26"/>
      <c r="GW442" s="26"/>
      <c r="GX442" s="26"/>
      <c r="GY442" s="26"/>
      <c r="GZ442" s="26"/>
      <c r="HA442" s="26"/>
      <c r="HB442" s="26"/>
      <c r="HC442" s="26"/>
      <c r="HD442" s="26"/>
      <c r="HE442" s="26"/>
      <c r="HF442" s="26"/>
      <c r="HG442" s="26"/>
      <c r="HH442" s="26"/>
    </row>
    <row r="443" spans="1:21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c r="DA443" s="26"/>
      <c r="DB443" s="26"/>
      <c r="DC443" s="26"/>
      <c r="DD443" s="26"/>
      <c r="DE443" s="26"/>
      <c r="DF443" s="26"/>
      <c r="DG443" s="26"/>
      <c r="DH443" s="26"/>
      <c r="DI443" s="26"/>
      <c r="DJ443" s="26"/>
      <c r="DK443" s="26"/>
      <c r="DL443" s="26"/>
      <c r="DM443" s="26"/>
      <c r="DN443" s="26"/>
      <c r="DO443" s="26"/>
      <c r="DP443" s="26"/>
      <c r="DQ443" s="26"/>
      <c r="DR443" s="26"/>
      <c r="DS443" s="26"/>
      <c r="DT443" s="26"/>
      <c r="DU443" s="26"/>
      <c r="DV443" s="26"/>
      <c r="DW443" s="26"/>
      <c r="DX443" s="26"/>
      <c r="DY443" s="26"/>
      <c r="DZ443" s="26"/>
      <c r="EA443" s="26"/>
      <c r="EB443" s="26"/>
      <c r="EC443" s="26"/>
      <c r="ED443" s="26"/>
      <c r="EE443" s="26"/>
      <c r="EF443" s="26"/>
      <c r="EG443" s="26"/>
      <c r="EH443" s="26"/>
      <c r="EI443" s="26"/>
      <c r="EJ443" s="26"/>
      <c r="EK443" s="26"/>
      <c r="EL443" s="26"/>
      <c r="EM443" s="26"/>
      <c r="EN443" s="26"/>
      <c r="EO443" s="26"/>
      <c r="EP443" s="26"/>
      <c r="EQ443" s="26"/>
      <c r="ER443" s="26"/>
      <c r="ES443" s="26"/>
      <c r="ET443" s="26"/>
      <c r="EU443" s="26"/>
      <c r="EV443" s="26"/>
      <c r="EW443" s="26"/>
      <c r="EX443" s="26"/>
      <c r="EY443" s="26"/>
      <c r="EZ443" s="26"/>
      <c r="FA443" s="26"/>
      <c r="FB443" s="26"/>
      <c r="FC443" s="26"/>
      <c r="FD443" s="26"/>
      <c r="FE443" s="26"/>
      <c r="FF443" s="26"/>
      <c r="FG443" s="26"/>
      <c r="FH443" s="26"/>
      <c r="FI443" s="26"/>
      <c r="FJ443" s="26"/>
      <c r="FK443" s="26"/>
      <c r="FL443" s="26"/>
      <c r="FM443" s="26"/>
      <c r="FN443" s="26"/>
      <c r="FO443" s="26"/>
      <c r="FP443" s="26"/>
      <c r="FQ443" s="26"/>
      <c r="FR443" s="26"/>
      <c r="FS443" s="26"/>
      <c r="FT443" s="26"/>
      <c r="FU443" s="26"/>
      <c r="FV443" s="26"/>
      <c r="FW443" s="26"/>
      <c r="FX443" s="26"/>
      <c r="FY443" s="26"/>
      <c r="FZ443" s="26"/>
      <c r="GA443" s="26"/>
      <c r="GB443" s="26"/>
      <c r="GC443" s="26"/>
      <c r="GD443" s="26"/>
      <c r="GE443" s="26"/>
      <c r="GF443" s="26"/>
      <c r="GG443" s="26"/>
      <c r="GH443" s="26"/>
      <c r="GI443" s="26"/>
      <c r="GJ443" s="26"/>
      <c r="GK443" s="26"/>
      <c r="GL443" s="26"/>
      <c r="GM443" s="26"/>
      <c r="GN443" s="26"/>
      <c r="GO443" s="26"/>
      <c r="GP443" s="26"/>
      <c r="GQ443" s="26"/>
      <c r="GR443" s="26"/>
      <c r="GS443" s="26"/>
      <c r="GT443" s="26"/>
      <c r="GU443" s="26"/>
      <c r="GV443" s="26"/>
      <c r="GW443" s="26"/>
      <c r="GX443" s="26"/>
      <c r="GY443" s="26"/>
      <c r="GZ443" s="26"/>
      <c r="HA443" s="26"/>
      <c r="HB443" s="26"/>
      <c r="HC443" s="26"/>
      <c r="HD443" s="26"/>
      <c r="HE443" s="26"/>
      <c r="HF443" s="26"/>
      <c r="HG443" s="26"/>
      <c r="HH443" s="26"/>
    </row>
    <row r="444" spans="1:21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c r="DA444" s="26"/>
      <c r="DB444" s="26"/>
      <c r="DC444" s="26"/>
      <c r="DD444" s="26"/>
      <c r="DE444" s="26"/>
      <c r="DF444" s="26"/>
      <c r="DG444" s="26"/>
      <c r="DH444" s="26"/>
      <c r="DI444" s="26"/>
      <c r="DJ444" s="26"/>
      <c r="DK444" s="26"/>
      <c r="DL444" s="26"/>
      <c r="DM444" s="26"/>
      <c r="DN444" s="26"/>
      <c r="DO444" s="26"/>
      <c r="DP444" s="26"/>
      <c r="DQ444" s="26"/>
      <c r="DR444" s="26"/>
      <c r="DS444" s="26"/>
      <c r="DT444" s="26"/>
      <c r="DU444" s="26"/>
      <c r="DV444" s="26"/>
      <c r="DW444" s="26"/>
      <c r="DX444" s="26"/>
      <c r="DY444" s="26"/>
      <c r="DZ444" s="26"/>
      <c r="EA444" s="26"/>
      <c r="EB444" s="26"/>
      <c r="EC444" s="26"/>
      <c r="ED444" s="26"/>
      <c r="EE444" s="26"/>
      <c r="EF444" s="26"/>
      <c r="EG444" s="26"/>
      <c r="EH444" s="26"/>
      <c r="EI444" s="26"/>
      <c r="EJ444" s="26"/>
      <c r="EK444" s="26"/>
      <c r="EL444" s="26"/>
      <c r="EM444" s="26"/>
      <c r="EN444" s="26"/>
      <c r="EO444" s="26"/>
      <c r="EP444" s="26"/>
      <c r="EQ444" s="26"/>
      <c r="ER444" s="26"/>
      <c r="ES444" s="26"/>
      <c r="ET444" s="26"/>
      <c r="EU444" s="26"/>
      <c r="EV444" s="26"/>
      <c r="EW444" s="26"/>
      <c r="EX444" s="26"/>
      <c r="EY444" s="26"/>
      <c r="EZ444" s="26"/>
      <c r="FA444" s="26"/>
      <c r="FB444" s="26"/>
      <c r="FC444" s="26"/>
      <c r="FD444" s="26"/>
      <c r="FE444" s="26"/>
      <c r="FF444" s="26"/>
      <c r="FG444" s="26"/>
      <c r="FH444" s="26"/>
      <c r="FI444" s="26"/>
      <c r="FJ444" s="26"/>
      <c r="FK444" s="26"/>
      <c r="FL444" s="26"/>
      <c r="FM444" s="26"/>
      <c r="FN444" s="26"/>
      <c r="FO444" s="26"/>
      <c r="FP444" s="26"/>
      <c r="FQ444" s="26"/>
      <c r="FR444" s="26"/>
      <c r="FS444" s="26"/>
      <c r="FT444" s="26"/>
      <c r="FU444" s="26"/>
      <c r="FV444" s="26"/>
      <c r="FW444" s="26"/>
      <c r="FX444" s="26"/>
      <c r="FY444" s="26"/>
      <c r="FZ444" s="26"/>
      <c r="GA444" s="26"/>
      <c r="GB444" s="26"/>
      <c r="GC444" s="26"/>
      <c r="GD444" s="26"/>
      <c r="GE444" s="26"/>
      <c r="GF444" s="26"/>
      <c r="GG444" s="26"/>
      <c r="GH444" s="26"/>
      <c r="GI444" s="26"/>
      <c r="GJ444" s="26"/>
      <c r="GK444" s="26"/>
      <c r="GL444" s="26"/>
      <c r="GM444" s="26"/>
      <c r="GN444" s="26"/>
      <c r="GO444" s="26"/>
      <c r="GP444" s="26"/>
      <c r="GQ444" s="26"/>
      <c r="GR444" s="26"/>
      <c r="GS444" s="26"/>
      <c r="GT444" s="26"/>
      <c r="GU444" s="26"/>
      <c r="GV444" s="26"/>
      <c r="GW444" s="26"/>
      <c r="GX444" s="26"/>
      <c r="GY444" s="26"/>
      <c r="GZ444" s="26"/>
      <c r="HA444" s="26"/>
      <c r="HB444" s="26"/>
      <c r="HC444" s="26"/>
      <c r="HD444" s="26"/>
      <c r="HE444" s="26"/>
      <c r="HF444" s="26"/>
      <c r="HG444" s="26"/>
      <c r="HH444" s="26"/>
    </row>
    <row r="445" spans="1:21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c r="CU445" s="26"/>
      <c r="CV445" s="26"/>
      <c r="CW445" s="26"/>
      <c r="CX445" s="26"/>
      <c r="CY445" s="26"/>
      <c r="CZ445" s="26"/>
      <c r="DA445" s="26"/>
      <c r="DB445" s="26"/>
      <c r="DC445" s="26"/>
      <c r="DD445" s="26"/>
      <c r="DE445" s="26"/>
      <c r="DF445" s="26"/>
      <c r="DG445" s="26"/>
      <c r="DH445" s="26"/>
      <c r="DI445" s="26"/>
      <c r="DJ445" s="26"/>
      <c r="DK445" s="26"/>
      <c r="DL445" s="26"/>
      <c r="DM445" s="26"/>
      <c r="DN445" s="26"/>
      <c r="DO445" s="26"/>
      <c r="DP445" s="26"/>
      <c r="DQ445" s="26"/>
      <c r="DR445" s="26"/>
      <c r="DS445" s="26"/>
      <c r="DT445" s="26"/>
      <c r="DU445" s="26"/>
      <c r="DV445" s="26"/>
      <c r="DW445" s="26"/>
      <c r="DX445" s="26"/>
      <c r="DY445" s="26"/>
      <c r="DZ445" s="26"/>
      <c r="EA445" s="26"/>
      <c r="EB445" s="26"/>
      <c r="EC445" s="26"/>
      <c r="ED445" s="26"/>
      <c r="EE445" s="26"/>
      <c r="EF445" s="26"/>
      <c r="EG445" s="26"/>
      <c r="EH445" s="26"/>
      <c r="EI445" s="26"/>
      <c r="EJ445" s="26"/>
      <c r="EK445" s="26"/>
      <c r="EL445" s="26"/>
      <c r="EM445" s="26"/>
      <c r="EN445" s="26"/>
      <c r="EO445" s="26"/>
      <c r="EP445" s="26"/>
      <c r="EQ445" s="26"/>
      <c r="ER445" s="26"/>
      <c r="ES445" s="26"/>
      <c r="ET445" s="26"/>
      <c r="EU445" s="26"/>
      <c r="EV445" s="26"/>
      <c r="EW445" s="26"/>
      <c r="EX445" s="26"/>
      <c r="EY445" s="26"/>
      <c r="EZ445" s="26"/>
      <c r="FA445" s="26"/>
      <c r="FB445" s="26"/>
      <c r="FC445" s="26"/>
      <c r="FD445" s="26"/>
      <c r="FE445" s="26"/>
      <c r="FF445" s="26"/>
      <c r="FG445" s="26"/>
      <c r="FH445" s="26"/>
      <c r="FI445" s="26"/>
      <c r="FJ445" s="26"/>
      <c r="FK445" s="26"/>
      <c r="FL445" s="26"/>
      <c r="FM445" s="26"/>
      <c r="FN445" s="26"/>
      <c r="FO445" s="26"/>
      <c r="FP445" s="26"/>
      <c r="FQ445" s="26"/>
      <c r="FR445" s="26"/>
      <c r="FS445" s="26"/>
      <c r="FT445" s="26"/>
      <c r="FU445" s="26"/>
      <c r="FV445" s="26"/>
      <c r="FW445" s="26"/>
      <c r="FX445" s="26"/>
      <c r="FY445" s="26"/>
      <c r="FZ445" s="26"/>
      <c r="GA445" s="26"/>
      <c r="GB445" s="26"/>
      <c r="GC445" s="26"/>
      <c r="GD445" s="26"/>
      <c r="GE445" s="26"/>
      <c r="GF445" s="26"/>
      <c r="GG445" s="26"/>
      <c r="GH445" s="26"/>
      <c r="GI445" s="26"/>
      <c r="GJ445" s="26"/>
      <c r="GK445" s="26"/>
      <c r="GL445" s="26"/>
      <c r="GM445" s="26"/>
      <c r="GN445" s="26"/>
      <c r="GO445" s="26"/>
      <c r="GP445" s="26"/>
      <c r="GQ445" s="26"/>
      <c r="GR445" s="26"/>
      <c r="GS445" s="26"/>
      <c r="GT445" s="26"/>
      <c r="GU445" s="26"/>
      <c r="GV445" s="26"/>
      <c r="GW445" s="26"/>
      <c r="GX445" s="26"/>
      <c r="GY445" s="26"/>
      <c r="GZ445" s="26"/>
      <c r="HA445" s="26"/>
      <c r="HB445" s="26"/>
      <c r="HC445" s="26"/>
      <c r="HD445" s="26"/>
      <c r="HE445" s="26"/>
      <c r="HF445" s="26"/>
      <c r="HG445" s="26"/>
      <c r="HH445" s="26"/>
    </row>
    <row r="446" spans="1:21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c r="CU446" s="26"/>
      <c r="CV446" s="26"/>
      <c r="CW446" s="26"/>
      <c r="CX446" s="26"/>
      <c r="CY446" s="26"/>
      <c r="CZ446" s="26"/>
      <c r="DA446" s="26"/>
      <c r="DB446" s="26"/>
      <c r="DC446" s="26"/>
      <c r="DD446" s="26"/>
      <c r="DE446" s="26"/>
      <c r="DF446" s="26"/>
      <c r="DG446" s="26"/>
      <c r="DH446" s="26"/>
      <c r="DI446" s="26"/>
      <c r="DJ446" s="26"/>
      <c r="DK446" s="26"/>
      <c r="DL446" s="26"/>
      <c r="DM446" s="26"/>
      <c r="DN446" s="26"/>
      <c r="DO446" s="26"/>
      <c r="DP446" s="26"/>
      <c r="DQ446" s="26"/>
      <c r="DR446" s="26"/>
      <c r="DS446" s="26"/>
      <c r="DT446" s="26"/>
      <c r="DU446" s="26"/>
      <c r="DV446" s="26"/>
      <c r="DW446" s="26"/>
      <c r="DX446" s="26"/>
      <c r="DY446" s="26"/>
      <c r="DZ446" s="26"/>
      <c r="EA446" s="26"/>
      <c r="EB446" s="26"/>
      <c r="EC446" s="26"/>
      <c r="ED446" s="26"/>
      <c r="EE446" s="26"/>
      <c r="EF446" s="26"/>
      <c r="EG446" s="26"/>
      <c r="EH446" s="26"/>
      <c r="EI446" s="26"/>
      <c r="EJ446" s="26"/>
      <c r="EK446" s="26"/>
      <c r="EL446" s="26"/>
      <c r="EM446" s="26"/>
      <c r="EN446" s="26"/>
      <c r="EO446" s="26"/>
      <c r="EP446" s="26"/>
      <c r="EQ446" s="26"/>
      <c r="ER446" s="26"/>
      <c r="ES446" s="26"/>
      <c r="ET446" s="26"/>
      <c r="EU446" s="26"/>
      <c r="EV446" s="26"/>
      <c r="EW446" s="26"/>
      <c r="EX446" s="26"/>
      <c r="EY446" s="26"/>
      <c r="EZ446" s="26"/>
      <c r="FA446" s="26"/>
      <c r="FB446" s="26"/>
      <c r="FC446" s="26"/>
      <c r="FD446" s="26"/>
      <c r="FE446" s="26"/>
      <c r="FF446" s="26"/>
      <c r="FG446" s="26"/>
      <c r="FH446" s="26"/>
      <c r="FI446" s="26"/>
      <c r="FJ446" s="26"/>
      <c r="FK446" s="26"/>
      <c r="FL446" s="26"/>
      <c r="FM446" s="26"/>
      <c r="FN446" s="26"/>
      <c r="FO446" s="26"/>
      <c r="FP446" s="26"/>
      <c r="FQ446" s="26"/>
      <c r="FR446" s="26"/>
      <c r="FS446" s="26"/>
      <c r="FT446" s="26"/>
      <c r="FU446" s="26"/>
      <c r="FV446" s="26"/>
      <c r="FW446" s="26"/>
      <c r="FX446" s="26"/>
      <c r="FY446" s="26"/>
      <c r="FZ446" s="26"/>
      <c r="GA446" s="26"/>
      <c r="GB446" s="26"/>
      <c r="GC446" s="26"/>
      <c r="GD446" s="26"/>
      <c r="GE446" s="26"/>
      <c r="GF446" s="26"/>
      <c r="GG446" s="26"/>
      <c r="GH446" s="26"/>
      <c r="GI446" s="26"/>
      <c r="GJ446" s="26"/>
      <c r="GK446" s="26"/>
      <c r="GL446" s="26"/>
      <c r="GM446" s="26"/>
      <c r="GN446" s="26"/>
      <c r="GO446" s="26"/>
      <c r="GP446" s="26"/>
      <c r="GQ446" s="26"/>
      <c r="GR446" s="26"/>
      <c r="GS446" s="26"/>
      <c r="GT446" s="26"/>
      <c r="GU446" s="26"/>
      <c r="GV446" s="26"/>
      <c r="GW446" s="26"/>
      <c r="GX446" s="26"/>
      <c r="GY446" s="26"/>
      <c r="GZ446" s="26"/>
      <c r="HA446" s="26"/>
      <c r="HB446" s="26"/>
      <c r="HC446" s="26"/>
      <c r="HD446" s="26"/>
      <c r="HE446" s="26"/>
      <c r="HF446" s="26"/>
      <c r="HG446" s="26"/>
      <c r="HH446" s="26"/>
    </row>
    <row r="447" spans="1:21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c r="BM447" s="26"/>
      <c r="BN447" s="26"/>
      <c r="BO447" s="26"/>
      <c r="BP447" s="26"/>
      <c r="BQ447" s="26"/>
      <c r="BR447" s="26"/>
      <c r="BS447" s="26"/>
      <c r="BT447" s="26"/>
      <c r="BU447" s="26"/>
      <c r="BV447" s="26"/>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26"/>
      <c r="CU447" s="26"/>
      <c r="CV447" s="26"/>
      <c r="CW447" s="26"/>
      <c r="CX447" s="26"/>
      <c r="CY447" s="26"/>
      <c r="CZ447" s="26"/>
      <c r="DA447" s="26"/>
      <c r="DB447" s="26"/>
      <c r="DC447" s="26"/>
      <c r="DD447" s="26"/>
      <c r="DE447" s="26"/>
      <c r="DF447" s="26"/>
      <c r="DG447" s="26"/>
      <c r="DH447" s="26"/>
      <c r="DI447" s="26"/>
      <c r="DJ447" s="26"/>
      <c r="DK447" s="26"/>
      <c r="DL447" s="26"/>
      <c r="DM447" s="26"/>
      <c r="DN447" s="26"/>
      <c r="DO447" s="26"/>
      <c r="DP447" s="26"/>
      <c r="DQ447" s="26"/>
      <c r="DR447" s="26"/>
      <c r="DS447" s="26"/>
      <c r="DT447" s="26"/>
      <c r="DU447" s="26"/>
      <c r="DV447" s="26"/>
      <c r="DW447" s="26"/>
      <c r="DX447" s="26"/>
      <c r="DY447" s="26"/>
      <c r="DZ447" s="26"/>
      <c r="EA447" s="26"/>
      <c r="EB447" s="26"/>
      <c r="EC447" s="26"/>
      <c r="ED447" s="26"/>
      <c r="EE447" s="26"/>
      <c r="EF447" s="26"/>
      <c r="EG447" s="26"/>
      <c r="EH447" s="26"/>
      <c r="EI447" s="26"/>
      <c r="EJ447" s="26"/>
      <c r="EK447" s="26"/>
      <c r="EL447" s="26"/>
      <c r="EM447" s="26"/>
      <c r="EN447" s="26"/>
      <c r="EO447" s="26"/>
      <c r="EP447" s="26"/>
      <c r="EQ447" s="26"/>
      <c r="ER447" s="26"/>
      <c r="ES447" s="26"/>
      <c r="ET447" s="26"/>
      <c r="EU447" s="26"/>
      <c r="EV447" s="26"/>
      <c r="EW447" s="26"/>
      <c r="EX447" s="26"/>
      <c r="EY447" s="26"/>
      <c r="EZ447" s="26"/>
      <c r="FA447" s="26"/>
      <c r="FB447" s="26"/>
      <c r="FC447" s="26"/>
      <c r="FD447" s="26"/>
      <c r="FE447" s="26"/>
      <c r="FF447" s="26"/>
      <c r="FG447" s="26"/>
      <c r="FH447" s="26"/>
      <c r="FI447" s="26"/>
      <c r="FJ447" s="26"/>
      <c r="FK447" s="26"/>
      <c r="FL447" s="26"/>
      <c r="FM447" s="26"/>
      <c r="FN447" s="26"/>
      <c r="FO447" s="26"/>
      <c r="FP447" s="26"/>
      <c r="FQ447" s="26"/>
      <c r="FR447" s="26"/>
      <c r="FS447" s="26"/>
      <c r="FT447" s="26"/>
      <c r="FU447" s="26"/>
      <c r="FV447" s="26"/>
      <c r="FW447" s="26"/>
      <c r="FX447" s="26"/>
      <c r="FY447" s="26"/>
      <c r="FZ447" s="26"/>
      <c r="GA447" s="26"/>
      <c r="GB447" s="26"/>
      <c r="GC447" s="26"/>
      <c r="GD447" s="26"/>
      <c r="GE447" s="26"/>
      <c r="GF447" s="26"/>
      <c r="GG447" s="26"/>
      <c r="GH447" s="26"/>
      <c r="GI447" s="26"/>
      <c r="GJ447" s="26"/>
      <c r="GK447" s="26"/>
      <c r="GL447" s="26"/>
      <c r="GM447" s="26"/>
      <c r="GN447" s="26"/>
      <c r="GO447" s="26"/>
      <c r="GP447" s="26"/>
      <c r="GQ447" s="26"/>
      <c r="GR447" s="26"/>
      <c r="GS447" s="26"/>
      <c r="GT447" s="26"/>
      <c r="GU447" s="26"/>
      <c r="GV447" s="26"/>
      <c r="GW447" s="26"/>
      <c r="GX447" s="26"/>
      <c r="GY447" s="26"/>
      <c r="GZ447" s="26"/>
      <c r="HA447" s="26"/>
      <c r="HB447" s="26"/>
      <c r="HC447" s="26"/>
      <c r="HD447" s="26"/>
      <c r="HE447" s="26"/>
      <c r="HF447" s="26"/>
      <c r="HG447" s="26"/>
      <c r="HH447" s="26"/>
    </row>
    <row r="448" spans="1:21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c r="BM448" s="26"/>
      <c r="BN448" s="26"/>
      <c r="BO448" s="26"/>
      <c r="BP448" s="26"/>
      <c r="BQ448" s="26"/>
      <c r="BR448" s="26"/>
      <c r="BS448" s="26"/>
      <c r="BT448" s="26"/>
      <c r="BU448" s="26"/>
      <c r="BV448" s="26"/>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26"/>
      <c r="CU448" s="26"/>
      <c r="CV448" s="26"/>
      <c r="CW448" s="26"/>
      <c r="CX448" s="26"/>
      <c r="CY448" s="26"/>
      <c r="CZ448" s="26"/>
      <c r="DA448" s="26"/>
      <c r="DB448" s="26"/>
      <c r="DC448" s="26"/>
      <c r="DD448" s="26"/>
      <c r="DE448" s="26"/>
      <c r="DF448" s="26"/>
      <c r="DG448" s="26"/>
      <c r="DH448" s="26"/>
      <c r="DI448" s="26"/>
      <c r="DJ448" s="26"/>
      <c r="DK448" s="26"/>
      <c r="DL448" s="26"/>
      <c r="DM448" s="26"/>
      <c r="DN448" s="26"/>
      <c r="DO448" s="26"/>
      <c r="DP448" s="26"/>
      <c r="DQ448" s="26"/>
      <c r="DR448" s="26"/>
      <c r="DS448" s="26"/>
      <c r="DT448" s="26"/>
      <c r="DU448" s="26"/>
      <c r="DV448" s="26"/>
      <c r="DW448" s="26"/>
      <c r="DX448" s="26"/>
      <c r="DY448" s="26"/>
      <c r="DZ448" s="26"/>
      <c r="EA448" s="26"/>
      <c r="EB448" s="26"/>
      <c r="EC448" s="26"/>
      <c r="ED448" s="26"/>
      <c r="EE448" s="26"/>
      <c r="EF448" s="26"/>
      <c r="EG448" s="26"/>
      <c r="EH448" s="26"/>
      <c r="EI448" s="26"/>
      <c r="EJ448" s="26"/>
      <c r="EK448" s="26"/>
      <c r="EL448" s="26"/>
      <c r="EM448" s="26"/>
      <c r="EN448" s="26"/>
      <c r="EO448" s="26"/>
      <c r="EP448" s="26"/>
      <c r="EQ448" s="26"/>
      <c r="ER448" s="26"/>
      <c r="ES448" s="26"/>
      <c r="ET448" s="26"/>
      <c r="EU448" s="26"/>
      <c r="EV448" s="26"/>
      <c r="EW448" s="26"/>
      <c r="EX448" s="26"/>
      <c r="EY448" s="26"/>
      <c r="EZ448" s="26"/>
      <c r="FA448" s="26"/>
      <c r="FB448" s="26"/>
      <c r="FC448" s="26"/>
      <c r="FD448" s="26"/>
      <c r="FE448" s="26"/>
      <c r="FF448" s="26"/>
      <c r="FG448" s="26"/>
      <c r="FH448" s="26"/>
      <c r="FI448" s="26"/>
      <c r="FJ448" s="26"/>
      <c r="FK448" s="26"/>
      <c r="FL448" s="26"/>
      <c r="FM448" s="26"/>
      <c r="FN448" s="26"/>
      <c r="FO448" s="26"/>
      <c r="FP448" s="26"/>
      <c r="FQ448" s="26"/>
      <c r="FR448" s="26"/>
      <c r="FS448" s="26"/>
      <c r="FT448" s="26"/>
      <c r="FU448" s="26"/>
      <c r="FV448" s="26"/>
      <c r="FW448" s="26"/>
      <c r="FX448" s="26"/>
      <c r="FY448" s="26"/>
      <c r="FZ448" s="26"/>
      <c r="GA448" s="26"/>
      <c r="GB448" s="26"/>
      <c r="GC448" s="26"/>
      <c r="GD448" s="26"/>
      <c r="GE448" s="26"/>
      <c r="GF448" s="26"/>
      <c r="GG448" s="26"/>
      <c r="GH448" s="26"/>
      <c r="GI448" s="26"/>
      <c r="GJ448" s="26"/>
      <c r="GK448" s="26"/>
      <c r="GL448" s="26"/>
      <c r="GM448" s="26"/>
      <c r="GN448" s="26"/>
      <c r="GO448" s="26"/>
      <c r="GP448" s="26"/>
      <c r="GQ448" s="26"/>
      <c r="GR448" s="26"/>
      <c r="GS448" s="26"/>
      <c r="GT448" s="26"/>
      <c r="GU448" s="26"/>
      <c r="GV448" s="26"/>
      <c r="GW448" s="26"/>
      <c r="GX448" s="26"/>
      <c r="GY448" s="26"/>
      <c r="GZ448" s="26"/>
      <c r="HA448" s="26"/>
      <c r="HB448" s="26"/>
      <c r="HC448" s="26"/>
      <c r="HD448" s="26"/>
      <c r="HE448" s="26"/>
      <c r="HF448" s="26"/>
      <c r="HG448" s="26"/>
      <c r="HH448" s="26"/>
    </row>
    <row r="449" spans="1:21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c r="BM449" s="26"/>
      <c r="BN449" s="26"/>
      <c r="BO449" s="26"/>
      <c r="BP449" s="26"/>
      <c r="BQ449" s="26"/>
      <c r="BR449" s="26"/>
      <c r="BS449" s="26"/>
      <c r="BT449" s="26"/>
      <c r="BU449" s="26"/>
      <c r="BV449" s="26"/>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26"/>
      <c r="CU449" s="26"/>
      <c r="CV449" s="26"/>
      <c r="CW449" s="26"/>
      <c r="CX449" s="26"/>
      <c r="CY449" s="26"/>
      <c r="CZ449" s="26"/>
      <c r="DA449" s="26"/>
      <c r="DB449" s="26"/>
      <c r="DC449" s="26"/>
      <c r="DD449" s="26"/>
      <c r="DE449" s="26"/>
      <c r="DF449" s="26"/>
      <c r="DG449" s="26"/>
      <c r="DH449" s="26"/>
      <c r="DI449" s="26"/>
      <c r="DJ449" s="26"/>
      <c r="DK449" s="26"/>
      <c r="DL449" s="26"/>
      <c r="DM449" s="26"/>
      <c r="DN449" s="26"/>
      <c r="DO449" s="26"/>
      <c r="DP449" s="26"/>
      <c r="DQ449" s="26"/>
      <c r="DR449" s="26"/>
      <c r="DS449" s="26"/>
      <c r="DT449" s="26"/>
      <c r="DU449" s="26"/>
      <c r="DV449" s="26"/>
      <c r="DW449" s="26"/>
      <c r="DX449" s="26"/>
      <c r="DY449" s="26"/>
      <c r="DZ449" s="26"/>
      <c r="EA449" s="26"/>
      <c r="EB449" s="26"/>
      <c r="EC449" s="26"/>
      <c r="ED449" s="26"/>
      <c r="EE449" s="26"/>
      <c r="EF449" s="26"/>
      <c r="EG449" s="26"/>
      <c r="EH449" s="26"/>
      <c r="EI449" s="26"/>
      <c r="EJ449" s="26"/>
      <c r="EK449" s="26"/>
      <c r="EL449" s="26"/>
      <c r="EM449" s="26"/>
      <c r="EN449" s="26"/>
      <c r="EO449" s="26"/>
      <c r="EP449" s="26"/>
      <c r="EQ449" s="26"/>
      <c r="ER449" s="26"/>
      <c r="ES449" s="26"/>
      <c r="ET449" s="26"/>
      <c r="EU449" s="26"/>
      <c r="EV449" s="26"/>
      <c r="EW449" s="26"/>
      <c r="EX449" s="26"/>
      <c r="EY449" s="26"/>
      <c r="EZ449" s="26"/>
      <c r="FA449" s="26"/>
      <c r="FB449" s="26"/>
      <c r="FC449" s="26"/>
      <c r="FD449" s="26"/>
      <c r="FE449" s="26"/>
      <c r="FF449" s="26"/>
      <c r="FG449" s="26"/>
      <c r="FH449" s="26"/>
      <c r="FI449" s="26"/>
      <c r="FJ449" s="26"/>
      <c r="FK449" s="26"/>
      <c r="FL449" s="26"/>
      <c r="FM449" s="26"/>
      <c r="FN449" s="26"/>
      <c r="FO449" s="26"/>
      <c r="FP449" s="26"/>
      <c r="FQ449" s="26"/>
      <c r="FR449" s="26"/>
      <c r="FS449" s="26"/>
      <c r="FT449" s="26"/>
      <c r="FU449" s="26"/>
      <c r="FV449" s="26"/>
      <c r="FW449" s="26"/>
      <c r="FX449" s="26"/>
      <c r="FY449" s="26"/>
      <c r="FZ449" s="26"/>
      <c r="GA449" s="26"/>
      <c r="GB449" s="26"/>
      <c r="GC449" s="26"/>
      <c r="GD449" s="26"/>
      <c r="GE449" s="26"/>
      <c r="GF449" s="26"/>
      <c r="GG449" s="26"/>
      <c r="GH449" s="26"/>
      <c r="GI449" s="26"/>
      <c r="GJ449" s="26"/>
      <c r="GK449" s="26"/>
      <c r="GL449" s="26"/>
      <c r="GM449" s="26"/>
      <c r="GN449" s="26"/>
      <c r="GO449" s="26"/>
      <c r="GP449" s="26"/>
      <c r="GQ449" s="26"/>
      <c r="GR449" s="26"/>
      <c r="GS449" s="26"/>
      <c r="GT449" s="26"/>
      <c r="GU449" s="26"/>
      <c r="GV449" s="26"/>
      <c r="GW449" s="26"/>
      <c r="GX449" s="26"/>
      <c r="GY449" s="26"/>
      <c r="GZ449" s="26"/>
      <c r="HA449" s="26"/>
      <c r="HB449" s="26"/>
      <c r="HC449" s="26"/>
      <c r="HD449" s="26"/>
      <c r="HE449" s="26"/>
      <c r="HF449" s="26"/>
      <c r="HG449" s="26"/>
      <c r="HH449" s="26"/>
    </row>
    <row r="450" spans="1:21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c r="BM450" s="26"/>
      <c r="BN450" s="26"/>
      <c r="BO450" s="26"/>
      <c r="BP450" s="26"/>
      <c r="BQ450" s="26"/>
      <c r="BR450" s="26"/>
      <c r="BS450" s="26"/>
      <c r="BT450" s="26"/>
      <c r="BU450" s="26"/>
      <c r="BV450" s="26"/>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26"/>
      <c r="CU450" s="26"/>
      <c r="CV450" s="26"/>
      <c r="CW450" s="26"/>
      <c r="CX450" s="26"/>
      <c r="CY450" s="26"/>
      <c r="CZ450" s="26"/>
      <c r="DA450" s="26"/>
      <c r="DB450" s="26"/>
      <c r="DC450" s="26"/>
      <c r="DD450" s="26"/>
      <c r="DE450" s="26"/>
      <c r="DF450" s="26"/>
      <c r="DG450" s="26"/>
      <c r="DH450" s="26"/>
      <c r="DI450" s="26"/>
      <c r="DJ450" s="26"/>
      <c r="DK450" s="26"/>
      <c r="DL450" s="26"/>
      <c r="DM450" s="26"/>
      <c r="DN450" s="26"/>
      <c r="DO450" s="26"/>
      <c r="DP450" s="26"/>
      <c r="DQ450" s="26"/>
      <c r="DR450" s="26"/>
      <c r="DS450" s="26"/>
      <c r="DT450" s="26"/>
      <c r="DU450" s="26"/>
      <c r="DV450" s="26"/>
      <c r="DW450" s="26"/>
      <c r="DX450" s="26"/>
      <c r="DY450" s="26"/>
      <c r="DZ450" s="26"/>
      <c r="EA450" s="26"/>
      <c r="EB450" s="26"/>
      <c r="EC450" s="26"/>
      <c r="ED450" s="26"/>
      <c r="EE450" s="26"/>
      <c r="EF450" s="26"/>
      <c r="EG450" s="26"/>
      <c r="EH450" s="26"/>
      <c r="EI450" s="26"/>
      <c r="EJ450" s="26"/>
      <c r="EK450" s="26"/>
      <c r="EL450" s="26"/>
      <c r="EM450" s="26"/>
      <c r="EN450" s="26"/>
      <c r="EO450" s="26"/>
      <c r="EP450" s="26"/>
      <c r="EQ450" s="26"/>
      <c r="ER450" s="26"/>
      <c r="ES450" s="26"/>
      <c r="ET450" s="26"/>
      <c r="EU450" s="26"/>
      <c r="EV450" s="26"/>
      <c r="EW450" s="26"/>
      <c r="EX450" s="26"/>
      <c r="EY450" s="26"/>
      <c r="EZ450" s="26"/>
      <c r="FA450" s="26"/>
      <c r="FB450" s="26"/>
      <c r="FC450" s="26"/>
      <c r="FD450" s="26"/>
      <c r="FE450" s="26"/>
      <c r="FF450" s="26"/>
      <c r="FG450" s="26"/>
      <c r="FH450" s="26"/>
      <c r="FI450" s="26"/>
      <c r="FJ450" s="26"/>
      <c r="FK450" s="26"/>
      <c r="FL450" s="26"/>
      <c r="FM450" s="26"/>
      <c r="FN450" s="26"/>
      <c r="FO450" s="26"/>
      <c r="FP450" s="26"/>
      <c r="FQ450" s="26"/>
      <c r="FR450" s="26"/>
      <c r="FS450" s="26"/>
      <c r="FT450" s="26"/>
      <c r="FU450" s="26"/>
      <c r="FV450" s="26"/>
      <c r="FW450" s="26"/>
      <c r="FX450" s="26"/>
      <c r="FY450" s="26"/>
      <c r="FZ450" s="26"/>
      <c r="GA450" s="26"/>
      <c r="GB450" s="26"/>
      <c r="GC450" s="26"/>
      <c r="GD450" s="26"/>
      <c r="GE450" s="26"/>
      <c r="GF450" s="26"/>
      <c r="GG450" s="26"/>
      <c r="GH450" s="26"/>
      <c r="GI450" s="26"/>
      <c r="GJ450" s="26"/>
      <c r="GK450" s="26"/>
      <c r="GL450" s="26"/>
      <c r="GM450" s="26"/>
      <c r="GN450" s="26"/>
      <c r="GO450" s="26"/>
      <c r="GP450" s="26"/>
      <c r="GQ450" s="26"/>
      <c r="GR450" s="26"/>
      <c r="GS450" s="26"/>
      <c r="GT450" s="26"/>
      <c r="GU450" s="26"/>
      <c r="GV450" s="26"/>
      <c r="GW450" s="26"/>
      <c r="GX450" s="26"/>
      <c r="GY450" s="26"/>
      <c r="GZ450" s="26"/>
      <c r="HA450" s="26"/>
      <c r="HB450" s="26"/>
      <c r="HC450" s="26"/>
      <c r="HD450" s="26"/>
      <c r="HE450" s="26"/>
      <c r="HF450" s="26"/>
      <c r="HG450" s="26"/>
      <c r="HH450" s="26"/>
    </row>
    <row r="451" spans="1:21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c r="BM451" s="26"/>
      <c r="BN451" s="26"/>
      <c r="BO451" s="26"/>
      <c r="BP451" s="26"/>
      <c r="BQ451" s="26"/>
      <c r="BR451" s="26"/>
      <c r="BS451" s="26"/>
      <c r="BT451" s="26"/>
      <c r="BU451" s="26"/>
      <c r="BV451" s="26"/>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26"/>
      <c r="CU451" s="26"/>
      <c r="CV451" s="26"/>
      <c r="CW451" s="26"/>
      <c r="CX451" s="26"/>
      <c r="CY451" s="26"/>
      <c r="CZ451" s="26"/>
      <c r="DA451" s="26"/>
      <c r="DB451" s="26"/>
      <c r="DC451" s="26"/>
      <c r="DD451" s="26"/>
      <c r="DE451" s="26"/>
      <c r="DF451" s="26"/>
      <c r="DG451" s="26"/>
      <c r="DH451" s="26"/>
      <c r="DI451" s="26"/>
      <c r="DJ451" s="26"/>
      <c r="DK451" s="26"/>
      <c r="DL451" s="26"/>
      <c r="DM451" s="26"/>
      <c r="DN451" s="26"/>
      <c r="DO451" s="26"/>
      <c r="DP451" s="26"/>
      <c r="DQ451" s="26"/>
      <c r="DR451" s="26"/>
      <c r="DS451" s="26"/>
      <c r="DT451" s="26"/>
      <c r="DU451" s="26"/>
      <c r="DV451" s="26"/>
      <c r="DW451" s="26"/>
      <c r="DX451" s="26"/>
      <c r="DY451" s="26"/>
      <c r="DZ451" s="26"/>
      <c r="EA451" s="26"/>
      <c r="EB451" s="26"/>
      <c r="EC451" s="26"/>
      <c r="ED451" s="26"/>
      <c r="EE451" s="26"/>
      <c r="EF451" s="26"/>
      <c r="EG451" s="26"/>
      <c r="EH451" s="26"/>
      <c r="EI451" s="26"/>
      <c r="EJ451" s="26"/>
      <c r="EK451" s="26"/>
      <c r="EL451" s="26"/>
      <c r="EM451" s="26"/>
      <c r="EN451" s="26"/>
      <c r="EO451" s="26"/>
      <c r="EP451" s="26"/>
      <c r="EQ451" s="26"/>
      <c r="ER451" s="26"/>
      <c r="ES451" s="26"/>
      <c r="ET451" s="26"/>
      <c r="EU451" s="26"/>
      <c r="EV451" s="26"/>
      <c r="EW451" s="26"/>
      <c r="EX451" s="26"/>
      <c r="EY451" s="26"/>
      <c r="EZ451" s="26"/>
      <c r="FA451" s="26"/>
      <c r="FB451" s="26"/>
      <c r="FC451" s="26"/>
      <c r="FD451" s="26"/>
      <c r="FE451" s="26"/>
      <c r="FF451" s="26"/>
      <c r="FG451" s="26"/>
      <c r="FH451" s="26"/>
      <c r="FI451" s="26"/>
      <c r="FJ451" s="26"/>
      <c r="FK451" s="26"/>
      <c r="FL451" s="26"/>
      <c r="FM451" s="26"/>
      <c r="FN451" s="26"/>
      <c r="FO451" s="26"/>
      <c r="FP451" s="26"/>
      <c r="FQ451" s="26"/>
      <c r="FR451" s="26"/>
      <c r="FS451" s="26"/>
      <c r="FT451" s="26"/>
      <c r="FU451" s="26"/>
      <c r="FV451" s="26"/>
      <c r="FW451" s="26"/>
      <c r="FX451" s="26"/>
      <c r="FY451" s="26"/>
      <c r="FZ451" s="26"/>
      <c r="GA451" s="26"/>
      <c r="GB451" s="26"/>
      <c r="GC451" s="26"/>
      <c r="GD451" s="26"/>
      <c r="GE451" s="26"/>
      <c r="GF451" s="26"/>
      <c r="GG451" s="26"/>
      <c r="GH451" s="26"/>
      <c r="GI451" s="26"/>
      <c r="GJ451" s="26"/>
      <c r="GK451" s="26"/>
      <c r="GL451" s="26"/>
      <c r="GM451" s="26"/>
      <c r="GN451" s="26"/>
      <c r="GO451" s="26"/>
      <c r="GP451" s="26"/>
      <c r="GQ451" s="26"/>
      <c r="GR451" s="26"/>
      <c r="GS451" s="26"/>
      <c r="GT451" s="26"/>
      <c r="GU451" s="26"/>
      <c r="GV451" s="26"/>
      <c r="GW451" s="26"/>
      <c r="GX451" s="26"/>
      <c r="GY451" s="26"/>
      <c r="GZ451" s="26"/>
      <c r="HA451" s="26"/>
      <c r="HB451" s="26"/>
      <c r="HC451" s="26"/>
      <c r="HD451" s="26"/>
      <c r="HE451" s="26"/>
      <c r="HF451" s="26"/>
      <c r="HG451" s="26"/>
      <c r="HH451" s="26"/>
    </row>
    <row r="452" spans="1:21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c r="BM452" s="26"/>
      <c r="BN452" s="26"/>
      <c r="BO452" s="26"/>
      <c r="BP452" s="26"/>
      <c r="BQ452" s="26"/>
      <c r="BR452" s="26"/>
      <c r="BS452" s="26"/>
      <c r="BT452" s="26"/>
      <c r="BU452" s="26"/>
      <c r="BV452" s="26"/>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26"/>
      <c r="CU452" s="26"/>
      <c r="CV452" s="26"/>
      <c r="CW452" s="26"/>
      <c r="CX452" s="26"/>
      <c r="CY452" s="26"/>
      <c r="CZ452" s="26"/>
      <c r="DA452" s="26"/>
      <c r="DB452" s="26"/>
      <c r="DC452" s="26"/>
      <c r="DD452" s="26"/>
      <c r="DE452" s="26"/>
      <c r="DF452" s="26"/>
      <c r="DG452" s="26"/>
      <c r="DH452" s="26"/>
      <c r="DI452" s="26"/>
      <c r="DJ452" s="26"/>
      <c r="DK452" s="26"/>
      <c r="DL452" s="26"/>
      <c r="DM452" s="26"/>
      <c r="DN452" s="26"/>
      <c r="DO452" s="26"/>
      <c r="DP452" s="26"/>
      <c r="DQ452" s="26"/>
      <c r="DR452" s="26"/>
      <c r="DS452" s="26"/>
      <c r="DT452" s="26"/>
      <c r="DU452" s="26"/>
      <c r="DV452" s="26"/>
      <c r="DW452" s="26"/>
      <c r="DX452" s="26"/>
      <c r="DY452" s="26"/>
      <c r="DZ452" s="26"/>
      <c r="EA452" s="26"/>
      <c r="EB452" s="26"/>
      <c r="EC452" s="26"/>
      <c r="ED452" s="26"/>
      <c r="EE452" s="26"/>
      <c r="EF452" s="26"/>
      <c r="EG452" s="26"/>
      <c r="EH452" s="26"/>
      <c r="EI452" s="26"/>
      <c r="EJ452" s="26"/>
      <c r="EK452" s="26"/>
      <c r="EL452" s="26"/>
      <c r="EM452" s="26"/>
      <c r="EN452" s="26"/>
      <c r="EO452" s="26"/>
      <c r="EP452" s="26"/>
      <c r="EQ452" s="26"/>
      <c r="ER452" s="26"/>
      <c r="ES452" s="26"/>
      <c r="ET452" s="26"/>
      <c r="EU452" s="26"/>
      <c r="EV452" s="26"/>
      <c r="EW452" s="26"/>
      <c r="EX452" s="26"/>
      <c r="EY452" s="26"/>
      <c r="EZ452" s="26"/>
      <c r="FA452" s="26"/>
      <c r="FB452" s="26"/>
      <c r="FC452" s="26"/>
      <c r="FD452" s="26"/>
      <c r="FE452" s="26"/>
      <c r="FF452" s="26"/>
      <c r="FG452" s="26"/>
      <c r="FH452" s="26"/>
      <c r="FI452" s="26"/>
      <c r="FJ452" s="26"/>
      <c r="FK452" s="26"/>
      <c r="FL452" s="26"/>
      <c r="FM452" s="26"/>
      <c r="FN452" s="26"/>
      <c r="FO452" s="26"/>
      <c r="FP452" s="26"/>
      <c r="FQ452" s="26"/>
      <c r="FR452" s="26"/>
      <c r="FS452" s="26"/>
      <c r="FT452" s="26"/>
      <c r="FU452" s="26"/>
      <c r="FV452" s="26"/>
      <c r="FW452" s="26"/>
      <c r="FX452" s="26"/>
      <c r="FY452" s="26"/>
      <c r="FZ452" s="26"/>
      <c r="GA452" s="26"/>
      <c r="GB452" s="26"/>
      <c r="GC452" s="26"/>
      <c r="GD452" s="26"/>
      <c r="GE452" s="26"/>
      <c r="GF452" s="26"/>
      <c r="GG452" s="26"/>
      <c r="GH452" s="26"/>
      <c r="GI452" s="26"/>
      <c r="GJ452" s="26"/>
      <c r="GK452" s="26"/>
      <c r="GL452" s="26"/>
      <c r="GM452" s="26"/>
      <c r="GN452" s="26"/>
      <c r="GO452" s="26"/>
      <c r="GP452" s="26"/>
      <c r="GQ452" s="26"/>
      <c r="GR452" s="26"/>
      <c r="GS452" s="26"/>
      <c r="GT452" s="26"/>
      <c r="GU452" s="26"/>
      <c r="GV452" s="26"/>
      <c r="GW452" s="26"/>
      <c r="GX452" s="26"/>
      <c r="GY452" s="26"/>
      <c r="GZ452" s="26"/>
      <c r="HA452" s="26"/>
      <c r="HB452" s="26"/>
      <c r="HC452" s="26"/>
      <c r="HD452" s="26"/>
      <c r="HE452" s="26"/>
      <c r="HF452" s="26"/>
      <c r="HG452" s="26"/>
      <c r="HH452" s="26"/>
    </row>
    <row r="453" spans="1:21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c r="BM453" s="26"/>
      <c r="BN453" s="26"/>
      <c r="BO453" s="26"/>
      <c r="BP453" s="26"/>
      <c r="BQ453" s="26"/>
      <c r="BR453" s="26"/>
      <c r="BS453" s="26"/>
      <c r="BT453" s="26"/>
      <c r="BU453" s="26"/>
      <c r="BV453" s="26"/>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26"/>
      <c r="CU453" s="26"/>
      <c r="CV453" s="26"/>
      <c r="CW453" s="26"/>
      <c r="CX453" s="26"/>
      <c r="CY453" s="26"/>
      <c r="CZ453" s="26"/>
      <c r="DA453" s="26"/>
      <c r="DB453" s="26"/>
      <c r="DC453" s="26"/>
      <c r="DD453" s="26"/>
      <c r="DE453" s="26"/>
      <c r="DF453" s="26"/>
      <c r="DG453" s="26"/>
      <c r="DH453" s="26"/>
      <c r="DI453" s="26"/>
      <c r="DJ453" s="26"/>
      <c r="DK453" s="26"/>
      <c r="DL453" s="26"/>
      <c r="DM453" s="26"/>
      <c r="DN453" s="26"/>
      <c r="DO453" s="26"/>
      <c r="DP453" s="26"/>
      <c r="DQ453" s="26"/>
      <c r="DR453" s="26"/>
      <c r="DS453" s="26"/>
      <c r="DT453" s="26"/>
      <c r="DU453" s="26"/>
      <c r="DV453" s="26"/>
      <c r="DW453" s="26"/>
      <c r="DX453" s="26"/>
      <c r="DY453" s="26"/>
      <c r="DZ453" s="26"/>
      <c r="EA453" s="26"/>
      <c r="EB453" s="26"/>
      <c r="EC453" s="26"/>
      <c r="ED453" s="26"/>
      <c r="EE453" s="26"/>
      <c r="EF453" s="26"/>
      <c r="EG453" s="26"/>
      <c r="EH453" s="26"/>
      <c r="EI453" s="26"/>
      <c r="EJ453" s="26"/>
      <c r="EK453" s="26"/>
      <c r="EL453" s="26"/>
      <c r="EM453" s="26"/>
      <c r="EN453" s="26"/>
      <c r="EO453" s="26"/>
      <c r="EP453" s="26"/>
      <c r="EQ453" s="26"/>
      <c r="ER453" s="26"/>
      <c r="ES453" s="26"/>
      <c r="ET453" s="26"/>
      <c r="EU453" s="26"/>
      <c r="EV453" s="26"/>
      <c r="EW453" s="26"/>
      <c r="EX453" s="26"/>
      <c r="EY453" s="26"/>
      <c r="EZ453" s="26"/>
      <c r="FA453" s="26"/>
      <c r="FB453" s="26"/>
      <c r="FC453" s="26"/>
      <c r="FD453" s="26"/>
      <c r="FE453" s="26"/>
      <c r="FF453" s="26"/>
      <c r="FG453" s="26"/>
      <c r="FH453" s="26"/>
      <c r="FI453" s="26"/>
      <c r="FJ453" s="26"/>
      <c r="FK453" s="26"/>
      <c r="FL453" s="26"/>
      <c r="FM453" s="26"/>
      <c r="FN453" s="26"/>
      <c r="FO453" s="26"/>
      <c r="FP453" s="26"/>
      <c r="FQ453" s="26"/>
      <c r="FR453" s="26"/>
      <c r="FS453" s="26"/>
      <c r="FT453" s="26"/>
      <c r="FU453" s="26"/>
      <c r="FV453" s="26"/>
      <c r="FW453" s="26"/>
      <c r="FX453" s="26"/>
      <c r="FY453" s="26"/>
      <c r="FZ453" s="26"/>
      <c r="GA453" s="26"/>
      <c r="GB453" s="26"/>
      <c r="GC453" s="26"/>
      <c r="GD453" s="26"/>
      <c r="GE453" s="26"/>
      <c r="GF453" s="26"/>
      <c r="GG453" s="26"/>
      <c r="GH453" s="26"/>
      <c r="GI453" s="26"/>
      <c r="GJ453" s="26"/>
      <c r="GK453" s="26"/>
      <c r="GL453" s="26"/>
      <c r="GM453" s="26"/>
      <c r="GN453" s="26"/>
      <c r="GO453" s="26"/>
      <c r="GP453" s="26"/>
      <c r="GQ453" s="26"/>
      <c r="GR453" s="26"/>
      <c r="GS453" s="26"/>
      <c r="GT453" s="26"/>
      <c r="GU453" s="26"/>
      <c r="GV453" s="26"/>
      <c r="GW453" s="26"/>
      <c r="GX453" s="26"/>
      <c r="GY453" s="26"/>
      <c r="GZ453" s="26"/>
      <c r="HA453" s="26"/>
      <c r="HB453" s="26"/>
      <c r="HC453" s="26"/>
      <c r="HD453" s="26"/>
      <c r="HE453" s="26"/>
      <c r="HF453" s="26"/>
      <c r="HG453" s="26"/>
      <c r="HH453" s="26"/>
    </row>
    <row r="454" spans="1:21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c r="BM454" s="26"/>
      <c r="BN454" s="26"/>
      <c r="BO454" s="26"/>
      <c r="BP454" s="26"/>
      <c r="BQ454" s="26"/>
      <c r="BR454" s="26"/>
      <c r="BS454" s="26"/>
      <c r="BT454" s="26"/>
      <c r="BU454" s="26"/>
      <c r="BV454" s="26"/>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26"/>
      <c r="CU454" s="26"/>
      <c r="CV454" s="26"/>
      <c r="CW454" s="26"/>
      <c r="CX454" s="26"/>
      <c r="CY454" s="26"/>
      <c r="CZ454" s="26"/>
      <c r="DA454" s="26"/>
      <c r="DB454" s="26"/>
      <c r="DC454" s="26"/>
      <c r="DD454" s="26"/>
      <c r="DE454" s="26"/>
      <c r="DF454" s="26"/>
      <c r="DG454" s="26"/>
      <c r="DH454" s="26"/>
      <c r="DI454" s="26"/>
      <c r="DJ454" s="26"/>
      <c r="DK454" s="26"/>
      <c r="DL454" s="26"/>
      <c r="DM454" s="26"/>
      <c r="DN454" s="26"/>
      <c r="DO454" s="26"/>
      <c r="DP454" s="26"/>
      <c r="DQ454" s="26"/>
      <c r="DR454" s="26"/>
      <c r="DS454" s="26"/>
      <c r="DT454" s="26"/>
      <c r="DU454" s="26"/>
      <c r="DV454" s="26"/>
      <c r="DW454" s="26"/>
      <c r="DX454" s="26"/>
      <c r="DY454" s="26"/>
      <c r="DZ454" s="26"/>
      <c r="EA454" s="26"/>
      <c r="EB454" s="26"/>
      <c r="EC454" s="26"/>
      <c r="ED454" s="26"/>
      <c r="EE454" s="26"/>
      <c r="EF454" s="26"/>
      <c r="EG454" s="26"/>
      <c r="EH454" s="26"/>
      <c r="EI454" s="26"/>
      <c r="EJ454" s="26"/>
      <c r="EK454" s="26"/>
      <c r="EL454" s="26"/>
      <c r="EM454" s="26"/>
      <c r="EN454" s="26"/>
      <c r="EO454" s="26"/>
      <c r="EP454" s="26"/>
      <c r="EQ454" s="26"/>
      <c r="ER454" s="26"/>
      <c r="ES454" s="26"/>
      <c r="ET454" s="26"/>
      <c r="EU454" s="26"/>
      <c r="EV454" s="26"/>
      <c r="EW454" s="26"/>
      <c r="EX454" s="26"/>
      <c r="EY454" s="26"/>
      <c r="EZ454" s="26"/>
      <c r="FA454" s="26"/>
      <c r="FB454" s="26"/>
      <c r="FC454" s="26"/>
      <c r="FD454" s="26"/>
      <c r="FE454" s="26"/>
      <c r="FF454" s="26"/>
      <c r="FG454" s="26"/>
      <c r="FH454" s="26"/>
      <c r="FI454" s="26"/>
      <c r="FJ454" s="26"/>
      <c r="FK454" s="26"/>
      <c r="FL454" s="26"/>
      <c r="FM454" s="26"/>
      <c r="FN454" s="26"/>
      <c r="FO454" s="26"/>
      <c r="FP454" s="26"/>
      <c r="FQ454" s="26"/>
      <c r="FR454" s="26"/>
      <c r="FS454" s="26"/>
      <c r="FT454" s="26"/>
      <c r="FU454" s="26"/>
      <c r="FV454" s="26"/>
      <c r="FW454" s="26"/>
      <c r="FX454" s="26"/>
      <c r="FY454" s="26"/>
      <c r="FZ454" s="26"/>
      <c r="GA454" s="26"/>
      <c r="GB454" s="26"/>
      <c r="GC454" s="26"/>
      <c r="GD454" s="26"/>
      <c r="GE454" s="26"/>
      <c r="GF454" s="26"/>
      <c r="GG454" s="26"/>
      <c r="GH454" s="26"/>
      <c r="GI454" s="26"/>
      <c r="GJ454" s="26"/>
      <c r="GK454" s="26"/>
      <c r="GL454" s="26"/>
      <c r="GM454" s="26"/>
      <c r="GN454" s="26"/>
      <c r="GO454" s="26"/>
      <c r="GP454" s="26"/>
      <c r="GQ454" s="26"/>
      <c r="GR454" s="26"/>
      <c r="GS454" s="26"/>
      <c r="GT454" s="26"/>
      <c r="GU454" s="26"/>
      <c r="GV454" s="26"/>
      <c r="GW454" s="26"/>
      <c r="GX454" s="26"/>
      <c r="GY454" s="26"/>
      <c r="GZ454" s="26"/>
      <c r="HA454" s="26"/>
      <c r="HB454" s="26"/>
      <c r="HC454" s="26"/>
      <c r="HD454" s="26"/>
      <c r="HE454" s="26"/>
      <c r="HF454" s="26"/>
      <c r="HG454" s="26"/>
      <c r="HH454" s="26"/>
    </row>
    <row r="455" spans="1:21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c r="BM455" s="26"/>
      <c r="BN455" s="26"/>
      <c r="BO455" s="26"/>
      <c r="BP455" s="26"/>
      <c r="BQ455" s="26"/>
      <c r="BR455" s="26"/>
      <c r="BS455" s="26"/>
      <c r="BT455" s="26"/>
      <c r="BU455" s="26"/>
      <c r="BV455" s="26"/>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26"/>
      <c r="CU455" s="26"/>
      <c r="CV455" s="26"/>
      <c r="CW455" s="26"/>
      <c r="CX455" s="26"/>
      <c r="CY455" s="26"/>
      <c r="CZ455" s="26"/>
      <c r="DA455" s="26"/>
      <c r="DB455" s="26"/>
      <c r="DC455" s="26"/>
      <c r="DD455" s="26"/>
      <c r="DE455" s="26"/>
      <c r="DF455" s="26"/>
      <c r="DG455" s="26"/>
      <c r="DH455" s="26"/>
      <c r="DI455" s="26"/>
      <c r="DJ455" s="26"/>
      <c r="DK455" s="26"/>
      <c r="DL455" s="26"/>
      <c r="DM455" s="26"/>
      <c r="DN455" s="26"/>
      <c r="DO455" s="26"/>
      <c r="DP455" s="26"/>
      <c r="DQ455" s="26"/>
      <c r="DR455" s="26"/>
      <c r="DS455" s="26"/>
      <c r="DT455" s="26"/>
      <c r="DU455" s="26"/>
      <c r="DV455" s="26"/>
      <c r="DW455" s="26"/>
      <c r="DX455" s="26"/>
      <c r="DY455" s="26"/>
      <c r="DZ455" s="26"/>
      <c r="EA455" s="26"/>
      <c r="EB455" s="26"/>
      <c r="EC455" s="26"/>
      <c r="ED455" s="26"/>
      <c r="EE455" s="26"/>
      <c r="EF455" s="26"/>
      <c r="EG455" s="26"/>
      <c r="EH455" s="26"/>
      <c r="EI455" s="26"/>
      <c r="EJ455" s="26"/>
      <c r="EK455" s="26"/>
      <c r="EL455" s="26"/>
      <c r="EM455" s="26"/>
      <c r="EN455" s="26"/>
      <c r="EO455" s="26"/>
      <c r="EP455" s="26"/>
      <c r="EQ455" s="26"/>
      <c r="ER455" s="26"/>
      <c r="ES455" s="26"/>
      <c r="ET455" s="26"/>
      <c r="EU455" s="26"/>
      <c r="EV455" s="26"/>
      <c r="EW455" s="26"/>
      <c r="EX455" s="26"/>
      <c r="EY455" s="26"/>
      <c r="EZ455" s="26"/>
      <c r="FA455" s="26"/>
      <c r="FB455" s="26"/>
      <c r="FC455" s="26"/>
      <c r="FD455" s="26"/>
      <c r="FE455" s="26"/>
      <c r="FF455" s="26"/>
      <c r="FG455" s="26"/>
      <c r="FH455" s="26"/>
      <c r="FI455" s="26"/>
      <c r="FJ455" s="26"/>
      <c r="FK455" s="26"/>
      <c r="FL455" s="26"/>
      <c r="FM455" s="26"/>
      <c r="FN455" s="26"/>
      <c r="FO455" s="26"/>
      <c r="FP455" s="26"/>
      <c r="FQ455" s="26"/>
      <c r="FR455" s="26"/>
      <c r="FS455" s="26"/>
      <c r="FT455" s="26"/>
      <c r="FU455" s="26"/>
      <c r="FV455" s="26"/>
      <c r="FW455" s="26"/>
      <c r="FX455" s="26"/>
      <c r="FY455" s="26"/>
      <c r="FZ455" s="26"/>
      <c r="GA455" s="26"/>
      <c r="GB455" s="26"/>
      <c r="GC455" s="26"/>
      <c r="GD455" s="26"/>
      <c r="GE455" s="26"/>
      <c r="GF455" s="26"/>
      <c r="GG455" s="26"/>
      <c r="GH455" s="26"/>
      <c r="GI455" s="26"/>
      <c r="GJ455" s="26"/>
      <c r="GK455" s="26"/>
      <c r="GL455" s="26"/>
      <c r="GM455" s="26"/>
      <c r="GN455" s="26"/>
      <c r="GO455" s="26"/>
      <c r="GP455" s="26"/>
      <c r="GQ455" s="26"/>
      <c r="GR455" s="26"/>
      <c r="GS455" s="26"/>
      <c r="GT455" s="26"/>
      <c r="GU455" s="26"/>
      <c r="GV455" s="26"/>
      <c r="GW455" s="26"/>
      <c r="GX455" s="26"/>
      <c r="GY455" s="26"/>
      <c r="GZ455" s="26"/>
      <c r="HA455" s="26"/>
      <c r="HB455" s="26"/>
      <c r="HC455" s="26"/>
      <c r="HD455" s="26"/>
      <c r="HE455" s="26"/>
      <c r="HF455" s="26"/>
      <c r="HG455" s="26"/>
      <c r="HH455" s="26"/>
    </row>
    <row r="456" spans="1:21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c r="BM456" s="26"/>
      <c r="BN456" s="26"/>
      <c r="BO456" s="26"/>
      <c r="BP456" s="26"/>
      <c r="BQ456" s="26"/>
      <c r="BR456" s="26"/>
      <c r="BS456" s="26"/>
      <c r="BT456" s="26"/>
      <c r="BU456" s="26"/>
      <c r="BV456" s="26"/>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26"/>
      <c r="CU456" s="26"/>
      <c r="CV456" s="26"/>
      <c r="CW456" s="26"/>
      <c r="CX456" s="26"/>
      <c r="CY456" s="26"/>
      <c r="CZ456" s="26"/>
      <c r="DA456" s="26"/>
      <c r="DB456" s="26"/>
      <c r="DC456" s="26"/>
      <c r="DD456" s="26"/>
      <c r="DE456" s="26"/>
      <c r="DF456" s="26"/>
      <c r="DG456" s="26"/>
      <c r="DH456" s="26"/>
      <c r="DI456" s="26"/>
      <c r="DJ456" s="26"/>
      <c r="DK456" s="26"/>
      <c r="DL456" s="26"/>
      <c r="DM456" s="26"/>
      <c r="DN456" s="26"/>
      <c r="DO456" s="26"/>
      <c r="DP456" s="26"/>
      <c r="DQ456" s="26"/>
      <c r="DR456" s="26"/>
      <c r="DS456" s="26"/>
      <c r="DT456" s="26"/>
      <c r="DU456" s="26"/>
      <c r="DV456" s="26"/>
      <c r="DW456" s="26"/>
      <c r="DX456" s="26"/>
      <c r="DY456" s="26"/>
      <c r="DZ456" s="26"/>
      <c r="EA456" s="26"/>
      <c r="EB456" s="26"/>
      <c r="EC456" s="26"/>
      <c r="ED456" s="26"/>
      <c r="EE456" s="26"/>
      <c r="EF456" s="26"/>
      <c r="EG456" s="26"/>
      <c r="EH456" s="26"/>
      <c r="EI456" s="26"/>
      <c r="EJ456" s="26"/>
      <c r="EK456" s="26"/>
      <c r="EL456" s="26"/>
      <c r="EM456" s="26"/>
      <c r="EN456" s="26"/>
      <c r="EO456" s="26"/>
      <c r="EP456" s="26"/>
      <c r="EQ456" s="26"/>
      <c r="ER456" s="26"/>
      <c r="ES456" s="26"/>
      <c r="ET456" s="26"/>
      <c r="EU456" s="26"/>
      <c r="EV456" s="26"/>
      <c r="EW456" s="26"/>
      <c r="EX456" s="26"/>
      <c r="EY456" s="26"/>
      <c r="EZ456" s="26"/>
      <c r="FA456" s="26"/>
      <c r="FB456" s="26"/>
      <c r="FC456" s="26"/>
      <c r="FD456" s="26"/>
      <c r="FE456" s="26"/>
      <c r="FF456" s="26"/>
      <c r="FG456" s="26"/>
      <c r="FH456" s="26"/>
      <c r="FI456" s="26"/>
      <c r="FJ456" s="26"/>
      <c r="FK456" s="26"/>
      <c r="FL456" s="26"/>
      <c r="FM456" s="26"/>
      <c r="FN456" s="26"/>
      <c r="FO456" s="26"/>
      <c r="FP456" s="26"/>
      <c r="FQ456" s="26"/>
      <c r="FR456" s="26"/>
      <c r="FS456" s="26"/>
      <c r="FT456" s="26"/>
      <c r="FU456" s="26"/>
      <c r="FV456" s="26"/>
      <c r="FW456" s="26"/>
      <c r="FX456" s="26"/>
      <c r="FY456" s="26"/>
      <c r="FZ456" s="26"/>
      <c r="GA456" s="26"/>
      <c r="GB456" s="26"/>
      <c r="GC456" s="26"/>
      <c r="GD456" s="26"/>
      <c r="GE456" s="26"/>
      <c r="GF456" s="26"/>
      <c r="GG456" s="26"/>
      <c r="GH456" s="26"/>
      <c r="GI456" s="26"/>
      <c r="GJ456" s="26"/>
      <c r="GK456" s="26"/>
      <c r="GL456" s="26"/>
      <c r="GM456" s="26"/>
      <c r="GN456" s="26"/>
      <c r="GO456" s="26"/>
      <c r="GP456" s="26"/>
      <c r="GQ456" s="26"/>
      <c r="GR456" s="26"/>
      <c r="GS456" s="26"/>
      <c r="GT456" s="26"/>
      <c r="GU456" s="26"/>
      <c r="GV456" s="26"/>
      <c r="GW456" s="26"/>
      <c r="GX456" s="26"/>
      <c r="GY456" s="26"/>
      <c r="GZ456" s="26"/>
      <c r="HA456" s="26"/>
      <c r="HB456" s="26"/>
      <c r="HC456" s="26"/>
      <c r="HD456" s="26"/>
      <c r="HE456" s="26"/>
      <c r="HF456" s="26"/>
      <c r="HG456" s="26"/>
      <c r="HH456" s="26"/>
    </row>
    <row r="457" spans="1:21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c r="BM457" s="26"/>
      <c r="BN457" s="26"/>
      <c r="BO457" s="26"/>
      <c r="BP457" s="26"/>
      <c r="BQ457" s="26"/>
      <c r="BR457" s="26"/>
      <c r="BS457" s="26"/>
      <c r="BT457" s="26"/>
      <c r="BU457" s="26"/>
      <c r="BV457" s="26"/>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26"/>
      <c r="CU457" s="26"/>
      <c r="CV457" s="26"/>
      <c r="CW457" s="26"/>
      <c r="CX457" s="26"/>
      <c r="CY457" s="26"/>
      <c r="CZ457" s="26"/>
      <c r="DA457" s="26"/>
      <c r="DB457" s="26"/>
      <c r="DC457" s="26"/>
      <c r="DD457" s="26"/>
      <c r="DE457" s="26"/>
      <c r="DF457" s="26"/>
      <c r="DG457" s="26"/>
      <c r="DH457" s="26"/>
      <c r="DI457" s="26"/>
      <c r="DJ457" s="26"/>
      <c r="DK457" s="26"/>
      <c r="DL457" s="26"/>
      <c r="DM457" s="26"/>
      <c r="DN457" s="26"/>
      <c r="DO457" s="26"/>
      <c r="DP457" s="26"/>
      <c r="DQ457" s="26"/>
      <c r="DR457" s="26"/>
      <c r="DS457" s="26"/>
      <c r="DT457" s="26"/>
      <c r="DU457" s="26"/>
      <c r="DV457" s="26"/>
      <c r="DW457" s="26"/>
      <c r="DX457" s="26"/>
      <c r="DY457" s="26"/>
      <c r="DZ457" s="26"/>
      <c r="EA457" s="26"/>
      <c r="EB457" s="26"/>
      <c r="EC457" s="26"/>
      <c r="ED457" s="26"/>
      <c r="EE457" s="26"/>
      <c r="EF457" s="26"/>
      <c r="EG457" s="26"/>
      <c r="EH457" s="26"/>
      <c r="EI457" s="26"/>
      <c r="EJ457" s="26"/>
      <c r="EK457" s="26"/>
      <c r="EL457" s="26"/>
      <c r="EM457" s="26"/>
      <c r="EN457" s="26"/>
      <c r="EO457" s="26"/>
      <c r="EP457" s="26"/>
      <c r="EQ457" s="26"/>
      <c r="ER457" s="26"/>
      <c r="ES457" s="26"/>
      <c r="ET457" s="26"/>
      <c r="EU457" s="26"/>
      <c r="EV457" s="26"/>
      <c r="EW457" s="26"/>
      <c r="EX457" s="26"/>
      <c r="EY457" s="26"/>
      <c r="EZ457" s="26"/>
      <c r="FA457" s="26"/>
      <c r="FB457" s="26"/>
      <c r="FC457" s="26"/>
      <c r="FD457" s="26"/>
      <c r="FE457" s="26"/>
      <c r="FF457" s="26"/>
      <c r="FG457" s="26"/>
      <c r="FH457" s="26"/>
      <c r="FI457" s="26"/>
      <c r="FJ457" s="26"/>
      <c r="FK457" s="26"/>
      <c r="FL457" s="26"/>
      <c r="FM457" s="26"/>
      <c r="FN457" s="26"/>
      <c r="FO457" s="26"/>
      <c r="FP457" s="26"/>
      <c r="FQ457" s="26"/>
      <c r="FR457" s="26"/>
      <c r="FS457" s="26"/>
      <c r="FT457" s="26"/>
      <c r="FU457" s="26"/>
      <c r="FV457" s="26"/>
      <c r="FW457" s="26"/>
      <c r="FX457" s="26"/>
      <c r="FY457" s="26"/>
      <c r="FZ457" s="26"/>
      <c r="GA457" s="26"/>
      <c r="GB457" s="26"/>
      <c r="GC457" s="26"/>
      <c r="GD457" s="26"/>
      <c r="GE457" s="26"/>
      <c r="GF457" s="26"/>
      <c r="GG457" s="26"/>
      <c r="GH457" s="26"/>
      <c r="GI457" s="26"/>
      <c r="GJ457" s="26"/>
      <c r="GK457" s="26"/>
      <c r="GL457" s="26"/>
      <c r="GM457" s="26"/>
      <c r="GN457" s="26"/>
      <c r="GO457" s="26"/>
      <c r="GP457" s="26"/>
      <c r="GQ457" s="26"/>
      <c r="GR457" s="26"/>
      <c r="GS457" s="26"/>
      <c r="GT457" s="26"/>
      <c r="GU457" s="26"/>
      <c r="GV457" s="26"/>
      <c r="GW457" s="26"/>
      <c r="GX457" s="26"/>
      <c r="GY457" s="26"/>
      <c r="GZ457" s="26"/>
      <c r="HA457" s="26"/>
      <c r="HB457" s="26"/>
      <c r="HC457" s="26"/>
      <c r="HD457" s="26"/>
      <c r="HE457" s="26"/>
      <c r="HF457" s="26"/>
      <c r="HG457" s="26"/>
      <c r="HH457" s="26"/>
    </row>
    <row r="458" spans="1:21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c r="BM458" s="26"/>
      <c r="BN458" s="26"/>
      <c r="BO458" s="26"/>
      <c r="BP458" s="26"/>
      <c r="BQ458" s="26"/>
      <c r="BR458" s="26"/>
      <c r="BS458" s="26"/>
      <c r="BT458" s="26"/>
      <c r="BU458" s="26"/>
      <c r="BV458" s="26"/>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26"/>
      <c r="CU458" s="26"/>
      <c r="CV458" s="26"/>
      <c r="CW458" s="26"/>
      <c r="CX458" s="26"/>
      <c r="CY458" s="26"/>
      <c r="CZ458" s="26"/>
      <c r="DA458" s="26"/>
      <c r="DB458" s="26"/>
      <c r="DC458" s="26"/>
      <c r="DD458" s="26"/>
      <c r="DE458" s="26"/>
      <c r="DF458" s="26"/>
      <c r="DG458" s="26"/>
      <c r="DH458" s="26"/>
      <c r="DI458" s="26"/>
      <c r="DJ458" s="26"/>
      <c r="DK458" s="26"/>
      <c r="DL458" s="26"/>
      <c r="DM458" s="26"/>
      <c r="DN458" s="26"/>
      <c r="DO458" s="26"/>
      <c r="DP458" s="26"/>
      <c r="DQ458" s="26"/>
      <c r="DR458" s="26"/>
      <c r="DS458" s="26"/>
      <c r="DT458" s="26"/>
      <c r="DU458" s="26"/>
      <c r="DV458" s="26"/>
      <c r="DW458" s="26"/>
      <c r="DX458" s="26"/>
      <c r="DY458" s="26"/>
      <c r="DZ458" s="26"/>
      <c r="EA458" s="26"/>
      <c r="EB458" s="26"/>
      <c r="EC458" s="26"/>
      <c r="ED458" s="26"/>
      <c r="EE458" s="26"/>
      <c r="EF458" s="26"/>
      <c r="EG458" s="26"/>
      <c r="EH458" s="26"/>
      <c r="EI458" s="26"/>
      <c r="EJ458" s="26"/>
      <c r="EK458" s="26"/>
      <c r="EL458" s="26"/>
      <c r="EM458" s="26"/>
      <c r="EN458" s="26"/>
      <c r="EO458" s="26"/>
      <c r="EP458" s="26"/>
      <c r="EQ458" s="26"/>
      <c r="ER458" s="26"/>
      <c r="ES458" s="26"/>
      <c r="ET458" s="26"/>
      <c r="EU458" s="26"/>
      <c r="EV458" s="26"/>
      <c r="EW458" s="26"/>
      <c r="EX458" s="26"/>
      <c r="EY458" s="26"/>
      <c r="EZ458" s="26"/>
      <c r="FA458" s="26"/>
      <c r="FB458" s="26"/>
      <c r="FC458" s="26"/>
      <c r="FD458" s="26"/>
      <c r="FE458" s="26"/>
      <c r="FF458" s="26"/>
      <c r="FG458" s="26"/>
      <c r="FH458" s="26"/>
      <c r="FI458" s="26"/>
      <c r="FJ458" s="26"/>
      <c r="FK458" s="26"/>
      <c r="FL458" s="26"/>
      <c r="FM458" s="26"/>
      <c r="FN458" s="26"/>
      <c r="FO458" s="26"/>
      <c r="FP458" s="26"/>
      <c r="FQ458" s="26"/>
      <c r="FR458" s="26"/>
      <c r="FS458" s="26"/>
      <c r="FT458" s="26"/>
      <c r="FU458" s="26"/>
      <c r="FV458" s="26"/>
      <c r="FW458" s="26"/>
      <c r="FX458" s="26"/>
      <c r="FY458" s="26"/>
      <c r="FZ458" s="26"/>
      <c r="GA458" s="26"/>
      <c r="GB458" s="26"/>
      <c r="GC458" s="26"/>
      <c r="GD458" s="26"/>
      <c r="GE458" s="26"/>
      <c r="GF458" s="26"/>
      <c r="GG458" s="26"/>
      <c r="GH458" s="26"/>
      <c r="GI458" s="26"/>
      <c r="GJ458" s="26"/>
      <c r="GK458" s="26"/>
      <c r="GL458" s="26"/>
      <c r="GM458" s="26"/>
      <c r="GN458" s="26"/>
      <c r="GO458" s="26"/>
      <c r="GP458" s="26"/>
      <c r="GQ458" s="26"/>
      <c r="GR458" s="26"/>
      <c r="GS458" s="26"/>
      <c r="GT458" s="26"/>
      <c r="GU458" s="26"/>
      <c r="GV458" s="26"/>
      <c r="GW458" s="26"/>
      <c r="GX458" s="26"/>
      <c r="GY458" s="26"/>
      <c r="GZ458" s="26"/>
      <c r="HA458" s="26"/>
      <c r="HB458" s="26"/>
      <c r="HC458" s="26"/>
      <c r="HD458" s="26"/>
      <c r="HE458" s="26"/>
      <c r="HF458" s="26"/>
      <c r="HG458" s="26"/>
      <c r="HH458" s="26"/>
    </row>
    <row r="459" spans="1:21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c r="BM459" s="26"/>
      <c r="BN459" s="26"/>
      <c r="BO459" s="26"/>
      <c r="BP459" s="26"/>
      <c r="BQ459" s="26"/>
      <c r="BR459" s="26"/>
      <c r="BS459" s="26"/>
      <c r="BT459" s="26"/>
      <c r="BU459" s="26"/>
      <c r="BV459" s="26"/>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26"/>
      <c r="CU459" s="26"/>
      <c r="CV459" s="26"/>
      <c r="CW459" s="26"/>
      <c r="CX459" s="26"/>
      <c r="CY459" s="26"/>
      <c r="CZ459" s="26"/>
      <c r="DA459" s="26"/>
      <c r="DB459" s="26"/>
      <c r="DC459" s="26"/>
      <c r="DD459" s="26"/>
      <c r="DE459" s="26"/>
      <c r="DF459" s="26"/>
      <c r="DG459" s="26"/>
      <c r="DH459" s="26"/>
      <c r="DI459" s="26"/>
      <c r="DJ459" s="26"/>
      <c r="DK459" s="26"/>
      <c r="DL459" s="26"/>
      <c r="DM459" s="26"/>
      <c r="DN459" s="26"/>
      <c r="DO459" s="26"/>
      <c r="DP459" s="26"/>
      <c r="DQ459" s="26"/>
      <c r="DR459" s="26"/>
      <c r="DS459" s="26"/>
      <c r="DT459" s="26"/>
      <c r="DU459" s="26"/>
      <c r="DV459" s="26"/>
      <c r="DW459" s="26"/>
      <c r="DX459" s="26"/>
      <c r="DY459" s="26"/>
      <c r="DZ459" s="26"/>
      <c r="EA459" s="26"/>
      <c r="EB459" s="26"/>
      <c r="EC459" s="26"/>
      <c r="ED459" s="26"/>
      <c r="EE459" s="26"/>
      <c r="EF459" s="26"/>
      <c r="EG459" s="26"/>
      <c r="EH459" s="26"/>
      <c r="EI459" s="26"/>
      <c r="EJ459" s="26"/>
      <c r="EK459" s="26"/>
      <c r="EL459" s="26"/>
      <c r="EM459" s="26"/>
      <c r="EN459" s="26"/>
      <c r="EO459" s="26"/>
      <c r="EP459" s="26"/>
      <c r="EQ459" s="26"/>
      <c r="ER459" s="26"/>
      <c r="ES459" s="26"/>
      <c r="ET459" s="26"/>
      <c r="EU459" s="26"/>
      <c r="EV459" s="26"/>
      <c r="EW459" s="26"/>
      <c r="EX459" s="26"/>
      <c r="EY459" s="26"/>
      <c r="EZ459" s="26"/>
      <c r="FA459" s="26"/>
      <c r="FB459" s="26"/>
      <c r="FC459" s="26"/>
      <c r="FD459" s="26"/>
      <c r="FE459" s="26"/>
      <c r="FF459" s="26"/>
      <c r="FG459" s="26"/>
      <c r="FH459" s="26"/>
      <c r="FI459" s="26"/>
      <c r="FJ459" s="26"/>
      <c r="FK459" s="26"/>
      <c r="FL459" s="26"/>
      <c r="FM459" s="26"/>
      <c r="FN459" s="26"/>
      <c r="FO459" s="26"/>
      <c r="FP459" s="26"/>
      <c r="FQ459" s="26"/>
      <c r="FR459" s="26"/>
      <c r="FS459" s="26"/>
      <c r="FT459" s="26"/>
      <c r="FU459" s="26"/>
      <c r="FV459" s="26"/>
      <c r="FW459" s="26"/>
      <c r="FX459" s="26"/>
      <c r="FY459" s="26"/>
      <c r="FZ459" s="26"/>
      <c r="GA459" s="26"/>
      <c r="GB459" s="26"/>
      <c r="GC459" s="26"/>
      <c r="GD459" s="26"/>
      <c r="GE459" s="26"/>
      <c r="GF459" s="26"/>
      <c r="GG459" s="26"/>
      <c r="GH459" s="26"/>
      <c r="GI459" s="26"/>
      <c r="GJ459" s="26"/>
      <c r="GK459" s="26"/>
      <c r="GL459" s="26"/>
      <c r="GM459" s="26"/>
      <c r="GN459" s="26"/>
      <c r="GO459" s="26"/>
      <c r="GP459" s="26"/>
      <c r="GQ459" s="26"/>
      <c r="GR459" s="26"/>
      <c r="GS459" s="26"/>
      <c r="GT459" s="26"/>
      <c r="GU459" s="26"/>
      <c r="GV459" s="26"/>
      <c r="GW459" s="26"/>
      <c r="GX459" s="26"/>
      <c r="GY459" s="26"/>
      <c r="GZ459" s="26"/>
      <c r="HA459" s="26"/>
      <c r="HB459" s="26"/>
      <c r="HC459" s="26"/>
      <c r="HD459" s="26"/>
      <c r="HE459" s="26"/>
      <c r="HF459" s="26"/>
      <c r="HG459" s="26"/>
      <c r="HH459" s="26"/>
    </row>
    <row r="460" spans="1:21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c r="BM460" s="26"/>
      <c r="BN460" s="26"/>
      <c r="BO460" s="26"/>
      <c r="BP460" s="26"/>
      <c r="BQ460" s="26"/>
      <c r="BR460" s="26"/>
      <c r="BS460" s="26"/>
      <c r="BT460" s="26"/>
      <c r="BU460" s="26"/>
      <c r="BV460" s="26"/>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26"/>
      <c r="CU460" s="26"/>
      <c r="CV460" s="26"/>
      <c r="CW460" s="26"/>
      <c r="CX460" s="26"/>
      <c r="CY460" s="26"/>
      <c r="CZ460" s="26"/>
      <c r="DA460" s="26"/>
      <c r="DB460" s="26"/>
      <c r="DC460" s="26"/>
      <c r="DD460" s="26"/>
      <c r="DE460" s="26"/>
      <c r="DF460" s="26"/>
      <c r="DG460" s="26"/>
      <c r="DH460" s="26"/>
      <c r="DI460" s="26"/>
      <c r="DJ460" s="26"/>
      <c r="DK460" s="26"/>
      <c r="DL460" s="26"/>
      <c r="DM460" s="26"/>
      <c r="DN460" s="26"/>
      <c r="DO460" s="26"/>
      <c r="DP460" s="26"/>
      <c r="DQ460" s="26"/>
      <c r="DR460" s="26"/>
      <c r="DS460" s="26"/>
      <c r="DT460" s="26"/>
      <c r="DU460" s="26"/>
      <c r="DV460" s="26"/>
      <c r="DW460" s="26"/>
      <c r="DX460" s="26"/>
      <c r="DY460" s="26"/>
      <c r="DZ460" s="26"/>
      <c r="EA460" s="26"/>
      <c r="EB460" s="26"/>
      <c r="EC460" s="26"/>
      <c r="ED460" s="26"/>
      <c r="EE460" s="26"/>
      <c r="EF460" s="26"/>
      <c r="EG460" s="26"/>
      <c r="EH460" s="26"/>
      <c r="EI460" s="26"/>
      <c r="EJ460" s="26"/>
      <c r="EK460" s="26"/>
      <c r="EL460" s="26"/>
      <c r="EM460" s="26"/>
      <c r="EN460" s="26"/>
      <c r="EO460" s="26"/>
      <c r="EP460" s="26"/>
      <c r="EQ460" s="26"/>
      <c r="ER460" s="26"/>
      <c r="ES460" s="26"/>
      <c r="ET460" s="26"/>
      <c r="EU460" s="26"/>
      <c r="EV460" s="26"/>
      <c r="EW460" s="26"/>
      <c r="EX460" s="26"/>
      <c r="EY460" s="26"/>
      <c r="EZ460" s="26"/>
      <c r="FA460" s="26"/>
      <c r="FB460" s="26"/>
      <c r="FC460" s="26"/>
      <c r="FD460" s="26"/>
      <c r="FE460" s="26"/>
      <c r="FF460" s="26"/>
      <c r="FG460" s="26"/>
      <c r="FH460" s="26"/>
      <c r="FI460" s="26"/>
      <c r="FJ460" s="26"/>
      <c r="FK460" s="26"/>
      <c r="FL460" s="26"/>
      <c r="FM460" s="26"/>
      <c r="FN460" s="26"/>
      <c r="FO460" s="26"/>
      <c r="FP460" s="26"/>
      <c r="FQ460" s="26"/>
      <c r="FR460" s="26"/>
      <c r="FS460" s="26"/>
      <c r="FT460" s="26"/>
      <c r="FU460" s="26"/>
      <c r="FV460" s="26"/>
      <c r="FW460" s="26"/>
      <c r="FX460" s="26"/>
      <c r="FY460" s="26"/>
      <c r="FZ460" s="26"/>
      <c r="GA460" s="26"/>
      <c r="GB460" s="26"/>
      <c r="GC460" s="26"/>
      <c r="GD460" s="26"/>
      <c r="GE460" s="26"/>
      <c r="GF460" s="26"/>
      <c r="GG460" s="26"/>
      <c r="GH460" s="26"/>
      <c r="GI460" s="26"/>
      <c r="GJ460" s="26"/>
      <c r="GK460" s="26"/>
      <c r="GL460" s="26"/>
      <c r="GM460" s="26"/>
      <c r="GN460" s="26"/>
      <c r="GO460" s="26"/>
      <c r="GP460" s="26"/>
      <c r="GQ460" s="26"/>
      <c r="GR460" s="26"/>
      <c r="GS460" s="26"/>
      <c r="GT460" s="26"/>
      <c r="GU460" s="26"/>
      <c r="GV460" s="26"/>
      <c r="GW460" s="26"/>
      <c r="GX460" s="26"/>
      <c r="GY460" s="26"/>
      <c r="GZ460" s="26"/>
      <c r="HA460" s="26"/>
      <c r="HB460" s="26"/>
      <c r="HC460" s="26"/>
      <c r="HD460" s="26"/>
      <c r="HE460" s="26"/>
      <c r="HF460" s="26"/>
      <c r="HG460" s="26"/>
      <c r="HH460" s="26"/>
    </row>
    <row r="461" spans="1:21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c r="BM461" s="26"/>
      <c r="BN461" s="26"/>
      <c r="BO461" s="26"/>
      <c r="BP461" s="26"/>
      <c r="BQ461" s="26"/>
      <c r="BR461" s="26"/>
      <c r="BS461" s="26"/>
      <c r="BT461" s="26"/>
      <c r="BU461" s="26"/>
      <c r="BV461" s="26"/>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26"/>
      <c r="CU461" s="26"/>
      <c r="CV461" s="26"/>
      <c r="CW461" s="26"/>
      <c r="CX461" s="26"/>
      <c r="CY461" s="26"/>
      <c r="CZ461" s="26"/>
      <c r="DA461" s="26"/>
      <c r="DB461" s="26"/>
      <c r="DC461" s="26"/>
      <c r="DD461" s="26"/>
      <c r="DE461" s="26"/>
      <c r="DF461" s="26"/>
      <c r="DG461" s="26"/>
      <c r="DH461" s="26"/>
      <c r="DI461" s="26"/>
      <c r="DJ461" s="26"/>
      <c r="DK461" s="26"/>
      <c r="DL461" s="26"/>
      <c r="DM461" s="26"/>
      <c r="DN461" s="26"/>
      <c r="DO461" s="26"/>
      <c r="DP461" s="26"/>
      <c r="DQ461" s="26"/>
      <c r="DR461" s="26"/>
      <c r="DS461" s="26"/>
      <c r="DT461" s="26"/>
      <c r="DU461" s="26"/>
      <c r="DV461" s="26"/>
      <c r="DW461" s="26"/>
      <c r="DX461" s="26"/>
      <c r="DY461" s="26"/>
      <c r="DZ461" s="26"/>
      <c r="EA461" s="26"/>
      <c r="EB461" s="26"/>
      <c r="EC461" s="26"/>
      <c r="ED461" s="26"/>
      <c r="EE461" s="26"/>
      <c r="EF461" s="26"/>
      <c r="EG461" s="26"/>
      <c r="EH461" s="26"/>
      <c r="EI461" s="26"/>
      <c r="EJ461" s="26"/>
      <c r="EK461" s="26"/>
      <c r="EL461" s="26"/>
      <c r="EM461" s="26"/>
      <c r="EN461" s="26"/>
      <c r="EO461" s="26"/>
      <c r="EP461" s="26"/>
      <c r="EQ461" s="26"/>
      <c r="ER461" s="26"/>
      <c r="ES461" s="26"/>
      <c r="ET461" s="26"/>
      <c r="EU461" s="26"/>
      <c r="EV461" s="26"/>
      <c r="EW461" s="26"/>
      <c r="EX461" s="26"/>
      <c r="EY461" s="26"/>
      <c r="EZ461" s="26"/>
      <c r="FA461" s="26"/>
      <c r="FB461" s="26"/>
      <c r="FC461" s="26"/>
      <c r="FD461" s="26"/>
      <c r="FE461" s="26"/>
      <c r="FF461" s="26"/>
      <c r="FG461" s="26"/>
      <c r="FH461" s="26"/>
      <c r="FI461" s="26"/>
      <c r="FJ461" s="26"/>
      <c r="FK461" s="26"/>
      <c r="FL461" s="26"/>
      <c r="FM461" s="26"/>
      <c r="FN461" s="26"/>
      <c r="FO461" s="26"/>
      <c r="FP461" s="26"/>
      <c r="FQ461" s="26"/>
      <c r="FR461" s="26"/>
      <c r="FS461" s="26"/>
      <c r="FT461" s="26"/>
      <c r="FU461" s="26"/>
      <c r="FV461" s="26"/>
      <c r="FW461" s="26"/>
      <c r="FX461" s="26"/>
      <c r="FY461" s="26"/>
      <c r="FZ461" s="26"/>
      <c r="GA461" s="26"/>
      <c r="GB461" s="26"/>
      <c r="GC461" s="26"/>
      <c r="GD461" s="26"/>
      <c r="GE461" s="26"/>
      <c r="GF461" s="26"/>
      <c r="GG461" s="26"/>
      <c r="GH461" s="26"/>
      <c r="GI461" s="26"/>
      <c r="GJ461" s="26"/>
      <c r="GK461" s="26"/>
      <c r="GL461" s="26"/>
      <c r="GM461" s="26"/>
      <c r="GN461" s="26"/>
      <c r="GO461" s="26"/>
      <c r="GP461" s="26"/>
      <c r="GQ461" s="26"/>
      <c r="GR461" s="26"/>
      <c r="GS461" s="26"/>
      <c r="GT461" s="26"/>
      <c r="GU461" s="26"/>
      <c r="GV461" s="26"/>
      <c r="GW461" s="26"/>
      <c r="GX461" s="26"/>
      <c r="GY461" s="26"/>
      <c r="GZ461" s="26"/>
      <c r="HA461" s="26"/>
      <c r="HB461" s="26"/>
      <c r="HC461" s="26"/>
      <c r="HD461" s="26"/>
      <c r="HE461" s="26"/>
      <c r="HF461" s="26"/>
      <c r="HG461" s="26"/>
      <c r="HH461" s="26"/>
    </row>
    <row r="462" spans="1:21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c r="BM462" s="26"/>
      <c r="BN462" s="26"/>
      <c r="BO462" s="26"/>
      <c r="BP462" s="26"/>
      <c r="BQ462" s="26"/>
      <c r="BR462" s="26"/>
      <c r="BS462" s="26"/>
      <c r="BT462" s="26"/>
      <c r="BU462" s="26"/>
      <c r="BV462" s="26"/>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26"/>
      <c r="CU462" s="26"/>
      <c r="CV462" s="26"/>
      <c r="CW462" s="26"/>
      <c r="CX462" s="26"/>
      <c r="CY462" s="26"/>
      <c r="CZ462" s="26"/>
      <c r="DA462" s="26"/>
      <c r="DB462" s="26"/>
      <c r="DC462" s="26"/>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26"/>
      <c r="FB462" s="26"/>
      <c r="FC462" s="26"/>
      <c r="FD462" s="26"/>
      <c r="FE462" s="26"/>
      <c r="FF462" s="26"/>
      <c r="FG462" s="26"/>
      <c r="FH462" s="26"/>
      <c r="FI462" s="26"/>
      <c r="FJ462" s="26"/>
      <c r="FK462" s="26"/>
      <c r="FL462" s="26"/>
      <c r="FM462" s="26"/>
      <c r="FN462" s="26"/>
      <c r="FO462" s="26"/>
      <c r="FP462" s="26"/>
      <c r="FQ462" s="26"/>
      <c r="FR462" s="26"/>
      <c r="FS462" s="26"/>
      <c r="FT462" s="26"/>
      <c r="FU462" s="26"/>
      <c r="FV462" s="26"/>
      <c r="FW462" s="26"/>
      <c r="FX462" s="26"/>
      <c r="FY462" s="26"/>
      <c r="FZ462" s="26"/>
      <c r="GA462" s="26"/>
      <c r="GB462" s="26"/>
      <c r="GC462" s="26"/>
      <c r="GD462" s="26"/>
      <c r="GE462" s="26"/>
      <c r="GF462" s="26"/>
      <c r="GG462" s="26"/>
      <c r="GH462" s="26"/>
      <c r="GI462" s="26"/>
      <c r="GJ462" s="26"/>
      <c r="GK462" s="26"/>
      <c r="GL462" s="26"/>
      <c r="GM462" s="26"/>
      <c r="GN462" s="26"/>
      <c r="GO462" s="26"/>
      <c r="GP462" s="26"/>
      <c r="GQ462" s="26"/>
      <c r="GR462" s="26"/>
      <c r="GS462" s="26"/>
      <c r="GT462" s="26"/>
      <c r="GU462" s="26"/>
      <c r="GV462" s="26"/>
      <c r="GW462" s="26"/>
      <c r="GX462" s="26"/>
      <c r="GY462" s="26"/>
      <c r="GZ462" s="26"/>
      <c r="HA462" s="26"/>
      <c r="HB462" s="26"/>
      <c r="HC462" s="26"/>
      <c r="HD462" s="26"/>
      <c r="HE462" s="26"/>
      <c r="HF462" s="26"/>
      <c r="HG462" s="26"/>
      <c r="HH462" s="26"/>
    </row>
    <row r="463" spans="1:21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c r="BM463" s="26"/>
      <c r="BN463" s="26"/>
      <c r="BO463" s="26"/>
      <c r="BP463" s="26"/>
      <c r="BQ463" s="26"/>
      <c r="BR463" s="26"/>
      <c r="BS463" s="26"/>
      <c r="BT463" s="26"/>
      <c r="BU463" s="26"/>
      <c r="BV463" s="26"/>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26"/>
      <c r="CU463" s="26"/>
      <c r="CV463" s="26"/>
      <c r="CW463" s="26"/>
      <c r="CX463" s="26"/>
      <c r="CY463" s="26"/>
      <c r="CZ463" s="26"/>
      <c r="DA463" s="26"/>
      <c r="DB463" s="26"/>
      <c r="DC463" s="26"/>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26"/>
      <c r="FB463" s="26"/>
      <c r="FC463" s="26"/>
      <c r="FD463" s="26"/>
      <c r="FE463" s="26"/>
      <c r="FF463" s="26"/>
      <c r="FG463" s="26"/>
      <c r="FH463" s="26"/>
      <c r="FI463" s="26"/>
      <c r="FJ463" s="26"/>
      <c r="FK463" s="26"/>
      <c r="FL463" s="26"/>
      <c r="FM463" s="26"/>
      <c r="FN463" s="26"/>
      <c r="FO463" s="26"/>
      <c r="FP463" s="26"/>
      <c r="FQ463" s="26"/>
      <c r="FR463" s="26"/>
      <c r="FS463" s="26"/>
      <c r="FT463" s="26"/>
      <c r="FU463" s="26"/>
      <c r="FV463" s="26"/>
      <c r="FW463" s="26"/>
      <c r="FX463" s="26"/>
      <c r="FY463" s="26"/>
      <c r="FZ463" s="26"/>
      <c r="GA463" s="26"/>
      <c r="GB463" s="26"/>
      <c r="GC463" s="26"/>
      <c r="GD463" s="26"/>
      <c r="GE463" s="26"/>
      <c r="GF463" s="26"/>
      <c r="GG463" s="26"/>
      <c r="GH463" s="26"/>
      <c r="GI463" s="26"/>
      <c r="GJ463" s="26"/>
      <c r="GK463" s="26"/>
      <c r="GL463" s="26"/>
      <c r="GM463" s="26"/>
      <c r="GN463" s="26"/>
      <c r="GO463" s="26"/>
      <c r="GP463" s="26"/>
      <c r="GQ463" s="26"/>
      <c r="GR463" s="26"/>
      <c r="GS463" s="26"/>
      <c r="GT463" s="26"/>
      <c r="GU463" s="26"/>
      <c r="GV463" s="26"/>
      <c r="GW463" s="26"/>
      <c r="GX463" s="26"/>
      <c r="GY463" s="26"/>
      <c r="GZ463" s="26"/>
      <c r="HA463" s="26"/>
      <c r="HB463" s="26"/>
      <c r="HC463" s="26"/>
      <c r="HD463" s="26"/>
      <c r="HE463" s="26"/>
      <c r="HF463" s="26"/>
      <c r="HG463" s="26"/>
      <c r="HH463" s="26"/>
    </row>
    <row r="464" spans="1:21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c r="BM464" s="26"/>
      <c r="BN464" s="26"/>
      <c r="BO464" s="26"/>
      <c r="BP464" s="26"/>
      <c r="BQ464" s="26"/>
      <c r="BR464" s="26"/>
      <c r="BS464" s="26"/>
      <c r="BT464" s="26"/>
      <c r="BU464" s="26"/>
      <c r="BV464" s="26"/>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26"/>
      <c r="CU464" s="26"/>
      <c r="CV464" s="26"/>
      <c r="CW464" s="26"/>
      <c r="CX464" s="26"/>
      <c r="CY464" s="26"/>
      <c r="CZ464" s="26"/>
      <c r="DA464" s="26"/>
      <c r="DB464" s="26"/>
      <c r="DC464" s="26"/>
      <c r="DD464" s="26"/>
      <c r="DE464" s="26"/>
      <c r="DF464" s="26"/>
      <c r="DG464" s="26"/>
      <c r="DH464" s="26"/>
      <c r="DI464" s="26"/>
      <c r="DJ464" s="26"/>
      <c r="DK464" s="26"/>
      <c r="DL464" s="26"/>
      <c r="DM464" s="26"/>
      <c r="DN464" s="26"/>
      <c r="DO464" s="26"/>
      <c r="DP464" s="26"/>
      <c r="DQ464" s="26"/>
      <c r="DR464" s="26"/>
      <c r="DS464" s="26"/>
      <c r="DT464" s="26"/>
      <c r="DU464" s="26"/>
      <c r="DV464" s="26"/>
      <c r="DW464" s="26"/>
      <c r="DX464" s="26"/>
      <c r="DY464" s="26"/>
      <c r="DZ464" s="26"/>
      <c r="EA464" s="26"/>
      <c r="EB464" s="26"/>
      <c r="EC464" s="26"/>
      <c r="ED464" s="26"/>
      <c r="EE464" s="26"/>
      <c r="EF464" s="26"/>
      <c r="EG464" s="26"/>
      <c r="EH464" s="26"/>
      <c r="EI464" s="26"/>
      <c r="EJ464" s="26"/>
      <c r="EK464" s="26"/>
      <c r="EL464" s="26"/>
      <c r="EM464" s="26"/>
      <c r="EN464" s="26"/>
      <c r="EO464" s="26"/>
      <c r="EP464" s="26"/>
      <c r="EQ464" s="26"/>
      <c r="ER464" s="26"/>
      <c r="ES464" s="26"/>
      <c r="ET464" s="26"/>
      <c r="EU464" s="26"/>
      <c r="EV464" s="26"/>
      <c r="EW464" s="26"/>
      <c r="EX464" s="26"/>
      <c r="EY464" s="26"/>
      <c r="EZ464" s="26"/>
      <c r="FA464" s="26"/>
      <c r="FB464" s="26"/>
      <c r="FC464" s="26"/>
      <c r="FD464" s="26"/>
      <c r="FE464" s="26"/>
      <c r="FF464" s="26"/>
      <c r="FG464" s="26"/>
      <c r="FH464" s="26"/>
      <c r="FI464" s="26"/>
      <c r="FJ464" s="26"/>
      <c r="FK464" s="26"/>
      <c r="FL464" s="26"/>
      <c r="FM464" s="26"/>
      <c r="FN464" s="26"/>
      <c r="FO464" s="26"/>
      <c r="FP464" s="26"/>
      <c r="FQ464" s="26"/>
      <c r="FR464" s="26"/>
      <c r="FS464" s="26"/>
      <c r="FT464" s="26"/>
      <c r="FU464" s="26"/>
      <c r="FV464" s="26"/>
      <c r="FW464" s="26"/>
      <c r="FX464" s="26"/>
      <c r="FY464" s="26"/>
      <c r="FZ464" s="26"/>
      <c r="GA464" s="26"/>
      <c r="GB464" s="26"/>
      <c r="GC464" s="26"/>
      <c r="GD464" s="26"/>
      <c r="GE464" s="26"/>
      <c r="GF464" s="26"/>
      <c r="GG464" s="26"/>
      <c r="GH464" s="26"/>
      <c r="GI464" s="26"/>
      <c r="GJ464" s="26"/>
      <c r="GK464" s="26"/>
      <c r="GL464" s="26"/>
      <c r="GM464" s="26"/>
      <c r="GN464" s="26"/>
      <c r="GO464" s="26"/>
      <c r="GP464" s="26"/>
      <c r="GQ464" s="26"/>
      <c r="GR464" s="26"/>
      <c r="GS464" s="26"/>
      <c r="GT464" s="26"/>
      <c r="GU464" s="26"/>
      <c r="GV464" s="26"/>
      <c r="GW464" s="26"/>
      <c r="GX464" s="26"/>
      <c r="GY464" s="26"/>
      <c r="GZ464" s="26"/>
      <c r="HA464" s="26"/>
      <c r="HB464" s="26"/>
      <c r="HC464" s="26"/>
      <c r="HD464" s="26"/>
      <c r="HE464" s="26"/>
      <c r="HF464" s="26"/>
      <c r="HG464" s="26"/>
      <c r="HH464" s="26"/>
    </row>
    <row r="465" spans="1:21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c r="BM465" s="26"/>
      <c r="BN465" s="26"/>
      <c r="BO465" s="26"/>
      <c r="BP465" s="26"/>
      <c r="BQ465" s="26"/>
      <c r="BR465" s="26"/>
      <c r="BS465" s="26"/>
      <c r="BT465" s="26"/>
      <c r="BU465" s="26"/>
      <c r="BV465" s="26"/>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26"/>
      <c r="CU465" s="26"/>
      <c r="CV465" s="26"/>
      <c r="CW465" s="26"/>
      <c r="CX465" s="26"/>
      <c r="CY465" s="26"/>
      <c r="CZ465" s="26"/>
      <c r="DA465" s="26"/>
      <c r="DB465" s="26"/>
      <c r="DC465" s="26"/>
      <c r="DD465" s="26"/>
      <c r="DE465" s="26"/>
      <c r="DF465" s="26"/>
      <c r="DG465" s="26"/>
      <c r="DH465" s="26"/>
      <c r="DI465" s="26"/>
      <c r="DJ465" s="26"/>
      <c r="DK465" s="26"/>
      <c r="DL465" s="26"/>
      <c r="DM465" s="26"/>
      <c r="DN465" s="26"/>
      <c r="DO465" s="26"/>
      <c r="DP465" s="26"/>
      <c r="DQ465" s="26"/>
      <c r="DR465" s="26"/>
      <c r="DS465" s="26"/>
      <c r="DT465" s="26"/>
      <c r="DU465" s="26"/>
      <c r="DV465" s="26"/>
      <c r="DW465" s="26"/>
      <c r="DX465" s="26"/>
      <c r="DY465" s="26"/>
      <c r="DZ465" s="26"/>
      <c r="EA465" s="26"/>
      <c r="EB465" s="26"/>
      <c r="EC465" s="26"/>
      <c r="ED465" s="26"/>
      <c r="EE465" s="26"/>
      <c r="EF465" s="26"/>
      <c r="EG465" s="26"/>
      <c r="EH465" s="26"/>
      <c r="EI465" s="26"/>
      <c r="EJ465" s="26"/>
      <c r="EK465" s="26"/>
      <c r="EL465" s="26"/>
      <c r="EM465" s="26"/>
      <c r="EN465" s="26"/>
      <c r="EO465" s="26"/>
      <c r="EP465" s="26"/>
      <c r="EQ465" s="26"/>
      <c r="ER465" s="26"/>
      <c r="ES465" s="26"/>
      <c r="ET465" s="26"/>
      <c r="EU465" s="26"/>
      <c r="EV465" s="26"/>
      <c r="EW465" s="26"/>
      <c r="EX465" s="26"/>
      <c r="EY465" s="26"/>
      <c r="EZ465" s="26"/>
      <c r="FA465" s="26"/>
      <c r="FB465" s="26"/>
      <c r="FC465" s="26"/>
      <c r="FD465" s="26"/>
      <c r="FE465" s="26"/>
      <c r="FF465" s="26"/>
      <c r="FG465" s="26"/>
      <c r="FH465" s="26"/>
      <c r="FI465" s="26"/>
      <c r="FJ465" s="26"/>
      <c r="FK465" s="26"/>
      <c r="FL465" s="26"/>
      <c r="FM465" s="26"/>
      <c r="FN465" s="26"/>
      <c r="FO465" s="26"/>
      <c r="FP465" s="26"/>
      <c r="FQ465" s="26"/>
      <c r="FR465" s="26"/>
      <c r="FS465" s="26"/>
      <c r="FT465" s="26"/>
      <c r="FU465" s="26"/>
      <c r="FV465" s="26"/>
      <c r="FW465" s="26"/>
      <c r="FX465" s="26"/>
      <c r="FY465" s="26"/>
      <c r="FZ465" s="26"/>
      <c r="GA465" s="26"/>
      <c r="GB465" s="26"/>
      <c r="GC465" s="26"/>
      <c r="GD465" s="26"/>
      <c r="GE465" s="26"/>
      <c r="GF465" s="26"/>
      <c r="GG465" s="26"/>
      <c r="GH465" s="26"/>
      <c r="GI465" s="26"/>
      <c r="GJ465" s="26"/>
      <c r="GK465" s="26"/>
      <c r="GL465" s="26"/>
      <c r="GM465" s="26"/>
      <c r="GN465" s="26"/>
      <c r="GO465" s="26"/>
      <c r="GP465" s="26"/>
      <c r="GQ465" s="26"/>
      <c r="GR465" s="26"/>
      <c r="GS465" s="26"/>
      <c r="GT465" s="26"/>
      <c r="GU465" s="26"/>
      <c r="GV465" s="26"/>
      <c r="GW465" s="26"/>
      <c r="GX465" s="26"/>
      <c r="GY465" s="26"/>
      <c r="GZ465" s="26"/>
      <c r="HA465" s="26"/>
      <c r="HB465" s="26"/>
      <c r="HC465" s="26"/>
      <c r="HD465" s="26"/>
      <c r="HE465" s="26"/>
      <c r="HF465" s="26"/>
      <c r="HG465" s="26"/>
      <c r="HH465" s="26"/>
    </row>
    <row r="466" spans="1:21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c r="BM466" s="26"/>
      <c r="BN466" s="26"/>
      <c r="BO466" s="26"/>
      <c r="BP466" s="26"/>
      <c r="BQ466" s="26"/>
      <c r="BR466" s="26"/>
      <c r="BS466" s="26"/>
      <c r="BT466" s="26"/>
      <c r="BU466" s="26"/>
      <c r="BV466" s="26"/>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26"/>
      <c r="CU466" s="26"/>
      <c r="CV466" s="26"/>
      <c r="CW466" s="26"/>
      <c r="CX466" s="26"/>
      <c r="CY466" s="26"/>
      <c r="CZ466" s="26"/>
      <c r="DA466" s="26"/>
      <c r="DB466" s="26"/>
      <c r="DC466" s="26"/>
      <c r="DD466" s="26"/>
      <c r="DE466" s="26"/>
      <c r="DF466" s="26"/>
      <c r="DG466" s="26"/>
      <c r="DH466" s="26"/>
      <c r="DI466" s="26"/>
      <c r="DJ466" s="26"/>
      <c r="DK466" s="26"/>
      <c r="DL466" s="26"/>
      <c r="DM466" s="26"/>
      <c r="DN466" s="26"/>
      <c r="DO466" s="26"/>
      <c r="DP466" s="26"/>
      <c r="DQ466" s="26"/>
      <c r="DR466" s="26"/>
      <c r="DS466" s="26"/>
      <c r="DT466" s="26"/>
      <c r="DU466" s="26"/>
      <c r="DV466" s="26"/>
      <c r="DW466" s="26"/>
      <c r="DX466" s="26"/>
      <c r="DY466" s="26"/>
      <c r="DZ466" s="26"/>
      <c r="EA466" s="26"/>
      <c r="EB466" s="26"/>
      <c r="EC466" s="26"/>
      <c r="ED466" s="26"/>
      <c r="EE466" s="26"/>
      <c r="EF466" s="26"/>
      <c r="EG466" s="26"/>
      <c r="EH466" s="26"/>
      <c r="EI466" s="26"/>
      <c r="EJ466" s="26"/>
      <c r="EK466" s="26"/>
      <c r="EL466" s="26"/>
      <c r="EM466" s="26"/>
      <c r="EN466" s="26"/>
      <c r="EO466" s="26"/>
      <c r="EP466" s="26"/>
      <c r="EQ466" s="26"/>
      <c r="ER466" s="26"/>
      <c r="ES466" s="26"/>
      <c r="ET466" s="26"/>
      <c r="EU466" s="26"/>
      <c r="EV466" s="26"/>
      <c r="EW466" s="26"/>
      <c r="EX466" s="26"/>
      <c r="EY466" s="26"/>
      <c r="EZ466" s="26"/>
      <c r="FA466" s="26"/>
      <c r="FB466" s="26"/>
      <c r="FC466" s="26"/>
      <c r="FD466" s="26"/>
      <c r="FE466" s="26"/>
      <c r="FF466" s="26"/>
      <c r="FG466" s="26"/>
      <c r="FH466" s="26"/>
      <c r="FI466" s="26"/>
      <c r="FJ466" s="26"/>
      <c r="FK466" s="26"/>
      <c r="FL466" s="26"/>
      <c r="FM466" s="26"/>
      <c r="FN466" s="26"/>
      <c r="FO466" s="26"/>
      <c r="FP466" s="26"/>
      <c r="FQ466" s="26"/>
      <c r="FR466" s="26"/>
      <c r="FS466" s="26"/>
      <c r="FT466" s="26"/>
      <c r="FU466" s="26"/>
      <c r="FV466" s="26"/>
      <c r="FW466" s="26"/>
      <c r="FX466" s="26"/>
      <c r="FY466" s="26"/>
      <c r="FZ466" s="26"/>
      <c r="GA466" s="26"/>
      <c r="GB466" s="26"/>
      <c r="GC466" s="26"/>
      <c r="GD466" s="26"/>
      <c r="GE466" s="26"/>
      <c r="GF466" s="26"/>
      <c r="GG466" s="26"/>
      <c r="GH466" s="26"/>
      <c r="GI466" s="26"/>
      <c r="GJ466" s="26"/>
      <c r="GK466" s="26"/>
      <c r="GL466" s="26"/>
      <c r="GM466" s="26"/>
      <c r="GN466" s="26"/>
      <c r="GO466" s="26"/>
      <c r="GP466" s="26"/>
      <c r="GQ466" s="26"/>
      <c r="GR466" s="26"/>
      <c r="GS466" s="26"/>
      <c r="GT466" s="26"/>
      <c r="GU466" s="26"/>
      <c r="GV466" s="26"/>
      <c r="GW466" s="26"/>
      <c r="GX466" s="26"/>
      <c r="GY466" s="26"/>
      <c r="GZ466" s="26"/>
      <c r="HA466" s="26"/>
      <c r="HB466" s="26"/>
      <c r="HC466" s="26"/>
      <c r="HD466" s="26"/>
      <c r="HE466" s="26"/>
      <c r="HF466" s="26"/>
      <c r="HG466" s="26"/>
      <c r="HH466" s="26"/>
    </row>
    <row r="467" spans="1:21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c r="BM467" s="26"/>
      <c r="BN467" s="26"/>
      <c r="BO467" s="26"/>
      <c r="BP467" s="26"/>
      <c r="BQ467" s="26"/>
      <c r="BR467" s="26"/>
      <c r="BS467" s="26"/>
      <c r="BT467" s="26"/>
      <c r="BU467" s="26"/>
      <c r="BV467" s="26"/>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26"/>
      <c r="CU467" s="26"/>
      <c r="CV467" s="26"/>
      <c r="CW467" s="26"/>
      <c r="CX467" s="26"/>
      <c r="CY467" s="26"/>
      <c r="CZ467" s="26"/>
      <c r="DA467" s="26"/>
      <c r="DB467" s="26"/>
      <c r="DC467" s="26"/>
      <c r="DD467" s="26"/>
      <c r="DE467" s="26"/>
      <c r="DF467" s="26"/>
      <c r="DG467" s="26"/>
      <c r="DH467" s="26"/>
      <c r="DI467" s="26"/>
      <c r="DJ467" s="26"/>
      <c r="DK467" s="26"/>
      <c r="DL467" s="26"/>
      <c r="DM467" s="26"/>
      <c r="DN467" s="26"/>
      <c r="DO467" s="26"/>
      <c r="DP467" s="26"/>
      <c r="DQ467" s="26"/>
      <c r="DR467" s="26"/>
      <c r="DS467" s="26"/>
      <c r="DT467" s="26"/>
      <c r="DU467" s="26"/>
      <c r="DV467" s="26"/>
      <c r="DW467" s="26"/>
      <c r="DX467" s="26"/>
      <c r="DY467" s="26"/>
      <c r="DZ467" s="26"/>
      <c r="EA467" s="26"/>
      <c r="EB467" s="26"/>
      <c r="EC467" s="26"/>
      <c r="ED467" s="26"/>
      <c r="EE467" s="26"/>
      <c r="EF467" s="26"/>
      <c r="EG467" s="26"/>
      <c r="EH467" s="26"/>
      <c r="EI467" s="26"/>
      <c r="EJ467" s="26"/>
      <c r="EK467" s="26"/>
      <c r="EL467" s="26"/>
      <c r="EM467" s="26"/>
      <c r="EN467" s="26"/>
      <c r="EO467" s="26"/>
      <c r="EP467" s="26"/>
      <c r="EQ467" s="26"/>
      <c r="ER467" s="26"/>
      <c r="ES467" s="26"/>
      <c r="ET467" s="26"/>
      <c r="EU467" s="26"/>
      <c r="EV467" s="26"/>
      <c r="EW467" s="26"/>
      <c r="EX467" s="26"/>
      <c r="EY467" s="26"/>
      <c r="EZ467" s="26"/>
      <c r="FA467" s="26"/>
      <c r="FB467" s="26"/>
      <c r="FC467" s="26"/>
      <c r="FD467" s="26"/>
      <c r="FE467" s="26"/>
      <c r="FF467" s="26"/>
      <c r="FG467" s="26"/>
      <c r="FH467" s="26"/>
      <c r="FI467" s="26"/>
      <c r="FJ467" s="26"/>
      <c r="FK467" s="26"/>
      <c r="FL467" s="26"/>
      <c r="FM467" s="26"/>
      <c r="FN467" s="26"/>
      <c r="FO467" s="26"/>
      <c r="FP467" s="26"/>
      <c r="FQ467" s="26"/>
      <c r="FR467" s="26"/>
      <c r="FS467" s="26"/>
      <c r="FT467" s="26"/>
      <c r="FU467" s="26"/>
      <c r="FV467" s="26"/>
      <c r="FW467" s="26"/>
      <c r="FX467" s="26"/>
      <c r="FY467" s="26"/>
      <c r="FZ467" s="26"/>
      <c r="GA467" s="26"/>
      <c r="GB467" s="26"/>
      <c r="GC467" s="26"/>
      <c r="GD467" s="26"/>
      <c r="GE467" s="26"/>
      <c r="GF467" s="26"/>
      <c r="GG467" s="26"/>
      <c r="GH467" s="26"/>
      <c r="GI467" s="26"/>
      <c r="GJ467" s="26"/>
      <c r="GK467" s="26"/>
      <c r="GL467" s="26"/>
      <c r="GM467" s="26"/>
      <c r="GN467" s="26"/>
      <c r="GO467" s="26"/>
      <c r="GP467" s="26"/>
      <c r="GQ467" s="26"/>
      <c r="GR467" s="26"/>
      <c r="GS467" s="26"/>
      <c r="GT467" s="26"/>
      <c r="GU467" s="26"/>
      <c r="GV467" s="26"/>
      <c r="GW467" s="26"/>
      <c r="GX467" s="26"/>
      <c r="GY467" s="26"/>
      <c r="GZ467" s="26"/>
      <c r="HA467" s="26"/>
      <c r="HB467" s="26"/>
      <c r="HC467" s="26"/>
      <c r="HD467" s="26"/>
      <c r="HE467" s="26"/>
      <c r="HF467" s="26"/>
      <c r="HG467" s="26"/>
      <c r="HH467" s="26"/>
    </row>
    <row r="468" spans="1:21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c r="BM468" s="26"/>
      <c r="BN468" s="26"/>
      <c r="BO468" s="26"/>
      <c r="BP468" s="26"/>
      <c r="BQ468" s="26"/>
      <c r="BR468" s="26"/>
      <c r="BS468" s="26"/>
      <c r="BT468" s="26"/>
      <c r="BU468" s="26"/>
      <c r="BV468" s="26"/>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26"/>
      <c r="CU468" s="26"/>
      <c r="CV468" s="26"/>
      <c r="CW468" s="26"/>
      <c r="CX468" s="26"/>
      <c r="CY468" s="26"/>
      <c r="CZ468" s="26"/>
      <c r="DA468" s="26"/>
      <c r="DB468" s="26"/>
      <c r="DC468" s="26"/>
      <c r="DD468" s="26"/>
      <c r="DE468" s="26"/>
      <c r="DF468" s="26"/>
      <c r="DG468" s="26"/>
      <c r="DH468" s="26"/>
      <c r="DI468" s="26"/>
      <c r="DJ468" s="26"/>
      <c r="DK468" s="26"/>
      <c r="DL468" s="26"/>
      <c r="DM468" s="26"/>
      <c r="DN468" s="26"/>
      <c r="DO468" s="26"/>
      <c r="DP468" s="26"/>
      <c r="DQ468" s="26"/>
      <c r="DR468" s="26"/>
      <c r="DS468" s="26"/>
      <c r="DT468" s="26"/>
      <c r="DU468" s="26"/>
      <c r="DV468" s="26"/>
      <c r="DW468" s="26"/>
      <c r="DX468" s="26"/>
      <c r="DY468" s="26"/>
      <c r="DZ468" s="26"/>
      <c r="EA468" s="26"/>
      <c r="EB468" s="26"/>
      <c r="EC468" s="26"/>
      <c r="ED468" s="26"/>
      <c r="EE468" s="26"/>
      <c r="EF468" s="26"/>
      <c r="EG468" s="26"/>
      <c r="EH468" s="26"/>
      <c r="EI468" s="26"/>
      <c r="EJ468" s="26"/>
      <c r="EK468" s="26"/>
      <c r="EL468" s="26"/>
      <c r="EM468" s="26"/>
      <c r="EN468" s="26"/>
      <c r="EO468" s="26"/>
      <c r="EP468" s="26"/>
      <c r="EQ468" s="26"/>
      <c r="ER468" s="26"/>
      <c r="ES468" s="26"/>
      <c r="ET468" s="26"/>
      <c r="EU468" s="26"/>
      <c r="EV468" s="26"/>
      <c r="EW468" s="26"/>
      <c r="EX468" s="26"/>
      <c r="EY468" s="26"/>
      <c r="EZ468" s="26"/>
      <c r="FA468" s="26"/>
      <c r="FB468" s="26"/>
      <c r="FC468" s="26"/>
      <c r="FD468" s="26"/>
      <c r="FE468" s="26"/>
      <c r="FF468" s="26"/>
      <c r="FG468" s="26"/>
      <c r="FH468" s="26"/>
      <c r="FI468" s="26"/>
      <c r="FJ468" s="26"/>
      <c r="FK468" s="26"/>
      <c r="FL468" s="26"/>
      <c r="FM468" s="26"/>
      <c r="FN468" s="26"/>
      <c r="FO468" s="26"/>
      <c r="FP468" s="26"/>
      <c r="FQ468" s="26"/>
      <c r="FR468" s="26"/>
      <c r="FS468" s="26"/>
      <c r="FT468" s="26"/>
      <c r="FU468" s="26"/>
      <c r="FV468" s="26"/>
      <c r="FW468" s="26"/>
      <c r="FX468" s="26"/>
      <c r="FY468" s="26"/>
      <c r="FZ468" s="26"/>
      <c r="GA468" s="26"/>
      <c r="GB468" s="26"/>
      <c r="GC468" s="26"/>
      <c r="GD468" s="26"/>
      <c r="GE468" s="26"/>
      <c r="GF468" s="26"/>
      <c r="GG468" s="26"/>
      <c r="GH468" s="26"/>
      <c r="GI468" s="26"/>
      <c r="GJ468" s="26"/>
      <c r="GK468" s="26"/>
      <c r="GL468" s="26"/>
      <c r="GM468" s="26"/>
      <c r="GN468" s="26"/>
      <c r="GO468" s="26"/>
      <c r="GP468" s="26"/>
      <c r="GQ468" s="26"/>
      <c r="GR468" s="26"/>
      <c r="GS468" s="26"/>
      <c r="GT468" s="26"/>
      <c r="GU468" s="26"/>
      <c r="GV468" s="26"/>
      <c r="GW468" s="26"/>
      <c r="GX468" s="26"/>
      <c r="GY468" s="26"/>
      <c r="GZ468" s="26"/>
      <c r="HA468" s="26"/>
      <c r="HB468" s="26"/>
      <c r="HC468" s="26"/>
      <c r="HD468" s="26"/>
      <c r="HE468" s="26"/>
      <c r="HF468" s="26"/>
      <c r="HG468" s="26"/>
      <c r="HH468" s="26"/>
    </row>
    <row r="469" spans="1:21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c r="CX469" s="26"/>
      <c r="CY469" s="26"/>
      <c r="CZ469" s="26"/>
      <c r="DA469" s="26"/>
      <c r="DB469" s="26"/>
      <c r="DC469" s="26"/>
      <c r="DD469" s="26"/>
      <c r="DE469" s="26"/>
      <c r="DF469" s="26"/>
      <c r="DG469" s="26"/>
      <c r="DH469" s="26"/>
      <c r="DI469" s="26"/>
      <c r="DJ469" s="26"/>
      <c r="DK469" s="26"/>
      <c r="DL469" s="26"/>
      <c r="DM469" s="26"/>
      <c r="DN469" s="26"/>
      <c r="DO469" s="26"/>
      <c r="DP469" s="26"/>
      <c r="DQ469" s="26"/>
      <c r="DR469" s="26"/>
      <c r="DS469" s="26"/>
      <c r="DT469" s="26"/>
      <c r="DU469" s="26"/>
      <c r="DV469" s="26"/>
      <c r="DW469" s="26"/>
      <c r="DX469" s="26"/>
      <c r="DY469" s="26"/>
      <c r="DZ469" s="26"/>
      <c r="EA469" s="26"/>
      <c r="EB469" s="26"/>
      <c r="EC469" s="26"/>
      <c r="ED469" s="26"/>
      <c r="EE469" s="26"/>
      <c r="EF469" s="26"/>
      <c r="EG469" s="26"/>
      <c r="EH469" s="26"/>
      <c r="EI469" s="26"/>
      <c r="EJ469" s="26"/>
      <c r="EK469" s="26"/>
      <c r="EL469" s="26"/>
      <c r="EM469" s="26"/>
      <c r="EN469" s="26"/>
      <c r="EO469" s="26"/>
      <c r="EP469" s="26"/>
      <c r="EQ469" s="26"/>
      <c r="ER469" s="26"/>
      <c r="ES469" s="26"/>
      <c r="ET469" s="26"/>
      <c r="EU469" s="26"/>
      <c r="EV469" s="26"/>
      <c r="EW469" s="26"/>
      <c r="EX469" s="26"/>
      <c r="EY469" s="26"/>
      <c r="EZ469" s="26"/>
      <c r="FA469" s="26"/>
      <c r="FB469" s="26"/>
      <c r="FC469" s="26"/>
      <c r="FD469" s="26"/>
      <c r="FE469" s="26"/>
      <c r="FF469" s="26"/>
      <c r="FG469" s="26"/>
      <c r="FH469" s="26"/>
      <c r="FI469" s="26"/>
      <c r="FJ469" s="26"/>
      <c r="FK469" s="26"/>
      <c r="FL469" s="26"/>
      <c r="FM469" s="26"/>
      <c r="FN469" s="26"/>
      <c r="FO469" s="26"/>
      <c r="FP469" s="26"/>
      <c r="FQ469" s="26"/>
      <c r="FR469" s="26"/>
      <c r="FS469" s="26"/>
      <c r="FT469" s="26"/>
      <c r="FU469" s="26"/>
      <c r="FV469" s="26"/>
      <c r="FW469" s="26"/>
      <c r="FX469" s="26"/>
      <c r="FY469" s="26"/>
      <c r="FZ469" s="26"/>
      <c r="GA469" s="26"/>
      <c r="GB469" s="26"/>
      <c r="GC469" s="26"/>
      <c r="GD469" s="26"/>
      <c r="GE469" s="26"/>
      <c r="GF469" s="26"/>
      <c r="GG469" s="26"/>
      <c r="GH469" s="26"/>
      <c r="GI469" s="26"/>
      <c r="GJ469" s="26"/>
      <c r="GK469" s="26"/>
      <c r="GL469" s="26"/>
      <c r="GM469" s="26"/>
      <c r="GN469" s="26"/>
      <c r="GO469" s="26"/>
      <c r="GP469" s="26"/>
      <c r="GQ469" s="26"/>
      <c r="GR469" s="26"/>
      <c r="GS469" s="26"/>
      <c r="GT469" s="26"/>
      <c r="GU469" s="26"/>
      <c r="GV469" s="26"/>
      <c r="GW469" s="26"/>
      <c r="GX469" s="26"/>
      <c r="GY469" s="26"/>
      <c r="GZ469" s="26"/>
      <c r="HA469" s="26"/>
      <c r="HB469" s="26"/>
      <c r="HC469" s="26"/>
      <c r="HD469" s="26"/>
      <c r="HE469" s="26"/>
      <c r="HF469" s="26"/>
      <c r="HG469" s="26"/>
      <c r="HH469" s="26"/>
    </row>
    <row r="470" spans="1:21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c r="BM470" s="26"/>
      <c r="BN470" s="26"/>
      <c r="BO470" s="26"/>
      <c r="BP470" s="26"/>
      <c r="BQ470" s="26"/>
      <c r="BR470" s="26"/>
      <c r="BS470" s="26"/>
      <c r="BT470" s="26"/>
      <c r="BU470" s="26"/>
      <c r="BV470" s="26"/>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26"/>
      <c r="CU470" s="26"/>
      <c r="CV470" s="26"/>
      <c r="CW470" s="26"/>
      <c r="CX470" s="26"/>
      <c r="CY470" s="26"/>
      <c r="CZ470" s="26"/>
      <c r="DA470" s="26"/>
      <c r="DB470" s="26"/>
      <c r="DC470" s="26"/>
      <c r="DD470" s="26"/>
      <c r="DE470" s="26"/>
      <c r="DF470" s="26"/>
      <c r="DG470" s="26"/>
      <c r="DH470" s="26"/>
      <c r="DI470" s="26"/>
      <c r="DJ470" s="26"/>
      <c r="DK470" s="26"/>
      <c r="DL470" s="26"/>
      <c r="DM470" s="26"/>
      <c r="DN470" s="26"/>
      <c r="DO470" s="26"/>
      <c r="DP470" s="26"/>
      <c r="DQ470" s="26"/>
      <c r="DR470" s="26"/>
      <c r="DS470" s="26"/>
      <c r="DT470" s="26"/>
      <c r="DU470" s="26"/>
      <c r="DV470" s="26"/>
      <c r="DW470" s="26"/>
      <c r="DX470" s="26"/>
      <c r="DY470" s="26"/>
      <c r="DZ470" s="26"/>
      <c r="EA470" s="26"/>
      <c r="EB470" s="26"/>
      <c r="EC470" s="26"/>
      <c r="ED470" s="26"/>
      <c r="EE470" s="26"/>
      <c r="EF470" s="26"/>
      <c r="EG470" s="26"/>
      <c r="EH470" s="26"/>
      <c r="EI470" s="26"/>
      <c r="EJ470" s="26"/>
      <c r="EK470" s="26"/>
      <c r="EL470" s="26"/>
      <c r="EM470" s="26"/>
      <c r="EN470" s="26"/>
      <c r="EO470" s="26"/>
      <c r="EP470" s="26"/>
      <c r="EQ470" s="26"/>
      <c r="ER470" s="26"/>
      <c r="ES470" s="26"/>
      <c r="ET470" s="26"/>
      <c r="EU470" s="26"/>
      <c r="EV470" s="26"/>
      <c r="EW470" s="26"/>
      <c r="EX470" s="26"/>
      <c r="EY470" s="26"/>
      <c r="EZ470" s="26"/>
      <c r="FA470" s="26"/>
      <c r="FB470" s="26"/>
      <c r="FC470" s="26"/>
      <c r="FD470" s="26"/>
      <c r="FE470" s="26"/>
      <c r="FF470" s="26"/>
      <c r="FG470" s="26"/>
      <c r="FH470" s="26"/>
      <c r="FI470" s="26"/>
      <c r="FJ470" s="26"/>
      <c r="FK470" s="26"/>
      <c r="FL470" s="26"/>
      <c r="FM470" s="26"/>
      <c r="FN470" s="26"/>
      <c r="FO470" s="26"/>
      <c r="FP470" s="26"/>
      <c r="FQ470" s="26"/>
      <c r="FR470" s="26"/>
      <c r="FS470" s="26"/>
      <c r="FT470" s="26"/>
      <c r="FU470" s="26"/>
      <c r="FV470" s="26"/>
      <c r="FW470" s="26"/>
      <c r="FX470" s="26"/>
      <c r="FY470" s="26"/>
      <c r="FZ470" s="26"/>
      <c r="GA470" s="26"/>
      <c r="GB470" s="26"/>
      <c r="GC470" s="26"/>
      <c r="GD470" s="26"/>
      <c r="GE470" s="26"/>
      <c r="GF470" s="26"/>
      <c r="GG470" s="26"/>
      <c r="GH470" s="26"/>
      <c r="GI470" s="26"/>
      <c r="GJ470" s="26"/>
      <c r="GK470" s="26"/>
      <c r="GL470" s="26"/>
      <c r="GM470" s="26"/>
      <c r="GN470" s="26"/>
      <c r="GO470" s="26"/>
      <c r="GP470" s="26"/>
      <c r="GQ470" s="26"/>
      <c r="GR470" s="26"/>
      <c r="GS470" s="26"/>
      <c r="GT470" s="26"/>
      <c r="GU470" s="26"/>
      <c r="GV470" s="26"/>
      <c r="GW470" s="26"/>
      <c r="GX470" s="26"/>
      <c r="GY470" s="26"/>
      <c r="GZ470" s="26"/>
      <c r="HA470" s="26"/>
      <c r="HB470" s="26"/>
      <c r="HC470" s="26"/>
      <c r="HD470" s="26"/>
      <c r="HE470" s="26"/>
      <c r="HF470" s="26"/>
      <c r="HG470" s="26"/>
      <c r="HH470" s="26"/>
    </row>
    <row r="471" spans="1:21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c r="BM471" s="26"/>
      <c r="BN471" s="26"/>
      <c r="BO471" s="26"/>
      <c r="BP471" s="26"/>
      <c r="BQ471" s="26"/>
      <c r="BR471" s="26"/>
      <c r="BS471" s="26"/>
      <c r="BT471" s="26"/>
      <c r="BU471" s="26"/>
      <c r="BV471" s="26"/>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26"/>
      <c r="CU471" s="26"/>
      <c r="CV471" s="26"/>
      <c r="CW471" s="26"/>
      <c r="CX471" s="26"/>
      <c r="CY471" s="26"/>
      <c r="CZ471" s="26"/>
      <c r="DA471" s="26"/>
      <c r="DB471" s="26"/>
      <c r="DC471" s="26"/>
      <c r="DD471" s="26"/>
      <c r="DE471" s="26"/>
      <c r="DF471" s="26"/>
      <c r="DG471" s="26"/>
      <c r="DH471" s="26"/>
      <c r="DI471" s="26"/>
      <c r="DJ471" s="26"/>
      <c r="DK471" s="26"/>
      <c r="DL471" s="26"/>
      <c r="DM471" s="26"/>
      <c r="DN471" s="26"/>
      <c r="DO471" s="26"/>
      <c r="DP471" s="26"/>
      <c r="DQ471" s="26"/>
      <c r="DR471" s="26"/>
      <c r="DS471" s="26"/>
      <c r="DT471" s="26"/>
      <c r="DU471" s="26"/>
      <c r="DV471" s="26"/>
      <c r="DW471" s="26"/>
      <c r="DX471" s="26"/>
      <c r="DY471" s="26"/>
      <c r="DZ471" s="26"/>
      <c r="EA471" s="26"/>
      <c r="EB471" s="26"/>
      <c r="EC471" s="26"/>
      <c r="ED471" s="26"/>
      <c r="EE471" s="26"/>
      <c r="EF471" s="26"/>
      <c r="EG471" s="26"/>
      <c r="EH471" s="26"/>
      <c r="EI471" s="26"/>
      <c r="EJ471" s="26"/>
      <c r="EK471" s="26"/>
      <c r="EL471" s="26"/>
      <c r="EM471" s="26"/>
      <c r="EN471" s="26"/>
      <c r="EO471" s="26"/>
      <c r="EP471" s="26"/>
      <c r="EQ471" s="26"/>
      <c r="ER471" s="26"/>
      <c r="ES471" s="26"/>
      <c r="ET471" s="26"/>
      <c r="EU471" s="26"/>
      <c r="EV471" s="26"/>
      <c r="EW471" s="26"/>
      <c r="EX471" s="26"/>
      <c r="EY471" s="26"/>
      <c r="EZ471" s="26"/>
      <c r="FA471" s="26"/>
      <c r="FB471" s="26"/>
      <c r="FC471" s="26"/>
      <c r="FD471" s="26"/>
      <c r="FE471" s="26"/>
      <c r="FF471" s="26"/>
      <c r="FG471" s="26"/>
      <c r="FH471" s="26"/>
      <c r="FI471" s="26"/>
      <c r="FJ471" s="26"/>
      <c r="FK471" s="26"/>
      <c r="FL471" s="26"/>
      <c r="FM471" s="26"/>
      <c r="FN471" s="26"/>
      <c r="FO471" s="26"/>
      <c r="FP471" s="26"/>
      <c r="FQ471" s="26"/>
      <c r="FR471" s="26"/>
      <c r="FS471" s="26"/>
      <c r="FT471" s="26"/>
      <c r="FU471" s="26"/>
      <c r="FV471" s="26"/>
      <c r="FW471" s="26"/>
      <c r="FX471" s="26"/>
      <c r="FY471" s="26"/>
      <c r="FZ471" s="26"/>
      <c r="GA471" s="26"/>
      <c r="GB471" s="26"/>
      <c r="GC471" s="26"/>
      <c r="GD471" s="26"/>
      <c r="GE471" s="26"/>
      <c r="GF471" s="26"/>
      <c r="GG471" s="26"/>
      <c r="GH471" s="26"/>
      <c r="GI471" s="26"/>
      <c r="GJ471" s="26"/>
      <c r="GK471" s="26"/>
      <c r="GL471" s="26"/>
      <c r="GM471" s="26"/>
      <c r="GN471" s="26"/>
      <c r="GO471" s="26"/>
      <c r="GP471" s="26"/>
      <c r="GQ471" s="26"/>
      <c r="GR471" s="26"/>
      <c r="GS471" s="26"/>
      <c r="GT471" s="26"/>
      <c r="GU471" s="26"/>
      <c r="GV471" s="26"/>
      <c r="GW471" s="26"/>
      <c r="GX471" s="26"/>
      <c r="GY471" s="26"/>
      <c r="GZ471" s="26"/>
      <c r="HA471" s="26"/>
      <c r="HB471" s="26"/>
      <c r="HC471" s="26"/>
      <c r="HD471" s="26"/>
      <c r="HE471" s="26"/>
      <c r="HF471" s="26"/>
      <c r="HG471" s="26"/>
      <c r="HH471" s="26"/>
    </row>
    <row r="472" spans="1:21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c r="BM472" s="26"/>
      <c r="BN472" s="26"/>
      <c r="BO472" s="26"/>
      <c r="BP472" s="26"/>
      <c r="BQ472" s="26"/>
      <c r="BR472" s="26"/>
      <c r="BS472" s="26"/>
      <c r="BT472" s="26"/>
      <c r="BU472" s="26"/>
      <c r="BV472" s="26"/>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26"/>
      <c r="CU472" s="26"/>
      <c r="CV472" s="26"/>
      <c r="CW472" s="26"/>
      <c r="CX472" s="26"/>
      <c r="CY472" s="26"/>
      <c r="CZ472" s="26"/>
      <c r="DA472" s="26"/>
      <c r="DB472" s="26"/>
      <c r="DC472" s="26"/>
      <c r="DD472" s="26"/>
      <c r="DE472" s="26"/>
      <c r="DF472" s="26"/>
      <c r="DG472" s="26"/>
      <c r="DH472" s="26"/>
      <c r="DI472" s="26"/>
      <c r="DJ472" s="26"/>
      <c r="DK472" s="26"/>
      <c r="DL472" s="26"/>
      <c r="DM472" s="26"/>
      <c r="DN472" s="26"/>
      <c r="DO472" s="26"/>
      <c r="DP472" s="26"/>
      <c r="DQ472" s="26"/>
      <c r="DR472" s="26"/>
      <c r="DS472" s="26"/>
      <c r="DT472" s="26"/>
      <c r="DU472" s="26"/>
      <c r="DV472" s="26"/>
      <c r="DW472" s="26"/>
      <c r="DX472" s="26"/>
      <c r="DY472" s="26"/>
      <c r="DZ472" s="26"/>
      <c r="EA472" s="26"/>
      <c r="EB472" s="26"/>
      <c r="EC472" s="26"/>
      <c r="ED472" s="26"/>
      <c r="EE472" s="26"/>
      <c r="EF472" s="26"/>
      <c r="EG472" s="26"/>
      <c r="EH472" s="26"/>
      <c r="EI472" s="26"/>
      <c r="EJ472" s="26"/>
      <c r="EK472" s="26"/>
      <c r="EL472" s="26"/>
      <c r="EM472" s="26"/>
      <c r="EN472" s="26"/>
      <c r="EO472" s="26"/>
      <c r="EP472" s="26"/>
      <c r="EQ472" s="26"/>
      <c r="ER472" s="26"/>
      <c r="ES472" s="26"/>
      <c r="ET472" s="26"/>
      <c r="EU472" s="26"/>
      <c r="EV472" s="26"/>
      <c r="EW472" s="26"/>
      <c r="EX472" s="26"/>
      <c r="EY472" s="26"/>
      <c r="EZ472" s="26"/>
      <c r="FA472" s="26"/>
      <c r="FB472" s="26"/>
      <c r="FC472" s="26"/>
      <c r="FD472" s="26"/>
      <c r="FE472" s="26"/>
      <c r="FF472" s="26"/>
      <c r="FG472" s="26"/>
      <c r="FH472" s="26"/>
      <c r="FI472" s="26"/>
      <c r="FJ472" s="26"/>
      <c r="FK472" s="26"/>
      <c r="FL472" s="26"/>
      <c r="FM472" s="26"/>
      <c r="FN472" s="26"/>
      <c r="FO472" s="26"/>
      <c r="FP472" s="26"/>
      <c r="FQ472" s="26"/>
      <c r="FR472" s="26"/>
      <c r="FS472" s="26"/>
      <c r="FT472" s="26"/>
      <c r="FU472" s="26"/>
      <c r="FV472" s="26"/>
      <c r="FW472" s="26"/>
      <c r="FX472" s="26"/>
      <c r="FY472" s="26"/>
      <c r="FZ472" s="26"/>
      <c r="GA472" s="26"/>
      <c r="GB472" s="26"/>
      <c r="GC472" s="26"/>
      <c r="GD472" s="26"/>
      <c r="GE472" s="26"/>
      <c r="GF472" s="26"/>
      <c r="GG472" s="26"/>
      <c r="GH472" s="26"/>
      <c r="GI472" s="26"/>
      <c r="GJ472" s="26"/>
      <c r="GK472" s="26"/>
      <c r="GL472" s="26"/>
      <c r="GM472" s="26"/>
      <c r="GN472" s="26"/>
      <c r="GO472" s="26"/>
      <c r="GP472" s="26"/>
      <c r="GQ472" s="26"/>
      <c r="GR472" s="26"/>
      <c r="GS472" s="26"/>
      <c r="GT472" s="26"/>
      <c r="GU472" s="26"/>
      <c r="GV472" s="26"/>
      <c r="GW472" s="26"/>
      <c r="GX472" s="26"/>
      <c r="GY472" s="26"/>
      <c r="GZ472" s="26"/>
      <c r="HA472" s="26"/>
      <c r="HB472" s="26"/>
      <c r="HC472" s="26"/>
      <c r="HD472" s="26"/>
      <c r="HE472" s="26"/>
      <c r="HF472" s="26"/>
      <c r="HG472" s="26"/>
      <c r="HH472" s="26"/>
    </row>
    <row r="473" spans="1:21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c r="BM473" s="26"/>
      <c r="BN473" s="26"/>
      <c r="BO473" s="26"/>
      <c r="BP473" s="26"/>
      <c r="BQ473" s="26"/>
      <c r="BR473" s="26"/>
      <c r="BS473" s="26"/>
      <c r="BT473" s="26"/>
      <c r="BU473" s="26"/>
      <c r="BV473" s="26"/>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26"/>
      <c r="CU473" s="26"/>
      <c r="CV473" s="26"/>
      <c r="CW473" s="26"/>
      <c r="CX473" s="26"/>
      <c r="CY473" s="26"/>
      <c r="CZ473" s="26"/>
      <c r="DA473" s="26"/>
      <c r="DB473" s="26"/>
      <c r="DC473" s="26"/>
      <c r="DD473" s="26"/>
      <c r="DE473" s="26"/>
      <c r="DF473" s="26"/>
      <c r="DG473" s="26"/>
      <c r="DH473" s="26"/>
      <c r="DI473" s="26"/>
      <c r="DJ473" s="26"/>
      <c r="DK473" s="26"/>
      <c r="DL473" s="26"/>
      <c r="DM473" s="26"/>
      <c r="DN473" s="26"/>
      <c r="DO473" s="26"/>
      <c r="DP473" s="26"/>
      <c r="DQ473" s="26"/>
      <c r="DR473" s="26"/>
      <c r="DS473" s="26"/>
      <c r="DT473" s="26"/>
      <c r="DU473" s="26"/>
      <c r="DV473" s="26"/>
      <c r="DW473" s="26"/>
      <c r="DX473" s="26"/>
      <c r="DY473" s="26"/>
      <c r="DZ473" s="26"/>
      <c r="EA473" s="26"/>
      <c r="EB473" s="26"/>
      <c r="EC473" s="26"/>
      <c r="ED473" s="26"/>
      <c r="EE473" s="26"/>
      <c r="EF473" s="26"/>
      <c r="EG473" s="26"/>
      <c r="EH473" s="26"/>
      <c r="EI473" s="26"/>
      <c r="EJ473" s="26"/>
      <c r="EK473" s="26"/>
      <c r="EL473" s="26"/>
      <c r="EM473" s="26"/>
      <c r="EN473" s="26"/>
      <c r="EO473" s="26"/>
      <c r="EP473" s="26"/>
      <c r="EQ473" s="26"/>
      <c r="ER473" s="26"/>
      <c r="ES473" s="26"/>
      <c r="ET473" s="26"/>
      <c r="EU473" s="26"/>
      <c r="EV473" s="26"/>
      <c r="EW473" s="26"/>
      <c r="EX473" s="26"/>
      <c r="EY473" s="26"/>
      <c r="EZ473" s="26"/>
      <c r="FA473" s="26"/>
      <c r="FB473" s="26"/>
      <c r="FC473" s="26"/>
      <c r="FD473" s="26"/>
      <c r="FE473" s="26"/>
      <c r="FF473" s="26"/>
      <c r="FG473" s="26"/>
      <c r="FH473" s="26"/>
      <c r="FI473" s="26"/>
      <c r="FJ473" s="26"/>
      <c r="FK473" s="26"/>
      <c r="FL473" s="26"/>
      <c r="FM473" s="26"/>
      <c r="FN473" s="26"/>
      <c r="FO473" s="26"/>
      <c r="FP473" s="26"/>
      <c r="FQ473" s="26"/>
      <c r="FR473" s="26"/>
      <c r="FS473" s="26"/>
      <c r="FT473" s="26"/>
      <c r="FU473" s="26"/>
      <c r="FV473" s="26"/>
      <c r="FW473" s="26"/>
      <c r="FX473" s="26"/>
      <c r="FY473" s="26"/>
      <c r="FZ473" s="26"/>
      <c r="GA473" s="26"/>
      <c r="GB473" s="26"/>
      <c r="GC473" s="26"/>
      <c r="GD473" s="26"/>
      <c r="GE473" s="26"/>
      <c r="GF473" s="26"/>
      <c r="GG473" s="26"/>
      <c r="GH473" s="26"/>
      <c r="GI473" s="26"/>
      <c r="GJ473" s="26"/>
      <c r="GK473" s="26"/>
      <c r="GL473" s="26"/>
      <c r="GM473" s="26"/>
      <c r="GN473" s="26"/>
      <c r="GO473" s="26"/>
      <c r="GP473" s="26"/>
      <c r="GQ473" s="26"/>
      <c r="GR473" s="26"/>
      <c r="GS473" s="26"/>
      <c r="GT473" s="26"/>
      <c r="GU473" s="26"/>
      <c r="GV473" s="26"/>
      <c r="GW473" s="26"/>
      <c r="GX473" s="26"/>
      <c r="GY473" s="26"/>
      <c r="GZ473" s="26"/>
      <c r="HA473" s="26"/>
      <c r="HB473" s="26"/>
      <c r="HC473" s="26"/>
      <c r="HD473" s="26"/>
      <c r="HE473" s="26"/>
      <c r="HF473" s="26"/>
      <c r="HG473" s="26"/>
      <c r="HH473" s="26"/>
    </row>
    <row r="474" spans="1:21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c r="BM474" s="26"/>
      <c r="BN474" s="26"/>
      <c r="BO474" s="26"/>
      <c r="BP474" s="26"/>
      <c r="BQ474" s="26"/>
      <c r="BR474" s="26"/>
      <c r="BS474" s="26"/>
      <c r="BT474" s="26"/>
      <c r="BU474" s="26"/>
      <c r="BV474" s="26"/>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26"/>
      <c r="CU474" s="26"/>
      <c r="CV474" s="26"/>
      <c r="CW474" s="26"/>
      <c r="CX474" s="26"/>
      <c r="CY474" s="26"/>
      <c r="CZ474" s="26"/>
      <c r="DA474" s="26"/>
      <c r="DB474" s="26"/>
      <c r="DC474" s="26"/>
      <c r="DD474" s="26"/>
      <c r="DE474" s="26"/>
      <c r="DF474" s="26"/>
      <c r="DG474" s="26"/>
      <c r="DH474" s="26"/>
      <c r="DI474" s="26"/>
      <c r="DJ474" s="26"/>
      <c r="DK474" s="26"/>
      <c r="DL474" s="26"/>
      <c r="DM474" s="26"/>
      <c r="DN474" s="26"/>
      <c r="DO474" s="26"/>
      <c r="DP474" s="26"/>
      <c r="DQ474" s="26"/>
      <c r="DR474" s="26"/>
      <c r="DS474" s="26"/>
      <c r="DT474" s="26"/>
      <c r="DU474" s="26"/>
      <c r="DV474" s="26"/>
      <c r="DW474" s="26"/>
      <c r="DX474" s="26"/>
      <c r="DY474" s="26"/>
      <c r="DZ474" s="26"/>
      <c r="EA474" s="26"/>
      <c r="EB474" s="26"/>
      <c r="EC474" s="26"/>
      <c r="ED474" s="26"/>
      <c r="EE474" s="26"/>
      <c r="EF474" s="26"/>
      <c r="EG474" s="26"/>
      <c r="EH474" s="26"/>
      <c r="EI474" s="26"/>
      <c r="EJ474" s="26"/>
      <c r="EK474" s="26"/>
      <c r="EL474" s="26"/>
      <c r="EM474" s="26"/>
      <c r="EN474" s="26"/>
      <c r="EO474" s="26"/>
      <c r="EP474" s="26"/>
      <c r="EQ474" s="26"/>
      <c r="ER474" s="26"/>
      <c r="ES474" s="26"/>
      <c r="ET474" s="26"/>
      <c r="EU474" s="26"/>
      <c r="EV474" s="26"/>
      <c r="EW474" s="26"/>
      <c r="EX474" s="26"/>
      <c r="EY474" s="26"/>
      <c r="EZ474" s="26"/>
      <c r="FA474" s="26"/>
      <c r="FB474" s="26"/>
      <c r="FC474" s="26"/>
      <c r="FD474" s="26"/>
      <c r="FE474" s="26"/>
      <c r="FF474" s="26"/>
      <c r="FG474" s="26"/>
      <c r="FH474" s="26"/>
      <c r="FI474" s="26"/>
      <c r="FJ474" s="26"/>
      <c r="FK474" s="26"/>
      <c r="FL474" s="26"/>
      <c r="FM474" s="26"/>
      <c r="FN474" s="26"/>
      <c r="FO474" s="26"/>
      <c r="FP474" s="26"/>
      <c r="FQ474" s="26"/>
      <c r="FR474" s="26"/>
      <c r="FS474" s="26"/>
      <c r="FT474" s="26"/>
      <c r="FU474" s="26"/>
      <c r="FV474" s="26"/>
      <c r="FW474" s="26"/>
      <c r="FX474" s="26"/>
      <c r="FY474" s="26"/>
      <c r="FZ474" s="26"/>
      <c r="GA474" s="26"/>
      <c r="GB474" s="26"/>
      <c r="GC474" s="26"/>
      <c r="GD474" s="26"/>
      <c r="GE474" s="26"/>
      <c r="GF474" s="26"/>
      <c r="GG474" s="26"/>
      <c r="GH474" s="26"/>
      <c r="GI474" s="26"/>
      <c r="GJ474" s="26"/>
      <c r="GK474" s="26"/>
      <c r="GL474" s="26"/>
      <c r="GM474" s="26"/>
      <c r="GN474" s="26"/>
      <c r="GO474" s="26"/>
      <c r="GP474" s="26"/>
      <c r="GQ474" s="26"/>
      <c r="GR474" s="26"/>
      <c r="GS474" s="26"/>
      <c r="GT474" s="26"/>
      <c r="GU474" s="26"/>
      <c r="GV474" s="26"/>
      <c r="GW474" s="26"/>
      <c r="GX474" s="26"/>
      <c r="GY474" s="26"/>
      <c r="GZ474" s="26"/>
      <c r="HA474" s="26"/>
      <c r="HB474" s="26"/>
      <c r="HC474" s="26"/>
      <c r="HD474" s="26"/>
      <c r="HE474" s="26"/>
      <c r="HF474" s="26"/>
      <c r="HG474" s="26"/>
      <c r="HH474" s="26"/>
    </row>
    <row r="475" spans="1:21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c r="BM475" s="26"/>
      <c r="BN475" s="26"/>
      <c r="BO475" s="26"/>
      <c r="BP475" s="26"/>
      <c r="BQ475" s="26"/>
      <c r="BR475" s="26"/>
      <c r="BS475" s="26"/>
      <c r="BT475" s="26"/>
      <c r="BU475" s="26"/>
      <c r="BV475" s="26"/>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26"/>
      <c r="CU475" s="26"/>
      <c r="CV475" s="26"/>
      <c r="CW475" s="26"/>
      <c r="CX475" s="26"/>
      <c r="CY475" s="26"/>
      <c r="CZ475" s="26"/>
      <c r="DA475" s="26"/>
      <c r="DB475" s="26"/>
      <c r="DC475" s="26"/>
      <c r="DD475" s="26"/>
      <c r="DE475" s="26"/>
      <c r="DF475" s="26"/>
      <c r="DG475" s="26"/>
      <c r="DH475" s="26"/>
      <c r="DI475" s="26"/>
      <c r="DJ475" s="26"/>
      <c r="DK475" s="26"/>
      <c r="DL475" s="26"/>
      <c r="DM475" s="26"/>
      <c r="DN475" s="26"/>
      <c r="DO475" s="26"/>
      <c r="DP475" s="26"/>
      <c r="DQ475" s="26"/>
      <c r="DR475" s="26"/>
      <c r="DS475" s="26"/>
      <c r="DT475" s="26"/>
      <c r="DU475" s="26"/>
      <c r="DV475" s="26"/>
      <c r="DW475" s="26"/>
      <c r="DX475" s="26"/>
      <c r="DY475" s="26"/>
      <c r="DZ475" s="26"/>
      <c r="EA475" s="26"/>
      <c r="EB475" s="26"/>
      <c r="EC475" s="26"/>
      <c r="ED475" s="26"/>
      <c r="EE475" s="26"/>
      <c r="EF475" s="26"/>
      <c r="EG475" s="26"/>
      <c r="EH475" s="26"/>
      <c r="EI475" s="26"/>
      <c r="EJ475" s="26"/>
      <c r="EK475" s="26"/>
      <c r="EL475" s="26"/>
      <c r="EM475" s="26"/>
      <c r="EN475" s="26"/>
      <c r="EO475" s="26"/>
      <c r="EP475" s="26"/>
      <c r="EQ475" s="26"/>
      <c r="ER475" s="26"/>
      <c r="ES475" s="26"/>
      <c r="ET475" s="26"/>
      <c r="EU475" s="26"/>
      <c r="EV475" s="26"/>
      <c r="EW475" s="26"/>
      <c r="EX475" s="26"/>
      <c r="EY475" s="26"/>
      <c r="EZ475" s="26"/>
      <c r="FA475" s="26"/>
      <c r="FB475" s="26"/>
      <c r="FC475" s="26"/>
      <c r="FD475" s="26"/>
      <c r="FE475" s="26"/>
      <c r="FF475" s="26"/>
      <c r="FG475" s="26"/>
      <c r="FH475" s="26"/>
      <c r="FI475" s="26"/>
      <c r="FJ475" s="26"/>
      <c r="FK475" s="26"/>
      <c r="FL475" s="26"/>
      <c r="FM475" s="26"/>
      <c r="FN475" s="26"/>
      <c r="FO475" s="26"/>
      <c r="FP475" s="26"/>
      <c r="FQ475" s="26"/>
      <c r="FR475" s="26"/>
      <c r="FS475" s="26"/>
      <c r="FT475" s="26"/>
      <c r="FU475" s="26"/>
      <c r="FV475" s="26"/>
      <c r="FW475" s="26"/>
      <c r="FX475" s="26"/>
      <c r="FY475" s="26"/>
      <c r="FZ475" s="26"/>
      <c r="GA475" s="26"/>
      <c r="GB475" s="26"/>
      <c r="GC475" s="26"/>
      <c r="GD475" s="26"/>
      <c r="GE475" s="26"/>
      <c r="GF475" s="26"/>
      <c r="GG475" s="26"/>
      <c r="GH475" s="26"/>
      <c r="GI475" s="26"/>
      <c r="GJ475" s="26"/>
      <c r="GK475" s="26"/>
      <c r="GL475" s="26"/>
      <c r="GM475" s="26"/>
      <c r="GN475" s="26"/>
      <c r="GO475" s="26"/>
      <c r="GP475" s="26"/>
      <c r="GQ475" s="26"/>
      <c r="GR475" s="26"/>
      <c r="GS475" s="26"/>
      <c r="GT475" s="26"/>
      <c r="GU475" s="26"/>
      <c r="GV475" s="26"/>
      <c r="GW475" s="26"/>
      <c r="GX475" s="26"/>
      <c r="GY475" s="26"/>
      <c r="GZ475" s="26"/>
      <c r="HA475" s="26"/>
      <c r="HB475" s="26"/>
      <c r="HC475" s="26"/>
      <c r="HD475" s="26"/>
      <c r="HE475" s="26"/>
      <c r="HF475" s="26"/>
      <c r="HG475" s="26"/>
      <c r="HH475" s="26"/>
    </row>
    <row r="476" spans="1:21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c r="BM476" s="26"/>
      <c r="BN476" s="26"/>
      <c r="BO476" s="26"/>
      <c r="BP476" s="26"/>
      <c r="BQ476" s="26"/>
      <c r="BR476" s="26"/>
      <c r="BS476" s="26"/>
      <c r="BT476" s="26"/>
      <c r="BU476" s="26"/>
      <c r="BV476" s="26"/>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26"/>
      <c r="CU476" s="26"/>
      <c r="CV476" s="26"/>
      <c r="CW476" s="26"/>
      <c r="CX476" s="26"/>
      <c r="CY476" s="26"/>
      <c r="CZ476" s="26"/>
      <c r="DA476" s="26"/>
      <c r="DB476" s="26"/>
      <c r="DC476" s="26"/>
      <c r="DD476" s="26"/>
      <c r="DE476" s="26"/>
      <c r="DF476" s="26"/>
      <c r="DG476" s="26"/>
      <c r="DH476" s="26"/>
      <c r="DI476" s="26"/>
      <c r="DJ476" s="26"/>
      <c r="DK476" s="26"/>
      <c r="DL476" s="26"/>
      <c r="DM476" s="26"/>
      <c r="DN476" s="26"/>
      <c r="DO476" s="26"/>
      <c r="DP476" s="26"/>
      <c r="DQ476" s="26"/>
      <c r="DR476" s="26"/>
      <c r="DS476" s="26"/>
      <c r="DT476" s="26"/>
      <c r="DU476" s="26"/>
      <c r="DV476" s="26"/>
      <c r="DW476" s="26"/>
      <c r="DX476" s="26"/>
      <c r="DY476" s="26"/>
      <c r="DZ476" s="26"/>
      <c r="EA476" s="26"/>
      <c r="EB476" s="26"/>
      <c r="EC476" s="26"/>
      <c r="ED476" s="26"/>
      <c r="EE476" s="26"/>
      <c r="EF476" s="26"/>
      <c r="EG476" s="26"/>
      <c r="EH476" s="26"/>
      <c r="EI476" s="26"/>
      <c r="EJ476" s="26"/>
      <c r="EK476" s="26"/>
      <c r="EL476" s="26"/>
      <c r="EM476" s="26"/>
      <c r="EN476" s="26"/>
      <c r="EO476" s="26"/>
      <c r="EP476" s="26"/>
      <c r="EQ476" s="26"/>
      <c r="ER476" s="26"/>
      <c r="ES476" s="26"/>
      <c r="ET476" s="26"/>
      <c r="EU476" s="26"/>
      <c r="EV476" s="26"/>
      <c r="EW476" s="26"/>
      <c r="EX476" s="26"/>
      <c r="EY476" s="26"/>
      <c r="EZ476" s="26"/>
      <c r="FA476" s="26"/>
      <c r="FB476" s="26"/>
      <c r="FC476" s="26"/>
      <c r="FD476" s="26"/>
      <c r="FE476" s="26"/>
      <c r="FF476" s="26"/>
      <c r="FG476" s="26"/>
      <c r="FH476" s="26"/>
      <c r="FI476" s="26"/>
      <c r="FJ476" s="26"/>
      <c r="FK476" s="26"/>
      <c r="FL476" s="26"/>
      <c r="FM476" s="26"/>
      <c r="FN476" s="26"/>
      <c r="FO476" s="26"/>
      <c r="FP476" s="26"/>
      <c r="FQ476" s="26"/>
      <c r="FR476" s="26"/>
      <c r="FS476" s="26"/>
      <c r="FT476" s="26"/>
      <c r="FU476" s="26"/>
      <c r="FV476" s="26"/>
      <c r="FW476" s="26"/>
      <c r="FX476" s="26"/>
      <c r="FY476" s="26"/>
      <c r="FZ476" s="26"/>
      <c r="GA476" s="26"/>
      <c r="GB476" s="26"/>
      <c r="GC476" s="26"/>
      <c r="GD476" s="26"/>
      <c r="GE476" s="26"/>
      <c r="GF476" s="26"/>
      <c r="GG476" s="26"/>
      <c r="GH476" s="26"/>
      <c r="GI476" s="26"/>
      <c r="GJ476" s="26"/>
      <c r="GK476" s="26"/>
      <c r="GL476" s="26"/>
      <c r="GM476" s="26"/>
      <c r="GN476" s="26"/>
      <c r="GO476" s="26"/>
      <c r="GP476" s="26"/>
      <c r="GQ476" s="26"/>
      <c r="GR476" s="26"/>
      <c r="GS476" s="26"/>
      <c r="GT476" s="26"/>
      <c r="GU476" s="26"/>
      <c r="GV476" s="26"/>
      <c r="GW476" s="26"/>
      <c r="GX476" s="26"/>
      <c r="GY476" s="26"/>
      <c r="GZ476" s="26"/>
      <c r="HA476" s="26"/>
      <c r="HB476" s="26"/>
      <c r="HC476" s="26"/>
      <c r="HD476" s="26"/>
      <c r="HE476" s="26"/>
      <c r="HF476" s="26"/>
      <c r="HG476" s="26"/>
      <c r="HH476" s="26"/>
    </row>
    <row r="477" spans="1:21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c r="BM477" s="26"/>
      <c r="BN477" s="26"/>
      <c r="BO477" s="26"/>
      <c r="BP477" s="26"/>
      <c r="BQ477" s="26"/>
      <c r="BR477" s="26"/>
      <c r="BS477" s="26"/>
      <c r="BT477" s="26"/>
      <c r="BU477" s="26"/>
      <c r="BV477" s="26"/>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26"/>
      <c r="CU477" s="26"/>
      <c r="CV477" s="26"/>
      <c r="CW477" s="26"/>
      <c r="CX477" s="26"/>
      <c r="CY477" s="26"/>
      <c r="CZ477" s="26"/>
      <c r="DA477" s="26"/>
      <c r="DB477" s="26"/>
      <c r="DC477" s="26"/>
      <c r="DD477" s="26"/>
      <c r="DE477" s="26"/>
      <c r="DF477" s="26"/>
      <c r="DG477" s="26"/>
      <c r="DH477" s="26"/>
      <c r="DI477" s="26"/>
      <c r="DJ477" s="26"/>
      <c r="DK477" s="26"/>
      <c r="DL477" s="26"/>
      <c r="DM477" s="26"/>
      <c r="DN477" s="26"/>
      <c r="DO477" s="26"/>
      <c r="DP477" s="26"/>
      <c r="DQ477" s="26"/>
      <c r="DR477" s="26"/>
      <c r="DS477" s="26"/>
      <c r="DT477" s="26"/>
      <c r="DU477" s="26"/>
      <c r="DV477" s="26"/>
      <c r="DW477" s="26"/>
      <c r="DX477" s="26"/>
      <c r="DY477" s="26"/>
      <c r="DZ477" s="26"/>
      <c r="EA477" s="26"/>
      <c r="EB477" s="26"/>
      <c r="EC477" s="26"/>
      <c r="ED477" s="26"/>
      <c r="EE477" s="26"/>
      <c r="EF477" s="26"/>
      <c r="EG477" s="26"/>
      <c r="EH477" s="26"/>
      <c r="EI477" s="26"/>
      <c r="EJ477" s="26"/>
      <c r="EK477" s="26"/>
      <c r="EL477" s="26"/>
      <c r="EM477" s="26"/>
      <c r="EN477" s="26"/>
      <c r="EO477" s="26"/>
      <c r="EP477" s="26"/>
      <c r="EQ477" s="26"/>
      <c r="ER477" s="26"/>
      <c r="ES477" s="26"/>
      <c r="ET477" s="26"/>
      <c r="EU477" s="26"/>
      <c r="EV477" s="26"/>
      <c r="EW477" s="26"/>
      <c r="EX477" s="26"/>
      <c r="EY477" s="26"/>
      <c r="EZ477" s="26"/>
      <c r="FA477" s="26"/>
      <c r="FB477" s="26"/>
      <c r="FC477" s="26"/>
      <c r="FD477" s="26"/>
      <c r="FE477" s="26"/>
      <c r="FF477" s="26"/>
      <c r="FG477" s="26"/>
      <c r="FH477" s="26"/>
      <c r="FI477" s="26"/>
      <c r="FJ477" s="26"/>
      <c r="FK477" s="26"/>
      <c r="FL477" s="26"/>
      <c r="FM477" s="26"/>
      <c r="FN477" s="26"/>
      <c r="FO477" s="26"/>
      <c r="FP477" s="26"/>
      <c r="FQ477" s="26"/>
      <c r="FR477" s="26"/>
      <c r="FS477" s="26"/>
      <c r="FT477" s="26"/>
      <c r="FU477" s="26"/>
      <c r="FV477" s="26"/>
      <c r="FW477" s="26"/>
      <c r="FX477" s="26"/>
      <c r="FY477" s="26"/>
      <c r="FZ477" s="26"/>
      <c r="GA477" s="26"/>
      <c r="GB477" s="26"/>
      <c r="GC477" s="26"/>
      <c r="GD477" s="26"/>
      <c r="GE477" s="26"/>
      <c r="GF477" s="26"/>
      <c r="GG477" s="26"/>
      <c r="GH477" s="26"/>
      <c r="GI477" s="26"/>
      <c r="GJ477" s="26"/>
      <c r="GK477" s="26"/>
      <c r="GL477" s="26"/>
      <c r="GM477" s="26"/>
      <c r="GN477" s="26"/>
      <c r="GO477" s="26"/>
      <c r="GP477" s="26"/>
      <c r="GQ477" s="26"/>
      <c r="GR477" s="26"/>
      <c r="GS477" s="26"/>
      <c r="GT477" s="26"/>
      <c r="GU477" s="26"/>
      <c r="GV477" s="26"/>
      <c r="GW477" s="26"/>
      <c r="GX477" s="26"/>
      <c r="GY477" s="26"/>
      <c r="GZ477" s="26"/>
      <c r="HA477" s="26"/>
      <c r="HB477" s="26"/>
      <c r="HC477" s="26"/>
      <c r="HD477" s="26"/>
      <c r="HE477" s="26"/>
      <c r="HF477" s="26"/>
      <c r="HG477" s="26"/>
      <c r="HH477" s="26"/>
    </row>
    <row r="478" spans="1:21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c r="BM478" s="26"/>
      <c r="BN478" s="26"/>
      <c r="BO478" s="26"/>
      <c r="BP478" s="26"/>
      <c r="BQ478" s="26"/>
      <c r="BR478" s="26"/>
      <c r="BS478" s="26"/>
      <c r="BT478" s="26"/>
      <c r="BU478" s="26"/>
      <c r="BV478" s="26"/>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26"/>
      <c r="CU478" s="26"/>
      <c r="CV478" s="26"/>
      <c r="CW478" s="26"/>
      <c r="CX478" s="26"/>
      <c r="CY478" s="26"/>
      <c r="CZ478" s="26"/>
      <c r="DA478" s="26"/>
      <c r="DB478" s="26"/>
      <c r="DC478" s="26"/>
      <c r="DD478" s="26"/>
      <c r="DE478" s="26"/>
      <c r="DF478" s="26"/>
      <c r="DG478" s="26"/>
      <c r="DH478" s="26"/>
      <c r="DI478" s="26"/>
      <c r="DJ478" s="26"/>
      <c r="DK478" s="26"/>
      <c r="DL478" s="26"/>
      <c r="DM478" s="26"/>
      <c r="DN478" s="26"/>
      <c r="DO478" s="26"/>
      <c r="DP478" s="26"/>
      <c r="DQ478" s="26"/>
      <c r="DR478" s="26"/>
      <c r="DS478" s="26"/>
      <c r="DT478" s="26"/>
      <c r="DU478" s="26"/>
      <c r="DV478" s="26"/>
      <c r="DW478" s="26"/>
      <c r="DX478" s="26"/>
      <c r="DY478" s="26"/>
      <c r="DZ478" s="26"/>
      <c r="EA478" s="26"/>
      <c r="EB478" s="26"/>
      <c r="EC478" s="26"/>
      <c r="ED478" s="26"/>
      <c r="EE478" s="26"/>
      <c r="EF478" s="26"/>
      <c r="EG478" s="26"/>
      <c r="EH478" s="26"/>
      <c r="EI478" s="26"/>
      <c r="EJ478" s="26"/>
      <c r="EK478" s="26"/>
      <c r="EL478" s="26"/>
      <c r="EM478" s="26"/>
      <c r="EN478" s="26"/>
      <c r="EO478" s="26"/>
      <c r="EP478" s="26"/>
      <c r="EQ478" s="26"/>
      <c r="ER478" s="26"/>
      <c r="ES478" s="26"/>
      <c r="ET478" s="26"/>
      <c r="EU478" s="26"/>
      <c r="EV478" s="26"/>
      <c r="EW478" s="26"/>
      <c r="EX478" s="26"/>
      <c r="EY478" s="26"/>
      <c r="EZ478" s="26"/>
      <c r="FA478" s="26"/>
      <c r="FB478" s="26"/>
      <c r="FC478" s="26"/>
      <c r="FD478" s="26"/>
      <c r="FE478" s="26"/>
      <c r="FF478" s="26"/>
      <c r="FG478" s="26"/>
      <c r="FH478" s="26"/>
      <c r="FI478" s="26"/>
      <c r="FJ478" s="26"/>
      <c r="FK478" s="26"/>
      <c r="FL478" s="26"/>
      <c r="FM478" s="26"/>
      <c r="FN478" s="26"/>
      <c r="FO478" s="26"/>
      <c r="FP478" s="26"/>
      <c r="FQ478" s="26"/>
      <c r="FR478" s="26"/>
      <c r="FS478" s="26"/>
      <c r="FT478" s="26"/>
      <c r="FU478" s="26"/>
      <c r="FV478" s="26"/>
      <c r="FW478" s="26"/>
      <c r="FX478" s="26"/>
      <c r="FY478" s="26"/>
      <c r="FZ478" s="26"/>
      <c r="GA478" s="26"/>
      <c r="GB478" s="26"/>
      <c r="GC478" s="26"/>
      <c r="GD478" s="26"/>
      <c r="GE478" s="26"/>
      <c r="GF478" s="26"/>
      <c r="GG478" s="26"/>
      <c r="GH478" s="26"/>
      <c r="GI478" s="26"/>
      <c r="GJ478" s="26"/>
      <c r="GK478" s="26"/>
      <c r="GL478" s="26"/>
      <c r="GM478" s="26"/>
      <c r="GN478" s="26"/>
      <c r="GO478" s="26"/>
      <c r="GP478" s="26"/>
      <c r="GQ478" s="26"/>
      <c r="GR478" s="26"/>
      <c r="GS478" s="26"/>
      <c r="GT478" s="26"/>
      <c r="GU478" s="26"/>
      <c r="GV478" s="26"/>
      <c r="GW478" s="26"/>
      <c r="GX478" s="26"/>
      <c r="GY478" s="26"/>
      <c r="GZ478" s="26"/>
      <c r="HA478" s="26"/>
      <c r="HB478" s="26"/>
      <c r="HC478" s="26"/>
      <c r="HD478" s="26"/>
      <c r="HE478" s="26"/>
      <c r="HF478" s="26"/>
      <c r="HG478" s="26"/>
      <c r="HH478" s="26"/>
    </row>
    <row r="479" spans="1:21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c r="BM479" s="26"/>
      <c r="BN479" s="26"/>
      <c r="BO479" s="26"/>
      <c r="BP479" s="26"/>
      <c r="BQ479" s="26"/>
      <c r="BR479" s="26"/>
      <c r="BS479" s="26"/>
      <c r="BT479" s="26"/>
      <c r="BU479" s="26"/>
      <c r="BV479" s="26"/>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26"/>
      <c r="CU479" s="26"/>
      <c r="CV479" s="26"/>
      <c r="CW479" s="26"/>
      <c r="CX479" s="26"/>
      <c r="CY479" s="26"/>
      <c r="CZ479" s="26"/>
      <c r="DA479" s="26"/>
      <c r="DB479" s="26"/>
      <c r="DC479" s="26"/>
      <c r="DD479" s="26"/>
      <c r="DE479" s="26"/>
      <c r="DF479" s="26"/>
      <c r="DG479" s="26"/>
      <c r="DH479" s="26"/>
      <c r="DI479" s="26"/>
      <c r="DJ479" s="26"/>
      <c r="DK479" s="26"/>
      <c r="DL479" s="26"/>
      <c r="DM479" s="26"/>
      <c r="DN479" s="26"/>
      <c r="DO479" s="26"/>
      <c r="DP479" s="26"/>
      <c r="DQ479" s="26"/>
      <c r="DR479" s="26"/>
      <c r="DS479" s="26"/>
      <c r="DT479" s="26"/>
      <c r="DU479" s="26"/>
      <c r="DV479" s="26"/>
      <c r="DW479" s="26"/>
      <c r="DX479" s="26"/>
      <c r="DY479" s="26"/>
      <c r="DZ479" s="26"/>
      <c r="EA479" s="26"/>
      <c r="EB479" s="26"/>
      <c r="EC479" s="26"/>
      <c r="ED479" s="26"/>
      <c r="EE479" s="26"/>
      <c r="EF479" s="26"/>
      <c r="EG479" s="26"/>
      <c r="EH479" s="26"/>
      <c r="EI479" s="26"/>
      <c r="EJ479" s="26"/>
      <c r="EK479" s="26"/>
      <c r="EL479" s="26"/>
      <c r="EM479" s="26"/>
      <c r="EN479" s="26"/>
      <c r="EO479" s="26"/>
      <c r="EP479" s="26"/>
      <c r="EQ479" s="26"/>
      <c r="ER479" s="26"/>
      <c r="ES479" s="26"/>
      <c r="ET479" s="26"/>
      <c r="EU479" s="26"/>
      <c r="EV479" s="26"/>
      <c r="EW479" s="26"/>
      <c r="EX479" s="26"/>
      <c r="EY479" s="26"/>
      <c r="EZ479" s="26"/>
      <c r="FA479" s="26"/>
      <c r="FB479" s="26"/>
      <c r="FC479" s="26"/>
      <c r="FD479" s="26"/>
      <c r="FE479" s="26"/>
      <c r="FF479" s="26"/>
      <c r="FG479" s="26"/>
      <c r="FH479" s="26"/>
      <c r="FI479" s="26"/>
      <c r="FJ479" s="26"/>
      <c r="FK479" s="26"/>
      <c r="FL479" s="26"/>
      <c r="FM479" s="26"/>
      <c r="FN479" s="26"/>
      <c r="FO479" s="26"/>
      <c r="FP479" s="26"/>
      <c r="FQ479" s="26"/>
      <c r="FR479" s="26"/>
      <c r="FS479" s="26"/>
      <c r="FT479" s="26"/>
      <c r="FU479" s="26"/>
      <c r="FV479" s="26"/>
      <c r="FW479" s="26"/>
      <c r="FX479" s="26"/>
      <c r="FY479" s="26"/>
      <c r="FZ479" s="26"/>
      <c r="GA479" s="26"/>
      <c r="GB479" s="26"/>
      <c r="GC479" s="26"/>
      <c r="GD479" s="26"/>
      <c r="GE479" s="26"/>
      <c r="GF479" s="26"/>
      <c r="GG479" s="26"/>
      <c r="GH479" s="26"/>
      <c r="GI479" s="26"/>
      <c r="GJ479" s="26"/>
      <c r="GK479" s="26"/>
      <c r="GL479" s="26"/>
      <c r="GM479" s="26"/>
      <c r="GN479" s="26"/>
      <c r="GO479" s="26"/>
      <c r="GP479" s="26"/>
      <c r="GQ479" s="26"/>
      <c r="GR479" s="26"/>
      <c r="GS479" s="26"/>
      <c r="GT479" s="26"/>
      <c r="GU479" s="26"/>
      <c r="GV479" s="26"/>
      <c r="GW479" s="26"/>
      <c r="GX479" s="26"/>
      <c r="GY479" s="26"/>
      <c r="GZ479" s="26"/>
      <c r="HA479" s="26"/>
      <c r="HB479" s="26"/>
      <c r="HC479" s="26"/>
      <c r="HD479" s="26"/>
      <c r="HE479" s="26"/>
      <c r="HF479" s="26"/>
      <c r="HG479" s="26"/>
      <c r="HH479" s="26"/>
    </row>
    <row r="480" spans="1:21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c r="BM480" s="26"/>
      <c r="BN480" s="26"/>
      <c r="BO480" s="26"/>
      <c r="BP480" s="26"/>
      <c r="BQ480" s="26"/>
      <c r="BR480" s="26"/>
      <c r="BS480" s="26"/>
      <c r="BT480" s="26"/>
      <c r="BU480" s="26"/>
      <c r="BV480" s="26"/>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26"/>
      <c r="CU480" s="26"/>
      <c r="CV480" s="26"/>
      <c r="CW480" s="26"/>
      <c r="CX480" s="26"/>
      <c r="CY480" s="26"/>
      <c r="CZ480" s="26"/>
      <c r="DA480" s="26"/>
      <c r="DB480" s="26"/>
      <c r="DC480" s="26"/>
      <c r="DD480" s="26"/>
      <c r="DE480" s="26"/>
      <c r="DF480" s="26"/>
      <c r="DG480" s="26"/>
      <c r="DH480" s="26"/>
      <c r="DI480" s="26"/>
      <c r="DJ480" s="26"/>
      <c r="DK480" s="26"/>
      <c r="DL480" s="26"/>
      <c r="DM480" s="26"/>
      <c r="DN480" s="26"/>
      <c r="DO480" s="26"/>
      <c r="DP480" s="26"/>
      <c r="DQ480" s="26"/>
      <c r="DR480" s="26"/>
      <c r="DS480" s="26"/>
      <c r="DT480" s="26"/>
      <c r="DU480" s="26"/>
      <c r="DV480" s="26"/>
      <c r="DW480" s="26"/>
      <c r="DX480" s="26"/>
      <c r="DY480" s="26"/>
      <c r="DZ480" s="26"/>
      <c r="EA480" s="26"/>
      <c r="EB480" s="26"/>
      <c r="EC480" s="26"/>
      <c r="ED480" s="26"/>
      <c r="EE480" s="26"/>
      <c r="EF480" s="26"/>
      <c r="EG480" s="26"/>
      <c r="EH480" s="26"/>
      <c r="EI480" s="26"/>
      <c r="EJ480" s="26"/>
      <c r="EK480" s="26"/>
      <c r="EL480" s="26"/>
      <c r="EM480" s="26"/>
      <c r="EN480" s="26"/>
      <c r="EO480" s="26"/>
      <c r="EP480" s="26"/>
      <c r="EQ480" s="26"/>
      <c r="ER480" s="26"/>
      <c r="ES480" s="26"/>
      <c r="ET480" s="26"/>
      <c r="EU480" s="26"/>
      <c r="EV480" s="26"/>
      <c r="EW480" s="26"/>
      <c r="EX480" s="26"/>
      <c r="EY480" s="26"/>
      <c r="EZ480" s="26"/>
      <c r="FA480" s="26"/>
      <c r="FB480" s="26"/>
      <c r="FC480" s="26"/>
      <c r="FD480" s="26"/>
      <c r="FE480" s="26"/>
      <c r="FF480" s="26"/>
      <c r="FG480" s="26"/>
      <c r="FH480" s="26"/>
      <c r="FI480" s="26"/>
      <c r="FJ480" s="26"/>
      <c r="FK480" s="26"/>
      <c r="FL480" s="26"/>
      <c r="FM480" s="26"/>
      <c r="FN480" s="26"/>
      <c r="FO480" s="26"/>
      <c r="FP480" s="26"/>
      <c r="FQ480" s="26"/>
      <c r="FR480" s="26"/>
      <c r="FS480" s="26"/>
      <c r="FT480" s="26"/>
      <c r="FU480" s="26"/>
      <c r="FV480" s="26"/>
      <c r="FW480" s="26"/>
      <c r="FX480" s="26"/>
      <c r="FY480" s="26"/>
      <c r="FZ480" s="26"/>
      <c r="GA480" s="26"/>
      <c r="GB480" s="26"/>
      <c r="GC480" s="26"/>
      <c r="GD480" s="26"/>
      <c r="GE480" s="26"/>
      <c r="GF480" s="26"/>
      <c r="GG480" s="26"/>
      <c r="GH480" s="26"/>
      <c r="GI480" s="26"/>
      <c r="GJ480" s="26"/>
      <c r="GK480" s="26"/>
      <c r="GL480" s="26"/>
      <c r="GM480" s="26"/>
      <c r="GN480" s="26"/>
      <c r="GO480" s="26"/>
      <c r="GP480" s="26"/>
      <c r="GQ480" s="26"/>
      <c r="GR480" s="26"/>
      <c r="GS480" s="26"/>
      <c r="GT480" s="26"/>
      <c r="GU480" s="26"/>
      <c r="GV480" s="26"/>
      <c r="GW480" s="26"/>
      <c r="GX480" s="26"/>
      <c r="GY480" s="26"/>
      <c r="GZ480" s="26"/>
      <c r="HA480" s="26"/>
      <c r="HB480" s="26"/>
      <c r="HC480" s="26"/>
      <c r="HD480" s="26"/>
      <c r="HE480" s="26"/>
      <c r="HF480" s="26"/>
      <c r="HG480" s="26"/>
      <c r="HH480" s="26"/>
    </row>
    <row r="481" spans="1:21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c r="BM481" s="26"/>
      <c r="BN481" s="26"/>
      <c r="BO481" s="26"/>
      <c r="BP481" s="26"/>
      <c r="BQ481" s="26"/>
      <c r="BR481" s="26"/>
      <c r="BS481" s="26"/>
      <c r="BT481" s="26"/>
      <c r="BU481" s="26"/>
      <c r="BV481" s="26"/>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26"/>
      <c r="CU481" s="26"/>
      <c r="CV481" s="26"/>
      <c r="CW481" s="26"/>
      <c r="CX481" s="26"/>
      <c r="CY481" s="26"/>
      <c r="CZ481" s="26"/>
      <c r="DA481" s="26"/>
      <c r="DB481" s="26"/>
      <c r="DC481" s="26"/>
      <c r="DD481" s="26"/>
      <c r="DE481" s="26"/>
      <c r="DF481" s="26"/>
      <c r="DG481" s="26"/>
      <c r="DH481" s="26"/>
      <c r="DI481" s="26"/>
      <c r="DJ481" s="26"/>
      <c r="DK481" s="26"/>
      <c r="DL481" s="26"/>
      <c r="DM481" s="26"/>
      <c r="DN481" s="26"/>
      <c r="DO481" s="26"/>
      <c r="DP481" s="26"/>
      <c r="DQ481" s="26"/>
      <c r="DR481" s="26"/>
      <c r="DS481" s="26"/>
      <c r="DT481" s="26"/>
      <c r="DU481" s="26"/>
      <c r="DV481" s="26"/>
      <c r="DW481" s="26"/>
      <c r="DX481" s="26"/>
      <c r="DY481" s="26"/>
      <c r="DZ481" s="26"/>
      <c r="EA481" s="26"/>
      <c r="EB481" s="26"/>
      <c r="EC481" s="26"/>
      <c r="ED481" s="26"/>
      <c r="EE481" s="26"/>
      <c r="EF481" s="26"/>
      <c r="EG481" s="26"/>
      <c r="EH481" s="26"/>
      <c r="EI481" s="26"/>
      <c r="EJ481" s="26"/>
      <c r="EK481" s="26"/>
      <c r="EL481" s="26"/>
      <c r="EM481" s="26"/>
      <c r="EN481" s="26"/>
      <c r="EO481" s="26"/>
      <c r="EP481" s="26"/>
      <c r="EQ481" s="26"/>
      <c r="ER481" s="26"/>
      <c r="ES481" s="26"/>
      <c r="ET481" s="26"/>
      <c r="EU481" s="26"/>
      <c r="EV481" s="26"/>
      <c r="EW481" s="26"/>
      <c r="EX481" s="26"/>
      <c r="EY481" s="26"/>
      <c r="EZ481" s="26"/>
      <c r="FA481" s="26"/>
      <c r="FB481" s="26"/>
      <c r="FC481" s="26"/>
      <c r="FD481" s="26"/>
      <c r="FE481" s="26"/>
      <c r="FF481" s="26"/>
      <c r="FG481" s="26"/>
      <c r="FH481" s="26"/>
      <c r="FI481" s="26"/>
      <c r="FJ481" s="26"/>
      <c r="FK481" s="26"/>
      <c r="FL481" s="26"/>
      <c r="FM481" s="26"/>
      <c r="FN481" s="26"/>
      <c r="FO481" s="26"/>
      <c r="FP481" s="26"/>
      <c r="FQ481" s="26"/>
      <c r="FR481" s="26"/>
      <c r="FS481" s="26"/>
      <c r="FT481" s="26"/>
      <c r="FU481" s="26"/>
      <c r="FV481" s="26"/>
      <c r="FW481" s="26"/>
      <c r="FX481" s="26"/>
      <c r="FY481" s="26"/>
      <c r="FZ481" s="26"/>
      <c r="GA481" s="26"/>
      <c r="GB481" s="26"/>
      <c r="GC481" s="26"/>
      <c r="GD481" s="26"/>
      <c r="GE481" s="26"/>
      <c r="GF481" s="26"/>
      <c r="GG481" s="26"/>
      <c r="GH481" s="26"/>
      <c r="GI481" s="26"/>
      <c r="GJ481" s="26"/>
      <c r="GK481" s="26"/>
      <c r="GL481" s="26"/>
      <c r="GM481" s="26"/>
      <c r="GN481" s="26"/>
      <c r="GO481" s="26"/>
      <c r="GP481" s="26"/>
      <c r="GQ481" s="26"/>
      <c r="GR481" s="26"/>
      <c r="GS481" s="26"/>
      <c r="GT481" s="26"/>
      <c r="GU481" s="26"/>
      <c r="GV481" s="26"/>
      <c r="GW481" s="26"/>
      <c r="GX481" s="26"/>
      <c r="GY481" s="26"/>
      <c r="GZ481" s="26"/>
      <c r="HA481" s="26"/>
      <c r="HB481" s="26"/>
      <c r="HC481" s="26"/>
      <c r="HD481" s="26"/>
      <c r="HE481" s="26"/>
      <c r="HF481" s="26"/>
      <c r="HG481" s="26"/>
      <c r="HH481" s="26"/>
    </row>
    <row r="482" spans="1:21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c r="BM482" s="26"/>
      <c r="BN482" s="26"/>
      <c r="BO482" s="26"/>
      <c r="BP482" s="26"/>
      <c r="BQ482" s="26"/>
      <c r="BR482" s="26"/>
      <c r="BS482" s="26"/>
      <c r="BT482" s="26"/>
      <c r="BU482" s="26"/>
      <c r="BV482" s="26"/>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26"/>
      <c r="CU482" s="26"/>
      <c r="CV482" s="26"/>
      <c r="CW482" s="26"/>
      <c r="CX482" s="26"/>
      <c r="CY482" s="26"/>
      <c r="CZ482" s="26"/>
      <c r="DA482" s="26"/>
      <c r="DB482" s="26"/>
      <c r="DC482" s="26"/>
      <c r="DD482" s="26"/>
      <c r="DE482" s="26"/>
      <c r="DF482" s="26"/>
      <c r="DG482" s="26"/>
      <c r="DH482" s="26"/>
      <c r="DI482" s="26"/>
      <c r="DJ482" s="26"/>
      <c r="DK482" s="26"/>
      <c r="DL482" s="26"/>
      <c r="DM482" s="26"/>
      <c r="DN482" s="26"/>
      <c r="DO482" s="26"/>
      <c r="DP482" s="26"/>
      <c r="DQ482" s="26"/>
      <c r="DR482" s="26"/>
      <c r="DS482" s="26"/>
      <c r="DT482" s="26"/>
      <c r="DU482" s="26"/>
      <c r="DV482" s="26"/>
      <c r="DW482" s="26"/>
      <c r="DX482" s="26"/>
      <c r="DY482" s="26"/>
      <c r="DZ482" s="26"/>
      <c r="EA482" s="26"/>
      <c r="EB482" s="26"/>
      <c r="EC482" s="26"/>
      <c r="ED482" s="26"/>
      <c r="EE482" s="26"/>
      <c r="EF482" s="26"/>
      <c r="EG482" s="26"/>
      <c r="EH482" s="26"/>
      <c r="EI482" s="26"/>
      <c r="EJ482" s="26"/>
      <c r="EK482" s="26"/>
      <c r="EL482" s="26"/>
      <c r="EM482" s="26"/>
      <c r="EN482" s="26"/>
      <c r="EO482" s="26"/>
      <c r="EP482" s="26"/>
      <c r="EQ482" s="26"/>
      <c r="ER482" s="26"/>
      <c r="ES482" s="26"/>
      <c r="ET482" s="26"/>
      <c r="EU482" s="26"/>
      <c r="EV482" s="26"/>
      <c r="EW482" s="26"/>
      <c r="EX482" s="26"/>
      <c r="EY482" s="26"/>
      <c r="EZ482" s="26"/>
      <c r="FA482" s="26"/>
      <c r="FB482" s="26"/>
      <c r="FC482" s="26"/>
      <c r="FD482" s="26"/>
      <c r="FE482" s="26"/>
      <c r="FF482" s="26"/>
      <c r="FG482" s="26"/>
      <c r="FH482" s="26"/>
      <c r="FI482" s="26"/>
      <c r="FJ482" s="26"/>
      <c r="FK482" s="26"/>
      <c r="FL482" s="26"/>
      <c r="FM482" s="26"/>
      <c r="FN482" s="26"/>
      <c r="FO482" s="26"/>
      <c r="FP482" s="26"/>
      <c r="FQ482" s="26"/>
      <c r="FR482" s="26"/>
      <c r="FS482" s="26"/>
      <c r="FT482" s="26"/>
      <c r="FU482" s="26"/>
      <c r="FV482" s="26"/>
      <c r="FW482" s="26"/>
      <c r="FX482" s="26"/>
      <c r="FY482" s="26"/>
      <c r="FZ482" s="26"/>
      <c r="GA482" s="26"/>
      <c r="GB482" s="26"/>
      <c r="GC482" s="26"/>
      <c r="GD482" s="26"/>
      <c r="GE482" s="26"/>
      <c r="GF482" s="26"/>
      <c r="GG482" s="26"/>
      <c r="GH482" s="26"/>
      <c r="GI482" s="26"/>
      <c r="GJ482" s="26"/>
      <c r="GK482" s="26"/>
      <c r="GL482" s="26"/>
      <c r="GM482" s="26"/>
      <c r="GN482" s="26"/>
      <c r="GO482" s="26"/>
      <c r="GP482" s="26"/>
      <c r="GQ482" s="26"/>
      <c r="GR482" s="26"/>
      <c r="GS482" s="26"/>
      <c r="GT482" s="26"/>
      <c r="GU482" s="26"/>
      <c r="GV482" s="26"/>
      <c r="GW482" s="26"/>
      <c r="GX482" s="26"/>
      <c r="GY482" s="26"/>
      <c r="GZ482" s="26"/>
      <c r="HA482" s="26"/>
      <c r="HB482" s="26"/>
      <c r="HC482" s="26"/>
      <c r="HD482" s="26"/>
      <c r="HE482" s="26"/>
      <c r="HF482" s="26"/>
      <c r="HG482" s="26"/>
      <c r="HH482" s="26"/>
    </row>
    <row r="483" spans="1:21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c r="BM483" s="26"/>
      <c r="BN483" s="26"/>
      <c r="BO483" s="26"/>
      <c r="BP483" s="26"/>
      <c r="BQ483" s="26"/>
      <c r="BR483" s="26"/>
      <c r="BS483" s="26"/>
      <c r="BT483" s="26"/>
      <c r="BU483" s="26"/>
      <c r="BV483" s="26"/>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26"/>
      <c r="CU483" s="26"/>
      <c r="CV483" s="26"/>
      <c r="CW483" s="26"/>
      <c r="CX483" s="26"/>
      <c r="CY483" s="26"/>
      <c r="CZ483" s="26"/>
      <c r="DA483" s="26"/>
      <c r="DB483" s="26"/>
      <c r="DC483" s="26"/>
      <c r="DD483" s="26"/>
      <c r="DE483" s="26"/>
      <c r="DF483" s="26"/>
      <c r="DG483" s="26"/>
      <c r="DH483" s="26"/>
      <c r="DI483" s="26"/>
      <c r="DJ483" s="26"/>
      <c r="DK483" s="26"/>
      <c r="DL483" s="26"/>
      <c r="DM483" s="26"/>
      <c r="DN483" s="26"/>
      <c r="DO483" s="26"/>
      <c r="DP483" s="26"/>
      <c r="DQ483" s="26"/>
      <c r="DR483" s="26"/>
      <c r="DS483" s="26"/>
      <c r="DT483" s="26"/>
      <c r="DU483" s="26"/>
      <c r="DV483" s="26"/>
      <c r="DW483" s="26"/>
      <c r="DX483" s="26"/>
      <c r="DY483" s="26"/>
      <c r="DZ483" s="26"/>
      <c r="EA483" s="26"/>
      <c r="EB483" s="26"/>
      <c r="EC483" s="26"/>
      <c r="ED483" s="26"/>
      <c r="EE483" s="26"/>
      <c r="EF483" s="26"/>
      <c r="EG483" s="26"/>
      <c r="EH483" s="26"/>
      <c r="EI483" s="26"/>
      <c r="EJ483" s="26"/>
      <c r="EK483" s="26"/>
      <c r="EL483" s="26"/>
      <c r="EM483" s="26"/>
      <c r="EN483" s="26"/>
      <c r="EO483" s="26"/>
      <c r="EP483" s="26"/>
      <c r="EQ483" s="26"/>
      <c r="ER483" s="26"/>
      <c r="ES483" s="26"/>
      <c r="ET483" s="26"/>
      <c r="EU483" s="26"/>
      <c r="EV483" s="26"/>
      <c r="EW483" s="26"/>
      <c r="EX483" s="26"/>
      <c r="EY483" s="26"/>
      <c r="EZ483" s="26"/>
      <c r="FA483" s="26"/>
      <c r="FB483" s="26"/>
      <c r="FC483" s="26"/>
      <c r="FD483" s="26"/>
      <c r="FE483" s="26"/>
      <c r="FF483" s="26"/>
      <c r="FG483" s="26"/>
      <c r="FH483" s="26"/>
      <c r="FI483" s="26"/>
      <c r="FJ483" s="26"/>
      <c r="FK483" s="26"/>
      <c r="FL483" s="26"/>
      <c r="FM483" s="26"/>
      <c r="FN483" s="26"/>
      <c r="FO483" s="26"/>
      <c r="FP483" s="26"/>
      <c r="FQ483" s="26"/>
      <c r="FR483" s="26"/>
      <c r="FS483" s="26"/>
      <c r="FT483" s="26"/>
      <c r="FU483" s="26"/>
      <c r="FV483" s="26"/>
      <c r="FW483" s="26"/>
      <c r="FX483" s="26"/>
      <c r="FY483" s="26"/>
      <c r="FZ483" s="26"/>
      <c r="GA483" s="26"/>
      <c r="GB483" s="26"/>
      <c r="GC483" s="26"/>
      <c r="GD483" s="26"/>
      <c r="GE483" s="26"/>
      <c r="GF483" s="26"/>
      <c r="GG483" s="26"/>
      <c r="GH483" s="26"/>
      <c r="GI483" s="26"/>
      <c r="GJ483" s="26"/>
      <c r="GK483" s="26"/>
      <c r="GL483" s="26"/>
      <c r="GM483" s="26"/>
      <c r="GN483" s="26"/>
      <c r="GO483" s="26"/>
      <c r="GP483" s="26"/>
      <c r="GQ483" s="26"/>
      <c r="GR483" s="26"/>
      <c r="GS483" s="26"/>
      <c r="GT483" s="26"/>
      <c r="GU483" s="26"/>
      <c r="GV483" s="26"/>
      <c r="GW483" s="26"/>
      <c r="GX483" s="26"/>
      <c r="GY483" s="26"/>
      <c r="GZ483" s="26"/>
      <c r="HA483" s="26"/>
      <c r="HB483" s="26"/>
      <c r="HC483" s="26"/>
      <c r="HD483" s="26"/>
      <c r="HE483" s="26"/>
      <c r="HF483" s="26"/>
      <c r="HG483" s="26"/>
      <c r="HH483" s="26"/>
    </row>
    <row r="484" spans="1:21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c r="BM484" s="26"/>
      <c r="BN484" s="26"/>
      <c r="BO484" s="26"/>
      <c r="BP484" s="26"/>
      <c r="BQ484" s="26"/>
      <c r="BR484" s="26"/>
      <c r="BS484" s="26"/>
      <c r="BT484" s="26"/>
      <c r="BU484" s="26"/>
      <c r="BV484" s="26"/>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26"/>
      <c r="CU484" s="26"/>
      <c r="CV484" s="26"/>
      <c r="CW484" s="26"/>
      <c r="CX484" s="26"/>
      <c r="CY484" s="26"/>
      <c r="CZ484" s="26"/>
      <c r="DA484" s="26"/>
      <c r="DB484" s="26"/>
      <c r="DC484" s="26"/>
      <c r="DD484" s="26"/>
      <c r="DE484" s="26"/>
      <c r="DF484" s="26"/>
      <c r="DG484" s="26"/>
      <c r="DH484" s="26"/>
      <c r="DI484" s="26"/>
      <c r="DJ484" s="26"/>
      <c r="DK484" s="26"/>
      <c r="DL484" s="26"/>
      <c r="DM484" s="26"/>
      <c r="DN484" s="26"/>
      <c r="DO484" s="26"/>
      <c r="DP484" s="26"/>
      <c r="DQ484" s="26"/>
      <c r="DR484" s="26"/>
      <c r="DS484" s="26"/>
      <c r="DT484" s="26"/>
      <c r="DU484" s="26"/>
      <c r="DV484" s="26"/>
      <c r="DW484" s="26"/>
      <c r="DX484" s="26"/>
      <c r="DY484" s="26"/>
      <c r="DZ484" s="26"/>
      <c r="EA484" s="26"/>
      <c r="EB484" s="26"/>
      <c r="EC484" s="26"/>
      <c r="ED484" s="26"/>
      <c r="EE484" s="26"/>
      <c r="EF484" s="26"/>
      <c r="EG484" s="26"/>
      <c r="EH484" s="26"/>
      <c r="EI484" s="26"/>
      <c r="EJ484" s="26"/>
      <c r="EK484" s="26"/>
      <c r="EL484" s="26"/>
      <c r="EM484" s="26"/>
      <c r="EN484" s="26"/>
      <c r="EO484" s="26"/>
      <c r="EP484" s="26"/>
      <c r="EQ484" s="26"/>
      <c r="ER484" s="26"/>
      <c r="ES484" s="26"/>
      <c r="ET484" s="26"/>
      <c r="EU484" s="26"/>
      <c r="EV484" s="26"/>
      <c r="EW484" s="26"/>
      <c r="EX484" s="26"/>
      <c r="EY484" s="26"/>
      <c r="EZ484" s="26"/>
      <c r="FA484" s="26"/>
      <c r="FB484" s="26"/>
      <c r="FC484" s="26"/>
      <c r="FD484" s="26"/>
      <c r="FE484" s="26"/>
      <c r="FF484" s="26"/>
      <c r="FG484" s="26"/>
      <c r="FH484" s="26"/>
      <c r="FI484" s="26"/>
      <c r="FJ484" s="26"/>
      <c r="FK484" s="26"/>
      <c r="FL484" s="26"/>
      <c r="FM484" s="26"/>
      <c r="FN484" s="26"/>
      <c r="FO484" s="26"/>
      <c r="FP484" s="26"/>
      <c r="FQ484" s="26"/>
      <c r="FR484" s="26"/>
      <c r="FS484" s="26"/>
      <c r="FT484" s="26"/>
      <c r="FU484" s="26"/>
      <c r="FV484" s="26"/>
      <c r="FW484" s="26"/>
      <c r="FX484" s="26"/>
      <c r="FY484" s="26"/>
      <c r="FZ484" s="26"/>
      <c r="GA484" s="26"/>
      <c r="GB484" s="26"/>
      <c r="GC484" s="26"/>
      <c r="GD484" s="26"/>
      <c r="GE484" s="26"/>
      <c r="GF484" s="26"/>
      <c r="GG484" s="26"/>
      <c r="GH484" s="26"/>
      <c r="GI484" s="26"/>
      <c r="GJ484" s="26"/>
      <c r="GK484" s="26"/>
      <c r="GL484" s="26"/>
      <c r="GM484" s="26"/>
      <c r="GN484" s="26"/>
      <c r="GO484" s="26"/>
      <c r="GP484" s="26"/>
      <c r="GQ484" s="26"/>
      <c r="GR484" s="26"/>
      <c r="GS484" s="26"/>
      <c r="GT484" s="26"/>
      <c r="GU484" s="26"/>
      <c r="GV484" s="26"/>
      <c r="GW484" s="26"/>
      <c r="GX484" s="26"/>
      <c r="GY484" s="26"/>
      <c r="GZ484" s="26"/>
      <c r="HA484" s="26"/>
      <c r="HB484" s="26"/>
      <c r="HC484" s="26"/>
      <c r="HD484" s="26"/>
      <c r="HE484" s="26"/>
      <c r="HF484" s="26"/>
      <c r="HG484" s="26"/>
      <c r="HH484" s="26"/>
    </row>
    <row r="485" spans="1:21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c r="BM485" s="26"/>
      <c r="BN485" s="26"/>
      <c r="BO485" s="26"/>
      <c r="BP485" s="26"/>
      <c r="BQ485" s="26"/>
      <c r="BR485" s="26"/>
      <c r="BS485" s="26"/>
      <c r="BT485" s="26"/>
      <c r="BU485" s="26"/>
      <c r="BV485" s="26"/>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26"/>
      <c r="CU485" s="26"/>
      <c r="CV485" s="26"/>
      <c r="CW485" s="26"/>
      <c r="CX485" s="26"/>
      <c r="CY485" s="26"/>
      <c r="CZ485" s="26"/>
      <c r="DA485" s="26"/>
      <c r="DB485" s="26"/>
      <c r="DC485" s="26"/>
      <c r="DD485" s="26"/>
      <c r="DE485" s="26"/>
      <c r="DF485" s="26"/>
      <c r="DG485" s="26"/>
      <c r="DH485" s="26"/>
      <c r="DI485" s="26"/>
      <c r="DJ485" s="26"/>
      <c r="DK485" s="26"/>
      <c r="DL485" s="26"/>
      <c r="DM485" s="26"/>
      <c r="DN485" s="26"/>
      <c r="DO485" s="26"/>
      <c r="DP485" s="26"/>
      <c r="DQ485" s="26"/>
      <c r="DR485" s="26"/>
      <c r="DS485" s="26"/>
      <c r="DT485" s="26"/>
      <c r="DU485" s="26"/>
      <c r="DV485" s="26"/>
      <c r="DW485" s="26"/>
      <c r="DX485" s="26"/>
      <c r="DY485" s="26"/>
      <c r="DZ485" s="26"/>
      <c r="EA485" s="26"/>
      <c r="EB485" s="26"/>
      <c r="EC485" s="26"/>
      <c r="ED485" s="26"/>
      <c r="EE485" s="26"/>
      <c r="EF485" s="26"/>
      <c r="EG485" s="26"/>
      <c r="EH485" s="26"/>
      <c r="EI485" s="26"/>
      <c r="EJ485" s="26"/>
      <c r="EK485" s="26"/>
      <c r="EL485" s="26"/>
      <c r="EM485" s="26"/>
      <c r="EN485" s="26"/>
      <c r="EO485" s="26"/>
      <c r="EP485" s="26"/>
      <c r="EQ485" s="26"/>
      <c r="ER485" s="26"/>
      <c r="ES485" s="26"/>
      <c r="ET485" s="26"/>
      <c r="EU485" s="26"/>
      <c r="EV485" s="26"/>
      <c r="EW485" s="26"/>
      <c r="EX485" s="26"/>
      <c r="EY485" s="26"/>
      <c r="EZ485" s="26"/>
      <c r="FA485" s="26"/>
      <c r="FB485" s="26"/>
      <c r="FC485" s="26"/>
      <c r="FD485" s="26"/>
      <c r="FE485" s="26"/>
      <c r="FF485" s="26"/>
      <c r="FG485" s="26"/>
      <c r="FH485" s="26"/>
      <c r="FI485" s="26"/>
      <c r="FJ485" s="26"/>
      <c r="FK485" s="26"/>
      <c r="FL485" s="26"/>
      <c r="FM485" s="26"/>
      <c r="FN485" s="26"/>
      <c r="FO485" s="26"/>
      <c r="FP485" s="26"/>
      <c r="FQ485" s="26"/>
      <c r="FR485" s="26"/>
      <c r="FS485" s="26"/>
      <c r="FT485" s="26"/>
      <c r="FU485" s="26"/>
      <c r="FV485" s="26"/>
      <c r="FW485" s="26"/>
      <c r="FX485" s="26"/>
      <c r="FY485" s="26"/>
      <c r="FZ485" s="26"/>
      <c r="GA485" s="26"/>
      <c r="GB485" s="26"/>
      <c r="GC485" s="26"/>
      <c r="GD485" s="26"/>
      <c r="GE485" s="26"/>
      <c r="GF485" s="26"/>
      <c r="GG485" s="26"/>
      <c r="GH485" s="26"/>
      <c r="GI485" s="26"/>
      <c r="GJ485" s="26"/>
      <c r="GK485" s="26"/>
      <c r="GL485" s="26"/>
      <c r="GM485" s="26"/>
      <c r="GN485" s="26"/>
      <c r="GO485" s="26"/>
      <c r="GP485" s="26"/>
      <c r="GQ485" s="26"/>
      <c r="GR485" s="26"/>
      <c r="GS485" s="26"/>
      <c r="GT485" s="26"/>
      <c r="GU485" s="26"/>
      <c r="GV485" s="26"/>
      <c r="GW485" s="26"/>
      <c r="GX485" s="26"/>
      <c r="GY485" s="26"/>
      <c r="GZ485" s="26"/>
      <c r="HA485" s="26"/>
      <c r="HB485" s="26"/>
      <c r="HC485" s="26"/>
      <c r="HD485" s="26"/>
      <c r="HE485" s="26"/>
      <c r="HF485" s="26"/>
      <c r="HG485" s="26"/>
      <c r="HH485" s="26"/>
    </row>
    <row r="486" spans="1:21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c r="BM486" s="26"/>
      <c r="BN486" s="26"/>
      <c r="BO486" s="26"/>
      <c r="BP486" s="26"/>
      <c r="BQ486" s="26"/>
      <c r="BR486" s="26"/>
      <c r="BS486" s="26"/>
      <c r="BT486" s="26"/>
      <c r="BU486" s="26"/>
      <c r="BV486" s="26"/>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26"/>
      <c r="CU486" s="26"/>
      <c r="CV486" s="26"/>
      <c r="CW486" s="26"/>
      <c r="CX486" s="26"/>
      <c r="CY486" s="26"/>
      <c r="CZ486" s="26"/>
      <c r="DA486" s="26"/>
      <c r="DB486" s="26"/>
      <c r="DC486" s="26"/>
      <c r="DD486" s="26"/>
      <c r="DE486" s="26"/>
      <c r="DF486" s="26"/>
      <c r="DG486" s="26"/>
      <c r="DH486" s="26"/>
      <c r="DI486" s="26"/>
      <c r="DJ486" s="26"/>
      <c r="DK486" s="26"/>
      <c r="DL486" s="26"/>
      <c r="DM486" s="26"/>
      <c r="DN486" s="26"/>
      <c r="DO486" s="26"/>
      <c r="DP486" s="26"/>
      <c r="DQ486" s="26"/>
      <c r="DR486" s="26"/>
      <c r="DS486" s="26"/>
      <c r="DT486" s="26"/>
      <c r="DU486" s="26"/>
      <c r="DV486" s="26"/>
      <c r="DW486" s="26"/>
      <c r="DX486" s="26"/>
      <c r="DY486" s="26"/>
      <c r="DZ486" s="26"/>
      <c r="EA486" s="26"/>
      <c r="EB486" s="26"/>
      <c r="EC486" s="26"/>
      <c r="ED486" s="26"/>
      <c r="EE486" s="26"/>
      <c r="EF486" s="26"/>
      <c r="EG486" s="26"/>
      <c r="EH486" s="26"/>
      <c r="EI486" s="26"/>
      <c r="EJ486" s="26"/>
      <c r="EK486" s="26"/>
      <c r="EL486" s="26"/>
      <c r="EM486" s="26"/>
      <c r="EN486" s="26"/>
      <c r="EO486" s="26"/>
      <c r="EP486" s="26"/>
      <c r="EQ486" s="26"/>
      <c r="ER486" s="26"/>
      <c r="ES486" s="26"/>
      <c r="ET486" s="26"/>
      <c r="EU486" s="26"/>
      <c r="EV486" s="26"/>
      <c r="EW486" s="26"/>
      <c r="EX486" s="26"/>
      <c r="EY486" s="26"/>
      <c r="EZ486" s="26"/>
      <c r="FA486" s="26"/>
      <c r="FB486" s="26"/>
      <c r="FC486" s="26"/>
      <c r="FD486" s="26"/>
      <c r="FE486" s="26"/>
      <c r="FF486" s="26"/>
      <c r="FG486" s="26"/>
      <c r="FH486" s="26"/>
      <c r="FI486" s="26"/>
      <c r="FJ486" s="26"/>
      <c r="FK486" s="26"/>
      <c r="FL486" s="26"/>
      <c r="FM486" s="26"/>
      <c r="FN486" s="26"/>
      <c r="FO486" s="26"/>
      <c r="FP486" s="26"/>
      <c r="FQ486" s="26"/>
      <c r="FR486" s="26"/>
      <c r="FS486" s="26"/>
      <c r="FT486" s="26"/>
      <c r="FU486" s="26"/>
      <c r="FV486" s="26"/>
      <c r="FW486" s="26"/>
      <c r="FX486" s="26"/>
      <c r="FY486" s="26"/>
      <c r="FZ486" s="26"/>
      <c r="GA486" s="26"/>
      <c r="GB486" s="26"/>
      <c r="GC486" s="26"/>
      <c r="GD486" s="26"/>
      <c r="GE486" s="26"/>
      <c r="GF486" s="26"/>
      <c r="GG486" s="26"/>
      <c r="GH486" s="26"/>
      <c r="GI486" s="26"/>
      <c r="GJ486" s="26"/>
      <c r="GK486" s="26"/>
      <c r="GL486" s="26"/>
      <c r="GM486" s="26"/>
      <c r="GN486" s="26"/>
      <c r="GO486" s="26"/>
      <c r="GP486" s="26"/>
      <c r="GQ486" s="26"/>
      <c r="GR486" s="26"/>
      <c r="GS486" s="26"/>
      <c r="GT486" s="26"/>
      <c r="GU486" s="26"/>
      <c r="GV486" s="26"/>
      <c r="GW486" s="26"/>
      <c r="GX486" s="26"/>
      <c r="GY486" s="26"/>
      <c r="GZ486" s="26"/>
      <c r="HA486" s="26"/>
      <c r="HB486" s="26"/>
      <c r="HC486" s="26"/>
      <c r="HD486" s="26"/>
      <c r="HE486" s="26"/>
      <c r="HF486" s="26"/>
      <c r="HG486" s="26"/>
      <c r="HH486" s="26"/>
    </row>
    <row r="487" spans="1:21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c r="BM487" s="26"/>
      <c r="BN487" s="26"/>
      <c r="BO487" s="26"/>
      <c r="BP487" s="26"/>
      <c r="BQ487" s="26"/>
      <c r="BR487" s="26"/>
      <c r="BS487" s="26"/>
      <c r="BT487" s="26"/>
      <c r="BU487" s="26"/>
      <c r="BV487" s="26"/>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26"/>
      <c r="CU487" s="26"/>
      <c r="CV487" s="26"/>
      <c r="CW487" s="26"/>
      <c r="CX487" s="26"/>
      <c r="CY487" s="26"/>
      <c r="CZ487" s="26"/>
      <c r="DA487" s="26"/>
      <c r="DB487" s="26"/>
      <c r="DC487" s="26"/>
      <c r="DD487" s="26"/>
      <c r="DE487" s="26"/>
      <c r="DF487" s="26"/>
      <c r="DG487" s="26"/>
      <c r="DH487" s="26"/>
      <c r="DI487" s="26"/>
      <c r="DJ487" s="26"/>
      <c r="DK487" s="26"/>
      <c r="DL487" s="26"/>
      <c r="DM487" s="26"/>
      <c r="DN487" s="26"/>
      <c r="DO487" s="26"/>
      <c r="DP487" s="26"/>
      <c r="DQ487" s="26"/>
      <c r="DR487" s="26"/>
      <c r="DS487" s="26"/>
      <c r="DT487" s="26"/>
      <c r="DU487" s="26"/>
      <c r="DV487" s="26"/>
      <c r="DW487" s="26"/>
      <c r="DX487" s="26"/>
      <c r="DY487" s="26"/>
      <c r="DZ487" s="26"/>
      <c r="EA487" s="26"/>
      <c r="EB487" s="26"/>
      <c r="EC487" s="26"/>
      <c r="ED487" s="26"/>
      <c r="EE487" s="26"/>
      <c r="EF487" s="26"/>
      <c r="EG487" s="26"/>
      <c r="EH487" s="26"/>
      <c r="EI487" s="26"/>
      <c r="EJ487" s="26"/>
      <c r="EK487" s="26"/>
      <c r="EL487" s="26"/>
      <c r="EM487" s="26"/>
      <c r="EN487" s="26"/>
      <c r="EO487" s="26"/>
      <c r="EP487" s="26"/>
      <c r="EQ487" s="26"/>
      <c r="ER487" s="26"/>
      <c r="ES487" s="26"/>
      <c r="ET487" s="26"/>
      <c r="EU487" s="26"/>
      <c r="EV487" s="26"/>
      <c r="EW487" s="26"/>
      <c r="EX487" s="26"/>
      <c r="EY487" s="26"/>
      <c r="EZ487" s="26"/>
      <c r="FA487" s="26"/>
      <c r="FB487" s="26"/>
      <c r="FC487" s="26"/>
      <c r="FD487" s="26"/>
      <c r="FE487" s="26"/>
      <c r="FF487" s="26"/>
      <c r="FG487" s="26"/>
      <c r="FH487" s="26"/>
      <c r="FI487" s="26"/>
      <c r="FJ487" s="26"/>
      <c r="FK487" s="26"/>
      <c r="FL487" s="26"/>
      <c r="FM487" s="26"/>
      <c r="FN487" s="26"/>
      <c r="FO487" s="26"/>
      <c r="FP487" s="26"/>
      <c r="FQ487" s="26"/>
      <c r="FR487" s="26"/>
      <c r="FS487" s="26"/>
      <c r="FT487" s="26"/>
      <c r="FU487" s="26"/>
      <c r="FV487" s="26"/>
      <c r="FW487" s="26"/>
      <c r="FX487" s="26"/>
      <c r="FY487" s="26"/>
      <c r="FZ487" s="26"/>
      <c r="GA487" s="26"/>
      <c r="GB487" s="26"/>
      <c r="GC487" s="26"/>
      <c r="GD487" s="26"/>
      <c r="GE487" s="26"/>
      <c r="GF487" s="26"/>
      <c r="GG487" s="26"/>
      <c r="GH487" s="26"/>
      <c r="GI487" s="26"/>
      <c r="GJ487" s="26"/>
      <c r="GK487" s="26"/>
      <c r="GL487" s="26"/>
      <c r="GM487" s="26"/>
      <c r="GN487" s="26"/>
      <c r="GO487" s="26"/>
      <c r="GP487" s="26"/>
      <c r="GQ487" s="26"/>
      <c r="GR487" s="26"/>
      <c r="GS487" s="26"/>
      <c r="GT487" s="26"/>
      <c r="GU487" s="26"/>
      <c r="GV487" s="26"/>
      <c r="GW487" s="26"/>
      <c r="GX487" s="26"/>
      <c r="GY487" s="26"/>
      <c r="GZ487" s="26"/>
      <c r="HA487" s="26"/>
      <c r="HB487" s="26"/>
      <c r="HC487" s="26"/>
      <c r="HD487" s="26"/>
      <c r="HE487" s="26"/>
      <c r="HF487" s="26"/>
      <c r="HG487" s="26"/>
      <c r="HH487" s="26"/>
    </row>
    <row r="488" spans="1:21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c r="BM488" s="26"/>
      <c r="BN488" s="26"/>
      <c r="BO488" s="26"/>
      <c r="BP488" s="26"/>
      <c r="BQ488" s="26"/>
      <c r="BR488" s="26"/>
      <c r="BS488" s="26"/>
      <c r="BT488" s="26"/>
      <c r="BU488" s="26"/>
      <c r="BV488" s="26"/>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26"/>
      <c r="CU488" s="26"/>
      <c r="CV488" s="26"/>
      <c r="CW488" s="26"/>
      <c r="CX488" s="26"/>
      <c r="CY488" s="26"/>
      <c r="CZ488" s="26"/>
      <c r="DA488" s="26"/>
      <c r="DB488" s="26"/>
      <c r="DC488" s="26"/>
      <c r="DD488" s="26"/>
      <c r="DE488" s="26"/>
      <c r="DF488" s="26"/>
      <c r="DG488" s="26"/>
      <c r="DH488" s="26"/>
      <c r="DI488" s="26"/>
      <c r="DJ488" s="26"/>
      <c r="DK488" s="26"/>
      <c r="DL488" s="26"/>
      <c r="DM488" s="26"/>
      <c r="DN488" s="26"/>
      <c r="DO488" s="26"/>
      <c r="DP488" s="26"/>
      <c r="DQ488" s="26"/>
      <c r="DR488" s="26"/>
      <c r="DS488" s="26"/>
      <c r="DT488" s="26"/>
      <c r="DU488" s="26"/>
      <c r="DV488" s="26"/>
      <c r="DW488" s="26"/>
      <c r="DX488" s="26"/>
      <c r="DY488" s="26"/>
      <c r="DZ488" s="26"/>
      <c r="EA488" s="26"/>
      <c r="EB488" s="26"/>
      <c r="EC488" s="26"/>
      <c r="ED488" s="26"/>
      <c r="EE488" s="26"/>
      <c r="EF488" s="26"/>
      <c r="EG488" s="26"/>
      <c r="EH488" s="26"/>
      <c r="EI488" s="26"/>
      <c r="EJ488" s="26"/>
      <c r="EK488" s="26"/>
      <c r="EL488" s="26"/>
      <c r="EM488" s="26"/>
      <c r="EN488" s="26"/>
      <c r="EO488" s="26"/>
      <c r="EP488" s="26"/>
      <c r="EQ488" s="26"/>
      <c r="ER488" s="26"/>
      <c r="ES488" s="26"/>
      <c r="ET488" s="26"/>
      <c r="EU488" s="26"/>
      <c r="EV488" s="26"/>
      <c r="EW488" s="26"/>
      <c r="EX488" s="26"/>
      <c r="EY488" s="26"/>
      <c r="EZ488" s="26"/>
      <c r="FA488" s="26"/>
      <c r="FB488" s="26"/>
      <c r="FC488" s="26"/>
      <c r="FD488" s="26"/>
      <c r="FE488" s="26"/>
      <c r="FF488" s="26"/>
      <c r="FG488" s="26"/>
      <c r="FH488" s="26"/>
      <c r="FI488" s="26"/>
      <c r="FJ488" s="26"/>
      <c r="FK488" s="26"/>
      <c r="FL488" s="26"/>
      <c r="FM488" s="26"/>
      <c r="FN488" s="26"/>
      <c r="FO488" s="26"/>
      <c r="FP488" s="26"/>
      <c r="FQ488" s="26"/>
      <c r="FR488" s="26"/>
      <c r="FS488" s="26"/>
      <c r="FT488" s="26"/>
      <c r="FU488" s="26"/>
      <c r="FV488" s="26"/>
      <c r="FW488" s="26"/>
      <c r="FX488" s="26"/>
      <c r="FY488" s="26"/>
      <c r="FZ488" s="26"/>
      <c r="GA488" s="26"/>
      <c r="GB488" s="26"/>
      <c r="GC488" s="26"/>
      <c r="GD488" s="26"/>
      <c r="GE488" s="26"/>
      <c r="GF488" s="26"/>
      <c r="GG488" s="26"/>
      <c r="GH488" s="26"/>
      <c r="GI488" s="26"/>
      <c r="GJ488" s="26"/>
      <c r="GK488" s="26"/>
      <c r="GL488" s="26"/>
      <c r="GM488" s="26"/>
      <c r="GN488" s="26"/>
      <c r="GO488" s="26"/>
      <c r="GP488" s="26"/>
      <c r="GQ488" s="26"/>
      <c r="GR488" s="26"/>
      <c r="GS488" s="26"/>
      <c r="GT488" s="26"/>
      <c r="GU488" s="26"/>
      <c r="GV488" s="26"/>
      <c r="GW488" s="26"/>
      <c r="GX488" s="26"/>
      <c r="GY488" s="26"/>
      <c r="GZ488" s="26"/>
      <c r="HA488" s="26"/>
      <c r="HB488" s="26"/>
      <c r="HC488" s="26"/>
      <c r="HD488" s="26"/>
      <c r="HE488" s="26"/>
      <c r="HF488" s="26"/>
      <c r="HG488" s="26"/>
      <c r="HH488" s="26"/>
    </row>
    <row r="489" spans="1:21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c r="BM489" s="26"/>
      <c r="BN489" s="26"/>
      <c r="BO489" s="26"/>
      <c r="BP489" s="26"/>
      <c r="BQ489" s="26"/>
      <c r="BR489" s="26"/>
      <c r="BS489" s="26"/>
      <c r="BT489" s="26"/>
      <c r="BU489" s="26"/>
      <c r="BV489" s="26"/>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26"/>
      <c r="CU489" s="26"/>
      <c r="CV489" s="26"/>
      <c r="CW489" s="26"/>
      <c r="CX489" s="26"/>
      <c r="CY489" s="26"/>
      <c r="CZ489" s="26"/>
      <c r="DA489" s="26"/>
      <c r="DB489" s="26"/>
      <c r="DC489" s="26"/>
      <c r="DD489" s="26"/>
      <c r="DE489" s="26"/>
      <c r="DF489" s="26"/>
      <c r="DG489" s="26"/>
      <c r="DH489" s="26"/>
      <c r="DI489" s="26"/>
      <c r="DJ489" s="26"/>
      <c r="DK489" s="26"/>
      <c r="DL489" s="26"/>
      <c r="DM489" s="26"/>
      <c r="DN489" s="26"/>
      <c r="DO489" s="26"/>
      <c r="DP489" s="26"/>
      <c r="DQ489" s="26"/>
      <c r="DR489" s="26"/>
      <c r="DS489" s="26"/>
      <c r="DT489" s="26"/>
      <c r="DU489" s="26"/>
      <c r="DV489" s="26"/>
      <c r="DW489" s="26"/>
      <c r="DX489" s="26"/>
      <c r="DY489" s="26"/>
      <c r="DZ489" s="26"/>
      <c r="EA489" s="26"/>
      <c r="EB489" s="26"/>
      <c r="EC489" s="26"/>
      <c r="ED489" s="26"/>
      <c r="EE489" s="26"/>
      <c r="EF489" s="26"/>
      <c r="EG489" s="26"/>
      <c r="EH489" s="26"/>
      <c r="EI489" s="26"/>
      <c r="EJ489" s="26"/>
      <c r="EK489" s="26"/>
      <c r="EL489" s="26"/>
      <c r="EM489" s="26"/>
      <c r="EN489" s="26"/>
      <c r="EO489" s="26"/>
      <c r="EP489" s="26"/>
      <c r="EQ489" s="26"/>
      <c r="ER489" s="26"/>
      <c r="ES489" s="26"/>
      <c r="ET489" s="26"/>
      <c r="EU489" s="26"/>
      <c r="EV489" s="26"/>
      <c r="EW489" s="26"/>
      <c r="EX489" s="26"/>
      <c r="EY489" s="26"/>
      <c r="EZ489" s="26"/>
      <c r="FA489" s="26"/>
      <c r="FB489" s="26"/>
      <c r="FC489" s="26"/>
      <c r="FD489" s="26"/>
      <c r="FE489" s="26"/>
      <c r="FF489" s="26"/>
      <c r="FG489" s="26"/>
      <c r="FH489" s="26"/>
      <c r="FI489" s="26"/>
      <c r="FJ489" s="26"/>
      <c r="FK489" s="26"/>
      <c r="FL489" s="26"/>
      <c r="FM489" s="26"/>
      <c r="FN489" s="26"/>
      <c r="FO489" s="26"/>
      <c r="FP489" s="26"/>
      <c r="FQ489" s="26"/>
      <c r="FR489" s="26"/>
      <c r="FS489" s="26"/>
      <c r="FT489" s="26"/>
      <c r="FU489" s="26"/>
      <c r="FV489" s="26"/>
      <c r="FW489" s="26"/>
      <c r="FX489" s="26"/>
      <c r="FY489" s="26"/>
      <c r="FZ489" s="26"/>
      <c r="GA489" s="26"/>
      <c r="GB489" s="26"/>
      <c r="GC489" s="26"/>
      <c r="GD489" s="26"/>
      <c r="GE489" s="26"/>
      <c r="GF489" s="26"/>
      <c r="GG489" s="26"/>
      <c r="GH489" s="26"/>
      <c r="GI489" s="26"/>
      <c r="GJ489" s="26"/>
      <c r="GK489" s="26"/>
      <c r="GL489" s="26"/>
      <c r="GM489" s="26"/>
      <c r="GN489" s="26"/>
      <c r="GO489" s="26"/>
      <c r="GP489" s="26"/>
      <c r="GQ489" s="26"/>
      <c r="GR489" s="26"/>
      <c r="GS489" s="26"/>
      <c r="GT489" s="26"/>
      <c r="GU489" s="26"/>
      <c r="GV489" s="26"/>
      <c r="GW489" s="26"/>
      <c r="GX489" s="26"/>
      <c r="GY489" s="26"/>
      <c r="GZ489" s="26"/>
      <c r="HA489" s="26"/>
      <c r="HB489" s="26"/>
      <c r="HC489" s="26"/>
      <c r="HD489" s="26"/>
      <c r="HE489" s="26"/>
      <c r="HF489" s="26"/>
      <c r="HG489" s="26"/>
      <c r="HH489" s="26"/>
    </row>
    <row r="490" spans="1:21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c r="BM490" s="26"/>
      <c r="BN490" s="26"/>
      <c r="BO490" s="26"/>
      <c r="BP490" s="26"/>
      <c r="BQ490" s="26"/>
      <c r="BR490" s="26"/>
      <c r="BS490" s="26"/>
      <c r="BT490" s="26"/>
      <c r="BU490" s="26"/>
      <c r="BV490" s="26"/>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26"/>
      <c r="CU490" s="26"/>
      <c r="CV490" s="26"/>
      <c r="CW490" s="26"/>
      <c r="CX490" s="26"/>
      <c r="CY490" s="26"/>
      <c r="CZ490" s="26"/>
      <c r="DA490" s="26"/>
      <c r="DB490" s="26"/>
      <c r="DC490" s="26"/>
      <c r="DD490" s="26"/>
      <c r="DE490" s="26"/>
      <c r="DF490" s="26"/>
      <c r="DG490" s="26"/>
      <c r="DH490" s="26"/>
      <c r="DI490" s="26"/>
      <c r="DJ490" s="26"/>
      <c r="DK490" s="26"/>
      <c r="DL490" s="26"/>
      <c r="DM490" s="26"/>
      <c r="DN490" s="26"/>
      <c r="DO490" s="26"/>
      <c r="DP490" s="26"/>
      <c r="DQ490" s="26"/>
      <c r="DR490" s="26"/>
      <c r="DS490" s="26"/>
      <c r="DT490" s="26"/>
      <c r="DU490" s="26"/>
      <c r="DV490" s="26"/>
      <c r="DW490" s="26"/>
      <c r="DX490" s="26"/>
      <c r="DY490" s="26"/>
      <c r="DZ490" s="26"/>
      <c r="EA490" s="26"/>
      <c r="EB490" s="26"/>
      <c r="EC490" s="26"/>
      <c r="ED490" s="26"/>
      <c r="EE490" s="26"/>
      <c r="EF490" s="26"/>
      <c r="EG490" s="26"/>
      <c r="EH490" s="26"/>
      <c r="EI490" s="26"/>
      <c r="EJ490" s="26"/>
      <c r="EK490" s="26"/>
      <c r="EL490" s="26"/>
      <c r="EM490" s="26"/>
      <c r="EN490" s="26"/>
      <c r="EO490" s="26"/>
      <c r="EP490" s="26"/>
      <c r="EQ490" s="26"/>
      <c r="ER490" s="26"/>
      <c r="ES490" s="26"/>
      <c r="ET490" s="26"/>
      <c r="EU490" s="26"/>
      <c r="EV490" s="26"/>
      <c r="EW490" s="26"/>
      <c r="EX490" s="26"/>
      <c r="EY490" s="26"/>
      <c r="EZ490" s="26"/>
      <c r="FA490" s="26"/>
      <c r="FB490" s="26"/>
      <c r="FC490" s="26"/>
      <c r="FD490" s="26"/>
      <c r="FE490" s="26"/>
      <c r="FF490" s="26"/>
      <c r="FG490" s="26"/>
      <c r="FH490" s="26"/>
      <c r="FI490" s="26"/>
      <c r="FJ490" s="26"/>
      <c r="FK490" s="26"/>
      <c r="FL490" s="26"/>
      <c r="FM490" s="26"/>
      <c r="FN490" s="26"/>
      <c r="FO490" s="26"/>
      <c r="FP490" s="26"/>
      <c r="FQ490" s="26"/>
      <c r="FR490" s="26"/>
      <c r="FS490" s="26"/>
      <c r="FT490" s="26"/>
      <c r="FU490" s="26"/>
      <c r="FV490" s="26"/>
      <c r="FW490" s="26"/>
      <c r="FX490" s="26"/>
      <c r="FY490" s="26"/>
      <c r="FZ490" s="26"/>
      <c r="GA490" s="26"/>
      <c r="GB490" s="26"/>
      <c r="GC490" s="26"/>
      <c r="GD490" s="26"/>
      <c r="GE490" s="26"/>
      <c r="GF490" s="26"/>
      <c r="GG490" s="26"/>
      <c r="GH490" s="26"/>
      <c r="GI490" s="26"/>
      <c r="GJ490" s="26"/>
      <c r="GK490" s="26"/>
      <c r="GL490" s="26"/>
      <c r="GM490" s="26"/>
      <c r="GN490" s="26"/>
      <c r="GO490" s="26"/>
      <c r="GP490" s="26"/>
      <c r="GQ490" s="26"/>
      <c r="GR490" s="26"/>
      <c r="GS490" s="26"/>
      <c r="GT490" s="26"/>
      <c r="GU490" s="26"/>
      <c r="GV490" s="26"/>
      <c r="GW490" s="26"/>
      <c r="GX490" s="26"/>
      <c r="GY490" s="26"/>
      <c r="GZ490" s="26"/>
      <c r="HA490" s="26"/>
      <c r="HB490" s="26"/>
      <c r="HC490" s="26"/>
      <c r="HD490" s="26"/>
      <c r="HE490" s="26"/>
      <c r="HF490" s="26"/>
      <c r="HG490" s="26"/>
      <c r="HH490" s="26"/>
    </row>
    <row r="491" spans="1:21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c r="BM491" s="26"/>
      <c r="BN491" s="26"/>
      <c r="BO491" s="26"/>
      <c r="BP491" s="26"/>
      <c r="BQ491" s="26"/>
      <c r="BR491" s="26"/>
      <c r="BS491" s="26"/>
      <c r="BT491" s="26"/>
      <c r="BU491" s="26"/>
      <c r="BV491" s="26"/>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26"/>
      <c r="CU491" s="26"/>
      <c r="CV491" s="26"/>
      <c r="CW491" s="26"/>
      <c r="CX491" s="26"/>
      <c r="CY491" s="26"/>
      <c r="CZ491" s="26"/>
      <c r="DA491" s="26"/>
      <c r="DB491" s="26"/>
      <c r="DC491" s="26"/>
      <c r="DD491" s="26"/>
      <c r="DE491" s="26"/>
      <c r="DF491" s="26"/>
      <c r="DG491" s="26"/>
      <c r="DH491" s="26"/>
      <c r="DI491" s="26"/>
      <c r="DJ491" s="26"/>
      <c r="DK491" s="26"/>
      <c r="DL491" s="26"/>
      <c r="DM491" s="26"/>
      <c r="DN491" s="26"/>
      <c r="DO491" s="26"/>
      <c r="DP491" s="26"/>
      <c r="DQ491" s="26"/>
      <c r="DR491" s="26"/>
      <c r="DS491" s="26"/>
      <c r="DT491" s="26"/>
      <c r="DU491" s="26"/>
      <c r="DV491" s="26"/>
      <c r="DW491" s="26"/>
      <c r="DX491" s="26"/>
      <c r="DY491" s="26"/>
      <c r="DZ491" s="26"/>
      <c r="EA491" s="26"/>
      <c r="EB491" s="26"/>
      <c r="EC491" s="26"/>
      <c r="ED491" s="26"/>
      <c r="EE491" s="26"/>
      <c r="EF491" s="26"/>
      <c r="EG491" s="26"/>
      <c r="EH491" s="26"/>
      <c r="EI491" s="26"/>
      <c r="EJ491" s="26"/>
      <c r="EK491" s="26"/>
      <c r="EL491" s="26"/>
      <c r="EM491" s="26"/>
      <c r="EN491" s="26"/>
      <c r="EO491" s="26"/>
      <c r="EP491" s="26"/>
      <c r="EQ491" s="26"/>
      <c r="ER491" s="26"/>
      <c r="ES491" s="26"/>
      <c r="ET491" s="26"/>
      <c r="EU491" s="26"/>
      <c r="EV491" s="26"/>
      <c r="EW491" s="26"/>
      <c r="EX491" s="26"/>
      <c r="EY491" s="26"/>
      <c r="EZ491" s="26"/>
      <c r="FA491" s="26"/>
      <c r="FB491" s="26"/>
      <c r="FC491" s="26"/>
      <c r="FD491" s="26"/>
      <c r="FE491" s="26"/>
      <c r="FF491" s="26"/>
      <c r="FG491" s="26"/>
      <c r="FH491" s="26"/>
      <c r="FI491" s="26"/>
      <c r="FJ491" s="26"/>
      <c r="FK491" s="26"/>
      <c r="FL491" s="26"/>
      <c r="FM491" s="26"/>
      <c r="FN491" s="26"/>
      <c r="FO491" s="26"/>
      <c r="FP491" s="26"/>
      <c r="FQ491" s="26"/>
      <c r="FR491" s="26"/>
      <c r="FS491" s="26"/>
      <c r="FT491" s="26"/>
      <c r="FU491" s="26"/>
      <c r="FV491" s="26"/>
      <c r="FW491" s="26"/>
      <c r="FX491" s="26"/>
      <c r="FY491" s="26"/>
      <c r="FZ491" s="26"/>
      <c r="GA491" s="26"/>
      <c r="GB491" s="26"/>
      <c r="GC491" s="26"/>
      <c r="GD491" s="26"/>
      <c r="GE491" s="26"/>
      <c r="GF491" s="26"/>
      <c r="GG491" s="26"/>
      <c r="GH491" s="26"/>
      <c r="GI491" s="26"/>
      <c r="GJ491" s="26"/>
      <c r="GK491" s="26"/>
      <c r="GL491" s="26"/>
      <c r="GM491" s="26"/>
      <c r="GN491" s="26"/>
      <c r="GO491" s="26"/>
      <c r="GP491" s="26"/>
      <c r="GQ491" s="26"/>
      <c r="GR491" s="26"/>
      <c r="GS491" s="26"/>
      <c r="GT491" s="26"/>
      <c r="GU491" s="26"/>
      <c r="GV491" s="26"/>
      <c r="GW491" s="26"/>
      <c r="GX491" s="26"/>
      <c r="GY491" s="26"/>
      <c r="GZ491" s="26"/>
      <c r="HA491" s="26"/>
      <c r="HB491" s="26"/>
      <c r="HC491" s="26"/>
      <c r="HD491" s="26"/>
      <c r="HE491" s="26"/>
      <c r="HF491" s="26"/>
      <c r="HG491" s="26"/>
      <c r="HH491" s="26"/>
    </row>
    <row r="492" spans="1:21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c r="BM492" s="26"/>
      <c r="BN492" s="26"/>
      <c r="BO492" s="26"/>
      <c r="BP492" s="26"/>
      <c r="BQ492" s="26"/>
      <c r="BR492" s="26"/>
      <c r="BS492" s="26"/>
      <c r="BT492" s="26"/>
      <c r="BU492" s="26"/>
      <c r="BV492" s="26"/>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26"/>
      <c r="CU492" s="26"/>
      <c r="CV492" s="26"/>
      <c r="CW492" s="26"/>
      <c r="CX492" s="26"/>
      <c r="CY492" s="26"/>
      <c r="CZ492" s="26"/>
      <c r="DA492" s="26"/>
      <c r="DB492" s="26"/>
      <c r="DC492" s="26"/>
      <c r="DD492" s="26"/>
      <c r="DE492" s="26"/>
      <c r="DF492" s="26"/>
      <c r="DG492" s="26"/>
      <c r="DH492" s="26"/>
      <c r="DI492" s="26"/>
      <c r="DJ492" s="26"/>
      <c r="DK492" s="26"/>
      <c r="DL492" s="26"/>
      <c r="DM492" s="26"/>
      <c r="DN492" s="26"/>
      <c r="DO492" s="26"/>
      <c r="DP492" s="26"/>
      <c r="DQ492" s="26"/>
      <c r="DR492" s="26"/>
      <c r="DS492" s="26"/>
      <c r="DT492" s="26"/>
      <c r="DU492" s="26"/>
      <c r="DV492" s="26"/>
      <c r="DW492" s="26"/>
      <c r="DX492" s="26"/>
      <c r="DY492" s="26"/>
      <c r="DZ492" s="26"/>
      <c r="EA492" s="26"/>
      <c r="EB492" s="26"/>
      <c r="EC492" s="26"/>
      <c r="ED492" s="26"/>
      <c r="EE492" s="26"/>
      <c r="EF492" s="26"/>
      <c r="EG492" s="26"/>
      <c r="EH492" s="26"/>
      <c r="EI492" s="26"/>
      <c r="EJ492" s="26"/>
      <c r="EK492" s="26"/>
      <c r="EL492" s="26"/>
      <c r="EM492" s="26"/>
      <c r="EN492" s="26"/>
      <c r="EO492" s="26"/>
      <c r="EP492" s="26"/>
      <c r="EQ492" s="26"/>
      <c r="ER492" s="26"/>
      <c r="ES492" s="26"/>
      <c r="ET492" s="26"/>
      <c r="EU492" s="26"/>
      <c r="EV492" s="26"/>
      <c r="EW492" s="26"/>
      <c r="EX492" s="26"/>
      <c r="EY492" s="26"/>
      <c r="EZ492" s="26"/>
      <c r="FA492" s="26"/>
      <c r="FB492" s="26"/>
      <c r="FC492" s="26"/>
      <c r="FD492" s="26"/>
      <c r="FE492" s="26"/>
      <c r="FF492" s="26"/>
      <c r="FG492" s="26"/>
      <c r="FH492" s="26"/>
      <c r="FI492" s="26"/>
      <c r="FJ492" s="26"/>
      <c r="FK492" s="26"/>
      <c r="FL492" s="26"/>
      <c r="FM492" s="26"/>
      <c r="FN492" s="26"/>
      <c r="FO492" s="26"/>
      <c r="FP492" s="26"/>
      <c r="FQ492" s="26"/>
      <c r="FR492" s="26"/>
      <c r="FS492" s="26"/>
      <c r="FT492" s="26"/>
      <c r="FU492" s="26"/>
      <c r="FV492" s="26"/>
      <c r="FW492" s="26"/>
      <c r="FX492" s="26"/>
      <c r="FY492" s="26"/>
      <c r="FZ492" s="26"/>
      <c r="GA492" s="26"/>
      <c r="GB492" s="26"/>
      <c r="GC492" s="26"/>
      <c r="GD492" s="26"/>
      <c r="GE492" s="26"/>
      <c r="GF492" s="26"/>
      <c r="GG492" s="26"/>
      <c r="GH492" s="26"/>
      <c r="GI492" s="26"/>
      <c r="GJ492" s="26"/>
      <c r="GK492" s="26"/>
      <c r="GL492" s="26"/>
      <c r="GM492" s="26"/>
      <c r="GN492" s="26"/>
      <c r="GO492" s="26"/>
      <c r="GP492" s="26"/>
      <c r="GQ492" s="26"/>
      <c r="GR492" s="26"/>
      <c r="GS492" s="26"/>
      <c r="GT492" s="26"/>
      <c r="GU492" s="26"/>
      <c r="GV492" s="26"/>
      <c r="GW492" s="26"/>
      <c r="GX492" s="26"/>
      <c r="GY492" s="26"/>
      <c r="GZ492" s="26"/>
      <c r="HA492" s="26"/>
      <c r="HB492" s="26"/>
      <c r="HC492" s="26"/>
      <c r="HD492" s="26"/>
      <c r="HE492" s="26"/>
      <c r="HF492" s="26"/>
      <c r="HG492" s="26"/>
      <c r="HH492" s="26"/>
    </row>
    <row r="493" spans="1:21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c r="BM493" s="26"/>
      <c r="BN493" s="26"/>
      <c r="BO493" s="26"/>
      <c r="BP493" s="26"/>
      <c r="BQ493" s="26"/>
      <c r="BR493" s="26"/>
      <c r="BS493" s="26"/>
      <c r="BT493" s="26"/>
      <c r="BU493" s="26"/>
      <c r="BV493" s="26"/>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26"/>
      <c r="CU493" s="26"/>
      <c r="CV493" s="26"/>
      <c r="CW493" s="26"/>
      <c r="CX493" s="26"/>
      <c r="CY493" s="26"/>
      <c r="CZ493" s="26"/>
      <c r="DA493" s="26"/>
      <c r="DB493" s="26"/>
      <c r="DC493" s="26"/>
      <c r="DD493" s="26"/>
      <c r="DE493" s="26"/>
      <c r="DF493" s="26"/>
      <c r="DG493" s="26"/>
      <c r="DH493" s="26"/>
      <c r="DI493" s="26"/>
      <c r="DJ493" s="26"/>
      <c r="DK493" s="26"/>
      <c r="DL493" s="26"/>
      <c r="DM493" s="26"/>
      <c r="DN493" s="26"/>
      <c r="DO493" s="26"/>
      <c r="DP493" s="26"/>
      <c r="DQ493" s="26"/>
      <c r="DR493" s="26"/>
      <c r="DS493" s="26"/>
      <c r="DT493" s="26"/>
      <c r="DU493" s="26"/>
      <c r="DV493" s="26"/>
      <c r="DW493" s="26"/>
      <c r="DX493" s="26"/>
      <c r="DY493" s="26"/>
      <c r="DZ493" s="26"/>
      <c r="EA493" s="26"/>
      <c r="EB493" s="26"/>
      <c r="EC493" s="26"/>
      <c r="ED493" s="26"/>
      <c r="EE493" s="26"/>
      <c r="EF493" s="26"/>
      <c r="EG493" s="26"/>
      <c r="EH493" s="26"/>
      <c r="EI493" s="26"/>
      <c r="EJ493" s="26"/>
      <c r="EK493" s="26"/>
      <c r="EL493" s="26"/>
      <c r="EM493" s="26"/>
      <c r="EN493" s="26"/>
      <c r="EO493" s="26"/>
      <c r="EP493" s="26"/>
      <c r="EQ493" s="26"/>
      <c r="ER493" s="26"/>
      <c r="ES493" s="26"/>
      <c r="ET493" s="26"/>
      <c r="EU493" s="26"/>
      <c r="EV493" s="26"/>
      <c r="EW493" s="26"/>
      <c r="EX493" s="26"/>
      <c r="EY493" s="26"/>
      <c r="EZ493" s="26"/>
      <c r="FA493" s="26"/>
      <c r="FB493" s="26"/>
      <c r="FC493" s="26"/>
      <c r="FD493" s="26"/>
      <c r="FE493" s="26"/>
      <c r="FF493" s="26"/>
      <c r="FG493" s="26"/>
      <c r="FH493" s="26"/>
      <c r="FI493" s="26"/>
      <c r="FJ493" s="26"/>
      <c r="FK493" s="26"/>
      <c r="FL493" s="26"/>
      <c r="FM493" s="26"/>
      <c r="FN493" s="26"/>
      <c r="FO493" s="26"/>
      <c r="FP493" s="26"/>
      <c r="FQ493" s="26"/>
      <c r="FR493" s="26"/>
      <c r="FS493" s="26"/>
      <c r="FT493" s="26"/>
      <c r="FU493" s="26"/>
      <c r="FV493" s="26"/>
      <c r="FW493" s="26"/>
      <c r="FX493" s="26"/>
      <c r="FY493" s="26"/>
      <c r="FZ493" s="26"/>
      <c r="GA493" s="26"/>
      <c r="GB493" s="26"/>
      <c r="GC493" s="26"/>
      <c r="GD493" s="26"/>
      <c r="GE493" s="26"/>
      <c r="GF493" s="26"/>
      <c r="GG493" s="26"/>
      <c r="GH493" s="26"/>
      <c r="GI493" s="26"/>
      <c r="GJ493" s="26"/>
      <c r="GK493" s="26"/>
      <c r="GL493" s="26"/>
      <c r="GM493" s="26"/>
      <c r="GN493" s="26"/>
      <c r="GO493" s="26"/>
      <c r="GP493" s="26"/>
      <c r="GQ493" s="26"/>
      <c r="GR493" s="26"/>
      <c r="GS493" s="26"/>
      <c r="GT493" s="26"/>
      <c r="GU493" s="26"/>
      <c r="GV493" s="26"/>
      <c r="GW493" s="26"/>
      <c r="GX493" s="26"/>
      <c r="GY493" s="26"/>
      <c r="GZ493" s="26"/>
      <c r="HA493" s="26"/>
      <c r="HB493" s="26"/>
      <c r="HC493" s="26"/>
      <c r="HD493" s="26"/>
      <c r="HE493" s="26"/>
      <c r="HF493" s="26"/>
      <c r="HG493" s="26"/>
      <c r="HH493" s="26"/>
    </row>
    <row r="494" spans="1:21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c r="BM494" s="26"/>
      <c r="BN494" s="26"/>
      <c r="BO494" s="26"/>
      <c r="BP494" s="26"/>
      <c r="BQ494" s="26"/>
      <c r="BR494" s="26"/>
      <c r="BS494" s="26"/>
      <c r="BT494" s="26"/>
      <c r="BU494" s="26"/>
      <c r="BV494" s="26"/>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26"/>
      <c r="CU494" s="26"/>
      <c r="CV494" s="26"/>
      <c r="CW494" s="26"/>
      <c r="CX494" s="26"/>
      <c r="CY494" s="26"/>
      <c r="CZ494" s="26"/>
      <c r="DA494" s="26"/>
      <c r="DB494" s="26"/>
      <c r="DC494" s="26"/>
      <c r="DD494" s="26"/>
      <c r="DE494" s="26"/>
      <c r="DF494" s="26"/>
      <c r="DG494" s="26"/>
      <c r="DH494" s="26"/>
      <c r="DI494" s="26"/>
      <c r="DJ494" s="26"/>
      <c r="DK494" s="26"/>
      <c r="DL494" s="26"/>
      <c r="DM494" s="26"/>
      <c r="DN494" s="26"/>
      <c r="DO494" s="26"/>
      <c r="DP494" s="26"/>
      <c r="DQ494" s="26"/>
      <c r="DR494" s="26"/>
      <c r="DS494" s="26"/>
      <c r="DT494" s="26"/>
      <c r="DU494" s="26"/>
      <c r="DV494" s="26"/>
      <c r="DW494" s="26"/>
      <c r="DX494" s="26"/>
      <c r="DY494" s="26"/>
      <c r="DZ494" s="26"/>
      <c r="EA494" s="26"/>
      <c r="EB494" s="26"/>
      <c r="EC494" s="26"/>
      <c r="ED494" s="26"/>
      <c r="EE494" s="26"/>
      <c r="EF494" s="26"/>
      <c r="EG494" s="26"/>
      <c r="EH494" s="26"/>
      <c r="EI494" s="26"/>
      <c r="EJ494" s="26"/>
      <c r="EK494" s="26"/>
      <c r="EL494" s="26"/>
      <c r="EM494" s="26"/>
      <c r="EN494" s="26"/>
      <c r="EO494" s="26"/>
      <c r="EP494" s="26"/>
      <c r="EQ494" s="26"/>
      <c r="ER494" s="26"/>
      <c r="ES494" s="26"/>
      <c r="ET494" s="26"/>
      <c r="EU494" s="26"/>
      <c r="EV494" s="26"/>
      <c r="EW494" s="26"/>
      <c r="EX494" s="26"/>
      <c r="EY494" s="26"/>
      <c r="EZ494" s="26"/>
      <c r="FA494" s="26"/>
      <c r="FB494" s="26"/>
      <c r="FC494" s="26"/>
      <c r="FD494" s="26"/>
      <c r="FE494" s="26"/>
      <c r="FF494" s="26"/>
      <c r="FG494" s="26"/>
      <c r="FH494" s="26"/>
      <c r="FI494" s="26"/>
      <c r="FJ494" s="26"/>
      <c r="FK494" s="26"/>
      <c r="FL494" s="26"/>
      <c r="FM494" s="26"/>
      <c r="FN494" s="26"/>
      <c r="FO494" s="26"/>
      <c r="FP494" s="26"/>
      <c r="FQ494" s="26"/>
      <c r="FR494" s="26"/>
      <c r="FS494" s="26"/>
      <c r="FT494" s="26"/>
      <c r="FU494" s="26"/>
      <c r="FV494" s="26"/>
      <c r="FW494" s="26"/>
      <c r="FX494" s="26"/>
      <c r="FY494" s="26"/>
      <c r="FZ494" s="26"/>
      <c r="GA494" s="26"/>
      <c r="GB494" s="26"/>
      <c r="GC494" s="26"/>
      <c r="GD494" s="26"/>
      <c r="GE494" s="26"/>
      <c r="GF494" s="26"/>
      <c r="GG494" s="26"/>
      <c r="GH494" s="26"/>
      <c r="GI494" s="26"/>
      <c r="GJ494" s="26"/>
      <c r="GK494" s="26"/>
      <c r="GL494" s="26"/>
      <c r="GM494" s="26"/>
      <c r="GN494" s="26"/>
      <c r="GO494" s="26"/>
      <c r="GP494" s="26"/>
      <c r="GQ494" s="26"/>
      <c r="GR494" s="26"/>
      <c r="GS494" s="26"/>
      <c r="GT494" s="26"/>
      <c r="GU494" s="26"/>
      <c r="GV494" s="26"/>
      <c r="GW494" s="26"/>
      <c r="GX494" s="26"/>
      <c r="GY494" s="26"/>
      <c r="GZ494" s="26"/>
      <c r="HA494" s="26"/>
      <c r="HB494" s="26"/>
      <c r="HC494" s="26"/>
      <c r="HD494" s="26"/>
      <c r="HE494" s="26"/>
      <c r="HF494" s="26"/>
      <c r="HG494" s="26"/>
      <c r="HH494" s="26"/>
    </row>
    <row r="495" spans="1:21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c r="BM495" s="26"/>
      <c r="BN495" s="26"/>
      <c r="BO495" s="26"/>
      <c r="BP495" s="26"/>
      <c r="BQ495" s="26"/>
      <c r="BR495" s="26"/>
      <c r="BS495" s="26"/>
      <c r="BT495" s="26"/>
      <c r="BU495" s="26"/>
      <c r="BV495" s="26"/>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26"/>
      <c r="CU495" s="26"/>
      <c r="CV495" s="26"/>
      <c r="CW495" s="26"/>
      <c r="CX495" s="26"/>
      <c r="CY495" s="26"/>
      <c r="CZ495" s="26"/>
      <c r="DA495" s="26"/>
      <c r="DB495" s="26"/>
      <c r="DC495" s="26"/>
      <c r="DD495" s="26"/>
      <c r="DE495" s="26"/>
      <c r="DF495" s="26"/>
      <c r="DG495" s="26"/>
      <c r="DH495" s="26"/>
      <c r="DI495" s="26"/>
      <c r="DJ495" s="26"/>
      <c r="DK495" s="26"/>
      <c r="DL495" s="26"/>
      <c r="DM495" s="26"/>
      <c r="DN495" s="26"/>
      <c r="DO495" s="26"/>
      <c r="DP495" s="26"/>
      <c r="DQ495" s="26"/>
      <c r="DR495" s="26"/>
      <c r="DS495" s="26"/>
      <c r="DT495" s="26"/>
      <c r="DU495" s="26"/>
      <c r="DV495" s="26"/>
      <c r="DW495" s="26"/>
      <c r="DX495" s="26"/>
      <c r="DY495" s="26"/>
      <c r="DZ495" s="26"/>
      <c r="EA495" s="26"/>
      <c r="EB495" s="26"/>
      <c r="EC495" s="26"/>
      <c r="ED495" s="26"/>
      <c r="EE495" s="26"/>
      <c r="EF495" s="26"/>
      <c r="EG495" s="26"/>
      <c r="EH495" s="26"/>
      <c r="EI495" s="26"/>
      <c r="EJ495" s="26"/>
      <c r="EK495" s="26"/>
      <c r="EL495" s="26"/>
      <c r="EM495" s="26"/>
      <c r="EN495" s="26"/>
      <c r="EO495" s="26"/>
      <c r="EP495" s="26"/>
      <c r="EQ495" s="26"/>
      <c r="ER495" s="26"/>
      <c r="ES495" s="26"/>
      <c r="ET495" s="26"/>
      <c r="EU495" s="26"/>
      <c r="EV495" s="26"/>
      <c r="EW495" s="26"/>
      <c r="EX495" s="26"/>
      <c r="EY495" s="26"/>
      <c r="EZ495" s="26"/>
      <c r="FA495" s="26"/>
      <c r="FB495" s="26"/>
      <c r="FC495" s="26"/>
      <c r="FD495" s="26"/>
      <c r="FE495" s="26"/>
      <c r="FF495" s="26"/>
      <c r="FG495" s="26"/>
      <c r="FH495" s="26"/>
      <c r="FI495" s="26"/>
      <c r="FJ495" s="26"/>
      <c r="FK495" s="26"/>
      <c r="FL495" s="26"/>
      <c r="FM495" s="26"/>
      <c r="FN495" s="26"/>
      <c r="FO495" s="26"/>
      <c r="FP495" s="26"/>
      <c r="FQ495" s="26"/>
      <c r="FR495" s="26"/>
      <c r="FS495" s="26"/>
      <c r="FT495" s="26"/>
      <c r="FU495" s="26"/>
      <c r="FV495" s="26"/>
      <c r="FW495" s="26"/>
      <c r="FX495" s="26"/>
      <c r="FY495" s="26"/>
      <c r="FZ495" s="26"/>
      <c r="GA495" s="26"/>
      <c r="GB495" s="26"/>
      <c r="GC495" s="26"/>
      <c r="GD495" s="26"/>
      <c r="GE495" s="26"/>
      <c r="GF495" s="26"/>
      <c r="GG495" s="26"/>
      <c r="GH495" s="26"/>
      <c r="GI495" s="26"/>
      <c r="GJ495" s="26"/>
      <c r="GK495" s="26"/>
      <c r="GL495" s="26"/>
      <c r="GM495" s="26"/>
      <c r="GN495" s="26"/>
      <c r="GO495" s="26"/>
      <c r="GP495" s="26"/>
      <c r="GQ495" s="26"/>
      <c r="GR495" s="26"/>
      <c r="GS495" s="26"/>
      <c r="GT495" s="26"/>
      <c r="GU495" s="26"/>
      <c r="GV495" s="26"/>
      <c r="GW495" s="26"/>
      <c r="GX495" s="26"/>
      <c r="GY495" s="26"/>
      <c r="GZ495" s="26"/>
      <c r="HA495" s="26"/>
      <c r="HB495" s="26"/>
      <c r="HC495" s="26"/>
      <c r="HD495" s="26"/>
      <c r="HE495" s="26"/>
      <c r="HF495" s="26"/>
      <c r="HG495" s="26"/>
      <c r="HH495" s="26"/>
    </row>
    <row r="496" spans="1:21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c r="BM496" s="26"/>
      <c r="BN496" s="26"/>
      <c r="BO496" s="26"/>
      <c r="BP496" s="26"/>
      <c r="BQ496" s="26"/>
      <c r="BR496" s="26"/>
      <c r="BS496" s="26"/>
      <c r="BT496" s="26"/>
      <c r="BU496" s="26"/>
      <c r="BV496" s="26"/>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26"/>
      <c r="CU496" s="26"/>
      <c r="CV496" s="26"/>
      <c r="CW496" s="26"/>
      <c r="CX496" s="26"/>
      <c r="CY496" s="26"/>
      <c r="CZ496" s="26"/>
      <c r="DA496" s="26"/>
      <c r="DB496" s="26"/>
      <c r="DC496" s="26"/>
      <c r="DD496" s="26"/>
      <c r="DE496" s="26"/>
      <c r="DF496" s="26"/>
      <c r="DG496" s="26"/>
      <c r="DH496" s="26"/>
      <c r="DI496" s="26"/>
      <c r="DJ496" s="26"/>
      <c r="DK496" s="26"/>
      <c r="DL496" s="26"/>
      <c r="DM496" s="26"/>
      <c r="DN496" s="26"/>
      <c r="DO496" s="26"/>
      <c r="DP496" s="26"/>
      <c r="DQ496" s="26"/>
      <c r="DR496" s="26"/>
      <c r="DS496" s="26"/>
      <c r="DT496" s="26"/>
      <c r="DU496" s="26"/>
      <c r="DV496" s="26"/>
      <c r="DW496" s="26"/>
      <c r="DX496" s="26"/>
      <c r="DY496" s="26"/>
      <c r="DZ496" s="26"/>
      <c r="EA496" s="26"/>
      <c r="EB496" s="26"/>
      <c r="EC496" s="26"/>
      <c r="ED496" s="26"/>
      <c r="EE496" s="26"/>
      <c r="EF496" s="26"/>
      <c r="EG496" s="26"/>
      <c r="EH496" s="26"/>
      <c r="EI496" s="26"/>
      <c r="EJ496" s="26"/>
      <c r="EK496" s="26"/>
      <c r="EL496" s="26"/>
      <c r="EM496" s="26"/>
      <c r="EN496" s="26"/>
      <c r="EO496" s="26"/>
      <c r="EP496" s="26"/>
      <c r="EQ496" s="26"/>
      <c r="ER496" s="26"/>
      <c r="ES496" s="26"/>
      <c r="ET496" s="26"/>
      <c r="EU496" s="26"/>
      <c r="EV496" s="26"/>
      <c r="EW496" s="26"/>
      <c r="EX496" s="26"/>
      <c r="EY496" s="26"/>
      <c r="EZ496" s="26"/>
      <c r="FA496" s="26"/>
      <c r="FB496" s="26"/>
      <c r="FC496" s="26"/>
      <c r="FD496" s="26"/>
      <c r="FE496" s="26"/>
      <c r="FF496" s="26"/>
      <c r="FG496" s="26"/>
      <c r="FH496" s="26"/>
      <c r="FI496" s="26"/>
      <c r="FJ496" s="26"/>
      <c r="FK496" s="26"/>
      <c r="FL496" s="26"/>
      <c r="FM496" s="26"/>
      <c r="FN496" s="26"/>
      <c r="FO496" s="26"/>
      <c r="FP496" s="26"/>
      <c r="FQ496" s="26"/>
      <c r="FR496" s="26"/>
      <c r="FS496" s="26"/>
      <c r="FT496" s="26"/>
      <c r="FU496" s="26"/>
      <c r="FV496" s="26"/>
      <c r="FW496" s="26"/>
      <c r="FX496" s="26"/>
      <c r="FY496" s="26"/>
      <c r="FZ496" s="26"/>
      <c r="GA496" s="26"/>
      <c r="GB496" s="26"/>
      <c r="GC496" s="26"/>
      <c r="GD496" s="26"/>
      <c r="GE496" s="26"/>
      <c r="GF496" s="26"/>
      <c r="GG496" s="26"/>
      <c r="GH496" s="26"/>
      <c r="GI496" s="26"/>
      <c r="GJ496" s="26"/>
      <c r="GK496" s="26"/>
      <c r="GL496" s="26"/>
      <c r="GM496" s="26"/>
      <c r="GN496" s="26"/>
      <c r="GO496" s="26"/>
      <c r="GP496" s="26"/>
      <c r="GQ496" s="26"/>
      <c r="GR496" s="26"/>
      <c r="GS496" s="26"/>
      <c r="GT496" s="26"/>
      <c r="GU496" s="26"/>
      <c r="GV496" s="26"/>
      <c r="GW496" s="26"/>
      <c r="GX496" s="26"/>
      <c r="GY496" s="26"/>
      <c r="GZ496" s="26"/>
      <c r="HA496" s="26"/>
      <c r="HB496" s="26"/>
      <c r="HC496" s="26"/>
      <c r="HD496" s="26"/>
      <c r="HE496" s="26"/>
      <c r="HF496" s="26"/>
      <c r="HG496" s="26"/>
      <c r="HH496" s="26"/>
    </row>
    <row r="497" spans="1:21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c r="BM497" s="26"/>
      <c r="BN497" s="26"/>
      <c r="BO497" s="26"/>
      <c r="BP497" s="26"/>
      <c r="BQ497" s="26"/>
      <c r="BR497" s="26"/>
      <c r="BS497" s="26"/>
      <c r="BT497" s="26"/>
      <c r="BU497" s="26"/>
      <c r="BV497" s="26"/>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26"/>
      <c r="CU497" s="26"/>
      <c r="CV497" s="26"/>
      <c r="CW497" s="26"/>
      <c r="CX497" s="26"/>
      <c r="CY497" s="26"/>
      <c r="CZ497" s="26"/>
      <c r="DA497" s="26"/>
      <c r="DB497" s="26"/>
      <c r="DC497" s="26"/>
      <c r="DD497" s="26"/>
      <c r="DE497" s="26"/>
      <c r="DF497" s="26"/>
      <c r="DG497" s="26"/>
      <c r="DH497" s="26"/>
      <c r="DI497" s="26"/>
      <c r="DJ497" s="26"/>
      <c r="DK497" s="26"/>
      <c r="DL497" s="26"/>
      <c r="DM497" s="26"/>
      <c r="DN497" s="26"/>
      <c r="DO497" s="26"/>
      <c r="DP497" s="26"/>
      <c r="DQ497" s="26"/>
      <c r="DR497" s="26"/>
      <c r="DS497" s="26"/>
      <c r="DT497" s="26"/>
      <c r="DU497" s="26"/>
      <c r="DV497" s="26"/>
      <c r="DW497" s="26"/>
      <c r="DX497" s="26"/>
      <c r="DY497" s="26"/>
      <c r="DZ497" s="26"/>
      <c r="EA497" s="26"/>
      <c r="EB497" s="26"/>
      <c r="EC497" s="26"/>
      <c r="ED497" s="26"/>
      <c r="EE497" s="26"/>
      <c r="EF497" s="26"/>
      <c r="EG497" s="26"/>
      <c r="EH497" s="26"/>
      <c r="EI497" s="26"/>
      <c r="EJ497" s="26"/>
      <c r="EK497" s="26"/>
      <c r="EL497" s="26"/>
      <c r="EM497" s="26"/>
      <c r="EN497" s="26"/>
      <c r="EO497" s="26"/>
      <c r="EP497" s="26"/>
      <c r="EQ497" s="26"/>
      <c r="ER497" s="26"/>
      <c r="ES497" s="26"/>
      <c r="ET497" s="26"/>
      <c r="EU497" s="26"/>
      <c r="EV497" s="26"/>
      <c r="EW497" s="26"/>
      <c r="EX497" s="26"/>
      <c r="EY497" s="26"/>
      <c r="EZ497" s="26"/>
      <c r="FA497" s="26"/>
      <c r="FB497" s="26"/>
      <c r="FC497" s="26"/>
      <c r="FD497" s="26"/>
      <c r="FE497" s="26"/>
      <c r="FF497" s="26"/>
      <c r="FG497" s="26"/>
      <c r="FH497" s="26"/>
      <c r="FI497" s="26"/>
      <c r="FJ497" s="26"/>
      <c r="FK497" s="26"/>
      <c r="FL497" s="26"/>
      <c r="FM497" s="26"/>
      <c r="FN497" s="26"/>
      <c r="FO497" s="26"/>
      <c r="FP497" s="26"/>
      <c r="FQ497" s="26"/>
      <c r="FR497" s="26"/>
      <c r="FS497" s="26"/>
      <c r="FT497" s="26"/>
      <c r="FU497" s="26"/>
      <c r="FV497" s="26"/>
      <c r="FW497" s="26"/>
      <c r="FX497" s="26"/>
      <c r="FY497" s="26"/>
      <c r="FZ497" s="26"/>
      <c r="GA497" s="26"/>
      <c r="GB497" s="26"/>
      <c r="GC497" s="26"/>
      <c r="GD497" s="26"/>
      <c r="GE497" s="26"/>
      <c r="GF497" s="26"/>
      <c r="GG497" s="26"/>
      <c r="GH497" s="26"/>
      <c r="GI497" s="26"/>
      <c r="GJ497" s="26"/>
      <c r="GK497" s="26"/>
      <c r="GL497" s="26"/>
      <c r="GM497" s="26"/>
      <c r="GN497" s="26"/>
      <c r="GO497" s="26"/>
      <c r="GP497" s="26"/>
      <c r="GQ497" s="26"/>
      <c r="GR497" s="26"/>
      <c r="GS497" s="26"/>
      <c r="GT497" s="26"/>
      <c r="GU497" s="26"/>
      <c r="GV497" s="26"/>
      <c r="GW497" s="26"/>
      <c r="GX497" s="26"/>
      <c r="GY497" s="26"/>
      <c r="GZ497" s="26"/>
      <c r="HA497" s="26"/>
      <c r="HB497" s="26"/>
      <c r="HC497" s="26"/>
      <c r="HD497" s="26"/>
      <c r="HE497" s="26"/>
      <c r="HF497" s="26"/>
      <c r="HG497" s="26"/>
      <c r="HH497" s="26"/>
    </row>
    <row r="498" spans="1:21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c r="BM498" s="26"/>
      <c r="BN498" s="26"/>
      <c r="BO498" s="26"/>
      <c r="BP498" s="26"/>
      <c r="BQ498" s="26"/>
      <c r="BR498" s="26"/>
      <c r="BS498" s="26"/>
      <c r="BT498" s="26"/>
      <c r="BU498" s="26"/>
      <c r="BV498" s="26"/>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26"/>
      <c r="CU498" s="26"/>
      <c r="CV498" s="26"/>
      <c r="CW498" s="26"/>
      <c r="CX498" s="26"/>
      <c r="CY498" s="26"/>
      <c r="CZ498" s="26"/>
      <c r="DA498" s="26"/>
      <c r="DB498" s="26"/>
      <c r="DC498" s="26"/>
      <c r="DD498" s="26"/>
      <c r="DE498" s="26"/>
      <c r="DF498" s="26"/>
      <c r="DG498" s="26"/>
      <c r="DH498" s="26"/>
      <c r="DI498" s="26"/>
      <c r="DJ498" s="26"/>
      <c r="DK498" s="26"/>
      <c r="DL498" s="26"/>
      <c r="DM498" s="26"/>
      <c r="DN498" s="26"/>
      <c r="DO498" s="26"/>
      <c r="DP498" s="26"/>
      <c r="DQ498" s="26"/>
      <c r="DR498" s="26"/>
      <c r="DS498" s="26"/>
      <c r="DT498" s="26"/>
      <c r="DU498" s="26"/>
      <c r="DV498" s="26"/>
      <c r="DW498" s="26"/>
      <c r="DX498" s="26"/>
      <c r="DY498" s="26"/>
      <c r="DZ498" s="26"/>
      <c r="EA498" s="26"/>
      <c r="EB498" s="26"/>
      <c r="EC498" s="26"/>
      <c r="ED498" s="26"/>
      <c r="EE498" s="26"/>
      <c r="EF498" s="26"/>
      <c r="EG498" s="26"/>
      <c r="EH498" s="26"/>
      <c r="EI498" s="26"/>
      <c r="EJ498" s="26"/>
      <c r="EK498" s="26"/>
      <c r="EL498" s="26"/>
      <c r="EM498" s="26"/>
      <c r="EN498" s="26"/>
      <c r="EO498" s="26"/>
      <c r="EP498" s="26"/>
      <c r="EQ498" s="26"/>
      <c r="ER498" s="26"/>
      <c r="ES498" s="26"/>
      <c r="ET498" s="26"/>
      <c r="EU498" s="26"/>
      <c r="EV498" s="26"/>
      <c r="EW498" s="26"/>
      <c r="EX498" s="26"/>
      <c r="EY498" s="26"/>
      <c r="EZ498" s="26"/>
      <c r="FA498" s="26"/>
      <c r="FB498" s="26"/>
      <c r="FC498" s="26"/>
      <c r="FD498" s="26"/>
      <c r="FE498" s="26"/>
      <c r="FF498" s="26"/>
      <c r="FG498" s="26"/>
      <c r="FH498" s="26"/>
      <c r="FI498" s="26"/>
      <c r="FJ498" s="26"/>
      <c r="FK498" s="26"/>
      <c r="FL498" s="26"/>
      <c r="FM498" s="26"/>
      <c r="FN498" s="26"/>
      <c r="FO498" s="26"/>
      <c r="FP498" s="26"/>
      <c r="FQ498" s="26"/>
      <c r="FR498" s="26"/>
      <c r="FS498" s="26"/>
      <c r="FT498" s="26"/>
      <c r="FU498" s="26"/>
      <c r="FV498" s="26"/>
      <c r="FW498" s="26"/>
      <c r="FX498" s="26"/>
      <c r="FY498" s="26"/>
      <c r="FZ498" s="26"/>
      <c r="GA498" s="26"/>
      <c r="GB498" s="26"/>
      <c r="GC498" s="26"/>
      <c r="GD498" s="26"/>
      <c r="GE498" s="26"/>
      <c r="GF498" s="26"/>
      <c r="GG498" s="26"/>
      <c r="GH498" s="26"/>
      <c r="GI498" s="26"/>
      <c r="GJ498" s="26"/>
      <c r="GK498" s="26"/>
      <c r="GL498" s="26"/>
      <c r="GM498" s="26"/>
      <c r="GN498" s="26"/>
      <c r="GO498" s="26"/>
      <c r="GP498" s="26"/>
      <c r="GQ498" s="26"/>
      <c r="GR498" s="26"/>
      <c r="GS498" s="26"/>
      <c r="GT498" s="26"/>
      <c r="GU498" s="26"/>
      <c r="GV498" s="26"/>
      <c r="GW498" s="26"/>
      <c r="GX498" s="26"/>
      <c r="GY498" s="26"/>
      <c r="GZ498" s="26"/>
      <c r="HA498" s="26"/>
      <c r="HB498" s="26"/>
      <c r="HC498" s="26"/>
      <c r="HD498" s="26"/>
      <c r="HE498" s="26"/>
      <c r="HF498" s="26"/>
      <c r="HG498" s="26"/>
      <c r="HH498" s="26"/>
    </row>
    <row r="499" spans="1:21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c r="BM499" s="26"/>
      <c r="BN499" s="26"/>
      <c r="BO499" s="26"/>
      <c r="BP499" s="26"/>
      <c r="BQ499" s="26"/>
      <c r="BR499" s="26"/>
      <c r="BS499" s="26"/>
      <c r="BT499" s="26"/>
      <c r="BU499" s="26"/>
      <c r="BV499" s="26"/>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26"/>
      <c r="CU499" s="26"/>
      <c r="CV499" s="26"/>
      <c r="CW499" s="26"/>
      <c r="CX499" s="26"/>
      <c r="CY499" s="26"/>
      <c r="CZ499" s="26"/>
      <c r="DA499" s="26"/>
      <c r="DB499" s="26"/>
      <c r="DC499" s="26"/>
      <c r="DD499" s="26"/>
      <c r="DE499" s="26"/>
      <c r="DF499" s="26"/>
      <c r="DG499" s="26"/>
      <c r="DH499" s="26"/>
      <c r="DI499" s="26"/>
      <c r="DJ499" s="26"/>
      <c r="DK499" s="26"/>
      <c r="DL499" s="26"/>
      <c r="DM499" s="26"/>
      <c r="DN499" s="26"/>
      <c r="DO499" s="26"/>
      <c r="DP499" s="26"/>
      <c r="DQ499" s="26"/>
      <c r="DR499" s="26"/>
      <c r="DS499" s="26"/>
      <c r="DT499" s="26"/>
      <c r="DU499" s="26"/>
      <c r="DV499" s="26"/>
      <c r="DW499" s="26"/>
      <c r="DX499" s="26"/>
      <c r="DY499" s="26"/>
      <c r="DZ499" s="26"/>
      <c r="EA499" s="26"/>
      <c r="EB499" s="26"/>
      <c r="EC499" s="26"/>
      <c r="ED499" s="26"/>
      <c r="EE499" s="26"/>
      <c r="EF499" s="26"/>
      <c r="EG499" s="26"/>
      <c r="EH499" s="26"/>
      <c r="EI499" s="26"/>
      <c r="EJ499" s="26"/>
      <c r="EK499" s="26"/>
      <c r="EL499" s="26"/>
      <c r="EM499" s="26"/>
      <c r="EN499" s="26"/>
      <c r="EO499" s="26"/>
      <c r="EP499" s="26"/>
      <c r="EQ499" s="26"/>
      <c r="ER499" s="26"/>
      <c r="ES499" s="26"/>
      <c r="ET499" s="26"/>
      <c r="EU499" s="26"/>
      <c r="EV499" s="26"/>
      <c r="EW499" s="26"/>
      <c r="EX499" s="26"/>
      <c r="EY499" s="26"/>
      <c r="EZ499" s="26"/>
      <c r="FA499" s="26"/>
      <c r="FB499" s="26"/>
      <c r="FC499" s="26"/>
      <c r="FD499" s="26"/>
      <c r="FE499" s="26"/>
      <c r="FF499" s="26"/>
      <c r="FG499" s="26"/>
      <c r="FH499" s="26"/>
      <c r="FI499" s="26"/>
      <c r="FJ499" s="26"/>
      <c r="FK499" s="26"/>
      <c r="FL499" s="26"/>
      <c r="FM499" s="26"/>
      <c r="FN499" s="26"/>
      <c r="FO499" s="26"/>
      <c r="FP499" s="26"/>
      <c r="FQ499" s="26"/>
      <c r="FR499" s="26"/>
      <c r="FS499" s="26"/>
      <c r="FT499" s="26"/>
      <c r="FU499" s="26"/>
      <c r="FV499" s="26"/>
      <c r="FW499" s="26"/>
      <c r="FX499" s="26"/>
      <c r="FY499" s="26"/>
      <c r="FZ499" s="26"/>
      <c r="GA499" s="26"/>
      <c r="GB499" s="26"/>
      <c r="GC499" s="26"/>
      <c r="GD499" s="26"/>
      <c r="GE499" s="26"/>
      <c r="GF499" s="26"/>
      <c r="GG499" s="26"/>
      <c r="GH499" s="26"/>
      <c r="GI499" s="26"/>
      <c r="GJ499" s="26"/>
      <c r="GK499" s="26"/>
      <c r="GL499" s="26"/>
      <c r="GM499" s="26"/>
      <c r="GN499" s="26"/>
      <c r="GO499" s="26"/>
      <c r="GP499" s="26"/>
      <c r="GQ499" s="26"/>
      <c r="GR499" s="26"/>
      <c r="GS499" s="26"/>
      <c r="GT499" s="26"/>
      <c r="GU499" s="26"/>
      <c r="GV499" s="26"/>
      <c r="GW499" s="26"/>
      <c r="GX499" s="26"/>
      <c r="GY499" s="26"/>
      <c r="GZ499" s="26"/>
      <c r="HA499" s="26"/>
      <c r="HB499" s="26"/>
      <c r="HC499" s="26"/>
      <c r="HD499" s="26"/>
      <c r="HE499" s="26"/>
      <c r="HF499" s="26"/>
      <c r="HG499" s="26"/>
      <c r="HH499" s="26"/>
    </row>
    <row r="500" spans="1:21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c r="BM500" s="26"/>
      <c r="BN500" s="26"/>
      <c r="BO500" s="26"/>
      <c r="BP500" s="26"/>
      <c r="BQ500" s="26"/>
      <c r="BR500" s="26"/>
      <c r="BS500" s="26"/>
      <c r="BT500" s="26"/>
      <c r="BU500" s="26"/>
      <c r="BV500" s="26"/>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26"/>
      <c r="CU500" s="26"/>
      <c r="CV500" s="26"/>
      <c r="CW500" s="26"/>
      <c r="CX500" s="26"/>
      <c r="CY500" s="26"/>
      <c r="CZ500" s="26"/>
      <c r="DA500" s="26"/>
      <c r="DB500" s="26"/>
      <c r="DC500" s="26"/>
      <c r="DD500" s="26"/>
      <c r="DE500" s="26"/>
      <c r="DF500" s="26"/>
      <c r="DG500" s="26"/>
      <c r="DH500" s="26"/>
      <c r="DI500" s="26"/>
      <c r="DJ500" s="26"/>
      <c r="DK500" s="26"/>
      <c r="DL500" s="26"/>
      <c r="DM500" s="26"/>
      <c r="DN500" s="26"/>
      <c r="DO500" s="26"/>
      <c r="DP500" s="26"/>
      <c r="DQ500" s="26"/>
      <c r="DR500" s="26"/>
      <c r="DS500" s="26"/>
      <c r="DT500" s="26"/>
      <c r="DU500" s="26"/>
      <c r="DV500" s="26"/>
      <c r="DW500" s="26"/>
      <c r="DX500" s="26"/>
      <c r="DY500" s="26"/>
      <c r="DZ500" s="26"/>
      <c r="EA500" s="26"/>
      <c r="EB500" s="26"/>
      <c r="EC500" s="26"/>
      <c r="ED500" s="26"/>
      <c r="EE500" s="26"/>
      <c r="EF500" s="26"/>
      <c r="EG500" s="26"/>
      <c r="EH500" s="26"/>
      <c r="EI500" s="26"/>
      <c r="EJ500" s="26"/>
      <c r="EK500" s="26"/>
      <c r="EL500" s="26"/>
      <c r="EM500" s="26"/>
      <c r="EN500" s="26"/>
      <c r="EO500" s="26"/>
      <c r="EP500" s="26"/>
      <c r="EQ500" s="26"/>
      <c r="ER500" s="26"/>
      <c r="ES500" s="26"/>
      <c r="ET500" s="26"/>
      <c r="EU500" s="26"/>
      <c r="EV500" s="26"/>
      <c r="EW500" s="26"/>
      <c r="EX500" s="26"/>
      <c r="EY500" s="26"/>
      <c r="EZ500" s="26"/>
      <c r="FA500" s="26"/>
      <c r="FB500" s="26"/>
      <c r="FC500" s="26"/>
      <c r="FD500" s="26"/>
      <c r="FE500" s="26"/>
      <c r="FF500" s="26"/>
      <c r="FG500" s="26"/>
      <c r="FH500" s="26"/>
      <c r="FI500" s="26"/>
      <c r="FJ500" s="26"/>
      <c r="FK500" s="26"/>
      <c r="FL500" s="26"/>
      <c r="FM500" s="26"/>
      <c r="FN500" s="26"/>
      <c r="FO500" s="26"/>
      <c r="FP500" s="26"/>
      <c r="FQ500" s="26"/>
      <c r="FR500" s="26"/>
      <c r="FS500" s="26"/>
      <c r="FT500" s="26"/>
      <c r="FU500" s="26"/>
      <c r="FV500" s="26"/>
      <c r="FW500" s="26"/>
      <c r="FX500" s="26"/>
      <c r="FY500" s="26"/>
      <c r="FZ500" s="26"/>
      <c r="GA500" s="26"/>
      <c r="GB500" s="26"/>
      <c r="GC500" s="26"/>
      <c r="GD500" s="26"/>
      <c r="GE500" s="26"/>
      <c r="GF500" s="26"/>
      <c r="GG500" s="26"/>
      <c r="GH500" s="26"/>
      <c r="GI500" s="26"/>
      <c r="GJ500" s="26"/>
      <c r="GK500" s="26"/>
      <c r="GL500" s="26"/>
      <c r="GM500" s="26"/>
      <c r="GN500" s="26"/>
      <c r="GO500" s="26"/>
      <c r="GP500" s="26"/>
      <c r="GQ500" s="26"/>
      <c r="GR500" s="26"/>
      <c r="GS500" s="26"/>
      <c r="GT500" s="26"/>
      <c r="GU500" s="26"/>
      <c r="GV500" s="26"/>
      <c r="GW500" s="26"/>
      <c r="GX500" s="26"/>
      <c r="GY500" s="26"/>
      <c r="GZ500" s="26"/>
      <c r="HA500" s="26"/>
      <c r="HB500" s="26"/>
      <c r="HC500" s="26"/>
      <c r="HD500" s="26"/>
      <c r="HE500" s="26"/>
      <c r="HF500" s="26"/>
      <c r="HG500" s="26"/>
      <c r="HH500" s="26"/>
    </row>
    <row r="501" spans="1:21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c r="BM501" s="26"/>
      <c r="BN501" s="26"/>
      <c r="BO501" s="26"/>
      <c r="BP501" s="26"/>
      <c r="BQ501" s="26"/>
      <c r="BR501" s="26"/>
      <c r="BS501" s="26"/>
      <c r="BT501" s="26"/>
      <c r="BU501" s="26"/>
      <c r="BV501" s="26"/>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26"/>
      <c r="CU501" s="26"/>
      <c r="CV501" s="26"/>
      <c r="CW501" s="26"/>
      <c r="CX501" s="26"/>
      <c r="CY501" s="26"/>
      <c r="CZ501" s="26"/>
      <c r="DA501" s="26"/>
      <c r="DB501" s="26"/>
      <c r="DC501" s="26"/>
      <c r="DD501" s="26"/>
      <c r="DE501" s="26"/>
      <c r="DF501" s="26"/>
      <c r="DG501" s="26"/>
      <c r="DH501" s="26"/>
      <c r="DI501" s="26"/>
      <c r="DJ501" s="26"/>
      <c r="DK501" s="26"/>
      <c r="DL501" s="26"/>
      <c r="DM501" s="26"/>
      <c r="DN501" s="26"/>
      <c r="DO501" s="26"/>
      <c r="DP501" s="26"/>
      <c r="DQ501" s="26"/>
      <c r="DR501" s="26"/>
      <c r="DS501" s="26"/>
      <c r="DT501" s="26"/>
      <c r="DU501" s="26"/>
      <c r="DV501" s="26"/>
      <c r="DW501" s="26"/>
      <c r="DX501" s="26"/>
      <c r="DY501" s="26"/>
      <c r="DZ501" s="26"/>
      <c r="EA501" s="26"/>
      <c r="EB501" s="26"/>
      <c r="EC501" s="26"/>
      <c r="ED501" s="26"/>
      <c r="EE501" s="26"/>
      <c r="EF501" s="26"/>
      <c r="EG501" s="26"/>
      <c r="EH501" s="26"/>
      <c r="EI501" s="26"/>
      <c r="EJ501" s="26"/>
      <c r="EK501" s="26"/>
      <c r="EL501" s="26"/>
      <c r="EM501" s="26"/>
      <c r="EN501" s="26"/>
      <c r="EO501" s="26"/>
      <c r="EP501" s="26"/>
      <c r="EQ501" s="26"/>
      <c r="ER501" s="26"/>
      <c r="ES501" s="26"/>
      <c r="ET501" s="26"/>
      <c r="EU501" s="26"/>
      <c r="EV501" s="26"/>
      <c r="EW501" s="26"/>
      <c r="EX501" s="26"/>
      <c r="EY501" s="26"/>
      <c r="EZ501" s="26"/>
      <c r="FA501" s="26"/>
      <c r="FB501" s="26"/>
      <c r="FC501" s="26"/>
      <c r="FD501" s="26"/>
      <c r="FE501" s="26"/>
      <c r="FF501" s="26"/>
      <c r="FG501" s="26"/>
      <c r="FH501" s="26"/>
      <c r="FI501" s="26"/>
      <c r="FJ501" s="26"/>
      <c r="FK501" s="26"/>
      <c r="FL501" s="26"/>
      <c r="FM501" s="26"/>
      <c r="FN501" s="26"/>
      <c r="FO501" s="26"/>
      <c r="FP501" s="26"/>
      <c r="FQ501" s="26"/>
      <c r="FR501" s="26"/>
      <c r="FS501" s="26"/>
      <c r="FT501" s="26"/>
      <c r="FU501" s="26"/>
      <c r="FV501" s="26"/>
      <c r="FW501" s="26"/>
      <c r="FX501" s="26"/>
      <c r="FY501" s="26"/>
      <c r="FZ501" s="26"/>
      <c r="GA501" s="26"/>
      <c r="GB501" s="26"/>
      <c r="GC501" s="26"/>
      <c r="GD501" s="26"/>
      <c r="GE501" s="26"/>
      <c r="GF501" s="26"/>
      <c r="GG501" s="26"/>
      <c r="GH501" s="26"/>
      <c r="GI501" s="26"/>
      <c r="GJ501" s="26"/>
      <c r="GK501" s="26"/>
      <c r="GL501" s="26"/>
      <c r="GM501" s="26"/>
      <c r="GN501" s="26"/>
      <c r="GO501" s="26"/>
      <c r="GP501" s="26"/>
      <c r="GQ501" s="26"/>
      <c r="GR501" s="26"/>
      <c r="GS501" s="26"/>
      <c r="GT501" s="26"/>
      <c r="GU501" s="26"/>
      <c r="GV501" s="26"/>
      <c r="GW501" s="26"/>
      <c r="GX501" s="26"/>
      <c r="GY501" s="26"/>
      <c r="GZ501" s="26"/>
      <c r="HA501" s="26"/>
      <c r="HB501" s="26"/>
      <c r="HC501" s="26"/>
      <c r="HD501" s="26"/>
      <c r="HE501" s="26"/>
      <c r="HF501" s="26"/>
      <c r="HG501" s="26"/>
      <c r="HH501" s="26"/>
    </row>
    <row r="502" spans="1:21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c r="BM502" s="26"/>
      <c r="BN502" s="26"/>
      <c r="BO502" s="26"/>
      <c r="BP502" s="26"/>
      <c r="BQ502" s="26"/>
      <c r="BR502" s="26"/>
      <c r="BS502" s="26"/>
      <c r="BT502" s="26"/>
      <c r="BU502" s="26"/>
      <c r="BV502" s="26"/>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26"/>
      <c r="CU502" s="26"/>
      <c r="CV502" s="26"/>
      <c r="CW502" s="26"/>
      <c r="CX502" s="26"/>
      <c r="CY502" s="26"/>
      <c r="CZ502" s="26"/>
      <c r="DA502" s="26"/>
      <c r="DB502" s="26"/>
      <c r="DC502" s="26"/>
      <c r="DD502" s="26"/>
      <c r="DE502" s="26"/>
      <c r="DF502" s="26"/>
      <c r="DG502" s="26"/>
      <c r="DH502" s="26"/>
      <c r="DI502" s="26"/>
      <c r="DJ502" s="26"/>
      <c r="DK502" s="26"/>
      <c r="DL502" s="26"/>
      <c r="DM502" s="26"/>
      <c r="DN502" s="26"/>
      <c r="DO502" s="26"/>
      <c r="DP502" s="26"/>
      <c r="DQ502" s="26"/>
      <c r="DR502" s="26"/>
      <c r="DS502" s="26"/>
      <c r="DT502" s="26"/>
      <c r="DU502" s="26"/>
      <c r="DV502" s="26"/>
      <c r="DW502" s="26"/>
      <c r="DX502" s="26"/>
      <c r="DY502" s="26"/>
      <c r="DZ502" s="26"/>
      <c r="EA502" s="26"/>
      <c r="EB502" s="26"/>
      <c r="EC502" s="26"/>
      <c r="ED502" s="26"/>
      <c r="EE502" s="26"/>
      <c r="EF502" s="26"/>
      <c r="EG502" s="26"/>
      <c r="EH502" s="26"/>
      <c r="EI502" s="26"/>
      <c r="EJ502" s="26"/>
      <c r="EK502" s="26"/>
      <c r="EL502" s="26"/>
      <c r="EM502" s="26"/>
      <c r="EN502" s="26"/>
      <c r="EO502" s="26"/>
      <c r="EP502" s="26"/>
      <c r="EQ502" s="26"/>
      <c r="ER502" s="26"/>
      <c r="ES502" s="26"/>
      <c r="ET502" s="26"/>
      <c r="EU502" s="26"/>
      <c r="EV502" s="26"/>
      <c r="EW502" s="26"/>
      <c r="EX502" s="26"/>
      <c r="EY502" s="26"/>
      <c r="EZ502" s="26"/>
      <c r="FA502" s="26"/>
      <c r="FB502" s="26"/>
      <c r="FC502" s="26"/>
      <c r="FD502" s="26"/>
      <c r="FE502" s="26"/>
      <c r="FF502" s="26"/>
      <c r="FG502" s="26"/>
      <c r="FH502" s="26"/>
      <c r="FI502" s="26"/>
      <c r="FJ502" s="26"/>
      <c r="FK502" s="26"/>
      <c r="FL502" s="26"/>
      <c r="FM502" s="26"/>
      <c r="FN502" s="26"/>
      <c r="FO502" s="26"/>
      <c r="FP502" s="26"/>
      <c r="FQ502" s="26"/>
      <c r="FR502" s="26"/>
      <c r="FS502" s="26"/>
      <c r="FT502" s="26"/>
      <c r="FU502" s="26"/>
      <c r="FV502" s="26"/>
      <c r="FW502" s="26"/>
      <c r="FX502" s="26"/>
      <c r="FY502" s="26"/>
      <c r="FZ502" s="26"/>
      <c r="GA502" s="26"/>
      <c r="GB502" s="26"/>
      <c r="GC502" s="26"/>
      <c r="GD502" s="26"/>
      <c r="GE502" s="26"/>
      <c r="GF502" s="26"/>
      <c r="GG502" s="26"/>
      <c r="GH502" s="26"/>
      <c r="GI502" s="26"/>
      <c r="GJ502" s="26"/>
      <c r="GK502" s="26"/>
      <c r="GL502" s="26"/>
      <c r="GM502" s="26"/>
      <c r="GN502" s="26"/>
      <c r="GO502" s="26"/>
      <c r="GP502" s="26"/>
      <c r="GQ502" s="26"/>
      <c r="GR502" s="26"/>
      <c r="GS502" s="26"/>
      <c r="GT502" s="26"/>
      <c r="GU502" s="26"/>
      <c r="GV502" s="26"/>
      <c r="GW502" s="26"/>
      <c r="GX502" s="26"/>
      <c r="GY502" s="26"/>
      <c r="GZ502" s="26"/>
      <c r="HA502" s="26"/>
      <c r="HB502" s="26"/>
      <c r="HC502" s="26"/>
      <c r="HD502" s="26"/>
      <c r="HE502" s="26"/>
      <c r="HF502" s="26"/>
      <c r="HG502" s="26"/>
      <c r="HH502" s="26"/>
    </row>
    <row r="503" spans="1:21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c r="BM503" s="26"/>
      <c r="BN503" s="26"/>
      <c r="BO503" s="26"/>
      <c r="BP503" s="26"/>
      <c r="BQ503" s="26"/>
      <c r="BR503" s="26"/>
      <c r="BS503" s="26"/>
      <c r="BT503" s="26"/>
      <c r="BU503" s="26"/>
      <c r="BV503" s="26"/>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26"/>
      <c r="CU503" s="26"/>
      <c r="CV503" s="26"/>
      <c r="CW503" s="26"/>
      <c r="CX503" s="26"/>
      <c r="CY503" s="26"/>
      <c r="CZ503" s="26"/>
      <c r="DA503" s="26"/>
      <c r="DB503" s="26"/>
      <c r="DC503" s="26"/>
      <c r="DD503" s="26"/>
      <c r="DE503" s="26"/>
      <c r="DF503" s="26"/>
      <c r="DG503" s="26"/>
      <c r="DH503" s="26"/>
      <c r="DI503" s="26"/>
      <c r="DJ503" s="26"/>
      <c r="DK503" s="26"/>
      <c r="DL503" s="26"/>
      <c r="DM503" s="26"/>
      <c r="DN503" s="26"/>
      <c r="DO503" s="26"/>
      <c r="DP503" s="26"/>
      <c r="DQ503" s="26"/>
      <c r="DR503" s="26"/>
      <c r="DS503" s="26"/>
      <c r="DT503" s="26"/>
      <c r="DU503" s="26"/>
      <c r="DV503" s="26"/>
      <c r="DW503" s="26"/>
      <c r="DX503" s="26"/>
      <c r="DY503" s="26"/>
      <c r="DZ503" s="26"/>
      <c r="EA503" s="26"/>
      <c r="EB503" s="26"/>
      <c r="EC503" s="26"/>
      <c r="ED503" s="26"/>
      <c r="EE503" s="26"/>
      <c r="EF503" s="26"/>
      <c r="EG503" s="26"/>
      <c r="EH503" s="26"/>
      <c r="EI503" s="26"/>
      <c r="EJ503" s="26"/>
      <c r="EK503" s="26"/>
      <c r="EL503" s="26"/>
      <c r="EM503" s="26"/>
      <c r="EN503" s="26"/>
      <c r="EO503" s="26"/>
      <c r="EP503" s="26"/>
      <c r="EQ503" s="26"/>
      <c r="ER503" s="26"/>
      <c r="ES503" s="26"/>
      <c r="ET503" s="26"/>
      <c r="EU503" s="26"/>
      <c r="EV503" s="26"/>
      <c r="EW503" s="26"/>
      <c r="EX503" s="26"/>
      <c r="EY503" s="26"/>
      <c r="EZ503" s="26"/>
      <c r="FA503" s="26"/>
      <c r="FB503" s="26"/>
      <c r="FC503" s="26"/>
      <c r="FD503" s="26"/>
      <c r="FE503" s="26"/>
      <c r="FF503" s="26"/>
      <c r="FG503" s="26"/>
      <c r="FH503" s="26"/>
      <c r="FI503" s="26"/>
      <c r="FJ503" s="26"/>
      <c r="FK503" s="26"/>
      <c r="FL503" s="26"/>
      <c r="FM503" s="26"/>
      <c r="FN503" s="26"/>
      <c r="FO503" s="26"/>
      <c r="FP503" s="26"/>
      <c r="FQ503" s="26"/>
      <c r="FR503" s="26"/>
      <c r="FS503" s="26"/>
      <c r="FT503" s="26"/>
      <c r="FU503" s="26"/>
      <c r="FV503" s="26"/>
      <c r="FW503" s="26"/>
      <c r="FX503" s="26"/>
      <c r="FY503" s="26"/>
      <c r="FZ503" s="26"/>
      <c r="GA503" s="26"/>
      <c r="GB503" s="26"/>
      <c r="GC503" s="26"/>
      <c r="GD503" s="26"/>
      <c r="GE503" s="26"/>
      <c r="GF503" s="26"/>
      <c r="GG503" s="26"/>
      <c r="GH503" s="26"/>
      <c r="GI503" s="26"/>
      <c r="GJ503" s="26"/>
      <c r="GK503" s="26"/>
      <c r="GL503" s="26"/>
      <c r="GM503" s="26"/>
      <c r="GN503" s="26"/>
      <c r="GO503" s="26"/>
      <c r="GP503" s="26"/>
      <c r="GQ503" s="26"/>
      <c r="GR503" s="26"/>
      <c r="GS503" s="26"/>
      <c r="GT503" s="26"/>
      <c r="GU503" s="26"/>
      <c r="GV503" s="26"/>
      <c r="GW503" s="26"/>
      <c r="GX503" s="26"/>
      <c r="GY503" s="26"/>
      <c r="GZ503" s="26"/>
      <c r="HA503" s="26"/>
      <c r="HB503" s="26"/>
      <c r="HC503" s="26"/>
      <c r="HD503" s="26"/>
      <c r="HE503" s="26"/>
      <c r="HF503" s="26"/>
      <c r="HG503" s="26"/>
      <c r="HH503" s="26"/>
    </row>
    <row r="504" spans="1:21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c r="BM504" s="26"/>
      <c r="BN504" s="26"/>
      <c r="BO504" s="26"/>
      <c r="BP504" s="26"/>
      <c r="BQ504" s="26"/>
      <c r="BR504" s="26"/>
      <c r="BS504" s="26"/>
      <c r="BT504" s="26"/>
      <c r="BU504" s="26"/>
      <c r="BV504" s="26"/>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26"/>
      <c r="CU504" s="26"/>
      <c r="CV504" s="26"/>
      <c r="CW504" s="26"/>
      <c r="CX504" s="26"/>
      <c r="CY504" s="26"/>
      <c r="CZ504" s="26"/>
      <c r="DA504" s="26"/>
      <c r="DB504" s="26"/>
      <c r="DC504" s="26"/>
      <c r="DD504" s="26"/>
      <c r="DE504" s="26"/>
      <c r="DF504" s="26"/>
      <c r="DG504" s="26"/>
      <c r="DH504" s="26"/>
      <c r="DI504" s="26"/>
      <c r="DJ504" s="26"/>
      <c r="DK504" s="26"/>
      <c r="DL504" s="26"/>
      <c r="DM504" s="26"/>
      <c r="DN504" s="26"/>
      <c r="DO504" s="26"/>
      <c r="DP504" s="26"/>
      <c r="DQ504" s="26"/>
      <c r="DR504" s="26"/>
      <c r="DS504" s="26"/>
      <c r="DT504" s="26"/>
      <c r="DU504" s="26"/>
      <c r="DV504" s="26"/>
      <c r="DW504" s="26"/>
      <c r="DX504" s="26"/>
      <c r="DY504" s="26"/>
      <c r="DZ504" s="26"/>
      <c r="EA504" s="26"/>
      <c r="EB504" s="26"/>
      <c r="EC504" s="26"/>
      <c r="ED504" s="26"/>
      <c r="EE504" s="26"/>
      <c r="EF504" s="26"/>
      <c r="EG504" s="26"/>
      <c r="EH504" s="26"/>
      <c r="EI504" s="26"/>
      <c r="EJ504" s="26"/>
      <c r="EK504" s="26"/>
      <c r="EL504" s="26"/>
      <c r="EM504" s="26"/>
      <c r="EN504" s="26"/>
      <c r="EO504" s="26"/>
      <c r="EP504" s="26"/>
      <c r="EQ504" s="26"/>
      <c r="ER504" s="26"/>
      <c r="ES504" s="26"/>
      <c r="ET504" s="26"/>
      <c r="EU504" s="26"/>
      <c r="EV504" s="26"/>
      <c r="EW504" s="26"/>
      <c r="EX504" s="26"/>
      <c r="EY504" s="26"/>
      <c r="EZ504" s="26"/>
      <c r="FA504" s="26"/>
      <c r="FB504" s="26"/>
      <c r="FC504" s="26"/>
      <c r="FD504" s="26"/>
      <c r="FE504" s="26"/>
      <c r="FF504" s="26"/>
      <c r="FG504" s="26"/>
      <c r="FH504" s="26"/>
      <c r="FI504" s="26"/>
      <c r="FJ504" s="26"/>
      <c r="FK504" s="26"/>
      <c r="FL504" s="26"/>
      <c r="FM504" s="26"/>
      <c r="FN504" s="26"/>
      <c r="FO504" s="26"/>
      <c r="FP504" s="26"/>
      <c r="FQ504" s="26"/>
      <c r="FR504" s="26"/>
      <c r="FS504" s="26"/>
      <c r="FT504" s="26"/>
      <c r="FU504" s="26"/>
      <c r="FV504" s="26"/>
      <c r="FW504" s="26"/>
      <c r="FX504" s="26"/>
      <c r="FY504" s="26"/>
      <c r="FZ504" s="26"/>
      <c r="GA504" s="26"/>
      <c r="GB504" s="26"/>
      <c r="GC504" s="26"/>
      <c r="GD504" s="26"/>
      <c r="GE504" s="26"/>
      <c r="GF504" s="26"/>
      <c r="GG504" s="26"/>
      <c r="GH504" s="26"/>
      <c r="GI504" s="26"/>
      <c r="GJ504" s="26"/>
      <c r="GK504" s="26"/>
      <c r="GL504" s="26"/>
      <c r="GM504" s="26"/>
      <c r="GN504" s="26"/>
      <c r="GO504" s="26"/>
      <c r="GP504" s="26"/>
      <c r="GQ504" s="26"/>
      <c r="GR504" s="26"/>
      <c r="GS504" s="26"/>
      <c r="GT504" s="26"/>
      <c r="GU504" s="26"/>
      <c r="GV504" s="26"/>
      <c r="GW504" s="26"/>
      <c r="GX504" s="26"/>
      <c r="GY504" s="26"/>
      <c r="GZ504" s="26"/>
      <c r="HA504" s="26"/>
      <c r="HB504" s="26"/>
      <c r="HC504" s="26"/>
      <c r="HD504" s="26"/>
      <c r="HE504" s="26"/>
      <c r="HF504" s="26"/>
      <c r="HG504" s="26"/>
      <c r="HH504" s="26"/>
    </row>
    <row r="505" spans="1:21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c r="BM505" s="26"/>
      <c r="BN505" s="26"/>
      <c r="BO505" s="26"/>
      <c r="BP505" s="26"/>
      <c r="BQ505" s="26"/>
      <c r="BR505" s="26"/>
      <c r="BS505" s="26"/>
      <c r="BT505" s="26"/>
      <c r="BU505" s="26"/>
      <c r="BV505" s="26"/>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26"/>
      <c r="CU505" s="26"/>
      <c r="CV505" s="26"/>
      <c r="CW505" s="26"/>
      <c r="CX505" s="26"/>
      <c r="CY505" s="26"/>
      <c r="CZ505" s="26"/>
      <c r="DA505" s="26"/>
      <c r="DB505" s="26"/>
      <c r="DC505" s="26"/>
      <c r="DD505" s="26"/>
      <c r="DE505" s="26"/>
      <c r="DF505" s="26"/>
      <c r="DG505" s="26"/>
      <c r="DH505" s="26"/>
      <c r="DI505" s="26"/>
      <c r="DJ505" s="26"/>
      <c r="DK505" s="26"/>
      <c r="DL505" s="26"/>
      <c r="DM505" s="26"/>
      <c r="DN505" s="26"/>
      <c r="DO505" s="26"/>
      <c r="DP505" s="26"/>
      <c r="DQ505" s="26"/>
      <c r="DR505" s="26"/>
      <c r="DS505" s="26"/>
      <c r="DT505" s="26"/>
      <c r="DU505" s="26"/>
      <c r="DV505" s="26"/>
      <c r="DW505" s="26"/>
      <c r="DX505" s="26"/>
      <c r="DY505" s="26"/>
      <c r="DZ505" s="26"/>
      <c r="EA505" s="26"/>
      <c r="EB505" s="26"/>
      <c r="EC505" s="26"/>
      <c r="ED505" s="26"/>
      <c r="EE505" s="26"/>
      <c r="EF505" s="26"/>
      <c r="EG505" s="26"/>
      <c r="EH505" s="26"/>
      <c r="EI505" s="26"/>
      <c r="EJ505" s="26"/>
      <c r="EK505" s="26"/>
      <c r="EL505" s="26"/>
      <c r="EM505" s="26"/>
      <c r="EN505" s="26"/>
      <c r="EO505" s="26"/>
      <c r="EP505" s="26"/>
      <c r="EQ505" s="26"/>
      <c r="ER505" s="26"/>
      <c r="ES505" s="26"/>
      <c r="ET505" s="26"/>
      <c r="EU505" s="26"/>
      <c r="EV505" s="26"/>
      <c r="EW505" s="26"/>
      <c r="EX505" s="26"/>
      <c r="EY505" s="26"/>
      <c r="EZ505" s="26"/>
      <c r="FA505" s="26"/>
      <c r="FB505" s="26"/>
      <c r="FC505" s="26"/>
      <c r="FD505" s="26"/>
      <c r="FE505" s="26"/>
      <c r="FF505" s="26"/>
      <c r="FG505" s="26"/>
      <c r="FH505" s="26"/>
      <c r="FI505" s="26"/>
      <c r="FJ505" s="26"/>
      <c r="FK505" s="26"/>
      <c r="FL505" s="26"/>
      <c r="FM505" s="26"/>
      <c r="FN505" s="26"/>
      <c r="FO505" s="26"/>
      <c r="FP505" s="26"/>
      <c r="FQ505" s="26"/>
      <c r="FR505" s="26"/>
      <c r="FS505" s="26"/>
      <c r="FT505" s="26"/>
      <c r="FU505" s="26"/>
      <c r="FV505" s="26"/>
      <c r="FW505" s="26"/>
      <c r="FX505" s="26"/>
      <c r="FY505" s="26"/>
      <c r="FZ505" s="26"/>
      <c r="GA505" s="26"/>
      <c r="GB505" s="26"/>
      <c r="GC505" s="26"/>
      <c r="GD505" s="26"/>
      <c r="GE505" s="26"/>
      <c r="GF505" s="26"/>
      <c r="GG505" s="26"/>
      <c r="GH505" s="26"/>
      <c r="GI505" s="26"/>
      <c r="GJ505" s="26"/>
      <c r="GK505" s="26"/>
      <c r="GL505" s="26"/>
      <c r="GM505" s="26"/>
      <c r="GN505" s="26"/>
      <c r="GO505" s="26"/>
      <c r="GP505" s="26"/>
      <c r="GQ505" s="26"/>
      <c r="GR505" s="26"/>
      <c r="GS505" s="26"/>
      <c r="GT505" s="26"/>
      <c r="GU505" s="26"/>
      <c r="GV505" s="26"/>
      <c r="GW505" s="26"/>
      <c r="GX505" s="26"/>
      <c r="GY505" s="26"/>
      <c r="GZ505" s="26"/>
      <c r="HA505" s="26"/>
      <c r="HB505" s="26"/>
      <c r="HC505" s="26"/>
      <c r="HD505" s="26"/>
      <c r="HE505" s="26"/>
      <c r="HF505" s="26"/>
      <c r="HG505" s="26"/>
      <c r="HH505" s="26"/>
    </row>
    <row r="506" spans="1:21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c r="BM506" s="26"/>
      <c r="BN506" s="26"/>
      <c r="BO506" s="26"/>
      <c r="BP506" s="26"/>
      <c r="BQ506" s="26"/>
      <c r="BR506" s="26"/>
      <c r="BS506" s="26"/>
      <c r="BT506" s="26"/>
      <c r="BU506" s="26"/>
      <c r="BV506" s="26"/>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26"/>
      <c r="CU506" s="26"/>
      <c r="CV506" s="26"/>
      <c r="CW506" s="26"/>
      <c r="CX506" s="26"/>
      <c r="CY506" s="26"/>
      <c r="CZ506" s="26"/>
      <c r="DA506" s="26"/>
      <c r="DB506" s="26"/>
      <c r="DC506" s="26"/>
      <c r="DD506" s="26"/>
      <c r="DE506" s="26"/>
      <c r="DF506" s="26"/>
      <c r="DG506" s="26"/>
      <c r="DH506" s="26"/>
      <c r="DI506" s="26"/>
      <c r="DJ506" s="26"/>
      <c r="DK506" s="26"/>
      <c r="DL506" s="26"/>
      <c r="DM506" s="26"/>
      <c r="DN506" s="26"/>
      <c r="DO506" s="26"/>
      <c r="DP506" s="26"/>
      <c r="DQ506" s="26"/>
      <c r="DR506" s="26"/>
      <c r="DS506" s="26"/>
      <c r="DT506" s="26"/>
      <c r="DU506" s="26"/>
      <c r="DV506" s="26"/>
      <c r="DW506" s="26"/>
      <c r="DX506" s="26"/>
      <c r="DY506" s="26"/>
      <c r="DZ506" s="26"/>
      <c r="EA506" s="26"/>
      <c r="EB506" s="26"/>
      <c r="EC506" s="26"/>
      <c r="ED506" s="26"/>
      <c r="EE506" s="26"/>
      <c r="EF506" s="26"/>
      <c r="EG506" s="26"/>
      <c r="EH506" s="26"/>
      <c r="EI506" s="26"/>
      <c r="EJ506" s="26"/>
      <c r="EK506" s="26"/>
      <c r="EL506" s="26"/>
      <c r="EM506" s="26"/>
      <c r="EN506" s="26"/>
      <c r="EO506" s="26"/>
      <c r="EP506" s="26"/>
      <c r="EQ506" s="26"/>
      <c r="ER506" s="26"/>
      <c r="ES506" s="26"/>
      <c r="ET506" s="26"/>
      <c r="EU506" s="26"/>
      <c r="EV506" s="26"/>
      <c r="EW506" s="26"/>
      <c r="EX506" s="26"/>
      <c r="EY506" s="26"/>
      <c r="EZ506" s="26"/>
      <c r="FA506" s="26"/>
      <c r="FB506" s="26"/>
      <c r="FC506" s="26"/>
      <c r="FD506" s="26"/>
      <c r="FE506" s="26"/>
      <c r="FF506" s="26"/>
      <c r="FG506" s="26"/>
      <c r="FH506" s="26"/>
      <c r="FI506" s="26"/>
      <c r="FJ506" s="26"/>
      <c r="FK506" s="26"/>
      <c r="FL506" s="26"/>
      <c r="FM506" s="26"/>
      <c r="FN506" s="26"/>
      <c r="FO506" s="26"/>
      <c r="FP506" s="26"/>
      <c r="FQ506" s="26"/>
      <c r="FR506" s="26"/>
      <c r="FS506" s="26"/>
      <c r="FT506" s="26"/>
      <c r="FU506" s="26"/>
      <c r="FV506" s="26"/>
      <c r="FW506" s="26"/>
      <c r="FX506" s="26"/>
      <c r="FY506" s="26"/>
      <c r="FZ506" s="26"/>
      <c r="GA506" s="26"/>
      <c r="GB506" s="26"/>
      <c r="GC506" s="26"/>
      <c r="GD506" s="26"/>
      <c r="GE506" s="26"/>
      <c r="GF506" s="26"/>
      <c r="GG506" s="26"/>
      <c r="GH506" s="26"/>
      <c r="GI506" s="26"/>
      <c r="GJ506" s="26"/>
      <c r="GK506" s="26"/>
      <c r="GL506" s="26"/>
      <c r="GM506" s="26"/>
      <c r="GN506" s="26"/>
      <c r="GO506" s="26"/>
      <c r="GP506" s="26"/>
      <c r="GQ506" s="26"/>
      <c r="GR506" s="26"/>
      <c r="GS506" s="26"/>
      <c r="GT506" s="26"/>
      <c r="GU506" s="26"/>
      <c r="GV506" s="26"/>
      <c r="GW506" s="26"/>
      <c r="GX506" s="26"/>
      <c r="GY506" s="26"/>
      <c r="GZ506" s="26"/>
      <c r="HA506" s="26"/>
      <c r="HB506" s="26"/>
      <c r="HC506" s="26"/>
      <c r="HD506" s="26"/>
      <c r="HE506" s="26"/>
      <c r="HF506" s="26"/>
      <c r="HG506" s="26"/>
      <c r="HH506" s="26"/>
    </row>
    <row r="507" spans="1:21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c r="BM507" s="26"/>
      <c r="BN507" s="26"/>
      <c r="BO507" s="26"/>
      <c r="BP507" s="26"/>
      <c r="BQ507" s="26"/>
      <c r="BR507" s="26"/>
      <c r="BS507" s="26"/>
      <c r="BT507" s="26"/>
      <c r="BU507" s="26"/>
      <c r="BV507" s="26"/>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26"/>
      <c r="CU507" s="26"/>
      <c r="CV507" s="26"/>
      <c r="CW507" s="26"/>
      <c r="CX507" s="26"/>
      <c r="CY507" s="26"/>
      <c r="CZ507" s="26"/>
      <c r="DA507" s="26"/>
      <c r="DB507" s="26"/>
      <c r="DC507" s="26"/>
      <c r="DD507" s="26"/>
      <c r="DE507" s="26"/>
      <c r="DF507" s="26"/>
      <c r="DG507" s="26"/>
      <c r="DH507" s="26"/>
      <c r="DI507" s="26"/>
      <c r="DJ507" s="26"/>
      <c r="DK507" s="26"/>
      <c r="DL507" s="26"/>
      <c r="DM507" s="26"/>
      <c r="DN507" s="26"/>
      <c r="DO507" s="26"/>
      <c r="DP507" s="26"/>
      <c r="DQ507" s="26"/>
      <c r="DR507" s="26"/>
      <c r="DS507" s="26"/>
      <c r="DT507" s="26"/>
      <c r="DU507" s="26"/>
      <c r="DV507" s="26"/>
      <c r="DW507" s="26"/>
      <c r="DX507" s="26"/>
      <c r="DY507" s="26"/>
      <c r="DZ507" s="26"/>
      <c r="EA507" s="26"/>
      <c r="EB507" s="26"/>
      <c r="EC507" s="26"/>
      <c r="ED507" s="26"/>
      <c r="EE507" s="26"/>
      <c r="EF507" s="26"/>
      <c r="EG507" s="26"/>
      <c r="EH507" s="26"/>
      <c r="EI507" s="26"/>
      <c r="EJ507" s="26"/>
      <c r="EK507" s="26"/>
      <c r="EL507" s="26"/>
      <c r="EM507" s="26"/>
      <c r="EN507" s="26"/>
      <c r="EO507" s="26"/>
      <c r="EP507" s="26"/>
      <c r="EQ507" s="26"/>
      <c r="ER507" s="26"/>
      <c r="ES507" s="26"/>
      <c r="ET507" s="26"/>
      <c r="EU507" s="26"/>
      <c r="EV507" s="26"/>
      <c r="EW507" s="26"/>
      <c r="EX507" s="26"/>
      <c r="EY507" s="26"/>
      <c r="EZ507" s="26"/>
      <c r="FA507" s="26"/>
      <c r="FB507" s="26"/>
      <c r="FC507" s="26"/>
      <c r="FD507" s="26"/>
      <c r="FE507" s="26"/>
      <c r="FF507" s="26"/>
      <c r="FG507" s="26"/>
      <c r="FH507" s="26"/>
      <c r="FI507" s="26"/>
      <c r="FJ507" s="26"/>
      <c r="FK507" s="26"/>
      <c r="FL507" s="26"/>
      <c r="FM507" s="26"/>
      <c r="FN507" s="26"/>
      <c r="FO507" s="26"/>
      <c r="FP507" s="26"/>
      <c r="FQ507" s="26"/>
      <c r="FR507" s="26"/>
      <c r="FS507" s="26"/>
      <c r="FT507" s="26"/>
      <c r="FU507" s="26"/>
      <c r="FV507" s="26"/>
      <c r="FW507" s="26"/>
      <c r="FX507" s="26"/>
      <c r="FY507" s="26"/>
      <c r="FZ507" s="26"/>
      <c r="GA507" s="26"/>
      <c r="GB507" s="26"/>
      <c r="GC507" s="26"/>
      <c r="GD507" s="26"/>
      <c r="GE507" s="26"/>
      <c r="GF507" s="26"/>
      <c r="GG507" s="26"/>
      <c r="GH507" s="26"/>
      <c r="GI507" s="26"/>
      <c r="GJ507" s="26"/>
      <c r="GK507" s="26"/>
      <c r="GL507" s="26"/>
      <c r="GM507" s="26"/>
      <c r="GN507" s="26"/>
      <c r="GO507" s="26"/>
      <c r="GP507" s="26"/>
      <c r="GQ507" s="26"/>
      <c r="GR507" s="26"/>
      <c r="GS507" s="26"/>
      <c r="GT507" s="26"/>
      <c r="GU507" s="26"/>
      <c r="GV507" s="26"/>
      <c r="GW507" s="26"/>
      <c r="GX507" s="26"/>
      <c r="GY507" s="26"/>
      <c r="GZ507" s="26"/>
      <c r="HA507" s="26"/>
      <c r="HB507" s="26"/>
      <c r="HC507" s="26"/>
      <c r="HD507" s="26"/>
      <c r="HE507" s="26"/>
      <c r="HF507" s="26"/>
      <c r="HG507" s="26"/>
      <c r="HH507" s="26"/>
    </row>
    <row r="508" spans="1:21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c r="BM508" s="26"/>
      <c r="BN508" s="26"/>
      <c r="BO508" s="26"/>
      <c r="BP508" s="26"/>
      <c r="BQ508" s="26"/>
      <c r="BR508" s="26"/>
      <c r="BS508" s="26"/>
      <c r="BT508" s="26"/>
      <c r="BU508" s="26"/>
      <c r="BV508" s="26"/>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26"/>
      <c r="CU508" s="26"/>
      <c r="CV508" s="26"/>
      <c r="CW508" s="26"/>
      <c r="CX508" s="26"/>
      <c r="CY508" s="26"/>
      <c r="CZ508" s="26"/>
      <c r="DA508" s="26"/>
      <c r="DB508" s="26"/>
      <c r="DC508" s="26"/>
      <c r="DD508" s="26"/>
      <c r="DE508" s="26"/>
      <c r="DF508" s="26"/>
      <c r="DG508" s="26"/>
      <c r="DH508" s="26"/>
      <c r="DI508" s="26"/>
      <c r="DJ508" s="26"/>
      <c r="DK508" s="26"/>
      <c r="DL508" s="26"/>
      <c r="DM508" s="26"/>
      <c r="DN508" s="26"/>
      <c r="DO508" s="26"/>
      <c r="DP508" s="26"/>
      <c r="DQ508" s="26"/>
      <c r="DR508" s="26"/>
      <c r="DS508" s="26"/>
      <c r="DT508" s="26"/>
      <c r="DU508" s="26"/>
      <c r="DV508" s="26"/>
      <c r="DW508" s="26"/>
      <c r="DX508" s="26"/>
      <c r="DY508" s="26"/>
      <c r="DZ508" s="26"/>
      <c r="EA508" s="26"/>
      <c r="EB508" s="26"/>
      <c r="EC508" s="26"/>
      <c r="ED508" s="26"/>
      <c r="EE508" s="26"/>
      <c r="EF508" s="26"/>
      <c r="EG508" s="26"/>
      <c r="EH508" s="26"/>
      <c r="EI508" s="26"/>
      <c r="EJ508" s="26"/>
      <c r="EK508" s="26"/>
      <c r="EL508" s="26"/>
      <c r="EM508" s="26"/>
      <c r="EN508" s="26"/>
      <c r="EO508" s="26"/>
      <c r="EP508" s="26"/>
      <c r="EQ508" s="26"/>
      <c r="ER508" s="26"/>
      <c r="ES508" s="26"/>
      <c r="ET508" s="26"/>
      <c r="EU508" s="26"/>
      <c r="EV508" s="26"/>
      <c r="EW508" s="26"/>
      <c r="EX508" s="26"/>
      <c r="EY508" s="26"/>
      <c r="EZ508" s="26"/>
      <c r="FA508" s="26"/>
      <c r="FB508" s="26"/>
      <c r="FC508" s="26"/>
      <c r="FD508" s="26"/>
      <c r="FE508" s="26"/>
      <c r="FF508" s="26"/>
      <c r="FG508" s="26"/>
      <c r="FH508" s="26"/>
      <c r="FI508" s="26"/>
      <c r="FJ508" s="26"/>
      <c r="FK508" s="26"/>
      <c r="FL508" s="26"/>
      <c r="FM508" s="26"/>
      <c r="FN508" s="26"/>
      <c r="FO508" s="26"/>
      <c r="FP508" s="26"/>
      <c r="FQ508" s="26"/>
      <c r="FR508" s="26"/>
      <c r="FS508" s="26"/>
      <c r="FT508" s="26"/>
      <c r="FU508" s="26"/>
      <c r="FV508" s="26"/>
      <c r="FW508" s="26"/>
      <c r="FX508" s="26"/>
      <c r="FY508" s="26"/>
      <c r="FZ508" s="26"/>
      <c r="GA508" s="26"/>
      <c r="GB508" s="26"/>
      <c r="GC508" s="26"/>
      <c r="GD508" s="26"/>
      <c r="GE508" s="26"/>
      <c r="GF508" s="26"/>
      <c r="GG508" s="26"/>
      <c r="GH508" s="26"/>
      <c r="GI508" s="26"/>
      <c r="GJ508" s="26"/>
      <c r="GK508" s="26"/>
      <c r="GL508" s="26"/>
      <c r="GM508" s="26"/>
      <c r="GN508" s="26"/>
      <c r="GO508" s="26"/>
      <c r="GP508" s="26"/>
      <c r="GQ508" s="26"/>
      <c r="GR508" s="26"/>
      <c r="GS508" s="26"/>
      <c r="GT508" s="26"/>
      <c r="GU508" s="26"/>
      <c r="GV508" s="26"/>
      <c r="GW508" s="26"/>
      <c r="GX508" s="26"/>
      <c r="GY508" s="26"/>
      <c r="GZ508" s="26"/>
      <c r="HA508" s="26"/>
      <c r="HB508" s="26"/>
      <c r="HC508" s="26"/>
      <c r="HD508" s="26"/>
      <c r="HE508" s="26"/>
      <c r="HF508" s="26"/>
      <c r="HG508" s="26"/>
      <c r="HH508" s="26"/>
    </row>
    <row r="509" spans="1:21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c r="BM509" s="26"/>
      <c r="BN509" s="26"/>
      <c r="BO509" s="26"/>
      <c r="BP509" s="26"/>
      <c r="BQ509" s="26"/>
      <c r="BR509" s="26"/>
      <c r="BS509" s="26"/>
      <c r="BT509" s="26"/>
      <c r="BU509" s="26"/>
      <c r="BV509" s="26"/>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26"/>
      <c r="CU509" s="26"/>
      <c r="CV509" s="26"/>
      <c r="CW509" s="26"/>
      <c r="CX509" s="26"/>
      <c r="CY509" s="26"/>
      <c r="CZ509" s="26"/>
      <c r="DA509" s="26"/>
      <c r="DB509" s="26"/>
      <c r="DC509" s="26"/>
      <c r="DD509" s="26"/>
      <c r="DE509" s="26"/>
      <c r="DF509" s="26"/>
      <c r="DG509" s="26"/>
      <c r="DH509" s="26"/>
      <c r="DI509" s="26"/>
      <c r="DJ509" s="26"/>
      <c r="DK509" s="26"/>
      <c r="DL509" s="26"/>
      <c r="DM509" s="26"/>
      <c r="DN509" s="26"/>
      <c r="DO509" s="26"/>
      <c r="DP509" s="26"/>
      <c r="DQ509" s="26"/>
      <c r="DR509" s="26"/>
      <c r="DS509" s="26"/>
      <c r="DT509" s="26"/>
      <c r="DU509" s="26"/>
      <c r="DV509" s="26"/>
      <c r="DW509" s="26"/>
      <c r="DX509" s="26"/>
      <c r="DY509" s="26"/>
      <c r="DZ509" s="26"/>
      <c r="EA509" s="26"/>
      <c r="EB509" s="26"/>
      <c r="EC509" s="26"/>
      <c r="ED509" s="26"/>
      <c r="EE509" s="26"/>
      <c r="EF509" s="26"/>
      <c r="EG509" s="26"/>
      <c r="EH509" s="26"/>
      <c r="EI509" s="26"/>
      <c r="EJ509" s="26"/>
      <c r="EK509" s="26"/>
      <c r="EL509" s="26"/>
      <c r="EM509" s="26"/>
      <c r="EN509" s="26"/>
      <c r="EO509" s="26"/>
      <c r="EP509" s="26"/>
      <c r="EQ509" s="26"/>
      <c r="ER509" s="26"/>
      <c r="ES509" s="26"/>
      <c r="ET509" s="26"/>
      <c r="EU509" s="26"/>
      <c r="EV509" s="26"/>
      <c r="EW509" s="26"/>
      <c r="EX509" s="26"/>
      <c r="EY509" s="26"/>
      <c r="EZ509" s="26"/>
      <c r="FA509" s="26"/>
      <c r="FB509" s="26"/>
      <c r="FC509" s="26"/>
      <c r="FD509" s="26"/>
      <c r="FE509" s="26"/>
      <c r="FF509" s="26"/>
      <c r="FG509" s="26"/>
      <c r="FH509" s="26"/>
      <c r="FI509" s="26"/>
      <c r="FJ509" s="26"/>
      <c r="FK509" s="26"/>
      <c r="FL509" s="26"/>
      <c r="FM509" s="26"/>
      <c r="FN509" s="26"/>
      <c r="FO509" s="26"/>
      <c r="FP509" s="26"/>
      <c r="FQ509" s="26"/>
      <c r="FR509" s="26"/>
      <c r="FS509" s="26"/>
      <c r="FT509" s="26"/>
      <c r="FU509" s="26"/>
      <c r="FV509" s="26"/>
      <c r="FW509" s="26"/>
      <c r="FX509" s="26"/>
      <c r="FY509" s="26"/>
      <c r="FZ509" s="26"/>
      <c r="GA509" s="26"/>
      <c r="GB509" s="26"/>
      <c r="GC509" s="26"/>
      <c r="GD509" s="26"/>
      <c r="GE509" s="26"/>
      <c r="GF509" s="26"/>
      <c r="GG509" s="26"/>
      <c r="GH509" s="26"/>
      <c r="GI509" s="26"/>
      <c r="GJ509" s="26"/>
      <c r="GK509" s="26"/>
      <c r="GL509" s="26"/>
      <c r="GM509" s="26"/>
      <c r="GN509" s="26"/>
      <c r="GO509" s="26"/>
      <c r="GP509" s="26"/>
      <c r="GQ509" s="26"/>
      <c r="GR509" s="26"/>
      <c r="GS509" s="26"/>
      <c r="GT509" s="26"/>
      <c r="GU509" s="26"/>
      <c r="GV509" s="26"/>
      <c r="GW509" s="26"/>
      <c r="GX509" s="26"/>
      <c r="GY509" s="26"/>
      <c r="GZ509" s="26"/>
      <c r="HA509" s="26"/>
      <c r="HB509" s="26"/>
      <c r="HC509" s="26"/>
      <c r="HD509" s="26"/>
      <c r="HE509" s="26"/>
      <c r="HF509" s="26"/>
      <c r="HG509" s="26"/>
      <c r="HH509" s="26"/>
    </row>
    <row r="510" spans="1:21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c r="BM510" s="26"/>
      <c r="BN510" s="26"/>
      <c r="BO510" s="26"/>
      <c r="BP510" s="26"/>
      <c r="BQ510" s="26"/>
      <c r="BR510" s="26"/>
      <c r="BS510" s="26"/>
      <c r="BT510" s="26"/>
      <c r="BU510" s="26"/>
      <c r="BV510" s="26"/>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26"/>
      <c r="CU510" s="26"/>
      <c r="CV510" s="26"/>
      <c r="CW510" s="26"/>
      <c r="CX510" s="26"/>
      <c r="CY510" s="26"/>
      <c r="CZ510" s="26"/>
      <c r="DA510" s="26"/>
      <c r="DB510" s="26"/>
      <c r="DC510" s="26"/>
      <c r="DD510" s="26"/>
      <c r="DE510" s="26"/>
      <c r="DF510" s="26"/>
      <c r="DG510" s="26"/>
      <c r="DH510" s="26"/>
      <c r="DI510" s="26"/>
      <c r="DJ510" s="26"/>
      <c r="DK510" s="26"/>
      <c r="DL510" s="26"/>
      <c r="DM510" s="26"/>
      <c r="DN510" s="26"/>
      <c r="DO510" s="26"/>
      <c r="DP510" s="26"/>
      <c r="DQ510" s="26"/>
      <c r="DR510" s="26"/>
      <c r="DS510" s="26"/>
      <c r="DT510" s="26"/>
      <c r="DU510" s="26"/>
      <c r="DV510" s="26"/>
      <c r="DW510" s="26"/>
      <c r="DX510" s="26"/>
      <c r="DY510" s="26"/>
      <c r="DZ510" s="26"/>
      <c r="EA510" s="26"/>
      <c r="EB510" s="26"/>
      <c r="EC510" s="26"/>
      <c r="ED510" s="26"/>
      <c r="EE510" s="26"/>
      <c r="EF510" s="26"/>
      <c r="EG510" s="26"/>
      <c r="EH510" s="26"/>
      <c r="EI510" s="26"/>
      <c r="EJ510" s="26"/>
      <c r="EK510" s="26"/>
      <c r="EL510" s="26"/>
      <c r="EM510" s="26"/>
      <c r="EN510" s="26"/>
      <c r="EO510" s="26"/>
      <c r="EP510" s="26"/>
      <c r="EQ510" s="26"/>
      <c r="ER510" s="26"/>
      <c r="ES510" s="26"/>
      <c r="ET510" s="26"/>
      <c r="EU510" s="26"/>
      <c r="EV510" s="26"/>
      <c r="EW510" s="26"/>
      <c r="EX510" s="26"/>
      <c r="EY510" s="26"/>
      <c r="EZ510" s="26"/>
      <c r="FA510" s="26"/>
      <c r="FB510" s="26"/>
      <c r="FC510" s="26"/>
      <c r="FD510" s="26"/>
      <c r="FE510" s="26"/>
      <c r="FF510" s="26"/>
      <c r="FG510" s="26"/>
      <c r="FH510" s="26"/>
      <c r="FI510" s="26"/>
      <c r="FJ510" s="26"/>
      <c r="FK510" s="26"/>
      <c r="FL510" s="26"/>
      <c r="FM510" s="26"/>
      <c r="FN510" s="26"/>
      <c r="FO510" s="26"/>
      <c r="FP510" s="26"/>
      <c r="FQ510" s="26"/>
      <c r="FR510" s="26"/>
      <c r="FS510" s="26"/>
      <c r="FT510" s="26"/>
      <c r="FU510" s="26"/>
      <c r="FV510" s="26"/>
      <c r="FW510" s="26"/>
      <c r="FX510" s="26"/>
      <c r="FY510" s="26"/>
      <c r="FZ510" s="26"/>
      <c r="GA510" s="26"/>
      <c r="GB510" s="26"/>
      <c r="GC510" s="26"/>
      <c r="GD510" s="26"/>
      <c r="GE510" s="26"/>
      <c r="GF510" s="26"/>
      <c r="GG510" s="26"/>
      <c r="GH510" s="26"/>
      <c r="GI510" s="26"/>
      <c r="GJ510" s="26"/>
      <c r="GK510" s="26"/>
      <c r="GL510" s="26"/>
      <c r="GM510" s="26"/>
      <c r="GN510" s="26"/>
      <c r="GO510" s="26"/>
      <c r="GP510" s="26"/>
      <c r="GQ510" s="26"/>
      <c r="GR510" s="26"/>
      <c r="GS510" s="26"/>
      <c r="GT510" s="26"/>
      <c r="GU510" s="26"/>
      <c r="GV510" s="26"/>
      <c r="GW510" s="26"/>
      <c r="GX510" s="26"/>
      <c r="GY510" s="26"/>
      <c r="GZ510" s="26"/>
      <c r="HA510" s="26"/>
      <c r="HB510" s="26"/>
      <c r="HC510" s="26"/>
      <c r="HD510" s="26"/>
      <c r="HE510" s="26"/>
      <c r="HF510" s="26"/>
      <c r="HG510" s="26"/>
      <c r="HH510" s="26"/>
    </row>
    <row r="511" spans="1:21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c r="BM511" s="26"/>
      <c r="BN511" s="26"/>
      <c r="BO511" s="26"/>
      <c r="BP511" s="26"/>
      <c r="BQ511" s="26"/>
      <c r="BR511" s="26"/>
      <c r="BS511" s="26"/>
      <c r="BT511" s="26"/>
      <c r="BU511" s="26"/>
      <c r="BV511" s="26"/>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26"/>
      <c r="CU511" s="26"/>
      <c r="CV511" s="26"/>
      <c r="CW511" s="26"/>
      <c r="CX511" s="26"/>
      <c r="CY511" s="26"/>
      <c r="CZ511" s="26"/>
      <c r="DA511" s="26"/>
      <c r="DB511" s="26"/>
      <c r="DC511" s="26"/>
      <c r="DD511" s="26"/>
      <c r="DE511" s="26"/>
      <c r="DF511" s="26"/>
      <c r="DG511" s="26"/>
      <c r="DH511" s="26"/>
      <c r="DI511" s="26"/>
      <c r="DJ511" s="26"/>
      <c r="DK511" s="26"/>
      <c r="DL511" s="26"/>
      <c r="DM511" s="26"/>
      <c r="DN511" s="26"/>
      <c r="DO511" s="26"/>
      <c r="DP511" s="26"/>
      <c r="DQ511" s="26"/>
      <c r="DR511" s="26"/>
      <c r="DS511" s="26"/>
      <c r="DT511" s="26"/>
      <c r="DU511" s="26"/>
      <c r="DV511" s="26"/>
      <c r="DW511" s="26"/>
      <c r="DX511" s="26"/>
      <c r="DY511" s="26"/>
      <c r="DZ511" s="26"/>
      <c r="EA511" s="26"/>
      <c r="EB511" s="26"/>
      <c r="EC511" s="26"/>
      <c r="ED511" s="26"/>
      <c r="EE511" s="26"/>
      <c r="EF511" s="26"/>
      <c r="EG511" s="26"/>
      <c r="EH511" s="26"/>
      <c r="EI511" s="26"/>
      <c r="EJ511" s="26"/>
      <c r="EK511" s="26"/>
      <c r="EL511" s="26"/>
      <c r="EM511" s="26"/>
      <c r="EN511" s="26"/>
      <c r="EO511" s="26"/>
      <c r="EP511" s="26"/>
      <c r="EQ511" s="26"/>
      <c r="ER511" s="26"/>
      <c r="ES511" s="26"/>
      <c r="ET511" s="26"/>
      <c r="EU511" s="26"/>
      <c r="EV511" s="26"/>
      <c r="EW511" s="26"/>
      <c r="EX511" s="26"/>
      <c r="EY511" s="26"/>
      <c r="EZ511" s="26"/>
      <c r="FA511" s="26"/>
      <c r="FB511" s="26"/>
      <c r="FC511" s="26"/>
      <c r="FD511" s="26"/>
      <c r="FE511" s="26"/>
      <c r="FF511" s="26"/>
      <c r="FG511" s="26"/>
      <c r="FH511" s="26"/>
      <c r="FI511" s="26"/>
      <c r="FJ511" s="26"/>
      <c r="FK511" s="26"/>
      <c r="FL511" s="26"/>
      <c r="FM511" s="26"/>
      <c r="FN511" s="26"/>
      <c r="FO511" s="26"/>
      <c r="FP511" s="26"/>
      <c r="FQ511" s="26"/>
      <c r="FR511" s="26"/>
      <c r="FS511" s="26"/>
      <c r="FT511" s="26"/>
      <c r="FU511" s="26"/>
      <c r="FV511" s="26"/>
      <c r="FW511" s="26"/>
      <c r="FX511" s="26"/>
      <c r="FY511" s="26"/>
      <c r="FZ511" s="26"/>
      <c r="GA511" s="26"/>
      <c r="GB511" s="26"/>
      <c r="GC511" s="26"/>
      <c r="GD511" s="26"/>
      <c r="GE511" s="26"/>
      <c r="GF511" s="26"/>
      <c r="GG511" s="26"/>
      <c r="GH511" s="26"/>
      <c r="GI511" s="26"/>
      <c r="GJ511" s="26"/>
      <c r="GK511" s="26"/>
      <c r="GL511" s="26"/>
      <c r="GM511" s="26"/>
      <c r="GN511" s="26"/>
      <c r="GO511" s="26"/>
      <c r="GP511" s="26"/>
      <c r="GQ511" s="26"/>
      <c r="GR511" s="26"/>
      <c r="GS511" s="26"/>
      <c r="GT511" s="26"/>
      <c r="GU511" s="26"/>
      <c r="GV511" s="26"/>
      <c r="GW511" s="26"/>
      <c r="GX511" s="26"/>
      <c r="GY511" s="26"/>
      <c r="GZ511" s="26"/>
      <c r="HA511" s="26"/>
      <c r="HB511" s="26"/>
      <c r="HC511" s="26"/>
      <c r="HD511" s="26"/>
      <c r="HE511" s="26"/>
      <c r="HF511" s="26"/>
      <c r="HG511" s="26"/>
      <c r="HH511" s="26"/>
    </row>
    <row r="512" spans="1:21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c r="BM512" s="26"/>
      <c r="BN512" s="26"/>
      <c r="BO512" s="26"/>
      <c r="BP512" s="26"/>
      <c r="BQ512" s="26"/>
      <c r="BR512" s="26"/>
      <c r="BS512" s="26"/>
      <c r="BT512" s="26"/>
      <c r="BU512" s="26"/>
      <c r="BV512" s="26"/>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26"/>
      <c r="CU512" s="26"/>
      <c r="CV512" s="26"/>
      <c r="CW512" s="26"/>
      <c r="CX512" s="26"/>
      <c r="CY512" s="26"/>
      <c r="CZ512" s="26"/>
      <c r="DA512" s="26"/>
      <c r="DB512" s="26"/>
      <c r="DC512" s="26"/>
      <c r="DD512" s="26"/>
      <c r="DE512" s="26"/>
      <c r="DF512" s="26"/>
      <c r="DG512" s="26"/>
      <c r="DH512" s="26"/>
      <c r="DI512" s="26"/>
      <c r="DJ512" s="26"/>
      <c r="DK512" s="26"/>
      <c r="DL512" s="26"/>
      <c r="DM512" s="26"/>
      <c r="DN512" s="26"/>
      <c r="DO512" s="26"/>
      <c r="DP512" s="26"/>
      <c r="DQ512" s="26"/>
      <c r="DR512" s="26"/>
      <c r="DS512" s="26"/>
      <c r="DT512" s="26"/>
      <c r="DU512" s="26"/>
      <c r="DV512" s="26"/>
      <c r="DW512" s="26"/>
      <c r="DX512" s="26"/>
      <c r="DY512" s="26"/>
      <c r="DZ512" s="26"/>
      <c r="EA512" s="26"/>
      <c r="EB512" s="26"/>
      <c r="EC512" s="26"/>
      <c r="ED512" s="26"/>
      <c r="EE512" s="26"/>
      <c r="EF512" s="26"/>
      <c r="EG512" s="26"/>
      <c r="EH512" s="26"/>
      <c r="EI512" s="26"/>
      <c r="EJ512" s="26"/>
      <c r="EK512" s="26"/>
      <c r="EL512" s="26"/>
      <c r="EM512" s="26"/>
      <c r="EN512" s="26"/>
      <c r="EO512" s="26"/>
      <c r="EP512" s="26"/>
      <c r="EQ512" s="26"/>
      <c r="ER512" s="26"/>
      <c r="ES512" s="26"/>
      <c r="ET512" s="26"/>
      <c r="EU512" s="26"/>
      <c r="EV512" s="26"/>
      <c r="EW512" s="26"/>
      <c r="EX512" s="26"/>
      <c r="EY512" s="26"/>
      <c r="EZ512" s="26"/>
      <c r="FA512" s="26"/>
      <c r="FB512" s="26"/>
      <c r="FC512" s="26"/>
      <c r="FD512" s="26"/>
      <c r="FE512" s="26"/>
      <c r="FF512" s="26"/>
      <c r="FG512" s="26"/>
      <c r="FH512" s="26"/>
      <c r="FI512" s="26"/>
      <c r="FJ512" s="26"/>
      <c r="FK512" s="26"/>
      <c r="FL512" s="26"/>
      <c r="FM512" s="26"/>
      <c r="FN512" s="26"/>
      <c r="FO512" s="26"/>
      <c r="FP512" s="26"/>
      <c r="FQ512" s="26"/>
      <c r="FR512" s="26"/>
      <c r="FS512" s="26"/>
      <c r="FT512" s="26"/>
      <c r="FU512" s="26"/>
      <c r="FV512" s="26"/>
      <c r="FW512" s="26"/>
      <c r="FX512" s="26"/>
      <c r="FY512" s="26"/>
      <c r="FZ512" s="26"/>
      <c r="GA512" s="26"/>
      <c r="GB512" s="26"/>
      <c r="GC512" s="26"/>
      <c r="GD512" s="26"/>
      <c r="GE512" s="26"/>
      <c r="GF512" s="26"/>
      <c r="GG512" s="26"/>
      <c r="GH512" s="26"/>
      <c r="GI512" s="26"/>
      <c r="GJ512" s="26"/>
      <c r="GK512" s="26"/>
      <c r="GL512" s="26"/>
      <c r="GM512" s="26"/>
      <c r="GN512" s="26"/>
      <c r="GO512" s="26"/>
      <c r="GP512" s="26"/>
      <c r="GQ512" s="26"/>
      <c r="GR512" s="26"/>
      <c r="GS512" s="26"/>
      <c r="GT512" s="26"/>
      <c r="GU512" s="26"/>
      <c r="GV512" s="26"/>
      <c r="GW512" s="26"/>
      <c r="GX512" s="26"/>
      <c r="GY512" s="26"/>
      <c r="GZ512" s="26"/>
      <c r="HA512" s="26"/>
      <c r="HB512" s="26"/>
      <c r="HC512" s="26"/>
      <c r="HD512" s="26"/>
      <c r="HE512" s="26"/>
      <c r="HF512" s="26"/>
      <c r="HG512" s="26"/>
      <c r="HH512" s="26"/>
    </row>
    <row r="513" spans="1:21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c r="BM513" s="26"/>
      <c r="BN513" s="26"/>
      <c r="BO513" s="26"/>
      <c r="BP513" s="26"/>
      <c r="BQ513" s="26"/>
      <c r="BR513" s="26"/>
      <c r="BS513" s="26"/>
      <c r="BT513" s="26"/>
      <c r="BU513" s="26"/>
      <c r="BV513" s="26"/>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26"/>
      <c r="CU513" s="26"/>
      <c r="CV513" s="26"/>
      <c r="CW513" s="26"/>
      <c r="CX513" s="26"/>
      <c r="CY513" s="26"/>
      <c r="CZ513" s="26"/>
      <c r="DA513" s="26"/>
      <c r="DB513" s="26"/>
      <c r="DC513" s="26"/>
      <c r="DD513" s="26"/>
      <c r="DE513" s="26"/>
      <c r="DF513" s="26"/>
      <c r="DG513" s="26"/>
      <c r="DH513" s="26"/>
      <c r="DI513" s="26"/>
      <c r="DJ513" s="26"/>
      <c r="DK513" s="26"/>
      <c r="DL513" s="26"/>
      <c r="DM513" s="26"/>
      <c r="DN513" s="26"/>
      <c r="DO513" s="26"/>
      <c r="DP513" s="26"/>
      <c r="DQ513" s="26"/>
      <c r="DR513" s="26"/>
      <c r="DS513" s="26"/>
      <c r="DT513" s="26"/>
      <c r="DU513" s="26"/>
      <c r="DV513" s="26"/>
      <c r="DW513" s="26"/>
      <c r="DX513" s="26"/>
      <c r="DY513" s="26"/>
      <c r="DZ513" s="26"/>
      <c r="EA513" s="26"/>
      <c r="EB513" s="26"/>
      <c r="EC513" s="26"/>
      <c r="ED513" s="26"/>
      <c r="EE513" s="26"/>
      <c r="EF513" s="26"/>
      <c r="EG513" s="26"/>
      <c r="EH513" s="26"/>
      <c r="EI513" s="26"/>
      <c r="EJ513" s="26"/>
      <c r="EK513" s="26"/>
      <c r="EL513" s="26"/>
      <c r="EM513" s="26"/>
      <c r="EN513" s="26"/>
      <c r="EO513" s="26"/>
      <c r="EP513" s="26"/>
      <c r="EQ513" s="26"/>
      <c r="ER513" s="26"/>
      <c r="ES513" s="26"/>
      <c r="ET513" s="26"/>
      <c r="EU513" s="26"/>
      <c r="EV513" s="26"/>
      <c r="EW513" s="26"/>
      <c r="EX513" s="26"/>
      <c r="EY513" s="26"/>
      <c r="EZ513" s="26"/>
      <c r="FA513" s="26"/>
      <c r="FB513" s="26"/>
      <c r="FC513" s="26"/>
      <c r="FD513" s="26"/>
      <c r="FE513" s="26"/>
      <c r="FF513" s="26"/>
      <c r="FG513" s="26"/>
      <c r="FH513" s="26"/>
      <c r="FI513" s="26"/>
      <c r="FJ513" s="26"/>
      <c r="FK513" s="26"/>
      <c r="FL513" s="26"/>
      <c r="FM513" s="26"/>
      <c r="FN513" s="26"/>
      <c r="FO513" s="26"/>
      <c r="FP513" s="26"/>
      <c r="FQ513" s="26"/>
      <c r="FR513" s="26"/>
      <c r="FS513" s="26"/>
      <c r="FT513" s="26"/>
      <c r="FU513" s="26"/>
      <c r="FV513" s="26"/>
      <c r="FW513" s="26"/>
      <c r="FX513" s="26"/>
      <c r="FY513" s="26"/>
      <c r="FZ513" s="26"/>
      <c r="GA513" s="26"/>
      <c r="GB513" s="26"/>
      <c r="GC513" s="26"/>
      <c r="GD513" s="26"/>
      <c r="GE513" s="26"/>
      <c r="GF513" s="26"/>
      <c r="GG513" s="26"/>
      <c r="GH513" s="26"/>
      <c r="GI513" s="26"/>
      <c r="GJ513" s="26"/>
      <c r="GK513" s="26"/>
      <c r="GL513" s="26"/>
      <c r="GM513" s="26"/>
      <c r="GN513" s="26"/>
      <c r="GO513" s="26"/>
      <c r="GP513" s="26"/>
      <c r="GQ513" s="26"/>
      <c r="GR513" s="26"/>
      <c r="GS513" s="26"/>
      <c r="GT513" s="26"/>
      <c r="GU513" s="26"/>
      <c r="GV513" s="26"/>
      <c r="GW513" s="26"/>
      <c r="GX513" s="26"/>
      <c r="GY513" s="26"/>
      <c r="GZ513" s="26"/>
      <c r="HA513" s="26"/>
      <c r="HB513" s="26"/>
      <c r="HC513" s="26"/>
      <c r="HD513" s="26"/>
      <c r="HE513" s="26"/>
      <c r="HF513" s="26"/>
      <c r="HG513" s="26"/>
      <c r="HH513" s="26"/>
    </row>
    <row r="514" spans="1:21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c r="BM514" s="26"/>
      <c r="BN514" s="26"/>
      <c r="BO514" s="26"/>
      <c r="BP514" s="26"/>
      <c r="BQ514" s="26"/>
      <c r="BR514" s="26"/>
      <c r="BS514" s="26"/>
      <c r="BT514" s="26"/>
      <c r="BU514" s="26"/>
      <c r="BV514" s="26"/>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26"/>
      <c r="CU514" s="26"/>
      <c r="CV514" s="26"/>
      <c r="CW514" s="26"/>
      <c r="CX514" s="26"/>
      <c r="CY514" s="26"/>
      <c r="CZ514" s="26"/>
      <c r="DA514" s="26"/>
      <c r="DB514" s="26"/>
      <c r="DC514" s="26"/>
      <c r="DD514" s="26"/>
      <c r="DE514" s="26"/>
      <c r="DF514" s="26"/>
      <c r="DG514" s="26"/>
      <c r="DH514" s="26"/>
      <c r="DI514" s="26"/>
      <c r="DJ514" s="26"/>
      <c r="DK514" s="26"/>
      <c r="DL514" s="26"/>
      <c r="DM514" s="26"/>
      <c r="DN514" s="26"/>
      <c r="DO514" s="26"/>
      <c r="DP514" s="26"/>
      <c r="DQ514" s="26"/>
      <c r="DR514" s="26"/>
      <c r="DS514" s="26"/>
      <c r="DT514" s="26"/>
      <c r="DU514" s="26"/>
      <c r="DV514" s="26"/>
      <c r="DW514" s="26"/>
      <c r="DX514" s="26"/>
      <c r="DY514" s="26"/>
      <c r="DZ514" s="26"/>
      <c r="EA514" s="26"/>
      <c r="EB514" s="26"/>
      <c r="EC514" s="26"/>
      <c r="ED514" s="26"/>
      <c r="EE514" s="26"/>
      <c r="EF514" s="26"/>
      <c r="EG514" s="26"/>
      <c r="EH514" s="26"/>
      <c r="EI514" s="26"/>
      <c r="EJ514" s="26"/>
      <c r="EK514" s="26"/>
      <c r="EL514" s="26"/>
      <c r="EM514" s="26"/>
      <c r="EN514" s="26"/>
      <c r="EO514" s="26"/>
      <c r="EP514" s="26"/>
      <c r="EQ514" s="26"/>
      <c r="ER514" s="26"/>
      <c r="ES514" s="26"/>
      <c r="ET514" s="26"/>
      <c r="EU514" s="26"/>
      <c r="EV514" s="26"/>
      <c r="EW514" s="26"/>
      <c r="EX514" s="26"/>
      <c r="EY514" s="26"/>
      <c r="EZ514" s="26"/>
      <c r="FA514" s="26"/>
      <c r="FB514" s="26"/>
      <c r="FC514" s="26"/>
      <c r="FD514" s="26"/>
      <c r="FE514" s="26"/>
      <c r="FF514" s="26"/>
      <c r="FG514" s="26"/>
      <c r="FH514" s="26"/>
      <c r="FI514" s="26"/>
      <c r="FJ514" s="26"/>
      <c r="FK514" s="26"/>
      <c r="FL514" s="26"/>
      <c r="FM514" s="26"/>
      <c r="FN514" s="26"/>
      <c r="FO514" s="26"/>
      <c r="FP514" s="26"/>
      <c r="FQ514" s="26"/>
      <c r="FR514" s="26"/>
      <c r="FS514" s="26"/>
      <c r="FT514" s="26"/>
      <c r="FU514" s="26"/>
      <c r="FV514" s="26"/>
      <c r="FW514" s="26"/>
      <c r="FX514" s="26"/>
      <c r="FY514" s="26"/>
      <c r="FZ514" s="26"/>
      <c r="GA514" s="26"/>
      <c r="GB514" s="26"/>
      <c r="GC514" s="26"/>
      <c r="GD514" s="26"/>
      <c r="GE514" s="26"/>
      <c r="GF514" s="26"/>
      <c r="GG514" s="26"/>
      <c r="GH514" s="26"/>
      <c r="GI514" s="26"/>
      <c r="GJ514" s="26"/>
      <c r="GK514" s="26"/>
      <c r="GL514" s="26"/>
      <c r="GM514" s="26"/>
      <c r="GN514" s="26"/>
      <c r="GO514" s="26"/>
      <c r="GP514" s="26"/>
      <c r="GQ514" s="26"/>
      <c r="GR514" s="26"/>
      <c r="GS514" s="26"/>
      <c r="GT514" s="26"/>
      <c r="GU514" s="26"/>
      <c r="GV514" s="26"/>
      <c r="GW514" s="26"/>
      <c r="GX514" s="26"/>
      <c r="GY514" s="26"/>
      <c r="GZ514" s="26"/>
      <c r="HA514" s="26"/>
      <c r="HB514" s="26"/>
      <c r="HC514" s="26"/>
      <c r="HD514" s="26"/>
      <c r="HE514" s="26"/>
      <c r="HF514" s="26"/>
      <c r="HG514" s="26"/>
      <c r="HH514" s="26"/>
    </row>
    <row r="515" spans="1:21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c r="BM515" s="26"/>
      <c r="BN515" s="26"/>
      <c r="BO515" s="26"/>
      <c r="BP515" s="26"/>
      <c r="BQ515" s="26"/>
      <c r="BR515" s="26"/>
      <c r="BS515" s="26"/>
      <c r="BT515" s="26"/>
      <c r="BU515" s="26"/>
      <c r="BV515" s="26"/>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26"/>
      <c r="CU515" s="26"/>
      <c r="CV515" s="26"/>
      <c r="CW515" s="26"/>
      <c r="CX515" s="26"/>
      <c r="CY515" s="26"/>
      <c r="CZ515" s="26"/>
      <c r="DA515" s="26"/>
      <c r="DB515" s="26"/>
      <c r="DC515" s="26"/>
      <c r="DD515" s="26"/>
      <c r="DE515" s="26"/>
      <c r="DF515" s="26"/>
      <c r="DG515" s="26"/>
      <c r="DH515" s="26"/>
      <c r="DI515" s="26"/>
      <c r="DJ515" s="26"/>
      <c r="DK515" s="26"/>
      <c r="DL515" s="26"/>
      <c r="DM515" s="26"/>
      <c r="DN515" s="26"/>
      <c r="DO515" s="26"/>
      <c r="DP515" s="26"/>
      <c r="DQ515" s="26"/>
      <c r="DR515" s="26"/>
      <c r="DS515" s="26"/>
      <c r="DT515" s="26"/>
      <c r="DU515" s="26"/>
      <c r="DV515" s="26"/>
      <c r="DW515" s="26"/>
      <c r="DX515" s="26"/>
      <c r="DY515" s="26"/>
      <c r="DZ515" s="26"/>
      <c r="EA515" s="26"/>
      <c r="EB515" s="26"/>
      <c r="EC515" s="26"/>
      <c r="ED515" s="26"/>
      <c r="EE515" s="26"/>
      <c r="EF515" s="26"/>
      <c r="EG515" s="26"/>
      <c r="EH515" s="26"/>
      <c r="EI515" s="26"/>
      <c r="EJ515" s="26"/>
      <c r="EK515" s="26"/>
      <c r="EL515" s="26"/>
      <c r="EM515" s="26"/>
      <c r="EN515" s="26"/>
      <c r="EO515" s="26"/>
      <c r="EP515" s="26"/>
      <c r="EQ515" s="26"/>
      <c r="ER515" s="26"/>
      <c r="ES515" s="26"/>
      <c r="ET515" s="26"/>
      <c r="EU515" s="26"/>
      <c r="EV515" s="26"/>
      <c r="EW515" s="26"/>
      <c r="EX515" s="26"/>
      <c r="EY515" s="26"/>
      <c r="EZ515" s="26"/>
      <c r="FA515" s="26"/>
      <c r="FB515" s="26"/>
      <c r="FC515" s="26"/>
      <c r="FD515" s="26"/>
      <c r="FE515" s="26"/>
      <c r="FF515" s="26"/>
      <c r="FG515" s="26"/>
      <c r="FH515" s="26"/>
      <c r="FI515" s="26"/>
      <c r="FJ515" s="26"/>
      <c r="FK515" s="26"/>
      <c r="FL515" s="26"/>
      <c r="FM515" s="26"/>
      <c r="FN515" s="26"/>
      <c r="FO515" s="26"/>
      <c r="FP515" s="26"/>
      <c r="FQ515" s="26"/>
      <c r="FR515" s="26"/>
      <c r="FS515" s="26"/>
      <c r="FT515" s="26"/>
      <c r="FU515" s="26"/>
      <c r="FV515" s="26"/>
      <c r="FW515" s="26"/>
      <c r="FX515" s="26"/>
      <c r="FY515" s="26"/>
      <c r="FZ515" s="26"/>
      <c r="GA515" s="26"/>
      <c r="GB515" s="26"/>
      <c r="GC515" s="26"/>
      <c r="GD515" s="26"/>
      <c r="GE515" s="26"/>
      <c r="GF515" s="26"/>
      <c r="GG515" s="26"/>
      <c r="GH515" s="26"/>
      <c r="GI515" s="26"/>
      <c r="GJ515" s="26"/>
      <c r="GK515" s="26"/>
      <c r="GL515" s="26"/>
      <c r="GM515" s="26"/>
      <c r="GN515" s="26"/>
      <c r="GO515" s="26"/>
      <c r="GP515" s="26"/>
      <c r="GQ515" s="26"/>
      <c r="GR515" s="26"/>
      <c r="GS515" s="26"/>
      <c r="GT515" s="26"/>
      <c r="GU515" s="26"/>
      <c r="GV515" s="26"/>
      <c r="GW515" s="26"/>
      <c r="GX515" s="26"/>
      <c r="GY515" s="26"/>
      <c r="GZ515" s="26"/>
      <c r="HA515" s="26"/>
      <c r="HB515" s="26"/>
      <c r="HC515" s="26"/>
      <c r="HD515" s="26"/>
      <c r="HE515" s="26"/>
      <c r="HF515" s="26"/>
      <c r="HG515" s="26"/>
      <c r="HH515" s="26"/>
    </row>
    <row r="516" spans="1:2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c r="BM516" s="26"/>
      <c r="BN516" s="26"/>
      <c r="BO516" s="26"/>
      <c r="BP516" s="26"/>
      <c r="BQ516" s="26"/>
      <c r="BR516" s="26"/>
      <c r="BS516" s="26"/>
      <c r="BT516" s="26"/>
      <c r="BU516" s="26"/>
      <c r="BV516" s="26"/>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26"/>
      <c r="CU516" s="26"/>
      <c r="CV516" s="26"/>
      <c r="CW516" s="26"/>
      <c r="CX516" s="26"/>
      <c r="CY516" s="26"/>
      <c r="CZ516" s="26"/>
      <c r="DA516" s="26"/>
      <c r="DB516" s="26"/>
      <c r="DC516" s="26"/>
      <c r="DD516" s="26"/>
      <c r="DE516" s="26"/>
      <c r="DF516" s="26"/>
      <c r="DG516" s="26"/>
      <c r="DH516" s="26"/>
      <c r="DI516" s="26"/>
      <c r="DJ516" s="26"/>
      <c r="DK516" s="26"/>
      <c r="DL516" s="26"/>
      <c r="DM516" s="26"/>
      <c r="DN516" s="26"/>
      <c r="DO516" s="26"/>
      <c r="DP516" s="26"/>
      <c r="DQ516" s="26"/>
      <c r="DR516" s="26"/>
      <c r="DS516" s="26"/>
      <c r="DT516" s="26"/>
      <c r="DU516" s="26"/>
      <c r="DV516" s="26"/>
      <c r="DW516" s="26"/>
      <c r="DX516" s="26"/>
      <c r="DY516" s="26"/>
      <c r="DZ516" s="26"/>
      <c r="EA516" s="26"/>
      <c r="EB516" s="26"/>
      <c r="EC516" s="26"/>
      <c r="ED516" s="26"/>
      <c r="EE516" s="26"/>
      <c r="EF516" s="26"/>
      <c r="EG516" s="26"/>
      <c r="EH516" s="26"/>
      <c r="EI516" s="26"/>
      <c r="EJ516" s="26"/>
      <c r="EK516" s="26"/>
      <c r="EL516" s="26"/>
      <c r="EM516" s="26"/>
      <c r="EN516" s="26"/>
      <c r="EO516" s="26"/>
      <c r="EP516" s="26"/>
      <c r="EQ516" s="26"/>
      <c r="ER516" s="26"/>
      <c r="ES516" s="26"/>
      <c r="ET516" s="26"/>
      <c r="EU516" s="26"/>
      <c r="EV516" s="26"/>
      <c r="EW516" s="26"/>
      <c r="EX516" s="26"/>
      <c r="EY516" s="26"/>
      <c r="EZ516" s="26"/>
      <c r="FA516" s="26"/>
      <c r="FB516" s="26"/>
      <c r="FC516" s="26"/>
      <c r="FD516" s="26"/>
      <c r="FE516" s="26"/>
      <c r="FF516" s="26"/>
      <c r="FG516" s="26"/>
      <c r="FH516" s="26"/>
      <c r="FI516" s="26"/>
      <c r="FJ516" s="26"/>
      <c r="FK516" s="26"/>
      <c r="FL516" s="26"/>
      <c r="FM516" s="26"/>
      <c r="FN516" s="26"/>
      <c r="FO516" s="26"/>
      <c r="FP516" s="26"/>
      <c r="FQ516" s="26"/>
      <c r="FR516" s="26"/>
      <c r="FS516" s="26"/>
      <c r="FT516" s="26"/>
      <c r="FU516" s="26"/>
      <c r="FV516" s="26"/>
      <c r="FW516" s="26"/>
      <c r="FX516" s="26"/>
      <c r="FY516" s="26"/>
      <c r="FZ516" s="26"/>
      <c r="GA516" s="26"/>
      <c r="GB516" s="26"/>
      <c r="GC516" s="26"/>
      <c r="GD516" s="26"/>
      <c r="GE516" s="26"/>
      <c r="GF516" s="26"/>
      <c r="GG516" s="26"/>
      <c r="GH516" s="26"/>
      <c r="GI516" s="26"/>
      <c r="GJ516" s="26"/>
      <c r="GK516" s="26"/>
      <c r="GL516" s="26"/>
      <c r="GM516" s="26"/>
      <c r="GN516" s="26"/>
      <c r="GO516" s="26"/>
      <c r="GP516" s="26"/>
      <c r="GQ516" s="26"/>
      <c r="GR516" s="26"/>
      <c r="GS516" s="26"/>
      <c r="GT516" s="26"/>
      <c r="GU516" s="26"/>
      <c r="GV516" s="26"/>
      <c r="GW516" s="26"/>
      <c r="GX516" s="26"/>
      <c r="GY516" s="26"/>
      <c r="GZ516" s="26"/>
      <c r="HA516" s="26"/>
      <c r="HB516" s="26"/>
      <c r="HC516" s="26"/>
      <c r="HD516" s="26"/>
      <c r="HE516" s="26"/>
      <c r="HF516" s="26"/>
      <c r="HG516" s="26"/>
      <c r="HH516" s="26"/>
    </row>
    <row r="517" spans="1:21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c r="BM517" s="26"/>
      <c r="BN517" s="26"/>
      <c r="BO517" s="26"/>
      <c r="BP517" s="26"/>
      <c r="BQ517" s="26"/>
      <c r="BR517" s="26"/>
      <c r="BS517" s="26"/>
      <c r="BT517" s="26"/>
      <c r="BU517" s="26"/>
      <c r="BV517" s="26"/>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26"/>
      <c r="CU517" s="26"/>
      <c r="CV517" s="26"/>
      <c r="CW517" s="26"/>
      <c r="CX517" s="26"/>
      <c r="CY517" s="26"/>
      <c r="CZ517" s="26"/>
      <c r="DA517" s="26"/>
      <c r="DB517" s="26"/>
      <c r="DC517" s="26"/>
      <c r="DD517" s="26"/>
      <c r="DE517" s="26"/>
      <c r="DF517" s="26"/>
      <c r="DG517" s="26"/>
      <c r="DH517" s="26"/>
      <c r="DI517" s="26"/>
      <c r="DJ517" s="26"/>
      <c r="DK517" s="26"/>
      <c r="DL517" s="26"/>
      <c r="DM517" s="26"/>
      <c r="DN517" s="26"/>
      <c r="DO517" s="26"/>
      <c r="DP517" s="26"/>
      <c r="DQ517" s="26"/>
      <c r="DR517" s="26"/>
      <c r="DS517" s="26"/>
      <c r="DT517" s="26"/>
      <c r="DU517" s="26"/>
      <c r="DV517" s="26"/>
      <c r="DW517" s="26"/>
      <c r="DX517" s="26"/>
      <c r="DY517" s="26"/>
      <c r="DZ517" s="26"/>
      <c r="EA517" s="26"/>
      <c r="EB517" s="26"/>
      <c r="EC517" s="26"/>
      <c r="ED517" s="26"/>
      <c r="EE517" s="26"/>
      <c r="EF517" s="26"/>
      <c r="EG517" s="26"/>
      <c r="EH517" s="26"/>
      <c r="EI517" s="26"/>
      <c r="EJ517" s="26"/>
      <c r="EK517" s="26"/>
      <c r="EL517" s="26"/>
      <c r="EM517" s="26"/>
      <c r="EN517" s="26"/>
      <c r="EO517" s="26"/>
      <c r="EP517" s="26"/>
      <c r="EQ517" s="26"/>
      <c r="ER517" s="26"/>
      <c r="ES517" s="26"/>
      <c r="ET517" s="26"/>
      <c r="EU517" s="26"/>
      <c r="EV517" s="26"/>
      <c r="EW517" s="26"/>
      <c r="EX517" s="26"/>
      <c r="EY517" s="26"/>
      <c r="EZ517" s="26"/>
      <c r="FA517" s="26"/>
      <c r="FB517" s="26"/>
      <c r="FC517" s="26"/>
      <c r="FD517" s="26"/>
      <c r="FE517" s="26"/>
      <c r="FF517" s="26"/>
      <c r="FG517" s="26"/>
      <c r="FH517" s="26"/>
      <c r="FI517" s="26"/>
      <c r="FJ517" s="26"/>
      <c r="FK517" s="26"/>
      <c r="FL517" s="26"/>
      <c r="FM517" s="26"/>
      <c r="FN517" s="26"/>
      <c r="FO517" s="26"/>
      <c r="FP517" s="26"/>
      <c r="FQ517" s="26"/>
      <c r="FR517" s="26"/>
      <c r="FS517" s="26"/>
      <c r="FT517" s="26"/>
      <c r="FU517" s="26"/>
      <c r="FV517" s="26"/>
      <c r="FW517" s="26"/>
      <c r="FX517" s="26"/>
      <c r="FY517" s="26"/>
      <c r="FZ517" s="26"/>
      <c r="GA517" s="26"/>
      <c r="GB517" s="26"/>
      <c r="GC517" s="26"/>
      <c r="GD517" s="26"/>
      <c r="GE517" s="26"/>
      <c r="GF517" s="26"/>
      <c r="GG517" s="26"/>
      <c r="GH517" s="26"/>
      <c r="GI517" s="26"/>
      <c r="GJ517" s="26"/>
      <c r="GK517" s="26"/>
      <c r="GL517" s="26"/>
      <c r="GM517" s="26"/>
      <c r="GN517" s="26"/>
      <c r="GO517" s="26"/>
      <c r="GP517" s="26"/>
      <c r="GQ517" s="26"/>
      <c r="GR517" s="26"/>
      <c r="GS517" s="26"/>
      <c r="GT517" s="26"/>
      <c r="GU517" s="26"/>
      <c r="GV517" s="26"/>
      <c r="GW517" s="26"/>
      <c r="GX517" s="26"/>
      <c r="GY517" s="26"/>
      <c r="GZ517" s="26"/>
      <c r="HA517" s="26"/>
      <c r="HB517" s="26"/>
      <c r="HC517" s="26"/>
      <c r="HD517" s="26"/>
      <c r="HE517" s="26"/>
      <c r="HF517" s="26"/>
      <c r="HG517" s="26"/>
      <c r="HH517" s="26"/>
    </row>
    <row r="518" spans="1:21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c r="BM518" s="26"/>
      <c r="BN518" s="26"/>
      <c r="BO518" s="26"/>
      <c r="BP518" s="26"/>
      <c r="BQ518" s="26"/>
      <c r="BR518" s="26"/>
      <c r="BS518" s="26"/>
      <c r="BT518" s="26"/>
      <c r="BU518" s="26"/>
      <c r="BV518" s="26"/>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26"/>
      <c r="CU518" s="26"/>
      <c r="CV518" s="26"/>
      <c r="CW518" s="26"/>
      <c r="CX518" s="26"/>
      <c r="CY518" s="26"/>
      <c r="CZ518" s="26"/>
      <c r="DA518" s="26"/>
      <c r="DB518" s="26"/>
      <c r="DC518" s="26"/>
      <c r="DD518" s="26"/>
      <c r="DE518" s="26"/>
      <c r="DF518" s="26"/>
      <c r="DG518" s="26"/>
      <c r="DH518" s="26"/>
      <c r="DI518" s="26"/>
      <c r="DJ518" s="26"/>
      <c r="DK518" s="26"/>
      <c r="DL518" s="26"/>
      <c r="DM518" s="26"/>
      <c r="DN518" s="26"/>
      <c r="DO518" s="26"/>
      <c r="DP518" s="26"/>
      <c r="DQ518" s="26"/>
      <c r="DR518" s="26"/>
      <c r="DS518" s="26"/>
      <c r="DT518" s="26"/>
      <c r="DU518" s="26"/>
      <c r="DV518" s="26"/>
      <c r="DW518" s="26"/>
      <c r="DX518" s="26"/>
      <c r="DY518" s="26"/>
      <c r="DZ518" s="26"/>
      <c r="EA518" s="26"/>
      <c r="EB518" s="26"/>
      <c r="EC518" s="26"/>
      <c r="ED518" s="26"/>
      <c r="EE518" s="26"/>
      <c r="EF518" s="26"/>
      <c r="EG518" s="26"/>
      <c r="EH518" s="26"/>
      <c r="EI518" s="26"/>
      <c r="EJ518" s="26"/>
      <c r="EK518" s="26"/>
      <c r="EL518" s="26"/>
      <c r="EM518" s="26"/>
      <c r="EN518" s="26"/>
      <c r="EO518" s="26"/>
      <c r="EP518" s="26"/>
      <c r="EQ518" s="26"/>
      <c r="ER518" s="26"/>
      <c r="ES518" s="26"/>
      <c r="ET518" s="26"/>
      <c r="EU518" s="26"/>
      <c r="EV518" s="26"/>
      <c r="EW518" s="26"/>
      <c r="EX518" s="26"/>
      <c r="EY518" s="26"/>
      <c r="EZ518" s="26"/>
      <c r="FA518" s="26"/>
      <c r="FB518" s="26"/>
      <c r="FC518" s="26"/>
      <c r="FD518" s="26"/>
      <c r="FE518" s="26"/>
      <c r="FF518" s="26"/>
      <c r="FG518" s="26"/>
      <c r="FH518" s="26"/>
      <c r="FI518" s="26"/>
      <c r="FJ518" s="26"/>
      <c r="FK518" s="26"/>
      <c r="FL518" s="26"/>
      <c r="FM518" s="26"/>
      <c r="FN518" s="26"/>
      <c r="FO518" s="26"/>
      <c r="FP518" s="26"/>
      <c r="FQ518" s="26"/>
      <c r="FR518" s="26"/>
      <c r="FS518" s="26"/>
      <c r="FT518" s="26"/>
      <c r="FU518" s="26"/>
      <c r="FV518" s="26"/>
      <c r="FW518" s="26"/>
      <c r="FX518" s="26"/>
      <c r="FY518" s="26"/>
      <c r="FZ518" s="26"/>
      <c r="GA518" s="26"/>
      <c r="GB518" s="26"/>
      <c r="GC518" s="26"/>
      <c r="GD518" s="26"/>
      <c r="GE518" s="26"/>
      <c r="GF518" s="26"/>
      <c r="GG518" s="26"/>
      <c r="GH518" s="26"/>
      <c r="GI518" s="26"/>
      <c r="GJ518" s="26"/>
      <c r="GK518" s="26"/>
      <c r="GL518" s="26"/>
      <c r="GM518" s="26"/>
      <c r="GN518" s="26"/>
      <c r="GO518" s="26"/>
      <c r="GP518" s="26"/>
      <c r="GQ518" s="26"/>
      <c r="GR518" s="26"/>
      <c r="GS518" s="26"/>
      <c r="GT518" s="26"/>
      <c r="GU518" s="26"/>
      <c r="GV518" s="26"/>
      <c r="GW518" s="26"/>
      <c r="GX518" s="26"/>
      <c r="GY518" s="26"/>
      <c r="GZ518" s="26"/>
      <c r="HA518" s="26"/>
      <c r="HB518" s="26"/>
      <c r="HC518" s="26"/>
      <c r="HD518" s="26"/>
      <c r="HE518" s="26"/>
      <c r="HF518" s="26"/>
      <c r="HG518" s="26"/>
      <c r="HH518" s="26"/>
    </row>
    <row r="519" spans="1:21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c r="BM519" s="26"/>
      <c r="BN519" s="26"/>
      <c r="BO519" s="26"/>
      <c r="BP519" s="26"/>
      <c r="BQ519" s="26"/>
      <c r="BR519" s="26"/>
      <c r="BS519" s="26"/>
      <c r="BT519" s="26"/>
      <c r="BU519" s="26"/>
      <c r="BV519" s="26"/>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26"/>
      <c r="CU519" s="26"/>
      <c r="CV519" s="26"/>
      <c r="CW519" s="26"/>
      <c r="CX519" s="26"/>
      <c r="CY519" s="26"/>
      <c r="CZ519" s="26"/>
      <c r="DA519" s="26"/>
      <c r="DB519" s="26"/>
      <c r="DC519" s="26"/>
      <c r="DD519" s="26"/>
      <c r="DE519" s="26"/>
      <c r="DF519" s="26"/>
      <c r="DG519" s="26"/>
      <c r="DH519" s="26"/>
      <c r="DI519" s="26"/>
      <c r="DJ519" s="26"/>
      <c r="DK519" s="26"/>
      <c r="DL519" s="26"/>
      <c r="DM519" s="26"/>
      <c r="DN519" s="26"/>
      <c r="DO519" s="26"/>
      <c r="DP519" s="26"/>
      <c r="DQ519" s="26"/>
      <c r="DR519" s="26"/>
      <c r="DS519" s="26"/>
      <c r="DT519" s="26"/>
      <c r="DU519" s="26"/>
      <c r="DV519" s="26"/>
      <c r="DW519" s="26"/>
      <c r="DX519" s="26"/>
      <c r="DY519" s="26"/>
      <c r="DZ519" s="26"/>
      <c r="EA519" s="26"/>
      <c r="EB519" s="26"/>
      <c r="EC519" s="26"/>
      <c r="ED519" s="26"/>
      <c r="EE519" s="26"/>
      <c r="EF519" s="26"/>
      <c r="EG519" s="26"/>
      <c r="EH519" s="26"/>
      <c r="EI519" s="26"/>
      <c r="EJ519" s="26"/>
      <c r="EK519" s="26"/>
      <c r="EL519" s="26"/>
      <c r="EM519" s="26"/>
      <c r="EN519" s="26"/>
      <c r="EO519" s="26"/>
      <c r="EP519" s="26"/>
      <c r="EQ519" s="26"/>
      <c r="ER519" s="26"/>
      <c r="ES519" s="26"/>
      <c r="ET519" s="26"/>
      <c r="EU519" s="26"/>
      <c r="EV519" s="26"/>
      <c r="EW519" s="26"/>
      <c r="EX519" s="26"/>
      <c r="EY519" s="26"/>
      <c r="EZ519" s="26"/>
      <c r="FA519" s="26"/>
      <c r="FB519" s="26"/>
      <c r="FC519" s="26"/>
      <c r="FD519" s="26"/>
      <c r="FE519" s="26"/>
      <c r="FF519" s="26"/>
      <c r="FG519" s="26"/>
      <c r="FH519" s="26"/>
      <c r="FI519" s="26"/>
      <c r="FJ519" s="26"/>
      <c r="FK519" s="26"/>
      <c r="FL519" s="26"/>
      <c r="FM519" s="26"/>
      <c r="FN519" s="26"/>
      <c r="FO519" s="26"/>
      <c r="FP519" s="26"/>
      <c r="FQ519" s="26"/>
      <c r="FR519" s="26"/>
      <c r="FS519" s="26"/>
      <c r="FT519" s="26"/>
      <c r="FU519" s="26"/>
      <c r="FV519" s="26"/>
      <c r="FW519" s="26"/>
      <c r="FX519" s="26"/>
      <c r="FY519" s="26"/>
      <c r="FZ519" s="26"/>
      <c r="GA519" s="26"/>
      <c r="GB519" s="26"/>
      <c r="GC519" s="26"/>
      <c r="GD519" s="26"/>
      <c r="GE519" s="26"/>
      <c r="GF519" s="26"/>
      <c r="GG519" s="26"/>
      <c r="GH519" s="26"/>
      <c r="GI519" s="26"/>
      <c r="GJ519" s="26"/>
      <c r="GK519" s="26"/>
      <c r="GL519" s="26"/>
      <c r="GM519" s="26"/>
      <c r="GN519" s="26"/>
      <c r="GO519" s="26"/>
      <c r="GP519" s="26"/>
      <c r="GQ519" s="26"/>
      <c r="GR519" s="26"/>
      <c r="GS519" s="26"/>
      <c r="GT519" s="26"/>
      <c r="GU519" s="26"/>
      <c r="GV519" s="26"/>
      <c r="GW519" s="26"/>
      <c r="GX519" s="26"/>
      <c r="GY519" s="26"/>
      <c r="GZ519" s="26"/>
      <c r="HA519" s="26"/>
      <c r="HB519" s="26"/>
      <c r="HC519" s="26"/>
      <c r="HD519" s="26"/>
      <c r="HE519" s="26"/>
      <c r="HF519" s="26"/>
      <c r="HG519" s="26"/>
      <c r="HH519" s="26"/>
    </row>
    <row r="520" spans="1:21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c r="BM520" s="26"/>
      <c r="BN520" s="26"/>
      <c r="BO520" s="26"/>
      <c r="BP520" s="26"/>
      <c r="BQ520" s="26"/>
      <c r="BR520" s="26"/>
      <c r="BS520" s="26"/>
      <c r="BT520" s="26"/>
      <c r="BU520" s="26"/>
      <c r="BV520" s="26"/>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26"/>
      <c r="CU520" s="26"/>
      <c r="CV520" s="26"/>
      <c r="CW520" s="26"/>
      <c r="CX520" s="26"/>
      <c r="CY520" s="26"/>
      <c r="CZ520" s="26"/>
      <c r="DA520" s="26"/>
      <c r="DB520" s="26"/>
      <c r="DC520" s="26"/>
      <c r="DD520" s="26"/>
      <c r="DE520" s="26"/>
      <c r="DF520" s="26"/>
      <c r="DG520" s="26"/>
      <c r="DH520" s="26"/>
      <c r="DI520" s="26"/>
      <c r="DJ520" s="26"/>
      <c r="DK520" s="26"/>
      <c r="DL520" s="26"/>
      <c r="DM520" s="26"/>
      <c r="DN520" s="26"/>
      <c r="DO520" s="26"/>
      <c r="DP520" s="26"/>
      <c r="DQ520" s="26"/>
      <c r="DR520" s="26"/>
      <c r="DS520" s="26"/>
      <c r="DT520" s="26"/>
      <c r="DU520" s="26"/>
      <c r="DV520" s="26"/>
      <c r="DW520" s="26"/>
      <c r="DX520" s="26"/>
      <c r="DY520" s="26"/>
      <c r="DZ520" s="26"/>
      <c r="EA520" s="26"/>
      <c r="EB520" s="26"/>
      <c r="EC520" s="26"/>
      <c r="ED520" s="26"/>
      <c r="EE520" s="26"/>
      <c r="EF520" s="26"/>
      <c r="EG520" s="26"/>
      <c r="EH520" s="26"/>
      <c r="EI520" s="26"/>
      <c r="EJ520" s="26"/>
      <c r="EK520" s="26"/>
      <c r="EL520" s="26"/>
      <c r="EM520" s="26"/>
      <c r="EN520" s="26"/>
      <c r="EO520" s="26"/>
      <c r="EP520" s="26"/>
      <c r="EQ520" s="26"/>
      <c r="ER520" s="26"/>
      <c r="ES520" s="26"/>
      <c r="ET520" s="26"/>
      <c r="EU520" s="26"/>
      <c r="EV520" s="26"/>
      <c r="EW520" s="26"/>
      <c r="EX520" s="26"/>
      <c r="EY520" s="26"/>
      <c r="EZ520" s="26"/>
      <c r="FA520" s="26"/>
      <c r="FB520" s="26"/>
      <c r="FC520" s="26"/>
      <c r="FD520" s="26"/>
      <c r="FE520" s="26"/>
      <c r="FF520" s="26"/>
      <c r="FG520" s="26"/>
      <c r="FH520" s="26"/>
      <c r="FI520" s="26"/>
      <c r="FJ520" s="26"/>
      <c r="FK520" s="26"/>
      <c r="FL520" s="26"/>
      <c r="FM520" s="26"/>
      <c r="FN520" s="26"/>
      <c r="FO520" s="26"/>
      <c r="FP520" s="26"/>
      <c r="FQ520" s="26"/>
      <c r="FR520" s="26"/>
      <c r="FS520" s="26"/>
      <c r="FT520" s="26"/>
      <c r="FU520" s="26"/>
      <c r="FV520" s="26"/>
      <c r="FW520" s="26"/>
      <c r="FX520" s="26"/>
      <c r="FY520" s="26"/>
      <c r="FZ520" s="26"/>
      <c r="GA520" s="26"/>
      <c r="GB520" s="26"/>
      <c r="GC520" s="26"/>
      <c r="GD520" s="26"/>
      <c r="GE520" s="26"/>
      <c r="GF520" s="26"/>
      <c r="GG520" s="26"/>
      <c r="GH520" s="26"/>
      <c r="GI520" s="26"/>
      <c r="GJ520" s="26"/>
      <c r="GK520" s="26"/>
      <c r="GL520" s="26"/>
      <c r="GM520" s="26"/>
      <c r="GN520" s="26"/>
      <c r="GO520" s="26"/>
      <c r="GP520" s="26"/>
      <c r="GQ520" s="26"/>
      <c r="GR520" s="26"/>
      <c r="GS520" s="26"/>
      <c r="GT520" s="26"/>
      <c r="GU520" s="26"/>
      <c r="GV520" s="26"/>
      <c r="GW520" s="26"/>
      <c r="GX520" s="26"/>
      <c r="GY520" s="26"/>
      <c r="GZ520" s="26"/>
      <c r="HA520" s="26"/>
      <c r="HB520" s="26"/>
      <c r="HC520" s="26"/>
      <c r="HD520" s="26"/>
      <c r="HE520" s="26"/>
      <c r="HF520" s="26"/>
      <c r="HG520" s="26"/>
      <c r="HH520" s="26"/>
    </row>
    <row r="521" spans="1:21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c r="BM521" s="26"/>
      <c r="BN521" s="26"/>
      <c r="BO521" s="26"/>
      <c r="BP521" s="26"/>
      <c r="BQ521" s="26"/>
      <c r="BR521" s="26"/>
      <c r="BS521" s="26"/>
      <c r="BT521" s="26"/>
      <c r="BU521" s="26"/>
      <c r="BV521" s="26"/>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26"/>
      <c r="CU521" s="26"/>
      <c r="CV521" s="26"/>
      <c r="CW521" s="26"/>
      <c r="CX521" s="26"/>
      <c r="CY521" s="26"/>
      <c r="CZ521" s="26"/>
      <c r="DA521" s="26"/>
      <c r="DB521" s="26"/>
      <c r="DC521" s="26"/>
      <c r="DD521" s="26"/>
      <c r="DE521" s="26"/>
      <c r="DF521" s="26"/>
      <c r="DG521" s="26"/>
      <c r="DH521" s="26"/>
      <c r="DI521" s="26"/>
      <c r="DJ521" s="26"/>
      <c r="DK521" s="26"/>
      <c r="DL521" s="26"/>
      <c r="DM521" s="26"/>
      <c r="DN521" s="26"/>
      <c r="DO521" s="26"/>
      <c r="DP521" s="26"/>
      <c r="DQ521" s="26"/>
      <c r="DR521" s="26"/>
      <c r="DS521" s="26"/>
      <c r="DT521" s="26"/>
      <c r="DU521" s="26"/>
      <c r="DV521" s="26"/>
      <c r="DW521" s="26"/>
      <c r="DX521" s="26"/>
      <c r="DY521" s="26"/>
      <c r="DZ521" s="26"/>
      <c r="EA521" s="26"/>
      <c r="EB521" s="26"/>
      <c r="EC521" s="26"/>
      <c r="ED521" s="26"/>
      <c r="EE521" s="26"/>
      <c r="EF521" s="26"/>
      <c r="EG521" s="26"/>
      <c r="EH521" s="26"/>
      <c r="EI521" s="26"/>
      <c r="EJ521" s="26"/>
      <c r="EK521" s="26"/>
      <c r="EL521" s="26"/>
      <c r="EM521" s="26"/>
      <c r="EN521" s="26"/>
      <c r="EO521" s="26"/>
      <c r="EP521" s="26"/>
      <c r="EQ521" s="26"/>
      <c r="ER521" s="26"/>
      <c r="ES521" s="26"/>
      <c r="ET521" s="26"/>
      <c r="EU521" s="26"/>
      <c r="EV521" s="26"/>
      <c r="EW521" s="26"/>
      <c r="EX521" s="26"/>
      <c r="EY521" s="26"/>
      <c r="EZ521" s="26"/>
      <c r="FA521" s="26"/>
      <c r="FB521" s="26"/>
      <c r="FC521" s="26"/>
      <c r="FD521" s="26"/>
      <c r="FE521" s="26"/>
      <c r="FF521" s="26"/>
      <c r="FG521" s="26"/>
      <c r="FH521" s="26"/>
      <c r="FI521" s="26"/>
      <c r="FJ521" s="26"/>
      <c r="FK521" s="26"/>
      <c r="FL521" s="26"/>
      <c r="FM521" s="26"/>
      <c r="FN521" s="26"/>
      <c r="FO521" s="26"/>
      <c r="FP521" s="26"/>
      <c r="FQ521" s="26"/>
      <c r="FR521" s="26"/>
      <c r="FS521" s="26"/>
      <c r="FT521" s="26"/>
      <c r="FU521" s="26"/>
      <c r="FV521" s="26"/>
      <c r="FW521" s="26"/>
      <c r="FX521" s="26"/>
      <c r="FY521" s="26"/>
      <c r="FZ521" s="26"/>
      <c r="GA521" s="26"/>
      <c r="GB521" s="26"/>
      <c r="GC521" s="26"/>
      <c r="GD521" s="26"/>
      <c r="GE521" s="26"/>
      <c r="GF521" s="26"/>
      <c r="GG521" s="26"/>
      <c r="GH521" s="26"/>
      <c r="GI521" s="26"/>
      <c r="GJ521" s="26"/>
      <c r="GK521" s="26"/>
      <c r="GL521" s="26"/>
      <c r="GM521" s="26"/>
      <c r="GN521" s="26"/>
      <c r="GO521" s="26"/>
      <c r="GP521" s="26"/>
      <c r="GQ521" s="26"/>
      <c r="GR521" s="26"/>
      <c r="GS521" s="26"/>
      <c r="GT521" s="26"/>
      <c r="GU521" s="26"/>
      <c r="GV521" s="26"/>
      <c r="GW521" s="26"/>
      <c r="GX521" s="26"/>
      <c r="GY521" s="26"/>
      <c r="GZ521" s="26"/>
      <c r="HA521" s="26"/>
      <c r="HB521" s="26"/>
      <c r="HC521" s="26"/>
      <c r="HD521" s="26"/>
      <c r="HE521" s="26"/>
      <c r="HF521" s="26"/>
      <c r="HG521" s="26"/>
      <c r="HH521" s="26"/>
    </row>
    <row r="522" spans="1:21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c r="BM522" s="26"/>
      <c r="BN522" s="26"/>
      <c r="BO522" s="26"/>
      <c r="BP522" s="26"/>
      <c r="BQ522" s="26"/>
      <c r="BR522" s="26"/>
      <c r="BS522" s="26"/>
      <c r="BT522" s="26"/>
      <c r="BU522" s="26"/>
      <c r="BV522" s="26"/>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26"/>
      <c r="CU522" s="26"/>
      <c r="CV522" s="26"/>
      <c r="CW522" s="26"/>
      <c r="CX522" s="26"/>
      <c r="CY522" s="26"/>
      <c r="CZ522" s="26"/>
      <c r="DA522" s="26"/>
      <c r="DB522" s="26"/>
      <c r="DC522" s="26"/>
      <c r="DD522" s="26"/>
      <c r="DE522" s="26"/>
      <c r="DF522" s="26"/>
      <c r="DG522" s="26"/>
      <c r="DH522" s="26"/>
      <c r="DI522" s="26"/>
      <c r="DJ522" s="26"/>
      <c r="DK522" s="26"/>
      <c r="DL522" s="26"/>
      <c r="DM522" s="26"/>
      <c r="DN522" s="26"/>
      <c r="DO522" s="26"/>
      <c r="DP522" s="26"/>
      <c r="DQ522" s="26"/>
      <c r="DR522" s="26"/>
      <c r="DS522" s="26"/>
      <c r="DT522" s="26"/>
      <c r="DU522" s="26"/>
      <c r="DV522" s="26"/>
      <c r="DW522" s="26"/>
      <c r="DX522" s="26"/>
      <c r="DY522" s="26"/>
      <c r="DZ522" s="26"/>
      <c r="EA522" s="26"/>
      <c r="EB522" s="26"/>
      <c r="EC522" s="26"/>
      <c r="ED522" s="26"/>
      <c r="EE522" s="26"/>
      <c r="EF522" s="26"/>
      <c r="EG522" s="26"/>
      <c r="EH522" s="26"/>
      <c r="EI522" s="26"/>
      <c r="EJ522" s="26"/>
      <c r="EK522" s="26"/>
      <c r="EL522" s="26"/>
      <c r="EM522" s="26"/>
      <c r="EN522" s="26"/>
      <c r="EO522" s="26"/>
      <c r="EP522" s="26"/>
      <c r="EQ522" s="26"/>
      <c r="ER522" s="26"/>
      <c r="ES522" s="26"/>
      <c r="ET522" s="26"/>
      <c r="EU522" s="26"/>
      <c r="EV522" s="26"/>
      <c r="EW522" s="26"/>
      <c r="EX522" s="26"/>
      <c r="EY522" s="26"/>
      <c r="EZ522" s="26"/>
      <c r="FA522" s="26"/>
      <c r="FB522" s="26"/>
      <c r="FC522" s="26"/>
      <c r="FD522" s="26"/>
      <c r="FE522" s="26"/>
      <c r="FF522" s="26"/>
      <c r="FG522" s="26"/>
      <c r="FH522" s="26"/>
      <c r="FI522" s="26"/>
      <c r="FJ522" s="26"/>
      <c r="FK522" s="26"/>
      <c r="FL522" s="26"/>
      <c r="FM522" s="26"/>
      <c r="FN522" s="26"/>
      <c r="FO522" s="26"/>
      <c r="FP522" s="26"/>
      <c r="FQ522" s="26"/>
      <c r="FR522" s="26"/>
      <c r="FS522" s="26"/>
      <c r="FT522" s="26"/>
      <c r="FU522" s="26"/>
      <c r="FV522" s="26"/>
      <c r="FW522" s="26"/>
      <c r="FX522" s="26"/>
      <c r="FY522" s="26"/>
      <c r="FZ522" s="26"/>
      <c r="GA522" s="26"/>
      <c r="GB522" s="26"/>
      <c r="GC522" s="26"/>
      <c r="GD522" s="26"/>
      <c r="GE522" s="26"/>
      <c r="GF522" s="26"/>
      <c r="GG522" s="26"/>
      <c r="GH522" s="26"/>
      <c r="GI522" s="26"/>
      <c r="GJ522" s="26"/>
      <c r="GK522" s="26"/>
      <c r="GL522" s="26"/>
      <c r="GM522" s="26"/>
      <c r="GN522" s="26"/>
      <c r="GO522" s="26"/>
      <c r="GP522" s="26"/>
      <c r="GQ522" s="26"/>
      <c r="GR522" s="26"/>
      <c r="GS522" s="26"/>
      <c r="GT522" s="26"/>
      <c r="GU522" s="26"/>
      <c r="GV522" s="26"/>
      <c r="GW522" s="26"/>
      <c r="GX522" s="26"/>
      <c r="GY522" s="26"/>
      <c r="GZ522" s="26"/>
      <c r="HA522" s="26"/>
      <c r="HB522" s="26"/>
      <c r="HC522" s="26"/>
      <c r="HD522" s="26"/>
      <c r="HE522" s="26"/>
      <c r="HF522" s="26"/>
      <c r="HG522" s="26"/>
      <c r="HH522" s="26"/>
    </row>
    <row r="523" spans="1:21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c r="BM523" s="26"/>
      <c r="BN523" s="26"/>
      <c r="BO523" s="26"/>
      <c r="BP523" s="26"/>
      <c r="BQ523" s="26"/>
      <c r="BR523" s="26"/>
      <c r="BS523" s="26"/>
      <c r="BT523" s="26"/>
      <c r="BU523" s="26"/>
      <c r="BV523" s="26"/>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26"/>
      <c r="CU523" s="26"/>
      <c r="CV523" s="26"/>
      <c r="CW523" s="26"/>
      <c r="CX523" s="26"/>
      <c r="CY523" s="26"/>
      <c r="CZ523" s="26"/>
      <c r="DA523" s="26"/>
      <c r="DB523" s="26"/>
      <c r="DC523" s="26"/>
      <c r="DD523" s="26"/>
      <c r="DE523" s="26"/>
      <c r="DF523" s="26"/>
      <c r="DG523" s="26"/>
      <c r="DH523" s="26"/>
      <c r="DI523" s="26"/>
      <c r="DJ523" s="26"/>
      <c r="DK523" s="26"/>
      <c r="DL523" s="26"/>
      <c r="DM523" s="26"/>
      <c r="DN523" s="26"/>
      <c r="DO523" s="26"/>
      <c r="DP523" s="26"/>
      <c r="DQ523" s="26"/>
      <c r="DR523" s="26"/>
      <c r="DS523" s="26"/>
      <c r="DT523" s="26"/>
      <c r="DU523" s="26"/>
      <c r="DV523" s="26"/>
      <c r="DW523" s="26"/>
      <c r="DX523" s="26"/>
      <c r="DY523" s="26"/>
      <c r="DZ523" s="26"/>
      <c r="EA523" s="26"/>
      <c r="EB523" s="26"/>
      <c r="EC523" s="26"/>
      <c r="ED523" s="26"/>
      <c r="EE523" s="26"/>
      <c r="EF523" s="26"/>
      <c r="EG523" s="26"/>
      <c r="EH523" s="26"/>
      <c r="EI523" s="26"/>
      <c r="EJ523" s="26"/>
      <c r="EK523" s="26"/>
      <c r="EL523" s="26"/>
      <c r="EM523" s="26"/>
      <c r="EN523" s="26"/>
      <c r="EO523" s="26"/>
      <c r="EP523" s="26"/>
      <c r="EQ523" s="26"/>
      <c r="ER523" s="26"/>
      <c r="ES523" s="26"/>
      <c r="ET523" s="26"/>
      <c r="EU523" s="26"/>
      <c r="EV523" s="26"/>
      <c r="EW523" s="26"/>
      <c r="EX523" s="26"/>
      <c r="EY523" s="26"/>
      <c r="EZ523" s="26"/>
      <c r="FA523" s="26"/>
      <c r="FB523" s="26"/>
      <c r="FC523" s="26"/>
      <c r="FD523" s="26"/>
      <c r="FE523" s="26"/>
      <c r="FF523" s="26"/>
      <c r="FG523" s="26"/>
      <c r="FH523" s="26"/>
      <c r="FI523" s="26"/>
      <c r="FJ523" s="26"/>
      <c r="FK523" s="26"/>
      <c r="FL523" s="26"/>
      <c r="FM523" s="26"/>
      <c r="FN523" s="26"/>
      <c r="FO523" s="26"/>
      <c r="FP523" s="26"/>
      <c r="FQ523" s="26"/>
      <c r="FR523" s="26"/>
      <c r="FS523" s="26"/>
      <c r="FT523" s="26"/>
      <c r="FU523" s="26"/>
      <c r="FV523" s="26"/>
      <c r="FW523" s="26"/>
      <c r="FX523" s="26"/>
      <c r="FY523" s="26"/>
      <c r="FZ523" s="26"/>
      <c r="GA523" s="26"/>
      <c r="GB523" s="26"/>
      <c r="GC523" s="26"/>
      <c r="GD523" s="26"/>
      <c r="GE523" s="26"/>
      <c r="GF523" s="26"/>
      <c r="GG523" s="26"/>
      <c r="GH523" s="26"/>
      <c r="GI523" s="26"/>
      <c r="GJ523" s="26"/>
      <c r="GK523" s="26"/>
      <c r="GL523" s="26"/>
      <c r="GM523" s="26"/>
      <c r="GN523" s="26"/>
      <c r="GO523" s="26"/>
      <c r="GP523" s="26"/>
      <c r="GQ523" s="26"/>
      <c r="GR523" s="26"/>
      <c r="GS523" s="26"/>
      <c r="GT523" s="26"/>
      <c r="GU523" s="26"/>
      <c r="GV523" s="26"/>
      <c r="GW523" s="26"/>
      <c r="GX523" s="26"/>
      <c r="GY523" s="26"/>
      <c r="GZ523" s="26"/>
      <c r="HA523" s="26"/>
      <c r="HB523" s="26"/>
      <c r="HC523" s="26"/>
      <c r="HD523" s="26"/>
      <c r="HE523" s="26"/>
      <c r="HF523" s="26"/>
      <c r="HG523" s="26"/>
      <c r="HH523" s="26"/>
    </row>
    <row r="524" spans="1:21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c r="BM524" s="26"/>
      <c r="BN524" s="26"/>
      <c r="BO524" s="26"/>
      <c r="BP524" s="26"/>
      <c r="BQ524" s="26"/>
      <c r="BR524" s="26"/>
      <c r="BS524" s="26"/>
      <c r="BT524" s="26"/>
      <c r="BU524" s="26"/>
      <c r="BV524" s="26"/>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26"/>
      <c r="CU524" s="26"/>
      <c r="CV524" s="26"/>
      <c r="CW524" s="26"/>
      <c r="CX524" s="26"/>
      <c r="CY524" s="26"/>
      <c r="CZ524" s="26"/>
      <c r="DA524" s="26"/>
      <c r="DB524" s="26"/>
      <c r="DC524" s="26"/>
      <c r="DD524" s="26"/>
      <c r="DE524" s="26"/>
      <c r="DF524" s="26"/>
      <c r="DG524" s="26"/>
      <c r="DH524" s="26"/>
      <c r="DI524" s="26"/>
      <c r="DJ524" s="26"/>
      <c r="DK524" s="26"/>
      <c r="DL524" s="26"/>
      <c r="DM524" s="26"/>
      <c r="DN524" s="26"/>
      <c r="DO524" s="26"/>
      <c r="DP524" s="26"/>
      <c r="DQ524" s="26"/>
      <c r="DR524" s="26"/>
      <c r="DS524" s="26"/>
      <c r="DT524" s="26"/>
      <c r="DU524" s="26"/>
      <c r="DV524" s="26"/>
      <c r="DW524" s="26"/>
      <c r="DX524" s="26"/>
      <c r="DY524" s="26"/>
      <c r="DZ524" s="26"/>
      <c r="EA524" s="26"/>
      <c r="EB524" s="26"/>
      <c r="EC524" s="26"/>
      <c r="ED524" s="26"/>
      <c r="EE524" s="26"/>
      <c r="EF524" s="26"/>
      <c r="EG524" s="26"/>
      <c r="EH524" s="26"/>
      <c r="EI524" s="26"/>
      <c r="EJ524" s="26"/>
      <c r="EK524" s="26"/>
      <c r="EL524" s="26"/>
      <c r="EM524" s="26"/>
      <c r="EN524" s="26"/>
      <c r="EO524" s="26"/>
      <c r="EP524" s="26"/>
      <c r="EQ524" s="26"/>
      <c r="ER524" s="26"/>
      <c r="ES524" s="26"/>
      <c r="ET524" s="26"/>
      <c r="EU524" s="26"/>
      <c r="EV524" s="26"/>
      <c r="EW524" s="26"/>
      <c r="EX524" s="26"/>
      <c r="EY524" s="26"/>
      <c r="EZ524" s="26"/>
      <c r="FA524" s="26"/>
      <c r="FB524" s="26"/>
      <c r="FC524" s="26"/>
      <c r="FD524" s="26"/>
      <c r="FE524" s="26"/>
      <c r="FF524" s="26"/>
      <c r="FG524" s="26"/>
      <c r="FH524" s="26"/>
      <c r="FI524" s="26"/>
      <c r="FJ524" s="26"/>
      <c r="FK524" s="26"/>
      <c r="FL524" s="26"/>
      <c r="FM524" s="26"/>
      <c r="FN524" s="26"/>
      <c r="FO524" s="26"/>
      <c r="FP524" s="26"/>
      <c r="FQ524" s="26"/>
      <c r="FR524" s="26"/>
      <c r="FS524" s="26"/>
      <c r="FT524" s="26"/>
      <c r="FU524" s="26"/>
      <c r="FV524" s="26"/>
      <c r="FW524" s="26"/>
      <c r="FX524" s="26"/>
      <c r="FY524" s="26"/>
      <c r="FZ524" s="26"/>
      <c r="GA524" s="26"/>
      <c r="GB524" s="26"/>
      <c r="GC524" s="26"/>
      <c r="GD524" s="26"/>
      <c r="GE524" s="26"/>
      <c r="GF524" s="26"/>
      <c r="GG524" s="26"/>
      <c r="GH524" s="26"/>
      <c r="GI524" s="26"/>
      <c r="GJ524" s="26"/>
      <c r="GK524" s="26"/>
      <c r="GL524" s="26"/>
      <c r="GM524" s="26"/>
      <c r="GN524" s="26"/>
      <c r="GO524" s="26"/>
      <c r="GP524" s="26"/>
      <c r="GQ524" s="26"/>
      <c r="GR524" s="26"/>
      <c r="GS524" s="26"/>
      <c r="GT524" s="26"/>
      <c r="GU524" s="26"/>
      <c r="GV524" s="26"/>
      <c r="GW524" s="26"/>
      <c r="GX524" s="26"/>
      <c r="GY524" s="26"/>
      <c r="GZ524" s="26"/>
      <c r="HA524" s="26"/>
      <c r="HB524" s="26"/>
      <c r="HC524" s="26"/>
      <c r="HD524" s="26"/>
      <c r="HE524" s="26"/>
      <c r="HF524" s="26"/>
      <c r="HG524" s="26"/>
      <c r="HH524" s="26"/>
    </row>
    <row r="525" spans="1:21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c r="BM525" s="26"/>
      <c r="BN525" s="26"/>
      <c r="BO525" s="26"/>
      <c r="BP525" s="26"/>
      <c r="BQ525" s="26"/>
      <c r="BR525" s="26"/>
      <c r="BS525" s="26"/>
      <c r="BT525" s="26"/>
      <c r="BU525" s="26"/>
      <c r="BV525" s="26"/>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26"/>
      <c r="CU525" s="26"/>
      <c r="CV525" s="26"/>
      <c r="CW525" s="26"/>
      <c r="CX525" s="26"/>
      <c r="CY525" s="26"/>
      <c r="CZ525" s="26"/>
      <c r="DA525" s="26"/>
      <c r="DB525" s="26"/>
      <c r="DC525" s="26"/>
      <c r="DD525" s="26"/>
      <c r="DE525" s="26"/>
      <c r="DF525" s="26"/>
      <c r="DG525" s="26"/>
      <c r="DH525" s="26"/>
      <c r="DI525" s="26"/>
      <c r="DJ525" s="26"/>
      <c r="DK525" s="26"/>
      <c r="DL525" s="26"/>
      <c r="DM525" s="26"/>
      <c r="DN525" s="26"/>
      <c r="DO525" s="26"/>
      <c r="DP525" s="26"/>
      <c r="DQ525" s="26"/>
      <c r="DR525" s="26"/>
      <c r="DS525" s="26"/>
      <c r="DT525" s="26"/>
      <c r="DU525" s="26"/>
      <c r="DV525" s="26"/>
      <c r="DW525" s="26"/>
      <c r="DX525" s="26"/>
      <c r="DY525" s="26"/>
      <c r="DZ525" s="26"/>
      <c r="EA525" s="26"/>
      <c r="EB525" s="26"/>
      <c r="EC525" s="26"/>
      <c r="ED525" s="26"/>
      <c r="EE525" s="26"/>
      <c r="EF525" s="26"/>
      <c r="EG525" s="26"/>
      <c r="EH525" s="26"/>
      <c r="EI525" s="26"/>
      <c r="EJ525" s="26"/>
      <c r="EK525" s="26"/>
      <c r="EL525" s="26"/>
      <c r="EM525" s="26"/>
      <c r="EN525" s="26"/>
      <c r="EO525" s="26"/>
      <c r="EP525" s="26"/>
      <c r="EQ525" s="26"/>
      <c r="ER525" s="26"/>
      <c r="ES525" s="26"/>
      <c r="ET525" s="26"/>
      <c r="EU525" s="26"/>
      <c r="EV525" s="26"/>
      <c r="EW525" s="26"/>
      <c r="EX525" s="26"/>
      <c r="EY525" s="26"/>
      <c r="EZ525" s="26"/>
      <c r="FA525" s="26"/>
      <c r="FB525" s="26"/>
      <c r="FC525" s="26"/>
      <c r="FD525" s="26"/>
      <c r="FE525" s="26"/>
      <c r="FF525" s="26"/>
      <c r="FG525" s="26"/>
      <c r="FH525" s="26"/>
      <c r="FI525" s="26"/>
      <c r="FJ525" s="26"/>
      <c r="FK525" s="26"/>
      <c r="FL525" s="26"/>
      <c r="FM525" s="26"/>
      <c r="FN525" s="26"/>
      <c r="FO525" s="26"/>
      <c r="FP525" s="26"/>
      <c r="FQ525" s="26"/>
      <c r="FR525" s="26"/>
      <c r="FS525" s="26"/>
      <c r="FT525" s="26"/>
      <c r="FU525" s="26"/>
      <c r="FV525" s="26"/>
      <c r="FW525" s="26"/>
      <c r="FX525" s="26"/>
      <c r="FY525" s="26"/>
      <c r="FZ525" s="26"/>
      <c r="GA525" s="26"/>
      <c r="GB525" s="26"/>
      <c r="GC525" s="26"/>
      <c r="GD525" s="26"/>
      <c r="GE525" s="26"/>
      <c r="GF525" s="26"/>
      <c r="GG525" s="26"/>
      <c r="GH525" s="26"/>
      <c r="GI525" s="26"/>
      <c r="GJ525" s="26"/>
      <c r="GK525" s="26"/>
      <c r="GL525" s="26"/>
      <c r="GM525" s="26"/>
      <c r="GN525" s="26"/>
      <c r="GO525" s="26"/>
      <c r="GP525" s="26"/>
      <c r="GQ525" s="26"/>
      <c r="GR525" s="26"/>
      <c r="GS525" s="26"/>
      <c r="GT525" s="26"/>
      <c r="GU525" s="26"/>
      <c r="GV525" s="26"/>
      <c r="GW525" s="26"/>
      <c r="GX525" s="26"/>
      <c r="GY525" s="26"/>
      <c r="GZ525" s="26"/>
      <c r="HA525" s="26"/>
      <c r="HB525" s="26"/>
      <c r="HC525" s="26"/>
      <c r="HD525" s="26"/>
      <c r="HE525" s="26"/>
      <c r="HF525" s="26"/>
      <c r="HG525" s="26"/>
      <c r="HH525" s="26"/>
    </row>
    <row r="526" spans="1:21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c r="BM526" s="26"/>
      <c r="BN526" s="26"/>
      <c r="BO526" s="26"/>
      <c r="BP526" s="26"/>
      <c r="BQ526" s="26"/>
      <c r="BR526" s="26"/>
      <c r="BS526" s="26"/>
      <c r="BT526" s="26"/>
      <c r="BU526" s="26"/>
      <c r="BV526" s="26"/>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26"/>
      <c r="CU526" s="26"/>
      <c r="CV526" s="26"/>
      <c r="CW526" s="26"/>
      <c r="CX526" s="26"/>
      <c r="CY526" s="26"/>
      <c r="CZ526" s="26"/>
      <c r="DA526" s="26"/>
      <c r="DB526" s="26"/>
      <c r="DC526" s="26"/>
      <c r="DD526" s="26"/>
      <c r="DE526" s="26"/>
      <c r="DF526" s="26"/>
      <c r="DG526" s="26"/>
      <c r="DH526" s="26"/>
      <c r="DI526" s="26"/>
      <c r="DJ526" s="26"/>
      <c r="DK526" s="26"/>
      <c r="DL526" s="26"/>
      <c r="DM526" s="26"/>
      <c r="DN526" s="26"/>
      <c r="DO526" s="26"/>
      <c r="DP526" s="26"/>
      <c r="DQ526" s="26"/>
      <c r="DR526" s="26"/>
      <c r="DS526" s="26"/>
      <c r="DT526" s="26"/>
      <c r="DU526" s="26"/>
      <c r="DV526" s="26"/>
      <c r="DW526" s="26"/>
      <c r="DX526" s="26"/>
      <c r="DY526" s="26"/>
      <c r="DZ526" s="26"/>
      <c r="EA526" s="26"/>
      <c r="EB526" s="26"/>
      <c r="EC526" s="26"/>
      <c r="ED526" s="26"/>
      <c r="EE526" s="26"/>
      <c r="EF526" s="26"/>
      <c r="EG526" s="26"/>
      <c r="EH526" s="26"/>
      <c r="EI526" s="26"/>
      <c r="EJ526" s="26"/>
      <c r="EK526" s="26"/>
      <c r="EL526" s="26"/>
      <c r="EM526" s="26"/>
      <c r="EN526" s="26"/>
      <c r="EO526" s="26"/>
      <c r="EP526" s="26"/>
      <c r="EQ526" s="26"/>
      <c r="ER526" s="26"/>
      <c r="ES526" s="26"/>
      <c r="ET526" s="26"/>
      <c r="EU526" s="26"/>
      <c r="EV526" s="26"/>
      <c r="EW526" s="26"/>
      <c r="EX526" s="26"/>
      <c r="EY526" s="26"/>
      <c r="EZ526" s="26"/>
      <c r="FA526" s="26"/>
      <c r="FB526" s="26"/>
      <c r="FC526" s="26"/>
      <c r="FD526" s="26"/>
      <c r="FE526" s="26"/>
      <c r="FF526" s="26"/>
      <c r="FG526" s="26"/>
      <c r="FH526" s="26"/>
      <c r="FI526" s="26"/>
      <c r="FJ526" s="26"/>
      <c r="FK526" s="26"/>
      <c r="FL526" s="26"/>
      <c r="FM526" s="26"/>
      <c r="FN526" s="26"/>
      <c r="FO526" s="26"/>
      <c r="FP526" s="26"/>
      <c r="FQ526" s="26"/>
      <c r="FR526" s="26"/>
      <c r="FS526" s="26"/>
      <c r="FT526" s="26"/>
      <c r="FU526" s="26"/>
      <c r="FV526" s="26"/>
      <c r="FW526" s="26"/>
      <c r="FX526" s="26"/>
      <c r="FY526" s="26"/>
      <c r="FZ526" s="26"/>
      <c r="GA526" s="26"/>
      <c r="GB526" s="26"/>
      <c r="GC526" s="26"/>
      <c r="GD526" s="26"/>
      <c r="GE526" s="26"/>
      <c r="GF526" s="26"/>
      <c r="GG526" s="26"/>
      <c r="GH526" s="26"/>
      <c r="GI526" s="26"/>
      <c r="GJ526" s="26"/>
      <c r="GK526" s="26"/>
      <c r="GL526" s="26"/>
      <c r="GM526" s="26"/>
      <c r="GN526" s="26"/>
      <c r="GO526" s="26"/>
      <c r="GP526" s="26"/>
      <c r="GQ526" s="26"/>
      <c r="GR526" s="26"/>
      <c r="GS526" s="26"/>
      <c r="GT526" s="26"/>
      <c r="GU526" s="26"/>
      <c r="GV526" s="26"/>
      <c r="GW526" s="26"/>
      <c r="GX526" s="26"/>
      <c r="GY526" s="26"/>
      <c r="GZ526" s="26"/>
      <c r="HA526" s="26"/>
      <c r="HB526" s="26"/>
      <c r="HC526" s="26"/>
      <c r="HD526" s="26"/>
      <c r="HE526" s="26"/>
      <c r="HF526" s="26"/>
      <c r="HG526" s="26"/>
      <c r="HH526" s="26"/>
    </row>
    <row r="527" spans="1:21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c r="BM527" s="26"/>
      <c r="BN527" s="26"/>
      <c r="BO527" s="26"/>
      <c r="BP527" s="26"/>
      <c r="BQ527" s="26"/>
      <c r="BR527" s="26"/>
      <c r="BS527" s="26"/>
      <c r="BT527" s="26"/>
      <c r="BU527" s="26"/>
      <c r="BV527" s="26"/>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26"/>
      <c r="CU527" s="26"/>
      <c r="CV527" s="26"/>
      <c r="CW527" s="26"/>
      <c r="CX527" s="26"/>
      <c r="CY527" s="26"/>
      <c r="CZ527" s="26"/>
      <c r="DA527" s="26"/>
      <c r="DB527" s="26"/>
      <c r="DC527" s="26"/>
      <c r="DD527" s="26"/>
      <c r="DE527" s="26"/>
      <c r="DF527" s="26"/>
      <c r="DG527" s="26"/>
      <c r="DH527" s="26"/>
      <c r="DI527" s="26"/>
      <c r="DJ527" s="26"/>
      <c r="DK527" s="26"/>
      <c r="DL527" s="26"/>
      <c r="DM527" s="26"/>
      <c r="DN527" s="26"/>
      <c r="DO527" s="26"/>
      <c r="DP527" s="26"/>
      <c r="DQ527" s="26"/>
      <c r="DR527" s="26"/>
      <c r="DS527" s="26"/>
      <c r="DT527" s="26"/>
      <c r="DU527" s="26"/>
      <c r="DV527" s="26"/>
      <c r="DW527" s="26"/>
      <c r="DX527" s="26"/>
      <c r="DY527" s="26"/>
      <c r="DZ527" s="26"/>
      <c r="EA527" s="26"/>
      <c r="EB527" s="26"/>
      <c r="EC527" s="26"/>
      <c r="ED527" s="26"/>
      <c r="EE527" s="26"/>
      <c r="EF527" s="26"/>
      <c r="EG527" s="26"/>
      <c r="EH527" s="26"/>
      <c r="EI527" s="26"/>
      <c r="EJ527" s="26"/>
      <c r="EK527" s="26"/>
      <c r="EL527" s="26"/>
      <c r="EM527" s="26"/>
      <c r="EN527" s="26"/>
      <c r="EO527" s="26"/>
      <c r="EP527" s="26"/>
      <c r="EQ527" s="26"/>
      <c r="ER527" s="26"/>
      <c r="ES527" s="26"/>
      <c r="ET527" s="26"/>
      <c r="EU527" s="26"/>
      <c r="EV527" s="26"/>
      <c r="EW527" s="26"/>
      <c r="EX527" s="26"/>
      <c r="EY527" s="26"/>
      <c r="EZ527" s="26"/>
      <c r="FA527" s="26"/>
      <c r="FB527" s="26"/>
      <c r="FC527" s="26"/>
      <c r="FD527" s="26"/>
      <c r="FE527" s="26"/>
      <c r="FF527" s="26"/>
      <c r="FG527" s="26"/>
      <c r="FH527" s="26"/>
      <c r="FI527" s="26"/>
      <c r="FJ527" s="26"/>
      <c r="FK527" s="26"/>
      <c r="FL527" s="26"/>
      <c r="FM527" s="26"/>
      <c r="FN527" s="26"/>
      <c r="FO527" s="26"/>
      <c r="FP527" s="26"/>
      <c r="FQ527" s="26"/>
      <c r="FR527" s="26"/>
      <c r="FS527" s="26"/>
      <c r="FT527" s="26"/>
      <c r="FU527" s="26"/>
      <c r="FV527" s="26"/>
      <c r="FW527" s="26"/>
      <c r="FX527" s="26"/>
      <c r="FY527" s="26"/>
      <c r="FZ527" s="26"/>
      <c r="GA527" s="26"/>
      <c r="GB527" s="26"/>
      <c r="GC527" s="26"/>
      <c r="GD527" s="26"/>
      <c r="GE527" s="26"/>
      <c r="GF527" s="26"/>
      <c r="GG527" s="26"/>
      <c r="GH527" s="26"/>
      <c r="GI527" s="26"/>
      <c r="GJ527" s="26"/>
      <c r="GK527" s="26"/>
      <c r="GL527" s="26"/>
      <c r="GM527" s="26"/>
      <c r="GN527" s="26"/>
      <c r="GO527" s="26"/>
      <c r="GP527" s="26"/>
      <c r="GQ527" s="26"/>
      <c r="GR527" s="26"/>
      <c r="GS527" s="26"/>
      <c r="GT527" s="26"/>
      <c r="GU527" s="26"/>
      <c r="GV527" s="26"/>
      <c r="GW527" s="26"/>
      <c r="GX527" s="26"/>
      <c r="GY527" s="26"/>
      <c r="GZ527" s="26"/>
      <c r="HA527" s="26"/>
      <c r="HB527" s="26"/>
      <c r="HC527" s="26"/>
      <c r="HD527" s="26"/>
      <c r="HE527" s="26"/>
      <c r="HF527" s="26"/>
      <c r="HG527" s="26"/>
      <c r="HH527" s="26"/>
    </row>
    <row r="528" spans="1:21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c r="BM528" s="26"/>
      <c r="BN528" s="26"/>
      <c r="BO528" s="26"/>
      <c r="BP528" s="26"/>
      <c r="BQ528" s="26"/>
      <c r="BR528" s="26"/>
      <c r="BS528" s="26"/>
      <c r="BT528" s="26"/>
      <c r="BU528" s="26"/>
      <c r="BV528" s="26"/>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26"/>
      <c r="CU528" s="26"/>
      <c r="CV528" s="26"/>
      <c r="CW528" s="26"/>
      <c r="CX528" s="26"/>
      <c r="CY528" s="26"/>
      <c r="CZ528" s="26"/>
      <c r="DA528" s="26"/>
      <c r="DB528" s="26"/>
      <c r="DC528" s="26"/>
      <c r="DD528" s="26"/>
      <c r="DE528" s="26"/>
      <c r="DF528" s="26"/>
      <c r="DG528" s="26"/>
      <c r="DH528" s="26"/>
      <c r="DI528" s="26"/>
      <c r="DJ528" s="26"/>
      <c r="DK528" s="26"/>
      <c r="DL528" s="26"/>
      <c r="DM528" s="26"/>
      <c r="DN528" s="26"/>
      <c r="DO528" s="26"/>
      <c r="DP528" s="26"/>
      <c r="DQ528" s="26"/>
      <c r="DR528" s="26"/>
      <c r="DS528" s="26"/>
      <c r="DT528" s="26"/>
      <c r="DU528" s="26"/>
      <c r="DV528" s="26"/>
      <c r="DW528" s="26"/>
      <c r="DX528" s="26"/>
      <c r="DY528" s="26"/>
      <c r="DZ528" s="26"/>
      <c r="EA528" s="26"/>
      <c r="EB528" s="26"/>
      <c r="EC528" s="26"/>
      <c r="ED528" s="26"/>
      <c r="EE528" s="26"/>
      <c r="EF528" s="26"/>
      <c r="EG528" s="26"/>
      <c r="EH528" s="26"/>
      <c r="EI528" s="26"/>
      <c r="EJ528" s="26"/>
      <c r="EK528" s="26"/>
      <c r="EL528" s="26"/>
      <c r="EM528" s="26"/>
      <c r="EN528" s="26"/>
      <c r="EO528" s="26"/>
      <c r="EP528" s="26"/>
      <c r="EQ528" s="26"/>
      <c r="ER528" s="26"/>
      <c r="ES528" s="26"/>
      <c r="ET528" s="26"/>
      <c r="EU528" s="26"/>
      <c r="EV528" s="26"/>
      <c r="EW528" s="26"/>
      <c r="EX528" s="26"/>
      <c r="EY528" s="26"/>
      <c r="EZ528" s="26"/>
      <c r="FA528" s="26"/>
      <c r="FB528" s="26"/>
      <c r="FC528" s="26"/>
      <c r="FD528" s="26"/>
      <c r="FE528" s="26"/>
      <c r="FF528" s="26"/>
      <c r="FG528" s="26"/>
      <c r="FH528" s="26"/>
      <c r="FI528" s="26"/>
      <c r="FJ528" s="26"/>
      <c r="FK528" s="26"/>
      <c r="FL528" s="26"/>
      <c r="FM528" s="26"/>
      <c r="FN528" s="26"/>
      <c r="FO528" s="26"/>
      <c r="FP528" s="26"/>
      <c r="FQ528" s="26"/>
      <c r="FR528" s="26"/>
      <c r="FS528" s="26"/>
      <c r="FT528" s="26"/>
      <c r="FU528" s="26"/>
      <c r="FV528" s="26"/>
      <c r="FW528" s="26"/>
      <c r="FX528" s="26"/>
      <c r="FY528" s="26"/>
      <c r="FZ528" s="26"/>
      <c r="GA528" s="26"/>
      <c r="GB528" s="26"/>
      <c r="GC528" s="26"/>
      <c r="GD528" s="26"/>
      <c r="GE528" s="26"/>
      <c r="GF528" s="26"/>
      <c r="GG528" s="26"/>
      <c r="GH528" s="26"/>
      <c r="GI528" s="26"/>
      <c r="GJ528" s="26"/>
      <c r="GK528" s="26"/>
      <c r="GL528" s="26"/>
      <c r="GM528" s="26"/>
      <c r="GN528" s="26"/>
      <c r="GO528" s="26"/>
      <c r="GP528" s="26"/>
      <c r="GQ528" s="26"/>
      <c r="GR528" s="26"/>
      <c r="GS528" s="26"/>
      <c r="GT528" s="26"/>
      <c r="GU528" s="26"/>
      <c r="GV528" s="26"/>
      <c r="GW528" s="26"/>
      <c r="GX528" s="26"/>
      <c r="GY528" s="26"/>
      <c r="GZ528" s="26"/>
      <c r="HA528" s="26"/>
      <c r="HB528" s="26"/>
      <c r="HC528" s="26"/>
      <c r="HD528" s="26"/>
      <c r="HE528" s="26"/>
      <c r="HF528" s="26"/>
      <c r="HG528" s="26"/>
      <c r="HH528" s="26"/>
    </row>
    <row r="529" spans="1:21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c r="BM529" s="26"/>
      <c r="BN529" s="26"/>
      <c r="BO529" s="26"/>
      <c r="BP529" s="26"/>
      <c r="BQ529" s="26"/>
      <c r="BR529" s="26"/>
      <c r="BS529" s="26"/>
      <c r="BT529" s="26"/>
      <c r="BU529" s="26"/>
      <c r="BV529" s="26"/>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26"/>
      <c r="CU529" s="26"/>
      <c r="CV529" s="26"/>
      <c r="CW529" s="26"/>
      <c r="CX529" s="26"/>
      <c r="CY529" s="26"/>
      <c r="CZ529" s="26"/>
      <c r="DA529" s="26"/>
      <c r="DB529" s="26"/>
      <c r="DC529" s="26"/>
      <c r="DD529" s="26"/>
      <c r="DE529" s="26"/>
      <c r="DF529" s="26"/>
      <c r="DG529" s="26"/>
      <c r="DH529" s="26"/>
      <c r="DI529" s="26"/>
      <c r="DJ529" s="26"/>
      <c r="DK529" s="26"/>
      <c r="DL529" s="26"/>
      <c r="DM529" s="26"/>
      <c r="DN529" s="26"/>
      <c r="DO529" s="26"/>
      <c r="DP529" s="26"/>
      <c r="DQ529" s="26"/>
      <c r="DR529" s="26"/>
      <c r="DS529" s="26"/>
      <c r="DT529" s="26"/>
      <c r="DU529" s="26"/>
      <c r="DV529" s="26"/>
      <c r="DW529" s="26"/>
      <c r="DX529" s="26"/>
      <c r="DY529" s="26"/>
      <c r="DZ529" s="26"/>
      <c r="EA529" s="26"/>
      <c r="EB529" s="26"/>
      <c r="EC529" s="26"/>
      <c r="ED529" s="26"/>
      <c r="EE529" s="26"/>
      <c r="EF529" s="26"/>
      <c r="EG529" s="26"/>
      <c r="EH529" s="26"/>
      <c r="EI529" s="26"/>
      <c r="EJ529" s="26"/>
      <c r="EK529" s="26"/>
      <c r="EL529" s="26"/>
      <c r="EM529" s="26"/>
      <c r="EN529" s="26"/>
      <c r="EO529" s="26"/>
      <c r="EP529" s="26"/>
      <c r="EQ529" s="26"/>
      <c r="ER529" s="26"/>
      <c r="ES529" s="26"/>
      <c r="ET529" s="26"/>
      <c r="EU529" s="26"/>
      <c r="EV529" s="26"/>
      <c r="EW529" s="26"/>
      <c r="EX529" s="26"/>
      <c r="EY529" s="26"/>
      <c r="EZ529" s="26"/>
      <c r="FA529" s="26"/>
      <c r="FB529" s="26"/>
      <c r="FC529" s="26"/>
      <c r="FD529" s="26"/>
      <c r="FE529" s="26"/>
      <c r="FF529" s="26"/>
      <c r="FG529" s="26"/>
      <c r="FH529" s="26"/>
      <c r="FI529" s="26"/>
      <c r="FJ529" s="26"/>
      <c r="FK529" s="26"/>
      <c r="FL529" s="26"/>
      <c r="FM529" s="26"/>
      <c r="FN529" s="26"/>
      <c r="FO529" s="26"/>
      <c r="FP529" s="26"/>
      <c r="FQ529" s="26"/>
      <c r="FR529" s="26"/>
      <c r="FS529" s="26"/>
      <c r="FT529" s="26"/>
      <c r="FU529" s="26"/>
      <c r="FV529" s="26"/>
      <c r="FW529" s="26"/>
      <c r="FX529" s="26"/>
      <c r="FY529" s="26"/>
      <c r="FZ529" s="26"/>
      <c r="GA529" s="26"/>
      <c r="GB529" s="26"/>
      <c r="GC529" s="26"/>
      <c r="GD529" s="26"/>
      <c r="GE529" s="26"/>
      <c r="GF529" s="26"/>
      <c r="GG529" s="26"/>
      <c r="GH529" s="26"/>
      <c r="GI529" s="26"/>
      <c r="GJ529" s="26"/>
      <c r="GK529" s="26"/>
      <c r="GL529" s="26"/>
      <c r="GM529" s="26"/>
      <c r="GN529" s="26"/>
      <c r="GO529" s="26"/>
      <c r="GP529" s="26"/>
      <c r="GQ529" s="26"/>
      <c r="GR529" s="26"/>
      <c r="GS529" s="26"/>
      <c r="GT529" s="26"/>
      <c r="GU529" s="26"/>
      <c r="GV529" s="26"/>
      <c r="GW529" s="26"/>
      <c r="GX529" s="26"/>
      <c r="GY529" s="26"/>
      <c r="GZ529" s="26"/>
      <c r="HA529" s="26"/>
      <c r="HB529" s="26"/>
      <c r="HC529" s="26"/>
      <c r="HD529" s="26"/>
      <c r="HE529" s="26"/>
      <c r="HF529" s="26"/>
      <c r="HG529" s="26"/>
      <c r="HH529" s="26"/>
    </row>
    <row r="530" spans="1:21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c r="BM530" s="26"/>
      <c r="BN530" s="26"/>
      <c r="BO530" s="26"/>
      <c r="BP530" s="26"/>
      <c r="BQ530" s="26"/>
      <c r="BR530" s="26"/>
      <c r="BS530" s="26"/>
      <c r="BT530" s="26"/>
      <c r="BU530" s="26"/>
      <c r="BV530" s="26"/>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26"/>
      <c r="CU530" s="26"/>
      <c r="CV530" s="26"/>
      <c r="CW530" s="26"/>
      <c r="CX530" s="26"/>
      <c r="CY530" s="26"/>
      <c r="CZ530" s="26"/>
      <c r="DA530" s="26"/>
      <c r="DB530" s="26"/>
      <c r="DC530" s="26"/>
      <c r="DD530" s="26"/>
      <c r="DE530" s="26"/>
      <c r="DF530" s="26"/>
      <c r="DG530" s="26"/>
      <c r="DH530" s="26"/>
      <c r="DI530" s="26"/>
      <c r="DJ530" s="26"/>
      <c r="DK530" s="26"/>
      <c r="DL530" s="26"/>
      <c r="DM530" s="26"/>
      <c r="DN530" s="26"/>
      <c r="DO530" s="26"/>
      <c r="DP530" s="26"/>
      <c r="DQ530" s="26"/>
      <c r="DR530" s="26"/>
      <c r="DS530" s="26"/>
      <c r="DT530" s="26"/>
      <c r="DU530" s="26"/>
      <c r="DV530" s="26"/>
      <c r="DW530" s="26"/>
      <c r="DX530" s="26"/>
      <c r="DY530" s="26"/>
      <c r="DZ530" s="26"/>
      <c r="EA530" s="26"/>
      <c r="EB530" s="26"/>
      <c r="EC530" s="26"/>
      <c r="ED530" s="26"/>
      <c r="EE530" s="26"/>
      <c r="EF530" s="26"/>
      <c r="EG530" s="26"/>
      <c r="EH530" s="26"/>
      <c r="EI530" s="26"/>
      <c r="EJ530" s="26"/>
      <c r="EK530" s="26"/>
      <c r="EL530" s="26"/>
      <c r="EM530" s="26"/>
      <c r="EN530" s="26"/>
      <c r="EO530" s="26"/>
      <c r="EP530" s="26"/>
      <c r="EQ530" s="26"/>
      <c r="ER530" s="26"/>
      <c r="ES530" s="26"/>
      <c r="ET530" s="26"/>
      <c r="EU530" s="26"/>
      <c r="EV530" s="26"/>
      <c r="EW530" s="26"/>
      <c r="EX530" s="26"/>
      <c r="EY530" s="26"/>
      <c r="EZ530" s="26"/>
      <c r="FA530" s="26"/>
      <c r="FB530" s="26"/>
      <c r="FC530" s="26"/>
      <c r="FD530" s="26"/>
      <c r="FE530" s="26"/>
      <c r="FF530" s="26"/>
      <c r="FG530" s="26"/>
      <c r="FH530" s="26"/>
      <c r="FI530" s="26"/>
      <c r="FJ530" s="26"/>
      <c r="FK530" s="26"/>
      <c r="FL530" s="26"/>
      <c r="FM530" s="26"/>
      <c r="FN530" s="26"/>
      <c r="FO530" s="26"/>
      <c r="FP530" s="26"/>
      <c r="FQ530" s="26"/>
      <c r="FR530" s="26"/>
      <c r="FS530" s="26"/>
      <c r="FT530" s="26"/>
      <c r="FU530" s="26"/>
      <c r="FV530" s="26"/>
      <c r="FW530" s="26"/>
      <c r="FX530" s="26"/>
      <c r="FY530" s="26"/>
      <c r="FZ530" s="26"/>
      <c r="GA530" s="26"/>
      <c r="GB530" s="26"/>
      <c r="GC530" s="26"/>
      <c r="GD530" s="26"/>
      <c r="GE530" s="26"/>
      <c r="GF530" s="26"/>
      <c r="GG530" s="26"/>
      <c r="GH530" s="26"/>
      <c r="GI530" s="26"/>
      <c r="GJ530" s="26"/>
      <c r="GK530" s="26"/>
      <c r="GL530" s="26"/>
      <c r="GM530" s="26"/>
      <c r="GN530" s="26"/>
      <c r="GO530" s="26"/>
      <c r="GP530" s="26"/>
      <c r="GQ530" s="26"/>
      <c r="GR530" s="26"/>
      <c r="GS530" s="26"/>
      <c r="GT530" s="26"/>
      <c r="GU530" s="26"/>
      <c r="GV530" s="26"/>
      <c r="GW530" s="26"/>
      <c r="GX530" s="26"/>
      <c r="GY530" s="26"/>
      <c r="GZ530" s="26"/>
      <c r="HA530" s="26"/>
      <c r="HB530" s="26"/>
      <c r="HC530" s="26"/>
      <c r="HD530" s="26"/>
      <c r="HE530" s="26"/>
      <c r="HF530" s="26"/>
      <c r="HG530" s="26"/>
      <c r="HH530" s="26"/>
    </row>
    <row r="531" spans="1:21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c r="BM531" s="26"/>
      <c r="BN531" s="26"/>
      <c r="BO531" s="26"/>
      <c r="BP531" s="26"/>
      <c r="BQ531" s="26"/>
      <c r="BR531" s="26"/>
      <c r="BS531" s="26"/>
      <c r="BT531" s="26"/>
      <c r="BU531" s="26"/>
      <c r="BV531" s="26"/>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26"/>
      <c r="CU531" s="26"/>
      <c r="CV531" s="26"/>
      <c r="CW531" s="26"/>
      <c r="CX531" s="26"/>
      <c r="CY531" s="26"/>
      <c r="CZ531" s="26"/>
      <c r="DA531" s="26"/>
      <c r="DB531" s="26"/>
      <c r="DC531" s="26"/>
      <c r="DD531" s="26"/>
      <c r="DE531" s="26"/>
      <c r="DF531" s="26"/>
      <c r="DG531" s="26"/>
      <c r="DH531" s="26"/>
      <c r="DI531" s="26"/>
      <c r="DJ531" s="26"/>
      <c r="DK531" s="26"/>
      <c r="DL531" s="26"/>
      <c r="DM531" s="26"/>
      <c r="DN531" s="26"/>
      <c r="DO531" s="26"/>
      <c r="DP531" s="26"/>
      <c r="DQ531" s="26"/>
      <c r="DR531" s="26"/>
      <c r="DS531" s="26"/>
      <c r="DT531" s="26"/>
      <c r="DU531" s="26"/>
      <c r="DV531" s="26"/>
      <c r="DW531" s="26"/>
      <c r="DX531" s="26"/>
      <c r="DY531" s="26"/>
      <c r="DZ531" s="26"/>
      <c r="EA531" s="26"/>
      <c r="EB531" s="26"/>
      <c r="EC531" s="26"/>
      <c r="ED531" s="26"/>
      <c r="EE531" s="26"/>
      <c r="EF531" s="26"/>
      <c r="EG531" s="26"/>
      <c r="EH531" s="26"/>
      <c r="EI531" s="26"/>
      <c r="EJ531" s="26"/>
      <c r="EK531" s="26"/>
      <c r="EL531" s="26"/>
      <c r="EM531" s="26"/>
      <c r="EN531" s="26"/>
      <c r="EO531" s="26"/>
      <c r="EP531" s="26"/>
      <c r="EQ531" s="26"/>
      <c r="ER531" s="26"/>
      <c r="ES531" s="26"/>
      <c r="ET531" s="26"/>
      <c r="EU531" s="26"/>
      <c r="EV531" s="26"/>
      <c r="EW531" s="26"/>
      <c r="EX531" s="26"/>
      <c r="EY531" s="26"/>
      <c r="EZ531" s="26"/>
      <c r="FA531" s="26"/>
      <c r="FB531" s="26"/>
      <c r="FC531" s="26"/>
      <c r="FD531" s="26"/>
      <c r="FE531" s="26"/>
      <c r="FF531" s="26"/>
      <c r="FG531" s="26"/>
      <c r="FH531" s="26"/>
      <c r="FI531" s="26"/>
      <c r="FJ531" s="26"/>
      <c r="FK531" s="26"/>
      <c r="FL531" s="26"/>
      <c r="FM531" s="26"/>
      <c r="FN531" s="26"/>
      <c r="FO531" s="26"/>
      <c r="FP531" s="26"/>
      <c r="FQ531" s="26"/>
      <c r="FR531" s="26"/>
      <c r="FS531" s="26"/>
      <c r="FT531" s="26"/>
      <c r="FU531" s="26"/>
      <c r="FV531" s="26"/>
      <c r="FW531" s="26"/>
      <c r="FX531" s="26"/>
      <c r="FY531" s="26"/>
      <c r="FZ531" s="26"/>
      <c r="GA531" s="26"/>
      <c r="GB531" s="26"/>
      <c r="GC531" s="26"/>
      <c r="GD531" s="26"/>
      <c r="GE531" s="26"/>
      <c r="GF531" s="26"/>
      <c r="GG531" s="26"/>
      <c r="GH531" s="26"/>
      <c r="GI531" s="26"/>
      <c r="GJ531" s="26"/>
      <c r="GK531" s="26"/>
      <c r="GL531" s="26"/>
      <c r="GM531" s="26"/>
      <c r="GN531" s="26"/>
      <c r="GO531" s="26"/>
      <c r="GP531" s="26"/>
      <c r="GQ531" s="26"/>
      <c r="GR531" s="26"/>
      <c r="GS531" s="26"/>
      <c r="GT531" s="26"/>
      <c r="GU531" s="26"/>
      <c r="GV531" s="26"/>
      <c r="GW531" s="26"/>
      <c r="GX531" s="26"/>
      <c r="GY531" s="26"/>
      <c r="GZ531" s="26"/>
      <c r="HA531" s="26"/>
      <c r="HB531" s="26"/>
      <c r="HC531" s="26"/>
      <c r="HD531" s="26"/>
      <c r="HE531" s="26"/>
      <c r="HF531" s="26"/>
      <c r="HG531" s="26"/>
      <c r="HH531" s="26"/>
    </row>
    <row r="532" spans="1:21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c r="BM532" s="26"/>
      <c r="BN532" s="26"/>
      <c r="BO532" s="26"/>
      <c r="BP532" s="26"/>
      <c r="BQ532" s="26"/>
      <c r="BR532" s="26"/>
      <c r="BS532" s="26"/>
      <c r="BT532" s="26"/>
      <c r="BU532" s="26"/>
      <c r="BV532" s="26"/>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26"/>
      <c r="CU532" s="26"/>
      <c r="CV532" s="26"/>
      <c r="CW532" s="26"/>
      <c r="CX532" s="26"/>
      <c r="CY532" s="26"/>
      <c r="CZ532" s="26"/>
      <c r="DA532" s="26"/>
      <c r="DB532" s="26"/>
      <c r="DC532" s="26"/>
      <c r="DD532" s="26"/>
      <c r="DE532" s="26"/>
      <c r="DF532" s="26"/>
      <c r="DG532" s="26"/>
      <c r="DH532" s="26"/>
      <c r="DI532" s="26"/>
      <c r="DJ532" s="26"/>
      <c r="DK532" s="26"/>
      <c r="DL532" s="26"/>
      <c r="DM532" s="26"/>
      <c r="DN532" s="26"/>
      <c r="DO532" s="26"/>
      <c r="DP532" s="26"/>
      <c r="DQ532" s="26"/>
      <c r="DR532" s="26"/>
      <c r="DS532" s="26"/>
      <c r="DT532" s="26"/>
      <c r="DU532" s="26"/>
      <c r="DV532" s="26"/>
      <c r="DW532" s="26"/>
      <c r="DX532" s="26"/>
      <c r="DY532" s="26"/>
      <c r="DZ532" s="26"/>
      <c r="EA532" s="26"/>
      <c r="EB532" s="26"/>
      <c r="EC532" s="26"/>
      <c r="ED532" s="26"/>
      <c r="EE532" s="26"/>
      <c r="EF532" s="26"/>
      <c r="EG532" s="26"/>
      <c r="EH532" s="26"/>
      <c r="EI532" s="26"/>
      <c r="EJ532" s="26"/>
      <c r="EK532" s="26"/>
      <c r="EL532" s="26"/>
      <c r="EM532" s="26"/>
      <c r="EN532" s="26"/>
      <c r="EO532" s="26"/>
      <c r="EP532" s="26"/>
      <c r="EQ532" s="26"/>
      <c r="ER532" s="26"/>
      <c r="ES532" s="26"/>
      <c r="ET532" s="26"/>
      <c r="EU532" s="26"/>
      <c r="EV532" s="26"/>
      <c r="EW532" s="26"/>
      <c r="EX532" s="26"/>
      <c r="EY532" s="26"/>
      <c r="EZ532" s="26"/>
      <c r="FA532" s="26"/>
      <c r="FB532" s="26"/>
      <c r="FC532" s="26"/>
      <c r="FD532" s="26"/>
      <c r="FE532" s="26"/>
      <c r="FF532" s="26"/>
      <c r="FG532" s="26"/>
      <c r="FH532" s="26"/>
      <c r="FI532" s="26"/>
      <c r="FJ532" s="26"/>
      <c r="FK532" s="26"/>
      <c r="FL532" s="26"/>
      <c r="FM532" s="26"/>
      <c r="FN532" s="26"/>
      <c r="FO532" s="26"/>
      <c r="FP532" s="26"/>
      <c r="FQ532" s="26"/>
      <c r="FR532" s="26"/>
      <c r="FS532" s="26"/>
      <c r="FT532" s="26"/>
      <c r="FU532" s="26"/>
      <c r="FV532" s="26"/>
      <c r="FW532" s="26"/>
      <c r="FX532" s="26"/>
      <c r="FY532" s="26"/>
      <c r="FZ532" s="26"/>
      <c r="GA532" s="26"/>
      <c r="GB532" s="26"/>
      <c r="GC532" s="26"/>
      <c r="GD532" s="26"/>
      <c r="GE532" s="26"/>
      <c r="GF532" s="26"/>
      <c r="GG532" s="26"/>
      <c r="GH532" s="26"/>
      <c r="GI532" s="26"/>
      <c r="GJ532" s="26"/>
      <c r="GK532" s="26"/>
      <c r="GL532" s="26"/>
      <c r="GM532" s="26"/>
      <c r="GN532" s="26"/>
      <c r="GO532" s="26"/>
      <c r="GP532" s="26"/>
      <c r="GQ532" s="26"/>
      <c r="GR532" s="26"/>
      <c r="GS532" s="26"/>
      <c r="GT532" s="26"/>
      <c r="GU532" s="26"/>
      <c r="GV532" s="26"/>
      <c r="GW532" s="26"/>
      <c r="GX532" s="26"/>
      <c r="GY532" s="26"/>
      <c r="GZ532" s="26"/>
      <c r="HA532" s="26"/>
      <c r="HB532" s="26"/>
      <c r="HC532" s="26"/>
      <c r="HD532" s="26"/>
      <c r="HE532" s="26"/>
      <c r="HF532" s="26"/>
      <c r="HG532" s="26"/>
      <c r="HH532" s="26"/>
    </row>
    <row r="533" spans="1:21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c r="BM533" s="26"/>
      <c r="BN533" s="26"/>
      <c r="BO533" s="26"/>
      <c r="BP533" s="26"/>
      <c r="BQ533" s="26"/>
      <c r="BR533" s="26"/>
      <c r="BS533" s="26"/>
      <c r="BT533" s="26"/>
      <c r="BU533" s="26"/>
      <c r="BV533" s="26"/>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26"/>
      <c r="CU533" s="26"/>
      <c r="CV533" s="26"/>
      <c r="CW533" s="26"/>
      <c r="CX533" s="26"/>
      <c r="CY533" s="26"/>
      <c r="CZ533" s="26"/>
      <c r="DA533" s="26"/>
      <c r="DB533" s="26"/>
      <c r="DC533" s="26"/>
      <c r="DD533" s="26"/>
      <c r="DE533" s="26"/>
      <c r="DF533" s="26"/>
      <c r="DG533" s="26"/>
      <c r="DH533" s="26"/>
      <c r="DI533" s="26"/>
      <c r="DJ533" s="26"/>
      <c r="DK533" s="26"/>
      <c r="DL533" s="26"/>
      <c r="DM533" s="26"/>
      <c r="DN533" s="26"/>
      <c r="DO533" s="26"/>
      <c r="DP533" s="26"/>
      <c r="DQ533" s="26"/>
      <c r="DR533" s="26"/>
      <c r="DS533" s="26"/>
      <c r="DT533" s="26"/>
      <c r="DU533" s="26"/>
      <c r="DV533" s="26"/>
      <c r="DW533" s="26"/>
      <c r="DX533" s="26"/>
      <c r="DY533" s="26"/>
      <c r="DZ533" s="26"/>
      <c r="EA533" s="26"/>
      <c r="EB533" s="26"/>
      <c r="EC533" s="26"/>
      <c r="ED533" s="26"/>
      <c r="EE533" s="26"/>
      <c r="EF533" s="26"/>
      <c r="EG533" s="26"/>
      <c r="EH533" s="26"/>
      <c r="EI533" s="26"/>
      <c r="EJ533" s="26"/>
      <c r="EK533" s="26"/>
      <c r="EL533" s="26"/>
      <c r="EM533" s="26"/>
      <c r="EN533" s="26"/>
      <c r="EO533" s="26"/>
      <c r="EP533" s="26"/>
      <c r="EQ533" s="26"/>
      <c r="ER533" s="26"/>
      <c r="ES533" s="26"/>
      <c r="ET533" s="26"/>
      <c r="EU533" s="26"/>
      <c r="EV533" s="26"/>
      <c r="EW533" s="26"/>
      <c r="EX533" s="26"/>
      <c r="EY533" s="26"/>
      <c r="EZ533" s="26"/>
      <c r="FA533" s="26"/>
      <c r="FB533" s="26"/>
      <c r="FC533" s="26"/>
      <c r="FD533" s="26"/>
      <c r="FE533" s="26"/>
      <c r="FF533" s="26"/>
      <c r="FG533" s="26"/>
      <c r="FH533" s="26"/>
      <c r="FI533" s="26"/>
      <c r="FJ533" s="26"/>
      <c r="FK533" s="26"/>
      <c r="FL533" s="26"/>
      <c r="FM533" s="26"/>
      <c r="FN533" s="26"/>
      <c r="FO533" s="26"/>
      <c r="FP533" s="26"/>
      <c r="FQ533" s="26"/>
      <c r="FR533" s="26"/>
      <c r="FS533" s="26"/>
      <c r="FT533" s="26"/>
      <c r="FU533" s="26"/>
      <c r="FV533" s="26"/>
      <c r="FW533" s="26"/>
      <c r="FX533" s="26"/>
      <c r="FY533" s="26"/>
      <c r="FZ533" s="26"/>
      <c r="GA533" s="26"/>
      <c r="GB533" s="26"/>
      <c r="GC533" s="26"/>
      <c r="GD533" s="26"/>
      <c r="GE533" s="26"/>
      <c r="GF533" s="26"/>
      <c r="GG533" s="26"/>
      <c r="GH533" s="26"/>
      <c r="GI533" s="26"/>
      <c r="GJ533" s="26"/>
      <c r="GK533" s="26"/>
      <c r="GL533" s="26"/>
      <c r="GM533" s="26"/>
      <c r="GN533" s="26"/>
      <c r="GO533" s="26"/>
      <c r="GP533" s="26"/>
      <c r="GQ533" s="26"/>
      <c r="GR533" s="26"/>
      <c r="GS533" s="26"/>
      <c r="GT533" s="26"/>
      <c r="GU533" s="26"/>
      <c r="GV533" s="26"/>
      <c r="GW533" s="26"/>
      <c r="GX533" s="26"/>
      <c r="GY533" s="26"/>
      <c r="GZ533" s="26"/>
      <c r="HA533" s="26"/>
      <c r="HB533" s="26"/>
      <c r="HC533" s="26"/>
      <c r="HD533" s="26"/>
      <c r="HE533" s="26"/>
      <c r="HF533" s="26"/>
      <c r="HG533" s="26"/>
      <c r="HH533" s="26"/>
    </row>
    <row r="534" spans="1:21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c r="BM534" s="26"/>
      <c r="BN534" s="26"/>
      <c r="BO534" s="26"/>
      <c r="BP534" s="26"/>
      <c r="BQ534" s="26"/>
      <c r="BR534" s="26"/>
      <c r="BS534" s="26"/>
      <c r="BT534" s="26"/>
      <c r="BU534" s="26"/>
      <c r="BV534" s="26"/>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26"/>
      <c r="CU534" s="26"/>
      <c r="CV534" s="26"/>
      <c r="CW534" s="26"/>
      <c r="CX534" s="26"/>
      <c r="CY534" s="26"/>
      <c r="CZ534" s="26"/>
      <c r="DA534" s="26"/>
      <c r="DB534" s="26"/>
      <c r="DC534" s="26"/>
      <c r="DD534" s="26"/>
      <c r="DE534" s="26"/>
      <c r="DF534" s="26"/>
      <c r="DG534" s="26"/>
      <c r="DH534" s="26"/>
      <c r="DI534" s="26"/>
      <c r="DJ534" s="26"/>
      <c r="DK534" s="26"/>
      <c r="DL534" s="26"/>
      <c r="DM534" s="26"/>
      <c r="DN534" s="26"/>
      <c r="DO534" s="26"/>
      <c r="DP534" s="26"/>
      <c r="DQ534" s="26"/>
      <c r="DR534" s="26"/>
      <c r="DS534" s="26"/>
      <c r="DT534" s="26"/>
      <c r="DU534" s="26"/>
      <c r="DV534" s="26"/>
      <c r="DW534" s="26"/>
      <c r="DX534" s="26"/>
      <c r="DY534" s="26"/>
      <c r="DZ534" s="26"/>
      <c r="EA534" s="26"/>
      <c r="EB534" s="26"/>
      <c r="EC534" s="26"/>
      <c r="ED534" s="26"/>
      <c r="EE534" s="26"/>
      <c r="EF534" s="26"/>
      <c r="EG534" s="26"/>
      <c r="EH534" s="26"/>
      <c r="EI534" s="26"/>
      <c r="EJ534" s="26"/>
      <c r="EK534" s="26"/>
      <c r="EL534" s="26"/>
      <c r="EM534" s="26"/>
      <c r="EN534" s="26"/>
      <c r="EO534" s="26"/>
      <c r="EP534" s="26"/>
      <c r="EQ534" s="26"/>
      <c r="ER534" s="26"/>
      <c r="ES534" s="26"/>
      <c r="ET534" s="26"/>
      <c r="EU534" s="26"/>
      <c r="EV534" s="26"/>
      <c r="EW534" s="26"/>
      <c r="EX534" s="26"/>
      <c r="EY534" s="26"/>
      <c r="EZ534" s="26"/>
      <c r="FA534" s="26"/>
      <c r="FB534" s="26"/>
      <c r="FC534" s="26"/>
      <c r="FD534" s="26"/>
      <c r="FE534" s="26"/>
      <c r="FF534" s="26"/>
      <c r="FG534" s="26"/>
      <c r="FH534" s="26"/>
      <c r="FI534" s="26"/>
      <c r="FJ534" s="26"/>
      <c r="FK534" s="26"/>
      <c r="FL534" s="26"/>
      <c r="FM534" s="26"/>
      <c r="FN534" s="26"/>
      <c r="FO534" s="26"/>
      <c r="FP534" s="26"/>
      <c r="FQ534" s="26"/>
      <c r="FR534" s="26"/>
      <c r="FS534" s="26"/>
      <c r="FT534" s="26"/>
      <c r="FU534" s="26"/>
      <c r="FV534" s="26"/>
      <c r="FW534" s="26"/>
      <c r="FX534" s="26"/>
      <c r="FY534" s="26"/>
      <c r="FZ534" s="26"/>
      <c r="GA534" s="26"/>
      <c r="GB534" s="26"/>
      <c r="GC534" s="26"/>
      <c r="GD534" s="26"/>
      <c r="GE534" s="26"/>
      <c r="GF534" s="26"/>
      <c r="GG534" s="26"/>
      <c r="GH534" s="26"/>
      <c r="GI534" s="26"/>
      <c r="GJ534" s="26"/>
      <c r="GK534" s="26"/>
      <c r="GL534" s="26"/>
      <c r="GM534" s="26"/>
      <c r="GN534" s="26"/>
      <c r="GO534" s="26"/>
      <c r="GP534" s="26"/>
      <c r="GQ534" s="26"/>
      <c r="GR534" s="26"/>
      <c r="GS534" s="26"/>
      <c r="GT534" s="26"/>
      <c r="GU534" s="26"/>
      <c r="GV534" s="26"/>
      <c r="GW534" s="26"/>
      <c r="GX534" s="26"/>
      <c r="GY534" s="26"/>
      <c r="GZ534" s="26"/>
      <c r="HA534" s="26"/>
      <c r="HB534" s="26"/>
      <c r="HC534" s="26"/>
      <c r="HD534" s="26"/>
      <c r="HE534" s="26"/>
      <c r="HF534" s="26"/>
      <c r="HG534" s="26"/>
      <c r="HH534" s="26"/>
    </row>
    <row r="535" spans="1:21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c r="BM535" s="26"/>
      <c r="BN535" s="26"/>
      <c r="BO535" s="26"/>
      <c r="BP535" s="26"/>
      <c r="BQ535" s="26"/>
      <c r="BR535" s="26"/>
      <c r="BS535" s="26"/>
      <c r="BT535" s="26"/>
      <c r="BU535" s="26"/>
      <c r="BV535" s="26"/>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26"/>
      <c r="CU535" s="26"/>
      <c r="CV535" s="26"/>
      <c r="CW535" s="26"/>
      <c r="CX535" s="26"/>
      <c r="CY535" s="26"/>
      <c r="CZ535" s="26"/>
      <c r="DA535" s="26"/>
      <c r="DB535" s="26"/>
      <c r="DC535" s="26"/>
      <c r="DD535" s="26"/>
      <c r="DE535" s="26"/>
      <c r="DF535" s="26"/>
      <c r="DG535" s="26"/>
      <c r="DH535" s="26"/>
      <c r="DI535" s="26"/>
      <c r="DJ535" s="26"/>
      <c r="DK535" s="26"/>
      <c r="DL535" s="26"/>
      <c r="DM535" s="26"/>
      <c r="DN535" s="26"/>
      <c r="DO535" s="26"/>
      <c r="DP535" s="26"/>
      <c r="DQ535" s="26"/>
      <c r="DR535" s="26"/>
      <c r="DS535" s="26"/>
      <c r="DT535" s="26"/>
      <c r="DU535" s="26"/>
      <c r="DV535" s="26"/>
      <c r="DW535" s="26"/>
      <c r="DX535" s="26"/>
      <c r="DY535" s="26"/>
      <c r="DZ535" s="26"/>
      <c r="EA535" s="26"/>
      <c r="EB535" s="26"/>
      <c r="EC535" s="26"/>
      <c r="ED535" s="26"/>
      <c r="EE535" s="26"/>
      <c r="EF535" s="26"/>
      <c r="EG535" s="26"/>
      <c r="EH535" s="26"/>
      <c r="EI535" s="26"/>
      <c r="EJ535" s="26"/>
      <c r="EK535" s="26"/>
      <c r="EL535" s="26"/>
      <c r="EM535" s="26"/>
      <c r="EN535" s="26"/>
      <c r="EO535" s="26"/>
      <c r="EP535" s="26"/>
      <c r="EQ535" s="26"/>
      <c r="ER535" s="26"/>
      <c r="ES535" s="26"/>
      <c r="ET535" s="26"/>
      <c r="EU535" s="26"/>
      <c r="EV535" s="26"/>
      <c r="EW535" s="26"/>
      <c r="EX535" s="26"/>
      <c r="EY535" s="26"/>
      <c r="EZ535" s="26"/>
      <c r="FA535" s="26"/>
      <c r="FB535" s="26"/>
      <c r="FC535" s="26"/>
      <c r="FD535" s="26"/>
      <c r="FE535" s="26"/>
      <c r="FF535" s="26"/>
      <c r="FG535" s="26"/>
      <c r="FH535" s="26"/>
      <c r="FI535" s="26"/>
      <c r="FJ535" s="26"/>
      <c r="FK535" s="26"/>
      <c r="FL535" s="26"/>
      <c r="FM535" s="26"/>
      <c r="FN535" s="26"/>
      <c r="FO535" s="26"/>
      <c r="FP535" s="26"/>
      <c r="FQ535" s="26"/>
      <c r="FR535" s="26"/>
      <c r="FS535" s="26"/>
      <c r="FT535" s="26"/>
      <c r="FU535" s="26"/>
      <c r="FV535" s="26"/>
      <c r="FW535" s="26"/>
      <c r="FX535" s="26"/>
      <c r="FY535" s="26"/>
      <c r="FZ535" s="26"/>
      <c r="GA535" s="26"/>
      <c r="GB535" s="26"/>
      <c r="GC535" s="26"/>
      <c r="GD535" s="26"/>
      <c r="GE535" s="26"/>
      <c r="GF535" s="26"/>
      <c r="GG535" s="26"/>
      <c r="GH535" s="26"/>
      <c r="GI535" s="26"/>
      <c r="GJ535" s="26"/>
      <c r="GK535" s="26"/>
      <c r="GL535" s="26"/>
      <c r="GM535" s="26"/>
      <c r="GN535" s="26"/>
      <c r="GO535" s="26"/>
      <c r="GP535" s="26"/>
      <c r="GQ535" s="26"/>
      <c r="GR535" s="26"/>
      <c r="GS535" s="26"/>
      <c r="GT535" s="26"/>
      <c r="GU535" s="26"/>
      <c r="GV535" s="26"/>
      <c r="GW535" s="26"/>
      <c r="GX535" s="26"/>
      <c r="GY535" s="26"/>
      <c r="GZ535" s="26"/>
      <c r="HA535" s="26"/>
      <c r="HB535" s="26"/>
      <c r="HC535" s="26"/>
      <c r="HD535" s="26"/>
      <c r="HE535" s="26"/>
      <c r="HF535" s="26"/>
      <c r="HG535" s="26"/>
      <c r="HH535" s="26"/>
    </row>
    <row r="536" spans="1:21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c r="BM536" s="26"/>
      <c r="BN536" s="26"/>
      <c r="BO536" s="26"/>
      <c r="BP536" s="26"/>
      <c r="BQ536" s="26"/>
      <c r="BR536" s="26"/>
      <c r="BS536" s="26"/>
      <c r="BT536" s="26"/>
      <c r="BU536" s="26"/>
      <c r="BV536" s="26"/>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26"/>
      <c r="CU536" s="26"/>
      <c r="CV536" s="26"/>
      <c r="CW536" s="26"/>
      <c r="CX536" s="26"/>
      <c r="CY536" s="26"/>
      <c r="CZ536" s="26"/>
      <c r="DA536" s="26"/>
      <c r="DB536" s="26"/>
      <c r="DC536" s="26"/>
      <c r="DD536" s="26"/>
      <c r="DE536" s="26"/>
      <c r="DF536" s="26"/>
      <c r="DG536" s="26"/>
      <c r="DH536" s="26"/>
      <c r="DI536" s="26"/>
      <c r="DJ536" s="26"/>
      <c r="DK536" s="26"/>
      <c r="DL536" s="26"/>
      <c r="DM536" s="26"/>
      <c r="DN536" s="26"/>
      <c r="DO536" s="26"/>
      <c r="DP536" s="26"/>
      <c r="DQ536" s="26"/>
      <c r="DR536" s="26"/>
      <c r="DS536" s="26"/>
      <c r="DT536" s="26"/>
      <c r="DU536" s="26"/>
      <c r="DV536" s="26"/>
      <c r="DW536" s="26"/>
      <c r="DX536" s="26"/>
      <c r="DY536" s="26"/>
      <c r="DZ536" s="26"/>
      <c r="EA536" s="26"/>
      <c r="EB536" s="26"/>
      <c r="EC536" s="26"/>
      <c r="ED536" s="26"/>
      <c r="EE536" s="26"/>
      <c r="EF536" s="26"/>
      <c r="EG536" s="26"/>
      <c r="EH536" s="26"/>
      <c r="EI536" s="26"/>
      <c r="EJ536" s="26"/>
      <c r="EK536" s="26"/>
      <c r="EL536" s="26"/>
      <c r="EM536" s="26"/>
      <c r="EN536" s="26"/>
      <c r="EO536" s="26"/>
      <c r="EP536" s="26"/>
      <c r="EQ536" s="26"/>
      <c r="ER536" s="26"/>
      <c r="ES536" s="26"/>
      <c r="ET536" s="26"/>
      <c r="EU536" s="26"/>
      <c r="EV536" s="26"/>
      <c r="EW536" s="26"/>
      <c r="EX536" s="26"/>
      <c r="EY536" s="26"/>
      <c r="EZ536" s="26"/>
      <c r="FA536" s="26"/>
      <c r="FB536" s="26"/>
      <c r="FC536" s="26"/>
      <c r="FD536" s="26"/>
      <c r="FE536" s="26"/>
      <c r="FF536" s="26"/>
      <c r="FG536" s="26"/>
      <c r="FH536" s="26"/>
      <c r="FI536" s="26"/>
      <c r="FJ536" s="26"/>
      <c r="FK536" s="26"/>
      <c r="FL536" s="26"/>
      <c r="FM536" s="26"/>
      <c r="FN536" s="26"/>
      <c r="FO536" s="26"/>
      <c r="FP536" s="26"/>
      <c r="FQ536" s="26"/>
      <c r="FR536" s="26"/>
      <c r="FS536" s="26"/>
      <c r="FT536" s="26"/>
      <c r="FU536" s="26"/>
      <c r="FV536" s="26"/>
      <c r="FW536" s="26"/>
      <c r="FX536" s="26"/>
      <c r="FY536" s="26"/>
      <c r="FZ536" s="26"/>
      <c r="GA536" s="26"/>
      <c r="GB536" s="26"/>
      <c r="GC536" s="26"/>
      <c r="GD536" s="26"/>
      <c r="GE536" s="26"/>
      <c r="GF536" s="26"/>
      <c r="GG536" s="26"/>
      <c r="GH536" s="26"/>
      <c r="GI536" s="26"/>
      <c r="GJ536" s="26"/>
      <c r="GK536" s="26"/>
      <c r="GL536" s="26"/>
      <c r="GM536" s="26"/>
      <c r="GN536" s="26"/>
      <c r="GO536" s="26"/>
      <c r="GP536" s="26"/>
      <c r="GQ536" s="26"/>
      <c r="GR536" s="26"/>
      <c r="GS536" s="26"/>
      <c r="GT536" s="26"/>
      <c r="GU536" s="26"/>
      <c r="GV536" s="26"/>
      <c r="GW536" s="26"/>
      <c r="GX536" s="26"/>
      <c r="GY536" s="26"/>
      <c r="GZ536" s="26"/>
      <c r="HA536" s="26"/>
      <c r="HB536" s="26"/>
      <c r="HC536" s="26"/>
      <c r="HD536" s="26"/>
      <c r="HE536" s="26"/>
      <c r="HF536" s="26"/>
      <c r="HG536" s="26"/>
      <c r="HH536" s="26"/>
    </row>
    <row r="537" spans="1:21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c r="BM537" s="26"/>
      <c r="BN537" s="26"/>
      <c r="BO537" s="26"/>
      <c r="BP537" s="26"/>
      <c r="BQ537" s="26"/>
      <c r="BR537" s="26"/>
      <c r="BS537" s="26"/>
      <c r="BT537" s="26"/>
      <c r="BU537" s="26"/>
      <c r="BV537" s="26"/>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26"/>
      <c r="CU537" s="26"/>
      <c r="CV537" s="26"/>
      <c r="CW537" s="26"/>
      <c r="CX537" s="26"/>
      <c r="CY537" s="26"/>
      <c r="CZ537" s="26"/>
      <c r="DA537" s="26"/>
      <c r="DB537" s="26"/>
      <c r="DC537" s="26"/>
      <c r="DD537" s="26"/>
      <c r="DE537" s="26"/>
      <c r="DF537" s="26"/>
      <c r="DG537" s="26"/>
      <c r="DH537" s="26"/>
      <c r="DI537" s="26"/>
      <c r="DJ537" s="26"/>
      <c r="DK537" s="26"/>
      <c r="DL537" s="26"/>
      <c r="DM537" s="26"/>
      <c r="DN537" s="26"/>
      <c r="DO537" s="26"/>
      <c r="DP537" s="26"/>
      <c r="DQ537" s="26"/>
      <c r="DR537" s="26"/>
      <c r="DS537" s="26"/>
      <c r="DT537" s="26"/>
      <c r="DU537" s="26"/>
      <c r="DV537" s="26"/>
      <c r="DW537" s="26"/>
      <c r="DX537" s="26"/>
      <c r="DY537" s="26"/>
      <c r="DZ537" s="26"/>
      <c r="EA537" s="26"/>
      <c r="EB537" s="26"/>
      <c r="EC537" s="26"/>
      <c r="ED537" s="26"/>
      <c r="EE537" s="26"/>
      <c r="EF537" s="26"/>
      <c r="EG537" s="26"/>
      <c r="EH537" s="26"/>
      <c r="EI537" s="26"/>
      <c r="EJ537" s="26"/>
      <c r="EK537" s="26"/>
      <c r="EL537" s="26"/>
      <c r="EM537" s="26"/>
      <c r="EN537" s="26"/>
      <c r="EO537" s="26"/>
      <c r="EP537" s="26"/>
      <c r="EQ537" s="26"/>
      <c r="ER537" s="26"/>
      <c r="ES537" s="26"/>
      <c r="ET537" s="26"/>
      <c r="EU537" s="26"/>
      <c r="EV537" s="26"/>
      <c r="EW537" s="26"/>
      <c r="EX537" s="26"/>
      <c r="EY537" s="26"/>
      <c r="EZ537" s="26"/>
      <c r="FA537" s="26"/>
      <c r="FB537" s="26"/>
      <c r="FC537" s="26"/>
      <c r="FD537" s="26"/>
      <c r="FE537" s="26"/>
      <c r="FF537" s="26"/>
      <c r="FG537" s="26"/>
      <c r="FH537" s="26"/>
      <c r="FI537" s="26"/>
      <c r="FJ537" s="26"/>
      <c r="FK537" s="26"/>
      <c r="FL537" s="26"/>
      <c r="FM537" s="26"/>
      <c r="FN537" s="26"/>
      <c r="FO537" s="26"/>
      <c r="FP537" s="26"/>
      <c r="FQ537" s="26"/>
      <c r="FR537" s="26"/>
      <c r="FS537" s="26"/>
      <c r="FT537" s="26"/>
      <c r="FU537" s="26"/>
      <c r="FV537" s="26"/>
      <c r="FW537" s="26"/>
      <c r="FX537" s="26"/>
      <c r="FY537" s="26"/>
      <c r="FZ537" s="26"/>
      <c r="GA537" s="26"/>
      <c r="GB537" s="26"/>
      <c r="GC537" s="26"/>
      <c r="GD537" s="26"/>
      <c r="GE537" s="26"/>
      <c r="GF537" s="26"/>
      <c r="GG537" s="26"/>
      <c r="GH537" s="26"/>
      <c r="GI537" s="26"/>
      <c r="GJ537" s="26"/>
      <c r="GK537" s="26"/>
      <c r="GL537" s="26"/>
      <c r="GM537" s="26"/>
      <c r="GN537" s="26"/>
      <c r="GO537" s="26"/>
      <c r="GP537" s="26"/>
      <c r="GQ537" s="26"/>
      <c r="GR537" s="26"/>
      <c r="GS537" s="26"/>
      <c r="GT537" s="26"/>
      <c r="GU537" s="26"/>
      <c r="GV537" s="26"/>
      <c r="GW537" s="26"/>
      <c r="GX537" s="26"/>
      <c r="GY537" s="26"/>
      <c r="GZ537" s="26"/>
      <c r="HA537" s="26"/>
      <c r="HB537" s="26"/>
      <c r="HC537" s="26"/>
      <c r="HD537" s="26"/>
      <c r="HE537" s="26"/>
      <c r="HF537" s="26"/>
      <c r="HG537" s="26"/>
      <c r="HH537" s="26"/>
    </row>
    <row r="538" spans="1:21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c r="BM538" s="26"/>
      <c r="BN538" s="26"/>
      <c r="BO538" s="26"/>
      <c r="BP538" s="26"/>
      <c r="BQ538" s="26"/>
      <c r="BR538" s="26"/>
      <c r="BS538" s="26"/>
      <c r="BT538" s="26"/>
      <c r="BU538" s="26"/>
      <c r="BV538" s="26"/>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26"/>
      <c r="CU538" s="26"/>
      <c r="CV538" s="26"/>
      <c r="CW538" s="26"/>
      <c r="CX538" s="26"/>
      <c r="CY538" s="26"/>
      <c r="CZ538" s="26"/>
      <c r="DA538" s="26"/>
      <c r="DB538" s="26"/>
      <c r="DC538" s="26"/>
      <c r="DD538" s="26"/>
      <c r="DE538" s="26"/>
      <c r="DF538" s="26"/>
      <c r="DG538" s="26"/>
      <c r="DH538" s="26"/>
      <c r="DI538" s="26"/>
      <c r="DJ538" s="26"/>
      <c r="DK538" s="26"/>
      <c r="DL538" s="26"/>
      <c r="DM538" s="26"/>
      <c r="DN538" s="26"/>
      <c r="DO538" s="26"/>
      <c r="DP538" s="26"/>
      <c r="DQ538" s="26"/>
      <c r="DR538" s="26"/>
      <c r="DS538" s="26"/>
      <c r="DT538" s="26"/>
      <c r="DU538" s="26"/>
      <c r="DV538" s="26"/>
      <c r="DW538" s="26"/>
      <c r="DX538" s="26"/>
      <c r="DY538" s="26"/>
      <c r="DZ538" s="26"/>
      <c r="EA538" s="26"/>
      <c r="EB538" s="26"/>
      <c r="EC538" s="26"/>
      <c r="ED538" s="26"/>
      <c r="EE538" s="26"/>
      <c r="EF538" s="26"/>
      <c r="EG538" s="26"/>
      <c r="EH538" s="26"/>
      <c r="EI538" s="26"/>
      <c r="EJ538" s="26"/>
      <c r="EK538" s="26"/>
      <c r="EL538" s="26"/>
      <c r="EM538" s="26"/>
      <c r="EN538" s="26"/>
      <c r="EO538" s="26"/>
      <c r="EP538" s="26"/>
      <c r="EQ538" s="26"/>
      <c r="ER538" s="26"/>
      <c r="ES538" s="26"/>
      <c r="ET538" s="26"/>
      <c r="EU538" s="26"/>
      <c r="EV538" s="26"/>
      <c r="EW538" s="26"/>
      <c r="EX538" s="26"/>
      <c r="EY538" s="26"/>
      <c r="EZ538" s="26"/>
      <c r="FA538" s="26"/>
      <c r="FB538" s="26"/>
      <c r="FC538" s="26"/>
      <c r="FD538" s="26"/>
      <c r="FE538" s="26"/>
      <c r="FF538" s="26"/>
      <c r="FG538" s="26"/>
      <c r="FH538" s="26"/>
      <c r="FI538" s="26"/>
      <c r="FJ538" s="26"/>
      <c r="FK538" s="26"/>
      <c r="FL538" s="26"/>
      <c r="FM538" s="26"/>
      <c r="FN538" s="26"/>
      <c r="FO538" s="26"/>
      <c r="FP538" s="26"/>
      <c r="FQ538" s="26"/>
      <c r="FR538" s="26"/>
      <c r="FS538" s="26"/>
      <c r="FT538" s="26"/>
      <c r="FU538" s="26"/>
      <c r="FV538" s="26"/>
      <c r="FW538" s="26"/>
      <c r="FX538" s="26"/>
      <c r="FY538" s="26"/>
      <c r="FZ538" s="26"/>
      <c r="GA538" s="26"/>
      <c r="GB538" s="26"/>
      <c r="GC538" s="26"/>
      <c r="GD538" s="26"/>
      <c r="GE538" s="26"/>
      <c r="GF538" s="26"/>
      <c r="GG538" s="26"/>
      <c r="GH538" s="26"/>
      <c r="GI538" s="26"/>
      <c r="GJ538" s="26"/>
      <c r="GK538" s="26"/>
      <c r="GL538" s="26"/>
      <c r="GM538" s="26"/>
      <c r="GN538" s="26"/>
      <c r="GO538" s="26"/>
      <c r="GP538" s="26"/>
      <c r="GQ538" s="26"/>
      <c r="GR538" s="26"/>
      <c r="GS538" s="26"/>
      <c r="GT538" s="26"/>
      <c r="GU538" s="26"/>
      <c r="GV538" s="26"/>
      <c r="GW538" s="26"/>
      <c r="GX538" s="26"/>
      <c r="GY538" s="26"/>
      <c r="GZ538" s="26"/>
      <c r="HA538" s="26"/>
      <c r="HB538" s="26"/>
      <c r="HC538" s="26"/>
      <c r="HD538" s="26"/>
      <c r="HE538" s="26"/>
      <c r="HF538" s="26"/>
      <c r="HG538" s="26"/>
      <c r="HH538" s="26"/>
    </row>
    <row r="539" spans="1:21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c r="BM539" s="26"/>
      <c r="BN539" s="26"/>
      <c r="BO539" s="26"/>
      <c r="BP539" s="26"/>
      <c r="BQ539" s="26"/>
      <c r="BR539" s="26"/>
      <c r="BS539" s="26"/>
      <c r="BT539" s="26"/>
      <c r="BU539" s="26"/>
      <c r="BV539" s="26"/>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26"/>
      <c r="CU539" s="26"/>
      <c r="CV539" s="26"/>
      <c r="CW539" s="26"/>
      <c r="CX539" s="26"/>
      <c r="CY539" s="26"/>
      <c r="CZ539" s="26"/>
      <c r="DA539" s="26"/>
      <c r="DB539" s="26"/>
      <c r="DC539" s="26"/>
      <c r="DD539" s="26"/>
      <c r="DE539" s="26"/>
      <c r="DF539" s="26"/>
      <c r="DG539" s="26"/>
      <c r="DH539" s="26"/>
      <c r="DI539" s="26"/>
      <c r="DJ539" s="26"/>
      <c r="DK539" s="26"/>
      <c r="DL539" s="26"/>
      <c r="DM539" s="26"/>
      <c r="DN539" s="26"/>
      <c r="DO539" s="26"/>
      <c r="DP539" s="26"/>
      <c r="DQ539" s="26"/>
      <c r="DR539" s="26"/>
      <c r="DS539" s="26"/>
      <c r="DT539" s="26"/>
      <c r="DU539" s="26"/>
      <c r="DV539" s="26"/>
      <c r="DW539" s="26"/>
      <c r="DX539" s="26"/>
      <c r="DY539" s="26"/>
      <c r="DZ539" s="26"/>
      <c r="EA539" s="26"/>
      <c r="EB539" s="26"/>
      <c r="EC539" s="26"/>
      <c r="ED539" s="26"/>
      <c r="EE539" s="26"/>
      <c r="EF539" s="26"/>
      <c r="EG539" s="26"/>
      <c r="EH539" s="26"/>
      <c r="EI539" s="26"/>
      <c r="EJ539" s="26"/>
      <c r="EK539" s="26"/>
      <c r="EL539" s="26"/>
      <c r="EM539" s="26"/>
      <c r="EN539" s="26"/>
      <c r="EO539" s="26"/>
      <c r="EP539" s="26"/>
      <c r="EQ539" s="26"/>
      <c r="ER539" s="26"/>
      <c r="ES539" s="26"/>
      <c r="ET539" s="26"/>
      <c r="EU539" s="26"/>
      <c r="EV539" s="26"/>
      <c r="EW539" s="26"/>
      <c r="EX539" s="26"/>
      <c r="EY539" s="26"/>
      <c r="EZ539" s="26"/>
      <c r="FA539" s="26"/>
      <c r="FB539" s="26"/>
      <c r="FC539" s="26"/>
      <c r="FD539" s="26"/>
      <c r="FE539" s="26"/>
      <c r="FF539" s="26"/>
      <c r="FG539" s="26"/>
      <c r="FH539" s="26"/>
      <c r="FI539" s="26"/>
      <c r="FJ539" s="26"/>
      <c r="FK539" s="26"/>
      <c r="FL539" s="26"/>
      <c r="FM539" s="26"/>
      <c r="FN539" s="26"/>
      <c r="FO539" s="26"/>
      <c r="FP539" s="26"/>
      <c r="FQ539" s="26"/>
      <c r="FR539" s="26"/>
      <c r="FS539" s="26"/>
      <c r="FT539" s="26"/>
      <c r="FU539" s="26"/>
      <c r="FV539" s="26"/>
      <c r="FW539" s="26"/>
      <c r="FX539" s="26"/>
      <c r="FY539" s="26"/>
      <c r="FZ539" s="26"/>
      <c r="GA539" s="26"/>
      <c r="GB539" s="26"/>
      <c r="GC539" s="26"/>
      <c r="GD539" s="26"/>
      <c r="GE539" s="26"/>
      <c r="GF539" s="26"/>
      <c r="GG539" s="26"/>
      <c r="GH539" s="26"/>
      <c r="GI539" s="26"/>
      <c r="GJ539" s="26"/>
      <c r="GK539" s="26"/>
      <c r="GL539" s="26"/>
      <c r="GM539" s="26"/>
      <c r="GN539" s="26"/>
      <c r="GO539" s="26"/>
      <c r="GP539" s="26"/>
      <c r="GQ539" s="26"/>
      <c r="GR539" s="26"/>
      <c r="GS539" s="26"/>
      <c r="GT539" s="26"/>
      <c r="GU539" s="26"/>
      <c r="GV539" s="26"/>
      <c r="GW539" s="26"/>
      <c r="GX539" s="26"/>
      <c r="GY539" s="26"/>
      <c r="GZ539" s="26"/>
      <c r="HA539" s="26"/>
      <c r="HB539" s="26"/>
      <c r="HC539" s="26"/>
      <c r="HD539" s="26"/>
      <c r="HE539" s="26"/>
      <c r="HF539" s="26"/>
      <c r="HG539" s="26"/>
      <c r="HH539" s="26"/>
    </row>
    <row r="540" spans="1:21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c r="BM540" s="26"/>
      <c r="BN540" s="26"/>
      <c r="BO540" s="26"/>
      <c r="BP540" s="26"/>
      <c r="BQ540" s="26"/>
      <c r="BR540" s="26"/>
      <c r="BS540" s="26"/>
      <c r="BT540" s="26"/>
      <c r="BU540" s="26"/>
      <c r="BV540" s="26"/>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26"/>
      <c r="CU540" s="26"/>
      <c r="CV540" s="26"/>
      <c r="CW540" s="26"/>
      <c r="CX540" s="26"/>
      <c r="CY540" s="26"/>
      <c r="CZ540" s="26"/>
      <c r="DA540" s="26"/>
      <c r="DB540" s="26"/>
      <c r="DC540" s="26"/>
      <c r="DD540" s="26"/>
      <c r="DE540" s="26"/>
      <c r="DF540" s="26"/>
      <c r="DG540" s="26"/>
      <c r="DH540" s="26"/>
      <c r="DI540" s="26"/>
      <c r="DJ540" s="26"/>
      <c r="DK540" s="26"/>
      <c r="DL540" s="26"/>
      <c r="DM540" s="26"/>
      <c r="DN540" s="26"/>
      <c r="DO540" s="26"/>
      <c r="DP540" s="26"/>
      <c r="DQ540" s="26"/>
      <c r="DR540" s="26"/>
      <c r="DS540" s="26"/>
      <c r="DT540" s="26"/>
      <c r="DU540" s="26"/>
      <c r="DV540" s="26"/>
      <c r="DW540" s="26"/>
      <c r="DX540" s="26"/>
      <c r="DY540" s="26"/>
      <c r="DZ540" s="26"/>
      <c r="EA540" s="26"/>
      <c r="EB540" s="26"/>
      <c r="EC540" s="26"/>
      <c r="ED540" s="26"/>
      <c r="EE540" s="26"/>
      <c r="EF540" s="26"/>
      <c r="EG540" s="26"/>
      <c r="EH540" s="26"/>
      <c r="EI540" s="26"/>
      <c r="EJ540" s="26"/>
      <c r="EK540" s="26"/>
      <c r="EL540" s="26"/>
      <c r="EM540" s="26"/>
      <c r="EN540" s="26"/>
      <c r="EO540" s="26"/>
      <c r="EP540" s="26"/>
      <c r="EQ540" s="26"/>
      <c r="ER540" s="26"/>
      <c r="ES540" s="26"/>
      <c r="ET540" s="26"/>
      <c r="EU540" s="26"/>
      <c r="EV540" s="26"/>
      <c r="EW540" s="26"/>
      <c r="EX540" s="26"/>
      <c r="EY540" s="26"/>
      <c r="EZ540" s="26"/>
      <c r="FA540" s="26"/>
      <c r="FB540" s="26"/>
      <c r="FC540" s="26"/>
      <c r="FD540" s="26"/>
      <c r="FE540" s="26"/>
      <c r="FF540" s="26"/>
      <c r="FG540" s="26"/>
      <c r="FH540" s="26"/>
      <c r="FI540" s="26"/>
      <c r="FJ540" s="26"/>
      <c r="FK540" s="26"/>
      <c r="FL540" s="26"/>
      <c r="FM540" s="26"/>
      <c r="FN540" s="26"/>
      <c r="FO540" s="26"/>
      <c r="FP540" s="26"/>
      <c r="FQ540" s="26"/>
      <c r="FR540" s="26"/>
      <c r="FS540" s="26"/>
      <c r="FT540" s="26"/>
      <c r="FU540" s="26"/>
      <c r="FV540" s="26"/>
      <c r="FW540" s="26"/>
      <c r="FX540" s="26"/>
      <c r="FY540" s="26"/>
      <c r="FZ540" s="26"/>
      <c r="GA540" s="26"/>
      <c r="GB540" s="26"/>
      <c r="GC540" s="26"/>
      <c r="GD540" s="26"/>
      <c r="GE540" s="26"/>
      <c r="GF540" s="26"/>
      <c r="GG540" s="26"/>
      <c r="GH540" s="26"/>
      <c r="GI540" s="26"/>
      <c r="GJ540" s="26"/>
      <c r="GK540" s="26"/>
      <c r="GL540" s="26"/>
      <c r="GM540" s="26"/>
      <c r="GN540" s="26"/>
      <c r="GO540" s="26"/>
      <c r="GP540" s="26"/>
      <c r="GQ540" s="26"/>
      <c r="GR540" s="26"/>
      <c r="GS540" s="26"/>
      <c r="GT540" s="26"/>
      <c r="GU540" s="26"/>
      <c r="GV540" s="26"/>
      <c r="GW540" s="26"/>
      <c r="GX540" s="26"/>
      <c r="GY540" s="26"/>
      <c r="GZ540" s="26"/>
      <c r="HA540" s="26"/>
      <c r="HB540" s="26"/>
      <c r="HC540" s="26"/>
      <c r="HD540" s="26"/>
      <c r="HE540" s="26"/>
      <c r="HF540" s="26"/>
      <c r="HG540" s="26"/>
      <c r="HH540" s="26"/>
    </row>
    <row r="541" spans="1:21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c r="BM541" s="26"/>
      <c r="BN541" s="26"/>
      <c r="BO541" s="26"/>
      <c r="BP541" s="26"/>
      <c r="BQ541" s="26"/>
      <c r="BR541" s="26"/>
      <c r="BS541" s="26"/>
      <c r="BT541" s="26"/>
      <c r="BU541" s="26"/>
      <c r="BV541" s="26"/>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26"/>
      <c r="CU541" s="26"/>
      <c r="CV541" s="26"/>
      <c r="CW541" s="26"/>
      <c r="CX541" s="26"/>
      <c r="CY541" s="26"/>
      <c r="CZ541" s="26"/>
      <c r="DA541" s="26"/>
      <c r="DB541" s="26"/>
      <c r="DC541" s="26"/>
      <c r="DD541" s="26"/>
      <c r="DE541" s="26"/>
      <c r="DF541" s="26"/>
      <c r="DG541" s="26"/>
      <c r="DH541" s="26"/>
      <c r="DI541" s="26"/>
      <c r="DJ541" s="26"/>
      <c r="DK541" s="26"/>
      <c r="DL541" s="26"/>
      <c r="DM541" s="26"/>
      <c r="DN541" s="26"/>
      <c r="DO541" s="26"/>
      <c r="DP541" s="26"/>
      <c r="DQ541" s="26"/>
      <c r="DR541" s="26"/>
      <c r="DS541" s="26"/>
      <c r="DT541" s="26"/>
      <c r="DU541" s="26"/>
      <c r="DV541" s="26"/>
      <c r="DW541" s="26"/>
      <c r="DX541" s="26"/>
      <c r="DY541" s="26"/>
      <c r="DZ541" s="26"/>
      <c r="EA541" s="26"/>
      <c r="EB541" s="26"/>
      <c r="EC541" s="26"/>
      <c r="ED541" s="26"/>
      <c r="EE541" s="26"/>
      <c r="EF541" s="26"/>
      <c r="EG541" s="26"/>
      <c r="EH541" s="26"/>
      <c r="EI541" s="26"/>
      <c r="EJ541" s="26"/>
      <c r="EK541" s="26"/>
      <c r="EL541" s="26"/>
      <c r="EM541" s="26"/>
      <c r="EN541" s="26"/>
      <c r="EO541" s="26"/>
      <c r="EP541" s="26"/>
      <c r="EQ541" s="26"/>
      <c r="ER541" s="26"/>
      <c r="ES541" s="26"/>
      <c r="ET541" s="26"/>
      <c r="EU541" s="26"/>
      <c r="EV541" s="26"/>
      <c r="EW541" s="26"/>
      <c r="EX541" s="26"/>
      <c r="EY541" s="26"/>
      <c r="EZ541" s="26"/>
      <c r="FA541" s="26"/>
      <c r="FB541" s="26"/>
      <c r="FC541" s="26"/>
      <c r="FD541" s="26"/>
      <c r="FE541" s="26"/>
      <c r="FF541" s="26"/>
      <c r="FG541" s="26"/>
      <c r="FH541" s="26"/>
      <c r="FI541" s="26"/>
      <c r="FJ541" s="26"/>
      <c r="FK541" s="26"/>
      <c r="FL541" s="26"/>
      <c r="FM541" s="26"/>
      <c r="FN541" s="26"/>
      <c r="FO541" s="26"/>
      <c r="FP541" s="26"/>
      <c r="FQ541" s="26"/>
      <c r="FR541" s="26"/>
      <c r="FS541" s="26"/>
      <c r="FT541" s="26"/>
      <c r="FU541" s="26"/>
      <c r="FV541" s="26"/>
      <c r="FW541" s="26"/>
      <c r="FX541" s="26"/>
      <c r="FY541" s="26"/>
      <c r="FZ541" s="26"/>
      <c r="GA541" s="26"/>
      <c r="GB541" s="26"/>
      <c r="GC541" s="26"/>
      <c r="GD541" s="26"/>
      <c r="GE541" s="26"/>
      <c r="GF541" s="26"/>
      <c r="GG541" s="26"/>
      <c r="GH541" s="26"/>
      <c r="GI541" s="26"/>
      <c r="GJ541" s="26"/>
      <c r="GK541" s="26"/>
      <c r="GL541" s="26"/>
      <c r="GM541" s="26"/>
      <c r="GN541" s="26"/>
      <c r="GO541" s="26"/>
      <c r="GP541" s="26"/>
      <c r="GQ541" s="26"/>
      <c r="GR541" s="26"/>
      <c r="GS541" s="26"/>
      <c r="GT541" s="26"/>
      <c r="GU541" s="26"/>
      <c r="GV541" s="26"/>
      <c r="GW541" s="26"/>
      <c r="GX541" s="26"/>
      <c r="GY541" s="26"/>
      <c r="GZ541" s="26"/>
      <c r="HA541" s="26"/>
      <c r="HB541" s="26"/>
      <c r="HC541" s="26"/>
      <c r="HD541" s="26"/>
      <c r="HE541" s="26"/>
      <c r="HF541" s="26"/>
      <c r="HG541" s="26"/>
      <c r="HH541" s="26"/>
    </row>
    <row r="542" spans="1:21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c r="BM542" s="26"/>
      <c r="BN542" s="26"/>
      <c r="BO542" s="26"/>
      <c r="BP542" s="26"/>
      <c r="BQ542" s="26"/>
      <c r="BR542" s="26"/>
      <c r="BS542" s="26"/>
      <c r="BT542" s="26"/>
      <c r="BU542" s="26"/>
      <c r="BV542" s="26"/>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26"/>
      <c r="CU542" s="26"/>
      <c r="CV542" s="26"/>
      <c r="CW542" s="26"/>
      <c r="CX542" s="26"/>
      <c r="CY542" s="26"/>
      <c r="CZ542" s="26"/>
      <c r="DA542" s="26"/>
      <c r="DB542" s="26"/>
      <c r="DC542" s="26"/>
      <c r="DD542" s="26"/>
      <c r="DE542" s="26"/>
      <c r="DF542" s="26"/>
      <c r="DG542" s="26"/>
      <c r="DH542" s="26"/>
      <c r="DI542" s="26"/>
      <c r="DJ542" s="26"/>
      <c r="DK542" s="26"/>
      <c r="DL542" s="26"/>
      <c r="DM542" s="26"/>
      <c r="DN542" s="26"/>
      <c r="DO542" s="26"/>
      <c r="DP542" s="26"/>
      <c r="DQ542" s="26"/>
      <c r="DR542" s="26"/>
      <c r="DS542" s="26"/>
      <c r="DT542" s="26"/>
      <c r="DU542" s="26"/>
      <c r="DV542" s="26"/>
      <c r="DW542" s="26"/>
      <c r="DX542" s="26"/>
      <c r="DY542" s="26"/>
      <c r="DZ542" s="26"/>
      <c r="EA542" s="26"/>
      <c r="EB542" s="26"/>
      <c r="EC542" s="26"/>
      <c r="ED542" s="26"/>
      <c r="EE542" s="26"/>
      <c r="EF542" s="26"/>
      <c r="EG542" s="26"/>
      <c r="EH542" s="26"/>
      <c r="EI542" s="26"/>
      <c r="EJ542" s="26"/>
      <c r="EK542" s="26"/>
      <c r="EL542" s="26"/>
      <c r="EM542" s="26"/>
      <c r="EN542" s="26"/>
      <c r="EO542" s="26"/>
      <c r="EP542" s="26"/>
      <c r="EQ542" s="26"/>
      <c r="ER542" s="26"/>
      <c r="ES542" s="26"/>
      <c r="ET542" s="26"/>
      <c r="EU542" s="26"/>
      <c r="EV542" s="26"/>
      <c r="EW542" s="26"/>
      <c r="EX542" s="26"/>
      <c r="EY542" s="26"/>
      <c r="EZ542" s="26"/>
      <c r="FA542" s="26"/>
      <c r="FB542" s="26"/>
      <c r="FC542" s="26"/>
      <c r="FD542" s="26"/>
      <c r="FE542" s="26"/>
      <c r="FF542" s="26"/>
      <c r="FG542" s="26"/>
      <c r="FH542" s="26"/>
      <c r="FI542" s="26"/>
      <c r="FJ542" s="26"/>
      <c r="FK542" s="26"/>
      <c r="FL542" s="26"/>
      <c r="FM542" s="26"/>
      <c r="FN542" s="26"/>
      <c r="FO542" s="26"/>
      <c r="FP542" s="26"/>
      <c r="FQ542" s="26"/>
      <c r="FR542" s="26"/>
      <c r="FS542" s="26"/>
      <c r="FT542" s="26"/>
      <c r="FU542" s="26"/>
      <c r="FV542" s="26"/>
      <c r="FW542" s="26"/>
      <c r="FX542" s="26"/>
      <c r="FY542" s="26"/>
      <c r="FZ542" s="26"/>
      <c r="GA542" s="26"/>
      <c r="GB542" s="26"/>
      <c r="GC542" s="26"/>
      <c r="GD542" s="26"/>
      <c r="GE542" s="26"/>
      <c r="GF542" s="26"/>
      <c r="GG542" s="26"/>
      <c r="GH542" s="26"/>
      <c r="GI542" s="26"/>
      <c r="GJ542" s="26"/>
      <c r="GK542" s="26"/>
      <c r="GL542" s="26"/>
      <c r="GM542" s="26"/>
      <c r="GN542" s="26"/>
      <c r="GO542" s="26"/>
      <c r="GP542" s="26"/>
      <c r="GQ542" s="26"/>
      <c r="GR542" s="26"/>
      <c r="GS542" s="26"/>
      <c r="GT542" s="26"/>
      <c r="GU542" s="26"/>
      <c r="GV542" s="26"/>
      <c r="GW542" s="26"/>
      <c r="GX542" s="26"/>
      <c r="GY542" s="26"/>
      <c r="GZ542" s="26"/>
      <c r="HA542" s="26"/>
      <c r="HB542" s="26"/>
      <c r="HC542" s="26"/>
      <c r="HD542" s="26"/>
      <c r="HE542" s="26"/>
      <c r="HF542" s="26"/>
      <c r="HG542" s="26"/>
      <c r="HH542" s="26"/>
    </row>
    <row r="543" spans="1:21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c r="BM543" s="26"/>
      <c r="BN543" s="26"/>
      <c r="BO543" s="26"/>
      <c r="BP543" s="26"/>
      <c r="BQ543" s="26"/>
      <c r="BR543" s="26"/>
      <c r="BS543" s="26"/>
      <c r="BT543" s="26"/>
      <c r="BU543" s="26"/>
      <c r="BV543" s="26"/>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26"/>
      <c r="CU543" s="26"/>
      <c r="CV543" s="26"/>
      <c r="CW543" s="26"/>
      <c r="CX543" s="26"/>
      <c r="CY543" s="26"/>
      <c r="CZ543" s="26"/>
      <c r="DA543" s="26"/>
      <c r="DB543" s="26"/>
      <c r="DC543" s="26"/>
      <c r="DD543" s="26"/>
      <c r="DE543" s="26"/>
      <c r="DF543" s="26"/>
      <c r="DG543" s="26"/>
      <c r="DH543" s="26"/>
      <c r="DI543" s="26"/>
      <c r="DJ543" s="26"/>
      <c r="DK543" s="26"/>
      <c r="DL543" s="26"/>
      <c r="DM543" s="26"/>
      <c r="DN543" s="26"/>
      <c r="DO543" s="26"/>
      <c r="DP543" s="26"/>
      <c r="DQ543" s="26"/>
      <c r="DR543" s="26"/>
      <c r="DS543" s="26"/>
      <c r="DT543" s="26"/>
      <c r="DU543" s="26"/>
      <c r="DV543" s="26"/>
      <c r="DW543" s="26"/>
      <c r="DX543" s="26"/>
      <c r="DY543" s="26"/>
      <c r="DZ543" s="26"/>
      <c r="EA543" s="26"/>
      <c r="EB543" s="26"/>
      <c r="EC543" s="26"/>
      <c r="ED543" s="26"/>
      <c r="EE543" s="26"/>
      <c r="EF543" s="26"/>
      <c r="EG543" s="26"/>
      <c r="EH543" s="26"/>
      <c r="EI543" s="26"/>
      <c r="EJ543" s="26"/>
      <c r="EK543" s="26"/>
      <c r="EL543" s="26"/>
      <c r="EM543" s="26"/>
      <c r="EN543" s="26"/>
      <c r="EO543" s="26"/>
      <c r="EP543" s="26"/>
      <c r="EQ543" s="26"/>
      <c r="ER543" s="26"/>
      <c r="ES543" s="26"/>
      <c r="ET543" s="26"/>
      <c r="EU543" s="26"/>
      <c r="EV543" s="26"/>
      <c r="EW543" s="26"/>
      <c r="EX543" s="26"/>
      <c r="EY543" s="26"/>
      <c r="EZ543" s="26"/>
      <c r="FA543" s="26"/>
      <c r="FB543" s="26"/>
      <c r="FC543" s="26"/>
      <c r="FD543" s="26"/>
      <c r="FE543" s="26"/>
      <c r="FF543" s="26"/>
      <c r="FG543" s="26"/>
      <c r="FH543" s="26"/>
      <c r="FI543" s="26"/>
      <c r="FJ543" s="26"/>
      <c r="FK543" s="26"/>
      <c r="FL543" s="26"/>
      <c r="FM543" s="26"/>
      <c r="FN543" s="26"/>
      <c r="FO543" s="26"/>
      <c r="FP543" s="26"/>
      <c r="FQ543" s="26"/>
      <c r="FR543" s="26"/>
      <c r="FS543" s="26"/>
      <c r="FT543" s="26"/>
      <c r="FU543" s="26"/>
      <c r="FV543" s="26"/>
      <c r="FW543" s="26"/>
      <c r="FX543" s="26"/>
      <c r="FY543" s="26"/>
      <c r="FZ543" s="26"/>
      <c r="GA543" s="26"/>
      <c r="GB543" s="26"/>
      <c r="GC543" s="26"/>
      <c r="GD543" s="26"/>
      <c r="GE543" s="26"/>
      <c r="GF543" s="26"/>
      <c r="GG543" s="26"/>
      <c r="GH543" s="26"/>
      <c r="GI543" s="26"/>
      <c r="GJ543" s="26"/>
      <c r="GK543" s="26"/>
      <c r="GL543" s="26"/>
      <c r="GM543" s="26"/>
      <c r="GN543" s="26"/>
      <c r="GO543" s="26"/>
      <c r="GP543" s="26"/>
      <c r="GQ543" s="26"/>
      <c r="GR543" s="26"/>
      <c r="GS543" s="26"/>
      <c r="GT543" s="26"/>
      <c r="GU543" s="26"/>
      <c r="GV543" s="26"/>
      <c r="GW543" s="26"/>
      <c r="GX543" s="26"/>
      <c r="GY543" s="26"/>
      <c r="GZ543" s="26"/>
      <c r="HA543" s="26"/>
      <c r="HB543" s="26"/>
      <c r="HC543" s="26"/>
      <c r="HD543" s="26"/>
      <c r="HE543" s="26"/>
      <c r="HF543" s="26"/>
      <c r="HG543" s="26"/>
      <c r="HH543" s="26"/>
    </row>
    <row r="544" spans="1:21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c r="BM544" s="26"/>
      <c r="BN544" s="26"/>
      <c r="BO544" s="26"/>
      <c r="BP544" s="26"/>
      <c r="BQ544" s="26"/>
      <c r="BR544" s="26"/>
      <c r="BS544" s="26"/>
      <c r="BT544" s="26"/>
      <c r="BU544" s="26"/>
      <c r="BV544" s="26"/>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26"/>
      <c r="CU544" s="26"/>
      <c r="CV544" s="26"/>
      <c r="CW544" s="26"/>
      <c r="CX544" s="26"/>
      <c r="CY544" s="26"/>
      <c r="CZ544" s="26"/>
      <c r="DA544" s="26"/>
      <c r="DB544" s="26"/>
      <c r="DC544" s="26"/>
      <c r="DD544" s="26"/>
      <c r="DE544" s="26"/>
      <c r="DF544" s="26"/>
      <c r="DG544" s="26"/>
      <c r="DH544" s="26"/>
      <c r="DI544" s="26"/>
      <c r="DJ544" s="26"/>
      <c r="DK544" s="26"/>
      <c r="DL544" s="26"/>
      <c r="DM544" s="26"/>
      <c r="DN544" s="26"/>
      <c r="DO544" s="26"/>
      <c r="DP544" s="26"/>
      <c r="DQ544" s="26"/>
      <c r="DR544" s="26"/>
      <c r="DS544" s="26"/>
      <c r="DT544" s="26"/>
      <c r="DU544" s="26"/>
      <c r="DV544" s="26"/>
      <c r="DW544" s="26"/>
      <c r="DX544" s="26"/>
      <c r="DY544" s="26"/>
      <c r="DZ544" s="26"/>
      <c r="EA544" s="26"/>
      <c r="EB544" s="26"/>
      <c r="EC544" s="26"/>
      <c r="ED544" s="26"/>
      <c r="EE544" s="26"/>
      <c r="EF544" s="26"/>
      <c r="EG544" s="26"/>
      <c r="EH544" s="26"/>
      <c r="EI544" s="26"/>
      <c r="EJ544" s="26"/>
      <c r="EK544" s="26"/>
      <c r="EL544" s="26"/>
      <c r="EM544" s="26"/>
      <c r="EN544" s="26"/>
      <c r="EO544" s="26"/>
      <c r="EP544" s="26"/>
      <c r="EQ544" s="26"/>
      <c r="ER544" s="26"/>
      <c r="ES544" s="26"/>
      <c r="ET544" s="26"/>
      <c r="EU544" s="26"/>
      <c r="EV544" s="26"/>
      <c r="EW544" s="26"/>
      <c r="EX544" s="26"/>
      <c r="EY544" s="26"/>
      <c r="EZ544" s="26"/>
      <c r="FA544" s="26"/>
      <c r="FB544" s="26"/>
      <c r="FC544" s="26"/>
      <c r="FD544" s="26"/>
      <c r="FE544" s="26"/>
      <c r="FF544" s="26"/>
      <c r="FG544" s="26"/>
      <c r="FH544" s="26"/>
      <c r="FI544" s="26"/>
      <c r="FJ544" s="26"/>
      <c r="FK544" s="26"/>
      <c r="FL544" s="26"/>
      <c r="FM544" s="26"/>
      <c r="FN544" s="26"/>
      <c r="FO544" s="26"/>
      <c r="FP544" s="26"/>
      <c r="FQ544" s="26"/>
      <c r="FR544" s="26"/>
      <c r="FS544" s="26"/>
      <c r="FT544" s="26"/>
      <c r="FU544" s="26"/>
      <c r="FV544" s="26"/>
      <c r="FW544" s="26"/>
      <c r="FX544" s="26"/>
      <c r="FY544" s="26"/>
      <c r="FZ544" s="26"/>
      <c r="GA544" s="26"/>
      <c r="GB544" s="26"/>
      <c r="GC544" s="26"/>
      <c r="GD544" s="26"/>
      <c r="GE544" s="26"/>
      <c r="GF544" s="26"/>
      <c r="GG544" s="26"/>
      <c r="GH544" s="26"/>
      <c r="GI544" s="26"/>
      <c r="GJ544" s="26"/>
      <c r="GK544" s="26"/>
      <c r="GL544" s="26"/>
      <c r="GM544" s="26"/>
      <c r="GN544" s="26"/>
      <c r="GO544" s="26"/>
      <c r="GP544" s="26"/>
      <c r="GQ544" s="26"/>
      <c r="GR544" s="26"/>
      <c r="GS544" s="26"/>
      <c r="GT544" s="26"/>
      <c r="GU544" s="26"/>
      <c r="GV544" s="26"/>
      <c r="GW544" s="26"/>
      <c r="GX544" s="26"/>
      <c r="GY544" s="26"/>
      <c r="GZ544" s="26"/>
      <c r="HA544" s="26"/>
      <c r="HB544" s="26"/>
      <c r="HC544" s="26"/>
      <c r="HD544" s="26"/>
      <c r="HE544" s="26"/>
      <c r="HF544" s="26"/>
      <c r="HG544" s="26"/>
      <c r="HH544" s="26"/>
    </row>
    <row r="545" spans="1:21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c r="BM545" s="26"/>
      <c r="BN545" s="26"/>
      <c r="BO545" s="26"/>
      <c r="BP545" s="26"/>
      <c r="BQ545" s="26"/>
      <c r="BR545" s="26"/>
      <c r="BS545" s="26"/>
      <c r="BT545" s="26"/>
      <c r="BU545" s="26"/>
      <c r="BV545" s="26"/>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26"/>
      <c r="CU545" s="26"/>
      <c r="CV545" s="26"/>
      <c r="CW545" s="26"/>
      <c r="CX545" s="26"/>
      <c r="CY545" s="26"/>
      <c r="CZ545" s="26"/>
      <c r="DA545" s="26"/>
      <c r="DB545" s="26"/>
      <c r="DC545" s="26"/>
      <c r="DD545" s="26"/>
      <c r="DE545" s="26"/>
      <c r="DF545" s="26"/>
      <c r="DG545" s="26"/>
      <c r="DH545" s="26"/>
      <c r="DI545" s="26"/>
      <c r="DJ545" s="26"/>
      <c r="DK545" s="26"/>
      <c r="DL545" s="26"/>
      <c r="DM545" s="26"/>
      <c r="DN545" s="26"/>
      <c r="DO545" s="26"/>
      <c r="DP545" s="26"/>
      <c r="DQ545" s="26"/>
      <c r="DR545" s="26"/>
      <c r="DS545" s="26"/>
      <c r="DT545" s="26"/>
      <c r="DU545" s="26"/>
      <c r="DV545" s="26"/>
      <c r="DW545" s="26"/>
      <c r="DX545" s="26"/>
      <c r="DY545" s="26"/>
      <c r="DZ545" s="26"/>
      <c r="EA545" s="26"/>
      <c r="EB545" s="26"/>
      <c r="EC545" s="26"/>
      <c r="ED545" s="26"/>
      <c r="EE545" s="26"/>
      <c r="EF545" s="26"/>
      <c r="EG545" s="26"/>
      <c r="EH545" s="26"/>
      <c r="EI545" s="26"/>
      <c r="EJ545" s="26"/>
      <c r="EK545" s="26"/>
      <c r="EL545" s="26"/>
      <c r="EM545" s="26"/>
      <c r="EN545" s="26"/>
      <c r="EO545" s="26"/>
      <c r="EP545" s="26"/>
      <c r="EQ545" s="26"/>
      <c r="ER545" s="26"/>
      <c r="ES545" s="26"/>
      <c r="ET545" s="26"/>
      <c r="EU545" s="26"/>
      <c r="EV545" s="26"/>
      <c r="EW545" s="26"/>
      <c r="EX545" s="26"/>
      <c r="EY545" s="26"/>
      <c r="EZ545" s="26"/>
      <c r="FA545" s="26"/>
      <c r="FB545" s="26"/>
      <c r="FC545" s="26"/>
      <c r="FD545" s="26"/>
      <c r="FE545" s="26"/>
      <c r="FF545" s="26"/>
      <c r="FG545" s="26"/>
      <c r="FH545" s="26"/>
      <c r="FI545" s="26"/>
      <c r="FJ545" s="26"/>
      <c r="FK545" s="26"/>
      <c r="FL545" s="26"/>
      <c r="FM545" s="26"/>
      <c r="FN545" s="26"/>
      <c r="FO545" s="26"/>
      <c r="FP545" s="26"/>
      <c r="FQ545" s="26"/>
      <c r="FR545" s="26"/>
      <c r="FS545" s="26"/>
      <c r="FT545" s="26"/>
      <c r="FU545" s="26"/>
      <c r="FV545" s="26"/>
      <c r="FW545" s="26"/>
      <c r="FX545" s="26"/>
      <c r="FY545" s="26"/>
      <c r="FZ545" s="26"/>
      <c r="GA545" s="26"/>
      <c r="GB545" s="26"/>
      <c r="GC545" s="26"/>
      <c r="GD545" s="26"/>
      <c r="GE545" s="26"/>
      <c r="GF545" s="26"/>
      <c r="GG545" s="26"/>
      <c r="GH545" s="26"/>
      <c r="GI545" s="26"/>
      <c r="GJ545" s="26"/>
      <c r="GK545" s="26"/>
      <c r="GL545" s="26"/>
      <c r="GM545" s="26"/>
      <c r="GN545" s="26"/>
      <c r="GO545" s="26"/>
      <c r="GP545" s="26"/>
      <c r="GQ545" s="26"/>
      <c r="GR545" s="26"/>
      <c r="GS545" s="26"/>
      <c r="GT545" s="26"/>
      <c r="GU545" s="26"/>
      <c r="GV545" s="26"/>
      <c r="GW545" s="26"/>
      <c r="GX545" s="26"/>
      <c r="GY545" s="26"/>
      <c r="GZ545" s="26"/>
      <c r="HA545" s="26"/>
      <c r="HB545" s="26"/>
      <c r="HC545" s="26"/>
      <c r="HD545" s="26"/>
      <c r="HE545" s="26"/>
      <c r="HF545" s="26"/>
      <c r="HG545" s="26"/>
      <c r="HH545" s="26"/>
    </row>
    <row r="546" spans="1:21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c r="BM546" s="26"/>
      <c r="BN546" s="26"/>
      <c r="BO546" s="26"/>
      <c r="BP546" s="26"/>
      <c r="BQ546" s="26"/>
      <c r="BR546" s="26"/>
      <c r="BS546" s="26"/>
      <c r="BT546" s="26"/>
      <c r="BU546" s="26"/>
      <c r="BV546" s="26"/>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26"/>
      <c r="CU546" s="26"/>
      <c r="CV546" s="26"/>
      <c r="CW546" s="26"/>
      <c r="CX546" s="26"/>
      <c r="CY546" s="26"/>
      <c r="CZ546" s="26"/>
      <c r="DA546" s="26"/>
      <c r="DB546" s="26"/>
      <c r="DC546" s="26"/>
      <c r="DD546" s="26"/>
      <c r="DE546" s="26"/>
      <c r="DF546" s="26"/>
      <c r="DG546" s="26"/>
      <c r="DH546" s="26"/>
      <c r="DI546" s="26"/>
      <c r="DJ546" s="26"/>
      <c r="DK546" s="26"/>
      <c r="DL546" s="26"/>
      <c r="DM546" s="26"/>
      <c r="DN546" s="26"/>
      <c r="DO546" s="26"/>
      <c r="DP546" s="26"/>
      <c r="DQ546" s="26"/>
      <c r="DR546" s="26"/>
      <c r="DS546" s="26"/>
      <c r="DT546" s="26"/>
      <c r="DU546" s="26"/>
      <c r="DV546" s="26"/>
      <c r="DW546" s="26"/>
      <c r="DX546" s="26"/>
      <c r="DY546" s="26"/>
      <c r="DZ546" s="26"/>
      <c r="EA546" s="26"/>
      <c r="EB546" s="26"/>
      <c r="EC546" s="26"/>
      <c r="ED546" s="26"/>
      <c r="EE546" s="26"/>
      <c r="EF546" s="26"/>
      <c r="EG546" s="26"/>
      <c r="EH546" s="26"/>
      <c r="EI546" s="26"/>
      <c r="EJ546" s="26"/>
      <c r="EK546" s="26"/>
      <c r="EL546" s="26"/>
      <c r="EM546" s="26"/>
      <c r="EN546" s="26"/>
      <c r="EO546" s="26"/>
      <c r="EP546" s="26"/>
      <c r="EQ546" s="26"/>
      <c r="ER546" s="26"/>
      <c r="ES546" s="26"/>
      <c r="ET546" s="26"/>
      <c r="EU546" s="26"/>
      <c r="EV546" s="26"/>
      <c r="EW546" s="26"/>
      <c r="EX546" s="26"/>
      <c r="EY546" s="26"/>
      <c r="EZ546" s="26"/>
      <c r="FA546" s="26"/>
      <c r="FB546" s="26"/>
      <c r="FC546" s="26"/>
      <c r="FD546" s="26"/>
      <c r="FE546" s="26"/>
      <c r="FF546" s="26"/>
      <c r="FG546" s="26"/>
      <c r="FH546" s="26"/>
      <c r="FI546" s="26"/>
      <c r="FJ546" s="26"/>
      <c r="FK546" s="26"/>
      <c r="FL546" s="26"/>
      <c r="FM546" s="26"/>
      <c r="FN546" s="26"/>
      <c r="FO546" s="26"/>
      <c r="FP546" s="26"/>
      <c r="FQ546" s="26"/>
      <c r="FR546" s="26"/>
      <c r="FS546" s="26"/>
      <c r="FT546" s="26"/>
      <c r="FU546" s="26"/>
      <c r="FV546" s="26"/>
      <c r="FW546" s="26"/>
      <c r="FX546" s="26"/>
      <c r="FY546" s="26"/>
      <c r="FZ546" s="26"/>
      <c r="GA546" s="26"/>
      <c r="GB546" s="26"/>
      <c r="GC546" s="26"/>
      <c r="GD546" s="26"/>
      <c r="GE546" s="26"/>
      <c r="GF546" s="26"/>
      <c r="GG546" s="26"/>
      <c r="GH546" s="26"/>
      <c r="GI546" s="26"/>
      <c r="GJ546" s="26"/>
      <c r="GK546" s="26"/>
      <c r="GL546" s="26"/>
      <c r="GM546" s="26"/>
      <c r="GN546" s="26"/>
      <c r="GO546" s="26"/>
      <c r="GP546" s="26"/>
      <c r="GQ546" s="26"/>
      <c r="GR546" s="26"/>
      <c r="GS546" s="26"/>
      <c r="GT546" s="26"/>
      <c r="GU546" s="26"/>
      <c r="GV546" s="26"/>
      <c r="GW546" s="26"/>
      <c r="GX546" s="26"/>
      <c r="GY546" s="26"/>
      <c r="GZ546" s="26"/>
      <c r="HA546" s="26"/>
      <c r="HB546" s="26"/>
      <c r="HC546" s="26"/>
      <c r="HD546" s="26"/>
      <c r="HE546" s="26"/>
      <c r="HF546" s="26"/>
      <c r="HG546" s="26"/>
      <c r="HH546" s="26"/>
    </row>
    <row r="547" spans="1:21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c r="BM547" s="26"/>
      <c r="BN547" s="26"/>
      <c r="BO547" s="26"/>
      <c r="BP547" s="26"/>
      <c r="BQ547" s="26"/>
      <c r="BR547" s="26"/>
      <c r="BS547" s="26"/>
      <c r="BT547" s="26"/>
      <c r="BU547" s="26"/>
      <c r="BV547" s="26"/>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26"/>
      <c r="CU547" s="26"/>
      <c r="CV547" s="26"/>
      <c r="CW547" s="26"/>
      <c r="CX547" s="26"/>
      <c r="CY547" s="26"/>
      <c r="CZ547" s="26"/>
      <c r="DA547" s="26"/>
      <c r="DB547" s="26"/>
      <c r="DC547" s="26"/>
      <c r="DD547" s="26"/>
      <c r="DE547" s="26"/>
      <c r="DF547" s="26"/>
      <c r="DG547" s="26"/>
      <c r="DH547" s="26"/>
      <c r="DI547" s="26"/>
      <c r="DJ547" s="26"/>
      <c r="DK547" s="26"/>
      <c r="DL547" s="26"/>
      <c r="DM547" s="26"/>
      <c r="DN547" s="26"/>
      <c r="DO547" s="26"/>
      <c r="DP547" s="26"/>
      <c r="DQ547" s="26"/>
      <c r="DR547" s="26"/>
      <c r="DS547" s="26"/>
      <c r="DT547" s="26"/>
      <c r="DU547" s="26"/>
      <c r="DV547" s="26"/>
      <c r="DW547" s="26"/>
      <c r="DX547" s="26"/>
      <c r="DY547" s="26"/>
      <c r="DZ547" s="26"/>
      <c r="EA547" s="26"/>
      <c r="EB547" s="26"/>
      <c r="EC547" s="26"/>
      <c r="ED547" s="26"/>
      <c r="EE547" s="26"/>
      <c r="EF547" s="26"/>
      <c r="EG547" s="26"/>
      <c r="EH547" s="26"/>
      <c r="EI547" s="26"/>
      <c r="EJ547" s="26"/>
      <c r="EK547" s="26"/>
      <c r="EL547" s="26"/>
      <c r="EM547" s="26"/>
      <c r="EN547" s="26"/>
      <c r="EO547" s="26"/>
      <c r="EP547" s="26"/>
      <c r="EQ547" s="26"/>
      <c r="ER547" s="26"/>
      <c r="ES547" s="26"/>
      <c r="ET547" s="26"/>
      <c r="EU547" s="26"/>
      <c r="EV547" s="26"/>
      <c r="EW547" s="26"/>
      <c r="EX547" s="26"/>
      <c r="EY547" s="26"/>
      <c r="EZ547" s="26"/>
      <c r="FA547" s="26"/>
      <c r="FB547" s="26"/>
      <c r="FC547" s="26"/>
      <c r="FD547" s="26"/>
      <c r="FE547" s="26"/>
      <c r="FF547" s="26"/>
      <c r="FG547" s="26"/>
      <c r="FH547" s="26"/>
      <c r="FI547" s="26"/>
      <c r="FJ547" s="26"/>
      <c r="FK547" s="26"/>
      <c r="FL547" s="26"/>
      <c r="FM547" s="26"/>
      <c r="FN547" s="26"/>
      <c r="FO547" s="26"/>
      <c r="FP547" s="26"/>
      <c r="FQ547" s="26"/>
      <c r="FR547" s="26"/>
      <c r="FS547" s="26"/>
      <c r="FT547" s="26"/>
      <c r="FU547" s="26"/>
      <c r="FV547" s="26"/>
      <c r="FW547" s="26"/>
      <c r="FX547" s="26"/>
      <c r="FY547" s="26"/>
      <c r="FZ547" s="26"/>
      <c r="GA547" s="26"/>
      <c r="GB547" s="26"/>
      <c r="GC547" s="26"/>
      <c r="GD547" s="26"/>
      <c r="GE547" s="26"/>
      <c r="GF547" s="26"/>
      <c r="GG547" s="26"/>
      <c r="GH547" s="26"/>
      <c r="GI547" s="26"/>
      <c r="GJ547" s="26"/>
      <c r="GK547" s="26"/>
      <c r="GL547" s="26"/>
      <c r="GM547" s="26"/>
      <c r="GN547" s="26"/>
      <c r="GO547" s="26"/>
      <c r="GP547" s="26"/>
      <c r="GQ547" s="26"/>
      <c r="GR547" s="26"/>
      <c r="GS547" s="26"/>
      <c r="GT547" s="26"/>
      <c r="GU547" s="26"/>
      <c r="GV547" s="26"/>
      <c r="GW547" s="26"/>
      <c r="GX547" s="26"/>
      <c r="GY547" s="26"/>
      <c r="GZ547" s="26"/>
      <c r="HA547" s="26"/>
      <c r="HB547" s="26"/>
      <c r="HC547" s="26"/>
      <c r="HD547" s="26"/>
      <c r="HE547" s="26"/>
      <c r="HF547" s="26"/>
      <c r="HG547" s="26"/>
      <c r="HH547" s="26"/>
    </row>
    <row r="548" spans="1:21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c r="BM548" s="26"/>
      <c r="BN548" s="26"/>
      <c r="BO548" s="26"/>
      <c r="BP548" s="26"/>
      <c r="BQ548" s="26"/>
      <c r="BR548" s="26"/>
      <c r="BS548" s="26"/>
      <c r="BT548" s="26"/>
      <c r="BU548" s="26"/>
      <c r="BV548" s="26"/>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26"/>
      <c r="CU548" s="26"/>
      <c r="CV548" s="26"/>
      <c r="CW548" s="26"/>
      <c r="CX548" s="26"/>
      <c r="CY548" s="26"/>
      <c r="CZ548" s="26"/>
      <c r="DA548" s="26"/>
      <c r="DB548" s="26"/>
      <c r="DC548" s="26"/>
      <c r="DD548" s="26"/>
      <c r="DE548" s="26"/>
      <c r="DF548" s="26"/>
      <c r="DG548" s="26"/>
      <c r="DH548" s="26"/>
      <c r="DI548" s="26"/>
      <c r="DJ548" s="26"/>
      <c r="DK548" s="26"/>
      <c r="DL548" s="26"/>
      <c r="DM548" s="26"/>
      <c r="DN548" s="26"/>
      <c r="DO548" s="26"/>
      <c r="DP548" s="26"/>
      <c r="DQ548" s="26"/>
      <c r="DR548" s="26"/>
      <c r="DS548" s="26"/>
      <c r="DT548" s="26"/>
      <c r="DU548" s="26"/>
      <c r="DV548" s="26"/>
      <c r="DW548" s="26"/>
      <c r="DX548" s="26"/>
      <c r="DY548" s="26"/>
      <c r="DZ548" s="26"/>
      <c r="EA548" s="26"/>
      <c r="EB548" s="26"/>
      <c r="EC548" s="26"/>
      <c r="ED548" s="26"/>
      <c r="EE548" s="26"/>
      <c r="EF548" s="26"/>
      <c r="EG548" s="26"/>
      <c r="EH548" s="26"/>
      <c r="EI548" s="26"/>
      <c r="EJ548" s="26"/>
      <c r="EK548" s="26"/>
      <c r="EL548" s="26"/>
      <c r="EM548" s="26"/>
      <c r="EN548" s="26"/>
      <c r="EO548" s="26"/>
      <c r="EP548" s="26"/>
      <c r="EQ548" s="26"/>
      <c r="ER548" s="26"/>
      <c r="ES548" s="26"/>
      <c r="ET548" s="26"/>
      <c r="EU548" s="26"/>
      <c r="EV548" s="26"/>
      <c r="EW548" s="26"/>
      <c r="EX548" s="26"/>
      <c r="EY548" s="26"/>
      <c r="EZ548" s="26"/>
      <c r="FA548" s="26"/>
      <c r="FB548" s="26"/>
      <c r="FC548" s="26"/>
      <c r="FD548" s="26"/>
      <c r="FE548" s="26"/>
      <c r="FF548" s="26"/>
      <c r="FG548" s="26"/>
      <c r="FH548" s="26"/>
      <c r="FI548" s="26"/>
      <c r="FJ548" s="26"/>
      <c r="FK548" s="26"/>
      <c r="FL548" s="26"/>
      <c r="FM548" s="26"/>
      <c r="FN548" s="26"/>
      <c r="FO548" s="26"/>
      <c r="FP548" s="26"/>
      <c r="FQ548" s="26"/>
      <c r="FR548" s="26"/>
      <c r="FS548" s="26"/>
      <c r="FT548" s="26"/>
      <c r="FU548" s="26"/>
      <c r="FV548" s="26"/>
      <c r="FW548" s="26"/>
      <c r="FX548" s="26"/>
      <c r="FY548" s="26"/>
      <c r="FZ548" s="26"/>
      <c r="GA548" s="26"/>
      <c r="GB548" s="26"/>
      <c r="GC548" s="26"/>
      <c r="GD548" s="26"/>
      <c r="GE548" s="26"/>
      <c r="GF548" s="26"/>
      <c r="GG548" s="26"/>
      <c r="GH548" s="26"/>
      <c r="GI548" s="26"/>
      <c r="GJ548" s="26"/>
      <c r="GK548" s="26"/>
      <c r="GL548" s="26"/>
      <c r="GM548" s="26"/>
      <c r="GN548" s="26"/>
      <c r="GO548" s="26"/>
      <c r="GP548" s="26"/>
      <c r="GQ548" s="26"/>
      <c r="GR548" s="26"/>
      <c r="GS548" s="26"/>
      <c r="GT548" s="26"/>
      <c r="GU548" s="26"/>
      <c r="GV548" s="26"/>
      <c r="GW548" s="26"/>
      <c r="GX548" s="26"/>
      <c r="GY548" s="26"/>
      <c r="GZ548" s="26"/>
      <c r="HA548" s="26"/>
      <c r="HB548" s="26"/>
      <c r="HC548" s="26"/>
      <c r="HD548" s="26"/>
      <c r="HE548" s="26"/>
      <c r="HF548" s="26"/>
      <c r="HG548" s="26"/>
      <c r="HH548" s="26"/>
    </row>
    <row r="549" spans="1:21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c r="BM549" s="26"/>
      <c r="BN549" s="26"/>
      <c r="BO549" s="26"/>
      <c r="BP549" s="26"/>
      <c r="BQ549" s="26"/>
      <c r="BR549" s="26"/>
      <c r="BS549" s="26"/>
      <c r="BT549" s="26"/>
      <c r="BU549" s="26"/>
      <c r="BV549" s="26"/>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26"/>
      <c r="CU549" s="26"/>
      <c r="CV549" s="26"/>
      <c r="CW549" s="26"/>
      <c r="CX549" s="26"/>
      <c r="CY549" s="26"/>
      <c r="CZ549" s="26"/>
      <c r="DA549" s="26"/>
      <c r="DB549" s="26"/>
      <c r="DC549" s="26"/>
      <c r="DD549" s="26"/>
      <c r="DE549" s="26"/>
      <c r="DF549" s="26"/>
      <c r="DG549" s="26"/>
      <c r="DH549" s="26"/>
      <c r="DI549" s="26"/>
      <c r="DJ549" s="26"/>
      <c r="DK549" s="26"/>
      <c r="DL549" s="26"/>
      <c r="DM549" s="26"/>
      <c r="DN549" s="26"/>
      <c r="DO549" s="26"/>
      <c r="DP549" s="26"/>
      <c r="DQ549" s="26"/>
      <c r="DR549" s="26"/>
      <c r="DS549" s="26"/>
      <c r="DT549" s="26"/>
      <c r="DU549" s="26"/>
      <c r="DV549" s="26"/>
      <c r="DW549" s="26"/>
      <c r="DX549" s="26"/>
      <c r="DY549" s="26"/>
      <c r="DZ549" s="26"/>
      <c r="EA549" s="26"/>
      <c r="EB549" s="26"/>
      <c r="EC549" s="26"/>
      <c r="ED549" s="26"/>
      <c r="EE549" s="26"/>
      <c r="EF549" s="26"/>
      <c r="EG549" s="26"/>
      <c r="EH549" s="26"/>
      <c r="EI549" s="26"/>
      <c r="EJ549" s="26"/>
      <c r="EK549" s="26"/>
      <c r="EL549" s="26"/>
      <c r="EM549" s="26"/>
      <c r="EN549" s="26"/>
      <c r="EO549" s="26"/>
      <c r="EP549" s="26"/>
      <c r="EQ549" s="26"/>
      <c r="ER549" s="26"/>
      <c r="ES549" s="26"/>
      <c r="ET549" s="26"/>
      <c r="EU549" s="26"/>
      <c r="EV549" s="26"/>
      <c r="EW549" s="26"/>
      <c r="EX549" s="26"/>
      <c r="EY549" s="26"/>
      <c r="EZ549" s="26"/>
      <c r="FA549" s="26"/>
      <c r="FB549" s="26"/>
      <c r="FC549" s="26"/>
      <c r="FD549" s="26"/>
      <c r="FE549" s="26"/>
      <c r="FF549" s="26"/>
      <c r="FG549" s="26"/>
      <c r="FH549" s="26"/>
      <c r="FI549" s="26"/>
      <c r="FJ549" s="26"/>
      <c r="FK549" s="26"/>
      <c r="FL549" s="26"/>
      <c r="FM549" s="26"/>
      <c r="FN549" s="26"/>
      <c r="FO549" s="26"/>
      <c r="FP549" s="26"/>
      <c r="FQ549" s="26"/>
      <c r="FR549" s="26"/>
      <c r="FS549" s="26"/>
      <c r="FT549" s="26"/>
      <c r="FU549" s="26"/>
      <c r="FV549" s="26"/>
      <c r="FW549" s="26"/>
      <c r="FX549" s="26"/>
      <c r="FY549" s="26"/>
      <c r="FZ549" s="26"/>
      <c r="GA549" s="26"/>
      <c r="GB549" s="26"/>
      <c r="GC549" s="26"/>
      <c r="GD549" s="26"/>
      <c r="GE549" s="26"/>
      <c r="GF549" s="26"/>
      <c r="GG549" s="26"/>
      <c r="GH549" s="26"/>
      <c r="GI549" s="26"/>
      <c r="GJ549" s="26"/>
      <c r="GK549" s="26"/>
      <c r="GL549" s="26"/>
      <c r="GM549" s="26"/>
      <c r="GN549" s="26"/>
      <c r="GO549" s="26"/>
      <c r="GP549" s="26"/>
      <c r="GQ549" s="26"/>
      <c r="GR549" s="26"/>
      <c r="GS549" s="26"/>
      <c r="GT549" s="26"/>
      <c r="GU549" s="26"/>
      <c r="GV549" s="26"/>
      <c r="GW549" s="26"/>
      <c r="GX549" s="26"/>
      <c r="GY549" s="26"/>
      <c r="GZ549" s="26"/>
      <c r="HA549" s="26"/>
      <c r="HB549" s="26"/>
      <c r="HC549" s="26"/>
      <c r="HD549" s="26"/>
      <c r="HE549" s="26"/>
      <c r="HF549" s="26"/>
      <c r="HG549" s="26"/>
      <c r="HH549" s="26"/>
    </row>
    <row r="550" spans="1:21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c r="BM550" s="26"/>
      <c r="BN550" s="26"/>
      <c r="BO550" s="26"/>
      <c r="BP550" s="26"/>
      <c r="BQ550" s="26"/>
      <c r="BR550" s="26"/>
      <c r="BS550" s="26"/>
      <c r="BT550" s="26"/>
      <c r="BU550" s="26"/>
      <c r="BV550" s="26"/>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26"/>
      <c r="CU550" s="26"/>
      <c r="CV550" s="26"/>
      <c r="CW550" s="26"/>
      <c r="CX550" s="26"/>
      <c r="CY550" s="26"/>
      <c r="CZ550" s="26"/>
      <c r="DA550" s="26"/>
      <c r="DB550" s="26"/>
      <c r="DC550" s="26"/>
      <c r="DD550" s="26"/>
      <c r="DE550" s="26"/>
      <c r="DF550" s="26"/>
      <c r="DG550" s="26"/>
      <c r="DH550" s="26"/>
      <c r="DI550" s="26"/>
      <c r="DJ550" s="26"/>
      <c r="DK550" s="26"/>
      <c r="DL550" s="26"/>
      <c r="DM550" s="26"/>
      <c r="DN550" s="26"/>
      <c r="DO550" s="26"/>
      <c r="DP550" s="26"/>
      <c r="DQ550" s="26"/>
      <c r="DR550" s="26"/>
      <c r="DS550" s="26"/>
      <c r="DT550" s="26"/>
      <c r="DU550" s="26"/>
      <c r="DV550" s="26"/>
      <c r="DW550" s="26"/>
      <c r="DX550" s="26"/>
      <c r="DY550" s="26"/>
      <c r="DZ550" s="26"/>
      <c r="EA550" s="26"/>
      <c r="EB550" s="26"/>
      <c r="EC550" s="26"/>
      <c r="ED550" s="26"/>
      <c r="EE550" s="26"/>
      <c r="EF550" s="26"/>
      <c r="EG550" s="26"/>
      <c r="EH550" s="26"/>
      <c r="EI550" s="26"/>
      <c r="EJ550" s="26"/>
      <c r="EK550" s="26"/>
      <c r="EL550" s="26"/>
      <c r="EM550" s="26"/>
      <c r="EN550" s="26"/>
      <c r="EO550" s="26"/>
      <c r="EP550" s="26"/>
      <c r="EQ550" s="26"/>
      <c r="ER550" s="26"/>
      <c r="ES550" s="26"/>
      <c r="ET550" s="26"/>
      <c r="EU550" s="26"/>
      <c r="EV550" s="26"/>
      <c r="EW550" s="26"/>
      <c r="EX550" s="26"/>
      <c r="EY550" s="26"/>
      <c r="EZ550" s="26"/>
      <c r="FA550" s="26"/>
      <c r="FB550" s="26"/>
      <c r="FC550" s="26"/>
      <c r="FD550" s="26"/>
      <c r="FE550" s="26"/>
      <c r="FF550" s="26"/>
      <c r="FG550" s="26"/>
      <c r="FH550" s="26"/>
      <c r="FI550" s="26"/>
      <c r="FJ550" s="26"/>
      <c r="FK550" s="26"/>
      <c r="FL550" s="26"/>
      <c r="FM550" s="26"/>
      <c r="FN550" s="26"/>
      <c r="FO550" s="26"/>
      <c r="FP550" s="26"/>
      <c r="FQ550" s="26"/>
      <c r="FR550" s="26"/>
      <c r="FS550" s="26"/>
      <c r="FT550" s="26"/>
      <c r="FU550" s="26"/>
      <c r="FV550" s="26"/>
      <c r="FW550" s="26"/>
      <c r="FX550" s="26"/>
      <c r="FY550" s="26"/>
      <c r="FZ550" s="26"/>
      <c r="GA550" s="26"/>
      <c r="GB550" s="26"/>
      <c r="GC550" s="26"/>
      <c r="GD550" s="26"/>
      <c r="GE550" s="26"/>
      <c r="GF550" s="26"/>
      <c r="GG550" s="26"/>
      <c r="GH550" s="26"/>
      <c r="GI550" s="26"/>
      <c r="GJ550" s="26"/>
      <c r="GK550" s="26"/>
      <c r="GL550" s="26"/>
      <c r="GM550" s="26"/>
      <c r="GN550" s="26"/>
      <c r="GO550" s="26"/>
      <c r="GP550" s="26"/>
      <c r="GQ550" s="26"/>
      <c r="GR550" s="26"/>
      <c r="GS550" s="26"/>
      <c r="GT550" s="26"/>
      <c r="GU550" s="26"/>
      <c r="GV550" s="26"/>
      <c r="GW550" s="26"/>
      <c r="GX550" s="26"/>
      <c r="GY550" s="26"/>
      <c r="GZ550" s="26"/>
      <c r="HA550" s="26"/>
      <c r="HB550" s="26"/>
      <c r="HC550" s="26"/>
      <c r="HD550" s="26"/>
      <c r="HE550" s="26"/>
      <c r="HF550" s="26"/>
      <c r="HG550" s="26"/>
      <c r="HH550" s="26"/>
    </row>
    <row r="551" spans="1:21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c r="BM551" s="26"/>
      <c r="BN551" s="26"/>
      <c r="BO551" s="26"/>
      <c r="BP551" s="26"/>
      <c r="BQ551" s="26"/>
      <c r="BR551" s="26"/>
      <c r="BS551" s="26"/>
      <c r="BT551" s="26"/>
      <c r="BU551" s="26"/>
      <c r="BV551" s="26"/>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26"/>
      <c r="CU551" s="26"/>
      <c r="CV551" s="26"/>
      <c r="CW551" s="26"/>
      <c r="CX551" s="26"/>
      <c r="CY551" s="26"/>
      <c r="CZ551" s="26"/>
      <c r="DA551" s="26"/>
      <c r="DB551" s="26"/>
      <c r="DC551" s="26"/>
      <c r="DD551" s="26"/>
      <c r="DE551" s="26"/>
      <c r="DF551" s="26"/>
      <c r="DG551" s="26"/>
      <c r="DH551" s="26"/>
      <c r="DI551" s="26"/>
      <c r="DJ551" s="26"/>
      <c r="DK551" s="26"/>
      <c r="DL551" s="26"/>
      <c r="DM551" s="26"/>
      <c r="DN551" s="26"/>
      <c r="DO551" s="26"/>
      <c r="DP551" s="26"/>
      <c r="DQ551" s="26"/>
      <c r="DR551" s="26"/>
      <c r="DS551" s="26"/>
      <c r="DT551" s="26"/>
      <c r="DU551" s="26"/>
      <c r="DV551" s="26"/>
      <c r="DW551" s="26"/>
      <c r="DX551" s="26"/>
      <c r="DY551" s="26"/>
      <c r="DZ551" s="26"/>
      <c r="EA551" s="26"/>
      <c r="EB551" s="26"/>
      <c r="EC551" s="26"/>
      <c r="ED551" s="26"/>
      <c r="EE551" s="26"/>
      <c r="EF551" s="26"/>
      <c r="EG551" s="26"/>
      <c r="EH551" s="26"/>
      <c r="EI551" s="26"/>
      <c r="EJ551" s="26"/>
      <c r="EK551" s="26"/>
      <c r="EL551" s="26"/>
      <c r="EM551" s="26"/>
      <c r="EN551" s="26"/>
      <c r="EO551" s="26"/>
      <c r="EP551" s="26"/>
      <c r="EQ551" s="26"/>
      <c r="ER551" s="26"/>
      <c r="ES551" s="26"/>
      <c r="ET551" s="26"/>
      <c r="EU551" s="26"/>
      <c r="EV551" s="26"/>
      <c r="EW551" s="26"/>
      <c r="EX551" s="26"/>
      <c r="EY551" s="26"/>
      <c r="EZ551" s="26"/>
      <c r="FA551" s="26"/>
      <c r="FB551" s="26"/>
      <c r="FC551" s="26"/>
      <c r="FD551" s="26"/>
      <c r="FE551" s="26"/>
      <c r="FF551" s="26"/>
      <c r="FG551" s="26"/>
      <c r="FH551" s="26"/>
      <c r="FI551" s="26"/>
      <c r="FJ551" s="26"/>
      <c r="FK551" s="26"/>
      <c r="FL551" s="26"/>
      <c r="FM551" s="26"/>
      <c r="FN551" s="26"/>
      <c r="FO551" s="26"/>
      <c r="FP551" s="26"/>
      <c r="FQ551" s="26"/>
      <c r="FR551" s="26"/>
      <c r="FS551" s="26"/>
      <c r="FT551" s="26"/>
      <c r="FU551" s="26"/>
      <c r="FV551" s="26"/>
      <c r="FW551" s="26"/>
      <c r="FX551" s="26"/>
      <c r="FY551" s="26"/>
      <c r="FZ551" s="26"/>
      <c r="GA551" s="26"/>
      <c r="GB551" s="26"/>
      <c r="GC551" s="26"/>
      <c r="GD551" s="26"/>
      <c r="GE551" s="26"/>
      <c r="GF551" s="26"/>
      <c r="GG551" s="26"/>
      <c r="GH551" s="26"/>
      <c r="GI551" s="26"/>
      <c r="GJ551" s="26"/>
      <c r="GK551" s="26"/>
      <c r="GL551" s="26"/>
      <c r="GM551" s="26"/>
      <c r="GN551" s="26"/>
      <c r="GO551" s="26"/>
      <c r="GP551" s="26"/>
      <c r="GQ551" s="26"/>
      <c r="GR551" s="26"/>
      <c r="GS551" s="26"/>
      <c r="GT551" s="26"/>
      <c r="GU551" s="26"/>
      <c r="GV551" s="26"/>
      <c r="GW551" s="26"/>
      <c r="GX551" s="26"/>
      <c r="GY551" s="26"/>
      <c r="GZ551" s="26"/>
      <c r="HA551" s="26"/>
      <c r="HB551" s="26"/>
      <c r="HC551" s="26"/>
      <c r="HD551" s="26"/>
      <c r="HE551" s="26"/>
      <c r="HF551" s="26"/>
      <c r="HG551" s="26"/>
      <c r="HH551" s="26"/>
    </row>
    <row r="552" spans="1:21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c r="BM552" s="26"/>
      <c r="BN552" s="26"/>
      <c r="BO552" s="26"/>
      <c r="BP552" s="26"/>
      <c r="BQ552" s="26"/>
      <c r="BR552" s="26"/>
      <c r="BS552" s="26"/>
      <c r="BT552" s="26"/>
      <c r="BU552" s="26"/>
      <c r="BV552" s="26"/>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26"/>
      <c r="CU552" s="26"/>
      <c r="CV552" s="26"/>
      <c r="CW552" s="26"/>
      <c r="CX552" s="26"/>
      <c r="CY552" s="26"/>
      <c r="CZ552" s="26"/>
      <c r="DA552" s="26"/>
      <c r="DB552" s="26"/>
      <c r="DC552" s="26"/>
      <c r="DD552" s="26"/>
      <c r="DE552" s="26"/>
      <c r="DF552" s="26"/>
      <c r="DG552" s="26"/>
      <c r="DH552" s="26"/>
      <c r="DI552" s="26"/>
      <c r="DJ552" s="26"/>
      <c r="DK552" s="26"/>
      <c r="DL552" s="26"/>
      <c r="DM552" s="26"/>
      <c r="DN552" s="26"/>
      <c r="DO552" s="26"/>
      <c r="DP552" s="26"/>
      <c r="DQ552" s="26"/>
      <c r="DR552" s="26"/>
      <c r="DS552" s="26"/>
      <c r="DT552" s="26"/>
      <c r="DU552" s="26"/>
      <c r="DV552" s="26"/>
      <c r="DW552" s="26"/>
      <c r="DX552" s="26"/>
      <c r="DY552" s="26"/>
      <c r="DZ552" s="26"/>
      <c r="EA552" s="26"/>
      <c r="EB552" s="26"/>
      <c r="EC552" s="26"/>
      <c r="ED552" s="26"/>
      <c r="EE552" s="26"/>
      <c r="EF552" s="26"/>
      <c r="EG552" s="26"/>
      <c r="EH552" s="26"/>
      <c r="EI552" s="26"/>
      <c r="EJ552" s="26"/>
      <c r="EK552" s="26"/>
      <c r="EL552" s="26"/>
      <c r="EM552" s="26"/>
      <c r="EN552" s="26"/>
      <c r="EO552" s="26"/>
      <c r="EP552" s="26"/>
      <c r="EQ552" s="26"/>
      <c r="ER552" s="26"/>
      <c r="ES552" s="26"/>
      <c r="ET552" s="26"/>
      <c r="EU552" s="26"/>
      <c r="EV552" s="26"/>
      <c r="EW552" s="26"/>
      <c r="EX552" s="26"/>
      <c r="EY552" s="26"/>
      <c r="EZ552" s="26"/>
      <c r="FA552" s="26"/>
      <c r="FB552" s="26"/>
      <c r="FC552" s="26"/>
      <c r="FD552" s="26"/>
      <c r="FE552" s="26"/>
      <c r="FF552" s="26"/>
      <c r="FG552" s="26"/>
      <c r="FH552" s="26"/>
      <c r="FI552" s="26"/>
      <c r="FJ552" s="26"/>
      <c r="FK552" s="26"/>
      <c r="FL552" s="26"/>
      <c r="FM552" s="26"/>
      <c r="FN552" s="26"/>
      <c r="FO552" s="26"/>
      <c r="FP552" s="26"/>
      <c r="FQ552" s="26"/>
      <c r="FR552" s="26"/>
      <c r="FS552" s="26"/>
      <c r="FT552" s="26"/>
      <c r="FU552" s="26"/>
      <c r="FV552" s="26"/>
      <c r="FW552" s="26"/>
      <c r="FX552" s="26"/>
      <c r="FY552" s="26"/>
      <c r="FZ552" s="26"/>
      <c r="GA552" s="26"/>
      <c r="GB552" s="26"/>
      <c r="GC552" s="26"/>
      <c r="GD552" s="26"/>
      <c r="GE552" s="26"/>
      <c r="GF552" s="26"/>
      <c r="GG552" s="26"/>
      <c r="GH552" s="26"/>
      <c r="GI552" s="26"/>
      <c r="GJ552" s="26"/>
      <c r="GK552" s="26"/>
      <c r="GL552" s="26"/>
      <c r="GM552" s="26"/>
      <c r="GN552" s="26"/>
      <c r="GO552" s="26"/>
      <c r="GP552" s="26"/>
      <c r="GQ552" s="26"/>
      <c r="GR552" s="26"/>
      <c r="GS552" s="26"/>
      <c r="GT552" s="26"/>
      <c r="GU552" s="26"/>
      <c r="GV552" s="26"/>
      <c r="GW552" s="26"/>
      <c r="GX552" s="26"/>
      <c r="GY552" s="26"/>
      <c r="GZ552" s="26"/>
      <c r="HA552" s="26"/>
      <c r="HB552" s="26"/>
      <c r="HC552" s="26"/>
      <c r="HD552" s="26"/>
      <c r="HE552" s="26"/>
      <c r="HF552" s="26"/>
      <c r="HG552" s="26"/>
      <c r="HH552" s="26"/>
    </row>
    <row r="553" spans="1:21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c r="BM553" s="26"/>
      <c r="BN553" s="26"/>
      <c r="BO553" s="26"/>
      <c r="BP553" s="26"/>
      <c r="BQ553" s="26"/>
      <c r="BR553" s="26"/>
      <c r="BS553" s="26"/>
      <c r="BT553" s="26"/>
      <c r="BU553" s="26"/>
      <c r="BV553" s="26"/>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26"/>
      <c r="CU553" s="26"/>
      <c r="CV553" s="26"/>
      <c r="CW553" s="26"/>
      <c r="CX553" s="26"/>
      <c r="CY553" s="26"/>
      <c r="CZ553" s="26"/>
      <c r="DA553" s="26"/>
      <c r="DB553" s="26"/>
      <c r="DC553" s="26"/>
      <c r="DD553" s="26"/>
      <c r="DE553" s="26"/>
      <c r="DF553" s="26"/>
      <c r="DG553" s="26"/>
      <c r="DH553" s="26"/>
      <c r="DI553" s="26"/>
      <c r="DJ553" s="26"/>
      <c r="DK553" s="26"/>
      <c r="DL553" s="26"/>
      <c r="DM553" s="26"/>
      <c r="DN553" s="26"/>
      <c r="DO553" s="26"/>
      <c r="DP553" s="26"/>
      <c r="DQ553" s="26"/>
      <c r="DR553" s="26"/>
      <c r="DS553" s="26"/>
      <c r="DT553" s="26"/>
      <c r="DU553" s="26"/>
      <c r="DV553" s="26"/>
      <c r="DW553" s="26"/>
      <c r="DX553" s="26"/>
      <c r="DY553" s="26"/>
      <c r="DZ553" s="26"/>
      <c r="EA553" s="26"/>
      <c r="EB553" s="26"/>
      <c r="EC553" s="26"/>
      <c r="ED553" s="26"/>
      <c r="EE553" s="26"/>
      <c r="EF553" s="26"/>
      <c r="EG553" s="26"/>
      <c r="EH553" s="26"/>
      <c r="EI553" s="26"/>
      <c r="EJ553" s="26"/>
      <c r="EK553" s="26"/>
      <c r="EL553" s="26"/>
      <c r="EM553" s="26"/>
      <c r="EN553" s="26"/>
      <c r="EO553" s="26"/>
      <c r="EP553" s="26"/>
      <c r="EQ553" s="26"/>
      <c r="ER553" s="26"/>
      <c r="ES553" s="26"/>
      <c r="ET553" s="26"/>
      <c r="EU553" s="26"/>
      <c r="EV553" s="26"/>
      <c r="EW553" s="26"/>
      <c r="EX553" s="26"/>
      <c r="EY553" s="26"/>
      <c r="EZ553" s="26"/>
      <c r="FA553" s="26"/>
      <c r="FB553" s="26"/>
      <c r="FC553" s="26"/>
      <c r="FD553" s="26"/>
      <c r="FE553" s="26"/>
      <c r="FF553" s="26"/>
      <c r="FG553" s="26"/>
      <c r="FH553" s="26"/>
      <c r="FI553" s="26"/>
      <c r="FJ553" s="26"/>
      <c r="FK553" s="26"/>
      <c r="FL553" s="26"/>
      <c r="FM553" s="26"/>
      <c r="FN553" s="26"/>
      <c r="FO553" s="26"/>
      <c r="FP553" s="26"/>
      <c r="FQ553" s="26"/>
      <c r="FR553" s="26"/>
      <c r="FS553" s="26"/>
      <c r="FT553" s="26"/>
      <c r="FU553" s="26"/>
      <c r="FV553" s="26"/>
      <c r="FW553" s="26"/>
      <c r="FX553" s="26"/>
      <c r="FY553" s="26"/>
      <c r="FZ553" s="26"/>
      <c r="GA553" s="26"/>
      <c r="GB553" s="26"/>
      <c r="GC553" s="26"/>
      <c r="GD553" s="26"/>
      <c r="GE553" s="26"/>
      <c r="GF553" s="26"/>
      <c r="GG553" s="26"/>
      <c r="GH553" s="26"/>
      <c r="GI553" s="26"/>
      <c r="GJ553" s="26"/>
      <c r="GK553" s="26"/>
      <c r="GL553" s="26"/>
      <c r="GM553" s="26"/>
      <c r="GN553" s="26"/>
      <c r="GO553" s="26"/>
      <c r="GP553" s="26"/>
      <c r="GQ553" s="26"/>
      <c r="GR553" s="26"/>
      <c r="GS553" s="26"/>
      <c r="GT553" s="26"/>
      <c r="GU553" s="26"/>
      <c r="GV553" s="26"/>
      <c r="GW553" s="26"/>
      <c r="GX553" s="26"/>
      <c r="GY553" s="26"/>
      <c r="GZ553" s="26"/>
      <c r="HA553" s="26"/>
      <c r="HB553" s="26"/>
      <c r="HC553" s="26"/>
      <c r="HD553" s="26"/>
      <c r="HE553" s="26"/>
      <c r="HF553" s="26"/>
      <c r="HG553" s="26"/>
      <c r="HH553" s="26"/>
    </row>
    <row r="554" spans="1:21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c r="BM554" s="26"/>
      <c r="BN554" s="26"/>
      <c r="BO554" s="26"/>
      <c r="BP554" s="26"/>
      <c r="BQ554" s="26"/>
      <c r="BR554" s="26"/>
      <c r="BS554" s="26"/>
      <c r="BT554" s="26"/>
      <c r="BU554" s="26"/>
      <c r="BV554" s="26"/>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26"/>
      <c r="CU554" s="26"/>
      <c r="CV554" s="26"/>
      <c r="CW554" s="26"/>
      <c r="CX554" s="26"/>
      <c r="CY554" s="26"/>
      <c r="CZ554" s="26"/>
      <c r="DA554" s="26"/>
      <c r="DB554" s="26"/>
      <c r="DC554" s="26"/>
      <c r="DD554" s="26"/>
      <c r="DE554" s="26"/>
      <c r="DF554" s="26"/>
      <c r="DG554" s="26"/>
      <c r="DH554" s="26"/>
      <c r="DI554" s="26"/>
      <c r="DJ554" s="26"/>
      <c r="DK554" s="26"/>
      <c r="DL554" s="26"/>
      <c r="DM554" s="26"/>
      <c r="DN554" s="26"/>
      <c r="DO554" s="26"/>
      <c r="DP554" s="26"/>
      <c r="DQ554" s="26"/>
      <c r="DR554" s="26"/>
      <c r="DS554" s="26"/>
      <c r="DT554" s="26"/>
      <c r="DU554" s="26"/>
      <c r="DV554" s="26"/>
      <c r="DW554" s="26"/>
      <c r="DX554" s="26"/>
      <c r="DY554" s="26"/>
      <c r="DZ554" s="26"/>
      <c r="EA554" s="26"/>
      <c r="EB554" s="26"/>
      <c r="EC554" s="26"/>
      <c r="ED554" s="26"/>
      <c r="EE554" s="26"/>
      <c r="EF554" s="26"/>
      <c r="EG554" s="26"/>
      <c r="EH554" s="26"/>
      <c r="EI554" s="26"/>
      <c r="EJ554" s="26"/>
      <c r="EK554" s="26"/>
      <c r="EL554" s="26"/>
      <c r="EM554" s="26"/>
      <c r="EN554" s="26"/>
      <c r="EO554" s="26"/>
      <c r="EP554" s="26"/>
      <c r="EQ554" s="26"/>
      <c r="ER554" s="26"/>
      <c r="ES554" s="26"/>
      <c r="ET554" s="26"/>
      <c r="EU554" s="26"/>
      <c r="EV554" s="26"/>
      <c r="EW554" s="26"/>
      <c r="EX554" s="26"/>
      <c r="EY554" s="26"/>
      <c r="EZ554" s="26"/>
      <c r="FA554" s="26"/>
      <c r="FB554" s="26"/>
      <c r="FC554" s="26"/>
      <c r="FD554" s="26"/>
      <c r="FE554" s="26"/>
      <c r="FF554" s="26"/>
      <c r="FG554" s="26"/>
      <c r="FH554" s="26"/>
      <c r="FI554" s="26"/>
      <c r="FJ554" s="26"/>
      <c r="FK554" s="26"/>
      <c r="FL554" s="26"/>
      <c r="FM554" s="26"/>
      <c r="FN554" s="26"/>
      <c r="FO554" s="26"/>
      <c r="FP554" s="26"/>
      <c r="FQ554" s="26"/>
      <c r="FR554" s="26"/>
      <c r="FS554" s="26"/>
      <c r="FT554" s="26"/>
      <c r="FU554" s="26"/>
      <c r="FV554" s="26"/>
      <c r="FW554" s="26"/>
      <c r="FX554" s="26"/>
      <c r="FY554" s="26"/>
      <c r="FZ554" s="26"/>
      <c r="GA554" s="26"/>
      <c r="GB554" s="26"/>
      <c r="GC554" s="26"/>
      <c r="GD554" s="26"/>
      <c r="GE554" s="26"/>
      <c r="GF554" s="26"/>
      <c r="GG554" s="26"/>
      <c r="GH554" s="26"/>
      <c r="GI554" s="26"/>
      <c r="GJ554" s="26"/>
      <c r="GK554" s="26"/>
      <c r="GL554" s="26"/>
      <c r="GM554" s="26"/>
      <c r="GN554" s="26"/>
      <c r="GO554" s="26"/>
      <c r="GP554" s="26"/>
      <c r="GQ554" s="26"/>
      <c r="GR554" s="26"/>
      <c r="GS554" s="26"/>
      <c r="GT554" s="26"/>
      <c r="GU554" s="26"/>
      <c r="GV554" s="26"/>
      <c r="GW554" s="26"/>
      <c r="GX554" s="26"/>
      <c r="GY554" s="26"/>
      <c r="GZ554" s="26"/>
      <c r="HA554" s="26"/>
      <c r="HB554" s="26"/>
      <c r="HC554" s="26"/>
      <c r="HD554" s="26"/>
      <c r="HE554" s="26"/>
      <c r="HF554" s="26"/>
      <c r="HG554" s="26"/>
      <c r="HH554" s="26"/>
    </row>
    <row r="555" spans="1:21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c r="BM555" s="26"/>
      <c r="BN555" s="26"/>
      <c r="BO555" s="26"/>
      <c r="BP555" s="26"/>
      <c r="BQ555" s="26"/>
      <c r="BR555" s="26"/>
      <c r="BS555" s="26"/>
      <c r="BT555" s="26"/>
      <c r="BU555" s="26"/>
      <c r="BV555" s="26"/>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26"/>
      <c r="CU555" s="26"/>
      <c r="CV555" s="26"/>
      <c r="CW555" s="26"/>
      <c r="CX555" s="26"/>
      <c r="CY555" s="26"/>
      <c r="CZ555" s="26"/>
      <c r="DA555" s="26"/>
      <c r="DB555" s="26"/>
      <c r="DC555" s="26"/>
      <c r="DD555" s="26"/>
      <c r="DE555" s="26"/>
      <c r="DF555" s="26"/>
      <c r="DG555" s="26"/>
      <c r="DH555" s="26"/>
      <c r="DI555" s="26"/>
      <c r="DJ555" s="26"/>
      <c r="DK555" s="26"/>
      <c r="DL555" s="26"/>
      <c r="DM555" s="26"/>
      <c r="DN555" s="26"/>
      <c r="DO555" s="26"/>
      <c r="DP555" s="26"/>
      <c r="DQ555" s="26"/>
      <c r="DR555" s="26"/>
      <c r="DS555" s="26"/>
      <c r="DT555" s="26"/>
      <c r="DU555" s="26"/>
      <c r="DV555" s="26"/>
      <c r="DW555" s="26"/>
      <c r="DX555" s="26"/>
      <c r="DY555" s="26"/>
      <c r="DZ555" s="26"/>
      <c r="EA555" s="26"/>
      <c r="EB555" s="26"/>
      <c r="EC555" s="26"/>
      <c r="ED555" s="26"/>
      <c r="EE555" s="26"/>
      <c r="EF555" s="26"/>
      <c r="EG555" s="26"/>
      <c r="EH555" s="26"/>
      <c r="EI555" s="26"/>
      <c r="EJ555" s="26"/>
      <c r="EK555" s="26"/>
      <c r="EL555" s="26"/>
      <c r="EM555" s="26"/>
      <c r="EN555" s="26"/>
      <c r="EO555" s="26"/>
      <c r="EP555" s="26"/>
      <c r="EQ555" s="26"/>
      <c r="ER555" s="26"/>
      <c r="ES555" s="26"/>
      <c r="ET555" s="26"/>
      <c r="EU555" s="26"/>
      <c r="EV555" s="26"/>
      <c r="EW555" s="26"/>
      <c r="EX555" s="26"/>
      <c r="EY555" s="26"/>
      <c r="EZ555" s="26"/>
      <c r="FA555" s="26"/>
      <c r="FB555" s="26"/>
      <c r="FC555" s="26"/>
      <c r="FD555" s="26"/>
      <c r="FE555" s="26"/>
      <c r="FF555" s="26"/>
      <c r="FG555" s="26"/>
      <c r="FH555" s="26"/>
      <c r="FI555" s="26"/>
      <c r="FJ555" s="26"/>
      <c r="FK555" s="26"/>
      <c r="FL555" s="26"/>
      <c r="FM555" s="26"/>
      <c r="FN555" s="26"/>
      <c r="FO555" s="26"/>
      <c r="FP555" s="26"/>
      <c r="FQ555" s="26"/>
      <c r="FR555" s="26"/>
      <c r="FS555" s="26"/>
      <c r="FT555" s="26"/>
      <c r="FU555" s="26"/>
      <c r="FV555" s="26"/>
      <c r="FW555" s="26"/>
      <c r="FX555" s="26"/>
      <c r="FY555" s="26"/>
      <c r="FZ555" s="26"/>
      <c r="GA555" s="26"/>
      <c r="GB555" s="26"/>
      <c r="GC555" s="26"/>
      <c r="GD555" s="26"/>
      <c r="GE555" s="26"/>
      <c r="GF555" s="26"/>
      <c r="GG555" s="26"/>
      <c r="GH555" s="26"/>
      <c r="GI555" s="26"/>
      <c r="GJ555" s="26"/>
      <c r="GK555" s="26"/>
      <c r="GL555" s="26"/>
      <c r="GM555" s="26"/>
      <c r="GN555" s="26"/>
      <c r="GO555" s="26"/>
      <c r="GP555" s="26"/>
      <c r="GQ555" s="26"/>
      <c r="GR555" s="26"/>
      <c r="GS555" s="26"/>
      <c r="GT555" s="26"/>
      <c r="GU555" s="26"/>
      <c r="GV555" s="26"/>
      <c r="GW555" s="26"/>
      <c r="GX555" s="26"/>
      <c r="GY555" s="26"/>
      <c r="GZ555" s="26"/>
      <c r="HA555" s="26"/>
      <c r="HB555" s="26"/>
      <c r="HC555" s="26"/>
      <c r="HD555" s="26"/>
      <c r="HE555" s="26"/>
      <c r="HF555" s="26"/>
      <c r="HG555" s="26"/>
      <c r="HH555" s="26"/>
    </row>
    <row r="556" spans="1:21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c r="BM556" s="26"/>
      <c r="BN556" s="26"/>
      <c r="BO556" s="26"/>
      <c r="BP556" s="26"/>
      <c r="BQ556" s="26"/>
      <c r="BR556" s="26"/>
      <c r="BS556" s="26"/>
      <c r="BT556" s="26"/>
      <c r="BU556" s="26"/>
      <c r="BV556" s="26"/>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26"/>
      <c r="CU556" s="26"/>
      <c r="CV556" s="26"/>
      <c r="CW556" s="26"/>
      <c r="CX556" s="26"/>
      <c r="CY556" s="26"/>
      <c r="CZ556" s="26"/>
      <c r="DA556" s="26"/>
      <c r="DB556" s="26"/>
      <c r="DC556" s="26"/>
      <c r="DD556" s="26"/>
      <c r="DE556" s="26"/>
      <c r="DF556" s="26"/>
      <c r="DG556" s="26"/>
      <c r="DH556" s="26"/>
      <c r="DI556" s="26"/>
      <c r="DJ556" s="26"/>
      <c r="DK556" s="26"/>
      <c r="DL556" s="26"/>
      <c r="DM556" s="26"/>
      <c r="DN556" s="26"/>
      <c r="DO556" s="26"/>
      <c r="DP556" s="26"/>
      <c r="DQ556" s="26"/>
      <c r="DR556" s="26"/>
      <c r="DS556" s="26"/>
      <c r="DT556" s="26"/>
      <c r="DU556" s="26"/>
      <c r="DV556" s="26"/>
      <c r="DW556" s="26"/>
      <c r="DX556" s="26"/>
      <c r="DY556" s="26"/>
      <c r="DZ556" s="26"/>
      <c r="EA556" s="26"/>
      <c r="EB556" s="26"/>
      <c r="EC556" s="26"/>
      <c r="ED556" s="26"/>
      <c r="EE556" s="26"/>
      <c r="EF556" s="26"/>
      <c r="EG556" s="26"/>
      <c r="EH556" s="26"/>
      <c r="EI556" s="26"/>
      <c r="EJ556" s="26"/>
      <c r="EK556" s="26"/>
      <c r="EL556" s="26"/>
      <c r="EM556" s="26"/>
      <c r="EN556" s="26"/>
      <c r="EO556" s="26"/>
      <c r="EP556" s="26"/>
      <c r="EQ556" s="26"/>
      <c r="ER556" s="26"/>
      <c r="ES556" s="26"/>
      <c r="ET556" s="26"/>
      <c r="EU556" s="26"/>
      <c r="EV556" s="26"/>
      <c r="EW556" s="26"/>
      <c r="EX556" s="26"/>
      <c r="EY556" s="26"/>
      <c r="EZ556" s="26"/>
      <c r="FA556" s="26"/>
      <c r="FB556" s="26"/>
      <c r="FC556" s="26"/>
      <c r="FD556" s="26"/>
      <c r="FE556" s="26"/>
      <c r="FF556" s="26"/>
      <c r="FG556" s="26"/>
      <c r="FH556" s="26"/>
      <c r="FI556" s="26"/>
      <c r="FJ556" s="26"/>
      <c r="FK556" s="26"/>
      <c r="FL556" s="26"/>
      <c r="FM556" s="26"/>
      <c r="FN556" s="26"/>
      <c r="FO556" s="26"/>
      <c r="FP556" s="26"/>
      <c r="FQ556" s="26"/>
      <c r="FR556" s="26"/>
      <c r="FS556" s="26"/>
      <c r="FT556" s="26"/>
      <c r="FU556" s="26"/>
      <c r="FV556" s="26"/>
      <c r="FW556" s="26"/>
      <c r="FX556" s="26"/>
      <c r="FY556" s="26"/>
      <c r="FZ556" s="26"/>
      <c r="GA556" s="26"/>
      <c r="GB556" s="26"/>
      <c r="GC556" s="26"/>
      <c r="GD556" s="26"/>
      <c r="GE556" s="26"/>
      <c r="GF556" s="26"/>
      <c r="GG556" s="26"/>
      <c r="GH556" s="26"/>
      <c r="GI556" s="26"/>
      <c r="GJ556" s="26"/>
      <c r="GK556" s="26"/>
      <c r="GL556" s="26"/>
      <c r="GM556" s="26"/>
      <c r="GN556" s="26"/>
      <c r="GO556" s="26"/>
      <c r="GP556" s="26"/>
      <c r="GQ556" s="26"/>
      <c r="GR556" s="26"/>
      <c r="GS556" s="26"/>
      <c r="GT556" s="26"/>
      <c r="GU556" s="26"/>
      <c r="GV556" s="26"/>
      <c r="GW556" s="26"/>
      <c r="GX556" s="26"/>
      <c r="GY556" s="26"/>
      <c r="GZ556" s="26"/>
      <c r="HA556" s="26"/>
      <c r="HB556" s="26"/>
      <c r="HC556" s="26"/>
      <c r="HD556" s="26"/>
      <c r="HE556" s="26"/>
      <c r="HF556" s="26"/>
      <c r="HG556" s="26"/>
      <c r="HH556" s="26"/>
    </row>
    <row r="557" spans="1:21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c r="BM557" s="26"/>
      <c r="BN557" s="26"/>
      <c r="BO557" s="26"/>
      <c r="BP557" s="26"/>
      <c r="BQ557" s="26"/>
      <c r="BR557" s="26"/>
      <c r="BS557" s="26"/>
      <c r="BT557" s="26"/>
      <c r="BU557" s="26"/>
      <c r="BV557" s="26"/>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26"/>
      <c r="CU557" s="26"/>
      <c r="CV557" s="26"/>
      <c r="CW557" s="26"/>
      <c r="CX557" s="26"/>
      <c r="CY557" s="26"/>
      <c r="CZ557" s="26"/>
      <c r="DA557" s="26"/>
      <c r="DB557" s="26"/>
      <c r="DC557" s="26"/>
      <c r="DD557" s="26"/>
      <c r="DE557" s="26"/>
      <c r="DF557" s="26"/>
      <c r="DG557" s="26"/>
      <c r="DH557" s="26"/>
      <c r="DI557" s="26"/>
      <c r="DJ557" s="26"/>
      <c r="DK557" s="26"/>
      <c r="DL557" s="26"/>
      <c r="DM557" s="26"/>
      <c r="DN557" s="26"/>
      <c r="DO557" s="26"/>
      <c r="DP557" s="26"/>
      <c r="DQ557" s="26"/>
      <c r="DR557" s="26"/>
      <c r="DS557" s="26"/>
      <c r="DT557" s="26"/>
      <c r="DU557" s="26"/>
      <c r="DV557" s="26"/>
      <c r="DW557" s="26"/>
      <c r="DX557" s="26"/>
      <c r="DY557" s="26"/>
      <c r="DZ557" s="26"/>
      <c r="EA557" s="26"/>
      <c r="EB557" s="26"/>
      <c r="EC557" s="26"/>
      <c r="ED557" s="26"/>
      <c r="EE557" s="26"/>
      <c r="EF557" s="26"/>
      <c r="EG557" s="26"/>
      <c r="EH557" s="26"/>
      <c r="EI557" s="26"/>
      <c r="EJ557" s="26"/>
      <c r="EK557" s="26"/>
      <c r="EL557" s="26"/>
      <c r="EM557" s="26"/>
      <c r="EN557" s="26"/>
      <c r="EO557" s="26"/>
      <c r="EP557" s="26"/>
      <c r="EQ557" s="26"/>
      <c r="ER557" s="26"/>
      <c r="ES557" s="26"/>
      <c r="ET557" s="26"/>
      <c r="EU557" s="26"/>
      <c r="EV557" s="26"/>
      <c r="EW557" s="26"/>
      <c r="EX557" s="26"/>
      <c r="EY557" s="26"/>
      <c r="EZ557" s="26"/>
      <c r="FA557" s="26"/>
      <c r="FB557" s="26"/>
      <c r="FC557" s="26"/>
      <c r="FD557" s="26"/>
      <c r="FE557" s="26"/>
      <c r="FF557" s="26"/>
      <c r="FG557" s="26"/>
      <c r="FH557" s="26"/>
      <c r="FI557" s="26"/>
      <c r="FJ557" s="26"/>
      <c r="FK557" s="26"/>
      <c r="FL557" s="26"/>
      <c r="FM557" s="26"/>
      <c r="FN557" s="26"/>
      <c r="FO557" s="26"/>
      <c r="FP557" s="26"/>
      <c r="FQ557" s="26"/>
      <c r="FR557" s="26"/>
      <c r="FS557" s="26"/>
      <c r="FT557" s="26"/>
      <c r="FU557" s="26"/>
      <c r="FV557" s="26"/>
      <c r="FW557" s="26"/>
      <c r="FX557" s="26"/>
      <c r="FY557" s="26"/>
      <c r="FZ557" s="26"/>
      <c r="GA557" s="26"/>
      <c r="GB557" s="26"/>
      <c r="GC557" s="26"/>
      <c r="GD557" s="26"/>
      <c r="GE557" s="26"/>
      <c r="GF557" s="26"/>
      <c r="GG557" s="26"/>
      <c r="GH557" s="26"/>
      <c r="GI557" s="26"/>
      <c r="GJ557" s="26"/>
      <c r="GK557" s="26"/>
      <c r="GL557" s="26"/>
      <c r="GM557" s="26"/>
      <c r="GN557" s="26"/>
      <c r="GO557" s="26"/>
      <c r="GP557" s="26"/>
      <c r="GQ557" s="26"/>
      <c r="GR557" s="26"/>
      <c r="GS557" s="26"/>
      <c r="GT557" s="26"/>
      <c r="GU557" s="26"/>
      <c r="GV557" s="26"/>
      <c r="GW557" s="26"/>
      <c r="GX557" s="26"/>
      <c r="GY557" s="26"/>
      <c r="GZ557" s="26"/>
      <c r="HA557" s="26"/>
      <c r="HB557" s="26"/>
      <c r="HC557" s="26"/>
      <c r="HD557" s="26"/>
      <c r="HE557" s="26"/>
      <c r="HF557" s="26"/>
      <c r="HG557" s="26"/>
      <c r="HH557" s="26"/>
    </row>
    <row r="558" spans="1:21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c r="BM558" s="26"/>
      <c r="BN558" s="26"/>
      <c r="BO558" s="26"/>
      <c r="BP558" s="26"/>
      <c r="BQ558" s="26"/>
      <c r="BR558" s="26"/>
      <c r="BS558" s="26"/>
      <c r="BT558" s="26"/>
      <c r="BU558" s="26"/>
      <c r="BV558" s="26"/>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26"/>
      <c r="CU558" s="26"/>
      <c r="CV558" s="26"/>
      <c r="CW558" s="26"/>
      <c r="CX558" s="26"/>
      <c r="CY558" s="26"/>
      <c r="CZ558" s="26"/>
      <c r="DA558" s="26"/>
      <c r="DB558" s="26"/>
      <c r="DC558" s="26"/>
      <c r="DD558" s="26"/>
      <c r="DE558" s="26"/>
      <c r="DF558" s="26"/>
      <c r="DG558" s="26"/>
      <c r="DH558" s="26"/>
      <c r="DI558" s="26"/>
      <c r="DJ558" s="26"/>
      <c r="DK558" s="26"/>
      <c r="DL558" s="26"/>
      <c r="DM558" s="26"/>
      <c r="DN558" s="26"/>
      <c r="DO558" s="26"/>
      <c r="DP558" s="26"/>
      <c r="DQ558" s="26"/>
      <c r="DR558" s="26"/>
      <c r="DS558" s="26"/>
      <c r="DT558" s="26"/>
      <c r="DU558" s="26"/>
      <c r="DV558" s="26"/>
      <c r="DW558" s="26"/>
      <c r="DX558" s="26"/>
      <c r="DY558" s="26"/>
      <c r="DZ558" s="26"/>
      <c r="EA558" s="26"/>
      <c r="EB558" s="26"/>
      <c r="EC558" s="26"/>
      <c r="ED558" s="26"/>
      <c r="EE558" s="26"/>
      <c r="EF558" s="26"/>
      <c r="EG558" s="26"/>
      <c r="EH558" s="26"/>
      <c r="EI558" s="26"/>
      <c r="EJ558" s="26"/>
      <c r="EK558" s="26"/>
      <c r="EL558" s="26"/>
      <c r="EM558" s="26"/>
      <c r="EN558" s="26"/>
      <c r="EO558" s="26"/>
      <c r="EP558" s="26"/>
      <c r="EQ558" s="26"/>
      <c r="ER558" s="26"/>
      <c r="ES558" s="26"/>
      <c r="ET558" s="26"/>
      <c r="EU558" s="26"/>
      <c r="EV558" s="26"/>
      <c r="EW558" s="26"/>
      <c r="EX558" s="26"/>
      <c r="EY558" s="26"/>
      <c r="EZ558" s="26"/>
      <c r="FA558" s="26"/>
      <c r="FB558" s="26"/>
      <c r="FC558" s="26"/>
      <c r="FD558" s="26"/>
      <c r="FE558" s="26"/>
      <c r="FF558" s="26"/>
      <c r="FG558" s="26"/>
      <c r="FH558" s="26"/>
      <c r="FI558" s="26"/>
      <c r="FJ558" s="26"/>
      <c r="FK558" s="26"/>
      <c r="FL558" s="26"/>
      <c r="FM558" s="26"/>
      <c r="FN558" s="26"/>
      <c r="FO558" s="26"/>
      <c r="FP558" s="26"/>
      <c r="FQ558" s="26"/>
      <c r="FR558" s="26"/>
      <c r="FS558" s="26"/>
      <c r="FT558" s="26"/>
      <c r="FU558" s="26"/>
      <c r="FV558" s="26"/>
      <c r="FW558" s="26"/>
      <c r="FX558" s="26"/>
      <c r="FY558" s="26"/>
      <c r="FZ558" s="26"/>
      <c r="GA558" s="26"/>
      <c r="GB558" s="26"/>
      <c r="GC558" s="26"/>
      <c r="GD558" s="26"/>
      <c r="GE558" s="26"/>
      <c r="GF558" s="26"/>
      <c r="GG558" s="26"/>
      <c r="GH558" s="26"/>
      <c r="GI558" s="26"/>
      <c r="GJ558" s="26"/>
      <c r="GK558" s="26"/>
      <c r="GL558" s="26"/>
      <c r="GM558" s="26"/>
      <c r="GN558" s="26"/>
      <c r="GO558" s="26"/>
      <c r="GP558" s="26"/>
      <c r="GQ558" s="26"/>
      <c r="GR558" s="26"/>
      <c r="GS558" s="26"/>
      <c r="GT558" s="26"/>
      <c r="GU558" s="26"/>
      <c r="GV558" s="26"/>
      <c r="GW558" s="26"/>
      <c r="GX558" s="26"/>
      <c r="GY558" s="26"/>
      <c r="GZ558" s="26"/>
      <c r="HA558" s="26"/>
      <c r="HB558" s="26"/>
      <c r="HC558" s="26"/>
      <c r="HD558" s="26"/>
      <c r="HE558" s="26"/>
      <c r="HF558" s="26"/>
      <c r="HG558" s="26"/>
      <c r="HH558" s="26"/>
    </row>
    <row r="559" spans="1:21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c r="BM559" s="26"/>
      <c r="BN559" s="26"/>
      <c r="BO559" s="26"/>
      <c r="BP559" s="26"/>
      <c r="BQ559" s="26"/>
      <c r="BR559" s="26"/>
      <c r="BS559" s="26"/>
      <c r="BT559" s="26"/>
      <c r="BU559" s="26"/>
      <c r="BV559" s="26"/>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26"/>
      <c r="CU559" s="26"/>
      <c r="CV559" s="26"/>
      <c r="CW559" s="26"/>
      <c r="CX559" s="26"/>
      <c r="CY559" s="26"/>
      <c r="CZ559" s="26"/>
      <c r="DA559" s="26"/>
      <c r="DB559" s="26"/>
      <c r="DC559" s="26"/>
      <c r="DD559" s="26"/>
      <c r="DE559" s="26"/>
      <c r="DF559" s="26"/>
      <c r="DG559" s="26"/>
      <c r="DH559" s="26"/>
      <c r="DI559" s="26"/>
      <c r="DJ559" s="26"/>
      <c r="DK559" s="26"/>
      <c r="DL559" s="26"/>
      <c r="DM559" s="26"/>
      <c r="DN559" s="26"/>
      <c r="DO559" s="26"/>
      <c r="DP559" s="26"/>
      <c r="DQ559" s="26"/>
      <c r="DR559" s="26"/>
      <c r="DS559" s="26"/>
      <c r="DT559" s="26"/>
      <c r="DU559" s="26"/>
      <c r="DV559" s="26"/>
      <c r="DW559" s="26"/>
      <c r="DX559" s="26"/>
      <c r="DY559" s="26"/>
      <c r="DZ559" s="26"/>
      <c r="EA559" s="26"/>
      <c r="EB559" s="26"/>
      <c r="EC559" s="26"/>
      <c r="ED559" s="26"/>
      <c r="EE559" s="26"/>
      <c r="EF559" s="26"/>
      <c r="EG559" s="26"/>
      <c r="EH559" s="26"/>
      <c r="EI559" s="26"/>
      <c r="EJ559" s="26"/>
      <c r="EK559" s="26"/>
      <c r="EL559" s="26"/>
      <c r="EM559" s="26"/>
      <c r="EN559" s="26"/>
      <c r="EO559" s="26"/>
      <c r="EP559" s="26"/>
      <c r="EQ559" s="26"/>
      <c r="ER559" s="26"/>
      <c r="ES559" s="26"/>
      <c r="ET559" s="26"/>
      <c r="EU559" s="26"/>
      <c r="EV559" s="26"/>
      <c r="EW559" s="26"/>
      <c r="EX559" s="26"/>
      <c r="EY559" s="26"/>
      <c r="EZ559" s="26"/>
      <c r="FA559" s="26"/>
      <c r="FB559" s="26"/>
      <c r="FC559" s="26"/>
      <c r="FD559" s="26"/>
      <c r="FE559" s="26"/>
      <c r="FF559" s="26"/>
      <c r="FG559" s="26"/>
      <c r="FH559" s="26"/>
      <c r="FI559" s="26"/>
      <c r="FJ559" s="26"/>
      <c r="FK559" s="26"/>
      <c r="FL559" s="26"/>
      <c r="FM559" s="26"/>
      <c r="FN559" s="26"/>
      <c r="FO559" s="26"/>
      <c r="FP559" s="26"/>
      <c r="FQ559" s="26"/>
      <c r="FR559" s="26"/>
      <c r="FS559" s="26"/>
      <c r="FT559" s="26"/>
      <c r="FU559" s="26"/>
      <c r="FV559" s="26"/>
      <c r="FW559" s="26"/>
      <c r="FX559" s="26"/>
      <c r="FY559" s="26"/>
      <c r="FZ559" s="26"/>
      <c r="GA559" s="26"/>
      <c r="GB559" s="26"/>
      <c r="GC559" s="26"/>
      <c r="GD559" s="26"/>
      <c r="GE559" s="26"/>
      <c r="GF559" s="26"/>
      <c r="GG559" s="26"/>
      <c r="GH559" s="26"/>
      <c r="GI559" s="26"/>
      <c r="GJ559" s="26"/>
      <c r="GK559" s="26"/>
      <c r="GL559" s="26"/>
      <c r="GM559" s="26"/>
      <c r="GN559" s="26"/>
      <c r="GO559" s="26"/>
      <c r="GP559" s="26"/>
      <c r="GQ559" s="26"/>
      <c r="GR559" s="26"/>
      <c r="GS559" s="26"/>
      <c r="GT559" s="26"/>
      <c r="GU559" s="26"/>
      <c r="GV559" s="26"/>
      <c r="GW559" s="26"/>
      <c r="GX559" s="26"/>
      <c r="GY559" s="26"/>
      <c r="GZ559" s="26"/>
      <c r="HA559" s="26"/>
      <c r="HB559" s="26"/>
      <c r="HC559" s="26"/>
      <c r="HD559" s="26"/>
      <c r="HE559" s="26"/>
      <c r="HF559" s="26"/>
      <c r="HG559" s="26"/>
      <c r="HH559" s="26"/>
    </row>
    <row r="560" spans="1:21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c r="BM560" s="26"/>
      <c r="BN560" s="26"/>
      <c r="BO560" s="26"/>
      <c r="BP560" s="26"/>
      <c r="BQ560" s="26"/>
      <c r="BR560" s="26"/>
      <c r="BS560" s="26"/>
      <c r="BT560" s="26"/>
      <c r="BU560" s="26"/>
      <c r="BV560" s="26"/>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26"/>
      <c r="CU560" s="26"/>
      <c r="CV560" s="26"/>
      <c r="CW560" s="26"/>
      <c r="CX560" s="26"/>
      <c r="CY560" s="26"/>
      <c r="CZ560" s="26"/>
      <c r="DA560" s="26"/>
      <c r="DB560" s="26"/>
      <c r="DC560" s="26"/>
      <c r="DD560" s="26"/>
      <c r="DE560" s="26"/>
      <c r="DF560" s="26"/>
      <c r="DG560" s="26"/>
      <c r="DH560" s="26"/>
      <c r="DI560" s="26"/>
      <c r="DJ560" s="26"/>
      <c r="DK560" s="26"/>
      <c r="DL560" s="26"/>
      <c r="DM560" s="26"/>
      <c r="DN560" s="26"/>
      <c r="DO560" s="26"/>
      <c r="DP560" s="26"/>
      <c r="DQ560" s="26"/>
      <c r="DR560" s="26"/>
      <c r="DS560" s="26"/>
      <c r="DT560" s="26"/>
      <c r="DU560" s="26"/>
      <c r="DV560" s="26"/>
      <c r="DW560" s="26"/>
      <c r="DX560" s="26"/>
      <c r="DY560" s="26"/>
      <c r="DZ560" s="26"/>
      <c r="EA560" s="26"/>
      <c r="EB560" s="26"/>
      <c r="EC560" s="26"/>
      <c r="ED560" s="26"/>
      <c r="EE560" s="26"/>
      <c r="EF560" s="26"/>
      <c r="EG560" s="26"/>
      <c r="EH560" s="26"/>
      <c r="EI560" s="26"/>
      <c r="EJ560" s="26"/>
      <c r="EK560" s="26"/>
      <c r="EL560" s="26"/>
      <c r="EM560" s="26"/>
      <c r="EN560" s="26"/>
      <c r="EO560" s="26"/>
      <c r="EP560" s="26"/>
      <c r="EQ560" s="26"/>
      <c r="ER560" s="26"/>
      <c r="ES560" s="26"/>
      <c r="ET560" s="26"/>
      <c r="EU560" s="26"/>
      <c r="EV560" s="26"/>
      <c r="EW560" s="26"/>
      <c r="EX560" s="26"/>
      <c r="EY560" s="26"/>
      <c r="EZ560" s="26"/>
      <c r="FA560" s="26"/>
      <c r="FB560" s="26"/>
      <c r="FC560" s="26"/>
      <c r="FD560" s="26"/>
      <c r="FE560" s="26"/>
      <c r="FF560" s="26"/>
      <c r="FG560" s="26"/>
      <c r="FH560" s="26"/>
      <c r="FI560" s="26"/>
      <c r="FJ560" s="26"/>
      <c r="FK560" s="26"/>
      <c r="FL560" s="26"/>
      <c r="FM560" s="26"/>
      <c r="FN560" s="26"/>
      <c r="FO560" s="26"/>
      <c r="FP560" s="26"/>
      <c r="FQ560" s="26"/>
      <c r="FR560" s="26"/>
      <c r="FS560" s="26"/>
      <c r="FT560" s="26"/>
      <c r="FU560" s="26"/>
      <c r="FV560" s="26"/>
      <c r="FW560" s="26"/>
      <c r="FX560" s="26"/>
      <c r="FY560" s="26"/>
      <c r="FZ560" s="26"/>
      <c r="GA560" s="26"/>
      <c r="GB560" s="26"/>
      <c r="GC560" s="26"/>
      <c r="GD560" s="26"/>
      <c r="GE560" s="26"/>
      <c r="GF560" s="26"/>
      <c r="GG560" s="26"/>
      <c r="GH560" s="26"/>
      <c r="GI560" s="26"/>
      <c r="GJ560" s="26"/>
      <c r="GK560" s="26"/>
      <c r="GL560" s="26"/>
      <c r="GM560" s="26"/>
      <c r="GN560" s="26"/>
      <c r="GO560" s="26"/>
      <c r="GP560" s="26"/>
      <c r="GQ560" s="26"/>
      <c r="GR560" s="26"/>
      <c r="GS560" s="26"/>
      <c r="GT560" s="26"/>
      <c r="GU560" s="26"/>
      <c r="GV560" s="26"/>
      <c r="GW560" s="26"/>
      <c r="GX560" s="26"/>
      <c r="GY560" s="26"/>
      <c r="GZ560" s="26"/>
      <c r="HA560" s="26"/>
      <c r="HB560" s="26"/>
      <c r="HC560" s="26"/>
      <c r="HD560" s="26"/>
      <c r="HE560" s="26"/>
      <c r="HF560" s="26"/>
      <c r="HG560" s="26"/>
      <c r="HH560" s="26"/>
    </row>
    <row r="561" spans="1:21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c r="BM561" s="26"/>
      <c r="BN561" s="26"/>
      <c r="BO561" s="26"/>
      <c r="BP561" s="26"/>
      <c r="BQ561" s="26"/>
      <c r="BR561" s="26"/>
      <c r="BS561" s="26"/>
      <c r="BT561" s="26"/>
      <c r="BU561" s="26"/>
      <c r="BV561" s="26"/>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26"/>
      <c r="CU561" s="26"/>
      <c r="CV561" s="26"/>
      <c r="CW561" s="26"/>
      <c r="CX561" s="26"/>
      <c r="CY561" s="26"/>
      <c r="CZ561" s="26"/>
      <c r="DA561" s="26"/>
      <c r="DB561" s="26"/>
      <c r="DC561" s="26"/>
      <c r="DD561" s="26"/>
      <c r="DE561" s="26"/>
      <c r="DF561" s="26"/>
      <c r="DG561" s="26"/>
      <c r="DH561" s="26"/>
      <c r="DI561" s="26"/>
      <c r="DJ561" s="26"/>
      <c r="DK561" s="26"/>
      <c r="DL561" s="26"/>
      <c r="DM561" s="26"/>
      <c r="DN561" s="26"/>
      <c r="DO561" s="26"/>
      <c r="DP561" s="26"/>
      <c r="DQ561" s="26"/>
      <c r="DR561" s="26"/>
      <c r="DS561" s="26"/>
      <c r="DT561" s="26"/>
      <c r="DU561" s="26"/>
      <c r="DV561" s="26"/>
      <c r="DW561" s="26"/>
      <c r="DX561" s="26"/>
      <c r="DY561" s="26"/>
      <c r="DZ561" s="26"/>
      <c r="EA561" s="26"/>
      <c r="EB561" s="26"/>
      <c r="EC561" s="26"/>
      <c r="ED561" s="26"/>
      <c r="EE561" s="26"/>
      <c r="EF561" s="26"/>
      <c r="EG561" s="26"/>
      <c r="EH561" s="26"/>
      <c r="EI561" s="26"/>
      <c r="EJ561" s="26"/>
      <c r="EK561" s="26"/>
      <c r="EL561" s="26"/>
      <c r="EM561" s="26"/>
      <c r="EN561" s="26"/>
      <c r="EO561" s="26"/>
      <c r="EP561" s="26"/>
      <c r="EQ561" s="26"/>
      <c r="ER561" s="26"/>
      <c r="ES561" s="26"/>
      <c r="ET561" s="26"/>
      <c r="EU561" s="26"/>
      <c r="EV561" s="26"/>
      <c r="EW561" s="26"/>
      <c r="EX561" s="26"/>
      <c r="EY561" s="26"/>
      <c r="EZ561" s="26"/>
      <c r="FA561" s="26"/>
      <c r="FB561" s="26"/>
      <c r="FC561" s="26"/>
      <c r="FD561" s="26"/>
      <c r="FE561" s="26"/>
      <c r="FF561" s="26"/>
      <c r="FG561" s="26"/>
      <c r="FH561" s="26"/>
      <c r="FI561" s="26"/>
      <c r="FJ561" s="26"/>
      <c r="FK561" s="26"/>
      <c r="FL561" s="26"/>
      <c r="FM561" s="26"/>
      <c r="FN561" s="26"/>
      <c r="FO561" s="26"/>
      <c r="FP561" s="26"/>
      <c r="FQ561" s="26"/>
      <c r="FR561" s="26"/>
      <c r="FS561" s="26"/>
      <c r="FT561" s="26"/>
      <c r="FU561" s="26"/>
      <c r="FV561" s="26"/>
      <c r="FW561" s="26"/>
      <c r="FX561" s="26"/>
      <c r="FY561" s="26"/>
      <c r="FZ561" s="26"/>
      <c r="GA561" s="26"/>
      <c r="GB561" s="26"/>
      <c r="GC561" s="26"/>
      <c r="GD561" s="26"/>
      <c r="GE561" s="26"/>
      <c r="GF561" s="26"/>
      <c r="GG561" s="26"/>
      <c r="GH561" s="26"/>
      <c r="GI561" s="26"/>
      <c r="GJ561" s="26"/>
      <c r="GK561" s="26"/>
      <c r="GL561" s="26"/>
      <c r="GM561" s="26"/>
      <c r="GN561" s="26"/>
      <c r="GO561" s="26"/>
      <c r="GP561" s="26"/>
      <c r="GQ561" s="26"/>
      <c r="GR561" s="26"/>
      <c r="GS561" s="26"/>
      <c r="GT561" s="26"/>
      <c r="GU561" s="26"/>
      <c r="GV561" s="26"/>
      <c r="GW561" s="26"/>
      <c r="GX561" s="26"/>
      <c r="GY561" s="26"/>
      <c r="GZ561" s="26"/>
      <c r="HA561" s="26"/>
      <c r="HB561" s="26"/>
      <c r="HC561" s="26"/>
      <c r="HD561" s="26"/>
      <c r="HE561" s="26"/>
      <c r="HF561" s="26"/>
      <c r="HG561" s="26"/>
      <c r="HH561" s="26"/>
    </row>
    <row r="562" spans="1:21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c r="BM562" s="26"/>
      <c r="BN562" s="26"/>
      <c r="BO562" s="26"/>
      <c r="BP562" s="26"/>
      <c r="BQ562" s="26"/>
      <c r="BR562" s="26"/>
      <c r="BS562" s="26"/>
      <c r="BT562" s="26"/>
      <c r="BU562" s="26"/>
      <c r="BV562" s="26"/>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26"/>
      <c r="CU562" s="26"/>
      <c r="CV562" s="26"/>
      <c r="CW562" s="26"/>
      <c r="CX562" s="26"/>
      <c r="CY562" s="26"/>
      <c r="CZ562" s="26"/>
      <c r="DA562" s="26"/>
      <c r="DB562" s="26"/>
      <c r="DC562" s="26"/>
      <c r="DD562" s="26"/>
      <c r="DE562" s="26"/>
      <c r="DF562" s="26"/>
      <c r="DG562" s="26"/>
      <c r="DH562" s="26"/>
      <c r="DI562" s="26"/>
      <c r="DJ562" s="26"/>
      <c r="DK562" s="26"/>
      <c r="DL562" s="26"/>
      <c r="DM562" s="26"/>
      <c r="DN562" s="26"/>
      <c r="DO562" s="26"/>
      <c r="DP562" s="26"/>
      <c r="DQ562" s="26"/>
      <c r="DR562" s="26"/>
      <c r="DS562" s="26"/>
      <c r="DT562" s="26"/>
      <c r="DU562" s="26"/>
      <c r="DV562" s="26"/>
      <c r="DW562" s="26"/>
      <c r="DX562" s="26"/>
      <c r="DY562" s="26"/>
      <c r="DZ562" s="26"/>
      <c r="EA562" s="26"/>
      <c r="EB562" s="26"/>
      <c r="EC562" s="26"/>
      <c r="ED562" s="26"/>
      <c r="EE562" s="26"/>
      <c r="EF562" s="26"/>
      <c r="EG562" s="26"/>
      <c r="EH562" s="26"/>
      <c r="EI562" s="26"/>
      <c r="EJ562" s="26"/>
      <c r="EK562" s="26"/>
      <c r="EL562" s="26"/>
      <c r="EM562" s="26"/>
      <c r="EN562" s="26"/>
      <c r="EO562" s="26"/>
      <c r="EP562" s="26"/>
      <c r="EQ562" s="26"/>
      <c r="ER562" s="26"/>
      <c r="ES562" s="26"/>
      <c r="ET562" s="26"/>
      <c r="EU562" s="26"/>
      <c r="EV562" s="26"/>
      <c r="EW562" s="26"/>
      <c r="EX562" s="26"/>
      <c r="EY562" s="26"/>
      <c r="EZ562" s="26"/>
      <c r="FA562" s="26"/>
      <c r="FB562" s="26"/>
      <c r="FC562" s="26"/>
      <c r="FD562" s="26"/>
      <c r="FE562" s="26"/>
      <c r="FF562" s="26"/>
      <c r="FG562" s="26"/>
      <c r="FH562" s="26"/>
      <c r="FI562" s="26"/>
      <c r="FJ562" s="26"/>
      <c r="FK562" s="26"/>
      <c r="FL562" s="26"/>
      <c r="FM562" s="26"/>
      <c r="FN562" s="26"/>
      <c r="FO562" s="26"/>
      <c r="FP562" s="26"/>
      <c r="FQ562" s="26"/>
      <c r="FR562" s="26"/>
      <c r="FS562" s="26"/>
      <c r="FT562" s="26"/>
      <c r="FU562" s="26"/>
      <c r="FV562" s="26"/>
      <c r="FW562" s="26"/>
      <c r="FX562" s="26"/>
      <c r="FY562" s="26"/>
      <c r="FZ562" s="26"/>
      <c r="GA562" s="26"/>
      <c r="GB562" s="26"/>
      <c r="GC562" s="26"/>
      <c r="GD562" s="26"/>
      <c r="GE562" s="26"/>
      <c r="GF562" s="26"/>
      <c r="GG562" s="26"/>
      <c r="GH562" s="26"/>
      <c r="GI562" s="26"/>
      <c r="GJ562" s="26"/>
      <c r="GK562" s="26"/>
      <c r="GL562" s="26"/>
      <c r="GM562" s="26"/>
      <c r="GN562" s="26"/>
      <c r="GO562" s="26"/>
      <c r="GP562" s="26"/>
      <c r="GQ562" s="26"/>
      <c r="GR562" s="26"/>
      <c r="GS562" s="26"/>
      <c r="GT562" s="26"/>
      <c r="GU562" s="26"/>
      <c r="GV562" s="26"/>
      <c r="GW562" s="26"/>
      <c r="GX562" s="26"/>
      <c r="GY562" s="26"/>
      <c r="GZ562" s="26"/>
      <c r="HA562" s="26"/>
      <c r="HB562" s="26"/>
      <c r="HC562" s="26"/>
      <c r="HD562" s="26"/>
      <c r="HE562" s="26"/>
      <c r="HF562" s="26"/>
      <c r="HG562" s="26"/>
      <c r="HH562" s="26"/>
    </row>
    <row r="563" spans="1:21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c r="BM563" s="26"/>
      <c r="BN563" s="26"/>
      <c r="BO563" s="26"/>
      <c r="BP563" s="26"/>
      <c r="BQ563" s="26"/>
      <c r="BR563" s="26"/>
      <c r="BS563" s="26"/>
      <c r="BT563" s="26"/>
      <c r="BU563" s="26"/>
      <c r="BV563" s="26"/>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26"/>
      <c r="CU563" s="26"/>
      <c r="CV563" s="26"/>
      <c r="CW563" s="26"/>
      <c r="CX563" s="26"/>
      <c r="CY563" s="26"/>
      <c r="CZ563" s="26"/>
      <c r="DA563" s="26"/>
      <c r="DB563" s="26"/>
      <c r="DC563" s="26"/>
      <c r="DD563" s="26"/>
      <c r="DE563" s="26"/>
      <c r="DF563" s="26"/>
      <c r="DG563" s="26"/>
      <c r="DH563" s="26"/>
      <c r="DI563" s="26"/>
      <c r="DJ563" s="26"/>
      <c r="DK563" s="26"/>
      <c r="DL563" s="26"/>
      <c r="DM563" s="26"/>
      <c r="DN563" s="26"/>
      <c r="DO563" s="26"/>
      <c r="DP563" s="26"/>
      <c r="DQ563" s="26"/>
      <c r="DR563" s="26"/>
      <c r="DS563" s="26"/>
      <c r="DT563" s="26"/>
      <c r="DU563" s="26"/>
      <c r="DV563" s="26"/>
      <c r="DW563" s="26"/>
      <c r="DX563" s="26"/>
      <c r="DY563" s="26"/>
      <c r="DZ563" s="26"/>
      <c r="EA563" s="26"/>
      <c r="EB563" s="26"/>
      <c r="EC563" s="26"/>
      <c r="ED563" s="26"/>
      <c r="EE563" s="26"/>
      <c r="EF563" s="26"/>
      <c r="EG563" s="26"/>
      <c r="EH563" s="26"/>
      <c r="EI563" s="26"/>
      <c r="EJ563" s="26"/>
      <c r="EK563" s="26"/>
      <c r="EL563" s="26"/>
      <c r="EM563" s="26"/>
      <c r="EN563" s="26"/>
      <c r="EO563" s="26"/>
      <c r="EP563" s="26"/>
      <c r="EQ563" s="26"/>
      <c r="ER563" s="26"/>
      <c r="ES563" s="26"/>
      <c r="ET563" s="26"/>
      <c r="EU563" s="26"/>
      <c r="EV563" s="26"/>
      <c r="EW563" s="26"/>
      <c r="EX563" s="26"/>
      <c r="EY563" s="26"/>
      <c r="EZ563" s="26"/>
      <c r="FA563" s="26"/>
      <c r="FB563" s="26"/>
      <c r="FC563" s="26"/>
      <c r="FD563" s="26"/>
      <c r="FE563" s="26"/>
      <c r="FF563" s="26"/>
      <c r="FG563" s="26"/>
      <c r="FH563" s="26"/>
      <c r="FI563" s="26"/>
      <c r="FJ563" s="26"/>
      <c r="FK563" s="26"/>
      <c r="FL563" s="26"/>
      <c r="FM563" s="26"/>
      <c r="FN563" s="26"/>
      <c r="FO563" s="26"/>
      <c r="FP563" s="26"/>
      <c r="FQ563" s="26"/>
      <c r="FR563" s="26"/>
      <c r="FS563" s="26"/>
      <c r="FT563" s="26"/>
      <c r="FU563" s="26"/>
      <c r="FV563" s="26"/>
      <c r="FW563" s="26"/>
      <c r="FX563" s="26"/>
      <c r="FY563" s="26"/>
      <c r="FZ563" s="26"/>
      <c r="GA563" s="26"/>
      <c r="GB563" s="26"/>
      <c r="GC563" s="26"/>
      <c r="GD563" s="26"/>
      <c r="GE563" s="26"/>
      <c r="GF563" s="26"/>
      <c r="GG563" s="26"/>
      <c r="GH563" s="26"/>
      <c r="GI563" s="26"/>
      <c r="GJ563" s="26"/>
      <c r="GK563" s="26"/>
      <c r="GL563" s="26"/>
      <c r="GM563" s="26"/>
      <c r="GN563" s="26"/>
      <c r="GO563" s="26"/>
      <c r="GP563" s="26"/>
      <c r="GQ563" s="26"/>
      <c r="GR563" s="26"/>
      <c r="GS563" s="26"/>
      <c r="GT563" s="26"/>
      <c r="GU563" s="26"/>
      <c r="GV563" s="26"/>
      <c r="GW563" s="26"/>
      <c r="GX563" s="26"/>
      <c r="GY563" s="26"/>
      <c r="GZ563" s="26"/>
      <c r="HA563" s="26"/>
      <c r="HB563" s="26"/>
      <c r="HC563" s="26"/>
      <c r="HD563" s="26"/>
      <c r="HE563" s="26"/>
      <c r="HF563" s="26"/>
      <c r="HG563" s="26"/>
      <c r="HH563" s="26"/>
    </row>
    <row r="564" spans="1:21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c r="BM564" s="26"/>
      <c r="BN564" s="26"/>
      <c r="BO564" s="26"/>
      <c r="BP564" s="26"/>
      <c r="BQ564" s="26"/>
      <c r="BR564" s="26"/>
      <c r="BS564" s="26"/>
      <c r="BT564" s="26"/>
      <c r="BU564" s="26"/>
      <c r="BV564" s="26"/>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26"/>
      <c r="CU564" s="26"/>
      <c r="CV564" s="26"/>
      <c r="CW564" s="26"/>
      <c r="CX564" s="26"/>
      <c r="CY564" s="26"/>
      <c r="CZ564" s="26"/>
      <c r="DA564" s="26"/>
      <c r="DB564" s="26"/>
      <c r="DC564" s="26"/>
      <c r="DD564" s="26"/>
      <c r="DE564" s="26"/>
      <c r="DF564" s="26"/>
      <c r="DG564" s="26"/>
      <c r="DH564" s="26"/>
      <c r="DI564" s="26"/>
      <c r="DJ564" s="26"/>
      <c r="DK564" s="26"/>
      <c r="DL564" s="26"/>
      <c r="DM564" s="26"/>
      <c r="DN564" s="26"/>
      <c r="DO564" s="26"/>
      <c r="DP564" s="26"/>
      <c r="DQ564" s="26"/>
      <c r="DR564" s="26"/>
      <c r="DS564" s="26"/>
      <c r="DT564" s="26"/>
      <c r="DU564" s="26"/>
      <c r="DV564" s="26"/>
      <c r="DW564" s="26"/>
      <c r="DX564" s="26"/>
      <c r="DY564" s="26"/>
      <c r="DZ564" s="26"/>
      <c r="EA564" s="26"/>
      <c r="EB564" s="26"/>
      <c r="EC564" s="26"/>
      <c r="ED564" s="26"/>
      <c r="EE564" s="26"/>
      <c r="EF564" s="26"/>
      <c r="EG564" s="26"/>
      <c r="EH564" s="26"/>
      <c r="EI564" s="26"/>
      <c r="EJ564" s="26"/>
      <c r="EK564" s="26"/>
      <c r="EL564" s="26"/>
      <c r="EM564" s="26"/>
      <c r="EN564" s="26"/>
      <c r="EO564" s="26"/>
      <c r="EP564" s="26"/>
      <c r="EQ564" s="26"/>
      <c r="ER564" s="26"/>
      <c r="ES564" s="26"/>
      <c r="ET564" s="26"/>
      <c r="EU564" s="26"/>
      <c r="EV564" s="26"/>
      <c r="EW564" s="26"/>
      <c r="EX564" s="26"/>
      <c r="EY564" s="26"/>
      <c r="EZ564" s="26"/>
      <c r="FA564" s="26"/>
      <c r="FB564" s="26"/>
      <c r="FC564" s="26"/>
      <c r="FD564" s="26"/>
      <c r="FE564" s="26"/>
      <c r="FF564" s="26"/>
      <c r="FG564" s="26"/>
      <c r="FH564" s="26"/>
      <c r="FI564" s="26"/>
      <c r="FJ564" s="26"/>
      <c r="FK564" s="26"/>
      <c r="FL564" s="26"/>
      <c r="FM564" s="26"/>
      <c r="FN564" s="26"/>
      <c r="FO564" s="26"/>
      <c r="FP564" s="26"/>
      <c r="FQ564" s="26"/>
      <c r="FR564" s="26"/>
      <c r="FS564" s="26"/>
      <c r="FT564" s="26"/>
      <c r="FU564" s="26"/>
      <c r="FV564" s="26"/>
      <c r="FW564" s="26"/>
      <c r="FX564" s="26"/>
      <c r="FY564" s="26"/>
      <c r="FZ564" s="26"/>
      <c r="GA564" s="26"/>
      <c r="GB564" s="26"/>
      <c r="GC564" s="26"/>
      <c r="GD564" s="26"/>
      <c r="GE564" s="26"/>
      <c r="GF564" s="26"/>
      <c r="GG564" s="26"/>
      <c r="GH564" s="26"/>
      <c r="GI564" s="26"/>
      <c r="GJ564" s="26"/>
      <c r="GK564" s="26"/>
      <c r="GL564" s="26"/>
      <c r="GM564" s="26"/>
      <c r="GN564" s="26"/>
      <c r="GO564" s="26"/>
      <c r="GP564" s="26"/>
      <c r="GQ564" s="26"/>
      <c r="GR564" s="26"/>
      <c r="GS564" s="26"/>
      <c r="GT564" s="26"/>
      <c r="GU564" s="26"/>
      <c r="GV564" s="26"/>
      <c r="GW564" s="26"/>
      <c r="GX564" s="26"/>
      <c r="GY564" s="26"/>
      <c r="GZ564" s="26"/>
      <c r="HA564" s="26"/>
      <c r="HB564" s="26"/>
      <c r="HC564" s="26"/>
      <c r="HD564" s="26"/>
      <c r="HE564" s="26"/>
      <c r="HF564" s="26"/>
      <c r="HG564" s="26"/>
      <c r="HH564" s="26"/>
    </row>
    <row r="565" spans="1:21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c r="BM565" s="26"/>
      <c r="BN565" s="26"/>
      <c r="BO565" s="26"/>
      <c r="BP565" s="26"/>
      <c r="BQ565" s="26"/>
      <c r="BR565" s="26"/>
      <c r="BS565" s="26"/>
      <c r="BT565" s="26"/>
      <c r="BU565" s="26"/>
      <c r="BV565" s="26"/>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26"/>
      <c r="CU565" s="26"/>
      <c r="CV565" s="26"/>
      <c r="CW565" s="26"/>
      <c r="CX565" s="26"/>
      <c r="CY565" s="26"/>
      <c r="CZ565" s="26"/>
      <c r="DA565" s="26"/>
      <c r="DB565" s="26"/>
      <c r="DC565" s="26"/>
      <c r="DD565" s="26"/>
      <c r="DE565" s="26"/>
      <c r="DF565" s="26"/>
      <c r="DG565" s="26"/>
      <c r="DH565" s="26"/>
      <c r="DI565" s="26"/>
      <c r="DJ565" s="26"/>
      <c r="DK565" s="26"/>
      <c r="DL565" s="26"/>
      <c r="DM565" s="26"/>
      <c r="DN565" s="26"/>
      <c r="DO565" s="26"/>
      <c r="DP565" s="26"/>
      <c r="DQ565" s="26"/>
      <c r="DR565" s="26"/>
      <c r="DS565" s="26"/>
      <c r="DT565" s="26"/>
      <c r="DU565" s="26"/>
      <c r="DV565" s="26"/>
      <c r="DW565" s="26"/>
      <c r="DX565" s="26"/>
      <c r="DY565" s="26"/>
      <c r="DZ565" s="26"/>
      <c r="EA565" s="26"/>
      <c r="EB565" s="26"/>
      <c r="EC565" s="26"/>
      <c r="ED565" s="26"/>
      <c r="EE565" s="26"/>
      <c r="EF565" s="26"/>
      <c r="EG565" s="26"/>
      <c r="EH565" s="26"/>
      <c r="EI565" s="26"/>
      <c r="EJ565" s="26"/>
      <c r="EK565" s="26"/>
      <c r="EL565" s="26"/>
      <c r="EM565" s="26"/>
      <c r="EN565" s="26"/>
      <c r="EO565" s="26"/>
      <c r="EP565" s="26"/>
      <c r="EQ565" s="26"/>
      <c r="ER565" s="26"/>
      <c r="ES565" s="26"/>
      <c r="ET565" s="26"/>
      <c r="EU565" s="26"/>
      <c r="EV565" s="26"/>
      <c r="EW565" s="26"/>
      <c r="EX565" s="26"/>
      <c r="EY565" s="26"/>
      <c r="EZ565" s="26"/>
      <c r="FA565" s="26"/>
      <c r="FB565" s="26"/>
      <c r="FC565" s="26"/>
      <c r="FD565" s="26"/>
      <c r="FE565" s="26"/>
      <c r="FF565" s="26"/>
      <c r="FG565" s="26"/>
      <c r="FH565" s="26"/>
      <c r="FI565" s="26"/>
      <c r="FJ565" s="26"/>
      <c r="FK565" s="26"/>
      <c r="FL565" s="26"/>
      <c r="FM565" s="26"/>
      <c r="FN565" s="26"/>
      <c r="FO565" s="26"/>
      <c r="FP565" s="26"/>
      <c r="FQ565" s="26"/>
      <c r="FR565" s="26"/>
      <c r="FS565" s="26"/>
      <c r="FT565" s="26"/>
      <c r="FU565" s="26"/>
      <c r="FV565" s="26"/>
      <c r="FW565" s="26"/>
      <c r="FX565" s="26"/>
      <c r="FY565" s="26"/>
      <c r="FZ565" s="26"/>
      <c r="GA565" s="26"/>
      <c r="GB565" s="26"/>
      <c r="GC565" s="26"/>
      <c r="GD565" s="26"/>
      <c r="GE565" s="26"/>
      <c r="GF565" s="26"/>
      <c r="GG565" s="26"/>
      <c r="GH565" s="26"/>
      <c r="GI565" s="26"/>
      <c r="GJ565" s="26"/>
      <c r="GK565" s="26"/>
      <c r="GL565" s="26"/>
      <c r="GM565" s="26"/>
      <c r="GN565" s="26"/>
      <c r="GO565" s="26"/>
      <c r="GP565" s="26"/>
      <c r="GQ565" s="26"/>
      <c r="GR565" s="26"/>
      <c r="GS565" s="26"/>
      <c r="GT565" s="26"/>
      <c r="GU565" s="26"/>
      <c r="GV565" s="26"/>
      <c r="GW565" s="26"/>
      <c r="GX565" s="26"/>
      <c r="GY565" s="26"/>
      <c r="GZ565" s="26"/>
      <c r="HA565" s="26"/>
      <c r="HB565" s="26"/>
      <c r="HC565" s="26"/>
      <c r="HD565" s="26"/>
      <c r="HE565" s="26"/>
      <c r="HF565" s="26"/>
      <c r="HG565" s="26"/>
      <c r="HH565" s="26"/>
    </row>
    <row r="566" spans="1:21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c r="BM566" s="26"/>
      <c r="BN566" s="26"/>
      <c r="BO566" s="26"/>
      <c r="BP566" s="26"/>
      <c r="BQ566" s="26"/>
      <c r="BR566" s="26"/>
      <c r="BS566" s="26"/>
      <c r="BT566" s="26"/>
      <c r="BU566" s="26"/>
      <c r="BV566" s="26"/>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26"/>
      <c r="CU566" s="26"/>
      <c r="CV566" s="26"/>
      <c r="CW566" s="26"/>
      <c r="CX566" s="26"/>
      <c r="CY566" s="26"/>
      <c r="CZ566" s="26"/>
      <c r="DA566" s="26"/>
      <c r="DB566" s="26"/>
      <c r="DC566" s="26"/>
      <c r="DD566" s="26"/>
      <c r="DE566" s="26"/>
      <c r="DF566" s="26"/>
      <c r="DG566" s="26"/>
      <c r="DH566" s="26"/>
      <c r="DI566" s="26"/>
      <c r="DJ566" s="26"/>
      <c r="DK566" s="26"/>
      <c r="DL566" s="26"/>
      <c r="DM566" s="26"/>
      <c r="DN566" s="26"/>
      <c r="DO566" s="26"/>
      <c r="DP566" s="26"/>
      <c r="DQ566" s="26"/>
      <c r="DR566" s="26"/>
      <c r="DS566" s="26"/>
      <c r="DT566" s="26"/>
      <c r="DU566" s="26"/>
      <c r="DV566" s="26"/>
      <c r="DW566" s="26"/>
      <c r="DX566" s="26"/>
      <c r="DY566" s="26"/>
      <c r="DZ566" s="26"/>
      <c r="EA566" s="26"/>
      <c r="EB566" s="26"/>
      <c r="EC566" s="26"/>
      <c r="ED566" s="26"/>
      <c r="EE566" s="26"/>
      <c r="EF566" s="26"/>
      <c r="EG566" s="26"/>
      <c r="EH566" s="26"/>
      <c r="EI566" s="26"/>
      <c r="EJ566" s="26"/>
      <c r="EK566" s="26"/>
      <c r="EL566" s="26"/>
      <c r="EM566" s="26"/>
      <c r="EN566" s="26"/>
      <c r="EO566" s="26"/>
      <c r="EP566" s="26"/>
      <c r="EQ566" s="26"/>
      <c r="ER566" s="26"/>
      <c r="ES566" s="26"/>
      <c r="ET566" s="26"/>
      <c r="EU566" s="26"/>
      <c r="EV566" s="26"/>
      <c r="EW566" s="26"/>
      <c r="EX566" s="26"/>
      <c r="EY566" s="26"/>
      <c r="EZ566" s="26"/>
      <c r="FA566" s="26"/>
      <c r="FB566" s="26"/>
      <c r="FC566" s="26"/>
      <c r="FD566" s="26"/>
      <c r="FE566" s="26"/>
      <c r="FF566" s="26"/>
      <c r="FG566" s="26"/>
      <c r="FH566" s="26"/>
      <c r="FI566" s="26"/>
      <c r="FJ566" s="26"/>
      <c r="FK566" s="26"/>
      <c r="FL566" s="26"/>
      <c r="FM566" s="26"/>
      <c r="FN566" s="26"/>
      <c r="FO566" s="26"/>
      <c r="FP566" s="26"/>
      <c r="FQ566" s="26"/>
      <c r="FR566" s="26"/>
      <c r="FS566" s="26"/>
      <c r="FT566" s="26"/>
      <c r="FU566" s="26"/>
      <c r="FV566" s="26"/>
      <c r="FW566" s="26"/>
      <c r="FX566" s="26"/>
      <c r="FY566" s="26"/>
      <c r="FZ566" s="26"/>
      <c r="GA566" s="26"/>
      <c r="GB566" s="26"/>
      <c r="GC566" s="26"/>
      <c r="GD566" s="26"/>
      <c r="GE566" s="26"/>
      <c r="GF566" s="26"/>
      <c r="GG566" s="26"/>
      <c r="GH566" s="26"/>
      <c r="GI566" s="26"/>
      <c r="GJ566" s="26"/>
      <c r="GK566" s="26"/>
      <c r="GL566" s="26"/>
      <c r="GM566" s="26"/>
      <c r="GN566" s="26"/>
      <c r="GO566" s="26"/>
      <c r="GP566" s="26"/>
      <c r="GQ566" s="26"/>
      <c r="GR566" s="26"/>
      <c r="GS566" s="26"/>
      <c r="GT566" s="26"/>
      <c r="GU566" s="26"/>
      <c r="GV566" s="26"/>
      <c r="GW566" s="26"/>
      <c r="GX566" s="26"/>
      <c r="GY566" s="26"/>
      <c r="GZ566" s="26"/>
      <c r="HA566" s="26"/>
      <c r="HB566" s="26"/>
      <c r="HC566" s="26"/>
      <c r="HD566" s="26"/>
      <c r="HE566" s="26"/>
      <c r="HF566" s="26"/>
      <c r="HG566" s="26"/>
      <c r="HH566" s="26"/>
    </row>
    <row r="567" spans="1:21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c r="BM567" s="26"/>
      <c r="BN567" s="26"/>
      <c r="BO567" s="26"/>
      <c r="BP567" s="26"/>
      <c r="BQ567" s="26"/>
      <c r="BR567" s="26"/>
      <c r="BS567" s="26"/>
      <c r="BT567" s="26"/>
      <c r="BU567" s="26"/>
      <c r="BV567" s="26"/>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26"/>
      <c r="CU567" s="26"/>
      <c r="CV567" s="26"/>
      <c r="CW567" s="26"/>
      <c r="CX567" s="26"/>
      <c r="CY567" s="26"/>
      <c r="CZ567" s="26"/>
      <c r="DA567" s="26"/>
      <c r="DB567" s="26"/>
      <c r="DC567" s="26"/>
      <c r="DD567" s="26"/>
      <c r="DE567" s="26"/>
      <c r="DF567" s="26"/>
      <c r="DG567" s="26"/>
      <c r="DH567" s="26"/>
      <c r="DI567" s="26"/>
      <c r="DJ567" s="26"/>
      <c r="DK567" s="26"/>
      <c r="DL567" s="26"/>
      <c r="DM567" s="26"/>
      <c r="DN567" s="26"/>
      <c r="DO567" s="26"/>
      <c r="DP567" s="26"/>
      <c r="DQ567" s="26"/>
      <c r="DR567" s="26"/>
      <c r="DS567" s="26"/>
      <c r="DT567" s="26"/>
      <c r="DU567" s="26"/>
      <c r="DV567" s="26"/>
      <c r="DW567" s="26"/>
      <c r="DX567" s="26"/>
      <c r="DY567" s="26"/>
      <c r="DZ567" s="26"/>
      <c r="EA567" s="26"/>
      <c r="EB567" s="26"/>
      <c r="EC567" s="26"/>
      <c r="ED567" s="26"/>
      <c r="EE567" s="26"/>
      <c r="EF567" s="26"/>
      <c r="EG567" s="26"/>
      <c r="EH567" s="26"/>
      <c r="EI567" s="26"/>
      <c r="EJ567" s="26"/>
      <c r="EK567" s="26"/>
      <c r="EL567" s="26"/>
      <c r="EM567" s="26"/>
      <c r="EN567" s="26"/>
      <c r="EO567" s="26"/>
      <c r="EP567" s="26"/>
      <c r="EQ567" s="26"/>
      <c r="ER567" s="26"/>
      <c r="ES567" s="26"/>
      <c r="ET567" s="26"/>
      <c r="EU567" s="26"/>
      <c r="EV567" s="26"/>
      <c r="EW567" s="26"/>
      <c r="EX567" s="26"/>
      <c r="EY567" s="26"/>
      <c r="EZ567" s="26"/>
      <c r="FA567" s="26"/>
      <c r="FB567" s="26"/>
      <c r="FC567" s="26"/>
      <c r="FD567" s="26"/>
      <c r="FE567" s="26"/>
      <c r="FF567" s="26"/>
      <c r="FG567" s="26"/>
      <c r="FH567" s="26"/>
      <c r="FI567" s="26"/>
      <c r="FJ567" s="26"/>
      <c r="FK567" s="26"/>
      <c r="FL567" s="26"/>
      <c r="FM567" s="26"/>
      <c r="FN567" s="26"/>
      <c r="FO567" s="26"/>
      <c r="FP567" s="26"/>
      <c r="FQ567" s="26"/>
      <c r="FR567" s="26"/>
      <c r="FS567" s="26"/>
      <c r="FT567" s="26"/>
      <c r="FU567" s="26"/>
      <c r="FV567" s="26"/>
      <c r="FW567" s="26"/>
      <c r="FX567" s="26"/>
      <c r="FY567" s="26"/>
      <c r="FZ567" s="26"/>
      <c r="GA567" s="26"/>
      <c r="GB567" s="26"/>
      <c r="GC567" s="26"/>
      <c r="GD567" s="26"/>
      <c r="GE567" s="26"/>
      <c r="GF567" s="26"/>
      <c r="GG567" s="26"/>
      <c r="GH567" s="26"/>
      <c r="GI567" s="26"/>
      <c r="GJ567" s="26"/>
      <c r="GK567" s="26"/>
      <c r="GL567" s="26"/>
      <c r="GM567" s="26"/>
      <c r="GN567" s="26"/>
      <c r="GO567" s="26"/>
      <c r="GP567" s="26"/>
      <c r="GQ567" s="26"/>
      <c r="GR567" s="26"/>
      <c r="GS567" s="26"/>
      <c r="GT567" s="26"/>
      <c r="GU567" s="26"/>
      <c r="GV567" s="26"/>
      <c r="GW567" s="26"/>
      <c r="GX567" s="26"/>
      <c r="GY567" s="26"/>
      <c r="GZ567" s="26"/>
      <c r="HA567" s="26"/>
      <c r="HB567" s="26"/>
      <c r="HC567" s="26"/>
      <c r="HD567" s="26"/>
      <c r="HE567" s="26"/>
      <c r="HF567" s="26"/>
      <c r="HG567" s="26"/>
      <c r="HH567" s="26"/>
    </row>
    <row r="568" spans="1:21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c r="BM568" s="26"/>
      <c r="BN568" s="26"/>
      <c r="BO568" s="26"/>
      <c r="BP568" s="26"/>
      <c r="BQ568" s="26"/>
      <c r="BR568" s="26"/>
      <c r="BS568" s="26"/>
      <c r="BT568" s="26"/>
      <c r="BU568" s="26"/>
      <c r="BV568" s="26"/>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26"/>
      <c r="CU568" s="26"/>
      <c r="CV568" s="26"/>
      <c r="CW568" s="26"/>
      <c r="CX568" s="26"/>
      <c r="CY568" s="26"/>
      <c r="CZ568" s="26"/>
      <c r="DA568" s="26"/>
      <c r="DB568" s="26"/>
      <c r="DC568" s="26"/>
      <c r="DD568" s="26"/>
      <c r="DE568" s="26"/>
      <c r="DF568" s="26"/>
      <c r="DG568" s="26"/>
      <c r="DH568" s="26"/>
      <c r="DI568" s="26"/>
      <c r="DJ568" s="26"/>
      <c r="DK568" s="26"/>
      <c r="DL568" s="26"/>
      <c r="DM568" s="26"/>
      <c r="DN568" s="26"/>
      <c r="DO568" s="26"/>
      <c r="DP568" s="26"/>
      <c r="DQ568" s="26"/>
      <c r="DR568" s="26"/>
      <c r="DS568" s="26"/>
      <c r="DT568" s="26"/>
      <c r="DU568" s="26"/>
      <c r="DV568" s="26"/>
      <c r="DW568" s="26"/>
      <c r="DX568" s="26"/>
      <c r="DY568" s="26"/>
      <c r="DZ568" s="26"/>
      <c r="EA568" s="26"/>
      <c r="EB568" s="26"/>
      <c r="EC568" s="26"/>
      <c r="ED568" s="26"/>
      <c r="EE568" s="26"/>
      <c r="EF568" s="26"/>
      <c r="EG568" s="26"/>
      <c r="EH568" s="26"/>
      <c r="EI568" s="26"/>
      <c r="EJ568" s="26"/>
      <c r="EK568" s="26"/>
      <c r="EL568" s="26"/>
      <c r="EM568" s="26"/>
      <c r="EN568" s="26"/>
      <c r="EO568" s="26"/>
      <c r="EP568" s="26"/>
      <c r="EQ568" s="26"/>
      <c r="ER568" s="26"/>
      <c r="ES568" s="26"/>
      <c r="ET568" s="26"/>
      <c r="EU568" s="26"/>
      <c r="EV568" s="26"/>
      <c r="EW568" s="26"/>
      <c r="EX568" s="26"/>
      <c r="EY568" s="26"/>
      <c r="EZ568" s="26"/>
      <c r="FA568" s="26"/>
      <c r="FB568" s="26"/>
      <c r="FC568" s="26"/>
      <c r="FD568" s="26"/>
      <c r="FE568" s="26"/>
      <c r="FF568" s="26"/>
      <c r="FG568" s="26"/>
      <c r="FH568" s="26"/>
      <c r="FI568" s="26"/>
      <c r="FJ568" s="26"/>
      <c r="FK568" s="26"/>
      <c r="FL568" s="26"/>
      <c r="FM568" s="26"/>
      <c r="FN568" s="26"/>
      <c r="FO568" s="26"/>
      <c r="FP568" s="26"/>
      <c r="FQ568" s="26"/>
      <c r="FR568" s="26"/>
      <c r="FS568" s="26"/>
      <c r="FT568" s="26"/>
      <c r="FU568" s="26"/>
      <c r="FV568" s="26"/>
      <c r="FW568" s="26"/>
      <c r="FX568" s="26"/>
      <c r="FY568" s="26"/>
      <c r="FZ568" s="26"/>
      <c r="GA568" s="26"/>
      <c r="GB568" s="26"/>
      <c r="GC568" s="26"/>
      <c r="GD568" s="26"/>
      <c r="GE568" s="26"/>
      <c r="GF568" s="26"/>
      <c r="GG568" s="26"/>
      <c r="GH568" s="26"/>
      <c r="GI568" s="26"/>
      <c r="GJ568" s="26"/>
      <c r="GK568" s="26"/>
      <c r="GL568" s="26"/>
      <c r="GM568" s="26"/>
      <c r="GN568" s="26"/>
      <c r="GO568" s="26"/>
      <c r="GP568" s="26"/>
      <c r="GQ568" s="26"/>
      <c r="GR568" s="26"/>
      <c r="GS568" s="26"/>
      <c r="GT568" s="26"/>
      <c r="GU568" s="26"/>
      <c r="GV568" s="26"/>
      <c r="GW568" s="26"/>
      <c r="GX568" s="26"/>
      <c r="GY568" s="26"/>
      <c r="GZ568" s="26"/>
      <c r="HA568" s="26"/>
      <c r="HB568" s="26"/>
      <c r="HC568" s="26"/>
      <c r="HD568" s="26"/>
      <c r="HE568" s="26"/>
      <c r="HF568" s="26"/>
      <c r="HG568" s="26"/>
      <c r="HH568" s="26"/>
    </row>
    <row r="569" spans="1:21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c r="BM569" s="26"/>
      <c r="BN569" s="26"/>
      <c r="BO569" s="26"/>
      <c r="BP569" s="26"/>
      <c r="BQ569" s="26"/>
      <c r="BR569" s="26"/>
      <c r="BS569" s="26"/>
      <c r="BT569" s="26"/>
      <c r="BU569" s="26"/>
      <c r="BV569" s="26"/>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26"/>
      <c r="CU569" s="26"/>
      <c r="CV569" s="26"/>
      <c r="CW569" s="26"/>
      <c r="CX569" s="26"/>
      <c r="CY569" s="26"/>
      <c r="CZ569" s="26"/>
      <c r="DA569" s="26"/>
      <c r="DB569" s="26"/>
      <c r="DC569" s="26"/>
      <c r="DD569" s="26"/>
      <c r="DE569" s="26"/>
      <c r="DF569" s="26"/>
      <c r="DG569" s="26"/>
      <c r="DH569" s="26"/>
      <c r="DI569" s="26"/>
      <c r="DJ569" s="26"/>
      <c r="DK569" s="26"/>
      <c r="DL569" s="26"/>
      <c r="DM569" s="26"/>
      <c r="DN569" s="26"/>
      <c r="DO569" s="26"/>
      <c r="DP569" s="26"/>
      <c r="DQ569" s="26"/>
      <c r="DR569" s="26"/>
      <c r="DS569" s="26"/>
      <c r="DT569" s="26"/>
      <c r="DU569" s="26"/>
      <c r="DV569" s="26"/>
      <c r="DW569" s="26"/>
      <c r="DX569" s="26"/>
      <c r="DY569" s="26"/>
      <c r="DZ569" s="26"/>
      <c r="EA569" s="26"/>
      <c r="EB569" s="26"/>
      <c r="EC569" s="26"/>
      <c r="ED569" s="26"/>
      <c r="EE569" s="26"/>
      <c r="EF569" s="26"/>
      <c r="EG569" s="26"/>
      <c r="EH569" s="26"/>
      <c r="EI569" s="26"/>
      <c r="EJ569" s="26"/>
      <c r="EK569" s="26"/>
      <c r="EL569" s="26"/>
      <c r="EM569" s="26"/>
      <c r="EN569" s="26"/>
      <c r="EO569" s="26"/>
      <c r="EP569" s="26"/>
      <c r="EQ569" s="26"/>
      <c r="ER569" s="26"/>
      <c r="ES569" s="26"/>
      <c r="ET569" s="26"/>
      <c r="EU569" s="26"/>
      <c r="EV569" s="26"/>
      <c r="EW569" s="26"/>
      <c r="EX569" s="26"/>
      <c r="EY569" s="26"/>
      <c r="EZ569" s="26"/>
      <c r="FA569" s="26"/>
      <c r="FB569" s="26"/>
      <c r="FC569" s="26"/>
      <c r="FD569" s="26"/>
      <c r="FE569" s="26"/>
      <c r="FF569" s="26"/>
      <c r="FG569" s="26"/>
      <c r="FH569" s="26"/>
      <c r="FI569" s="26"/>
      <c r="FJ569" s="26"/>
      <c r="FK569" s="26"/>
      <c r="FL569" s="26"/>
      <c r="FM569" s="26"/>
      <c r="FN569" s="26"/>
      <c r="FO569" s="26"/>
      <c r="FP569" s="26"/>
      <c r="FQ569" s="26"/>
      <c r="FR569" s="26"/>
      <c r="FS569" s="26"/>
      <c r="FT569" s="26"/>
      <c r="FU569" s="26"/>
      <c r="FV569" s="26"/>
      <c r="FW569" s="26"/>
      <c r="FX569" s="26"/>
      <c r="FY569" s="26"/>
      <c r="FZ569" s="26"/>
      <c r="GA569" s="26"/>
      <c r="GB569" s="26"/>
      <c r="GC569" s="26"/>
      <c r="GD569" s="26"/>
      <c r="GE569" s="26"/>
      <c r="GF569" s="26"/>
      <c r="GG569" s="26"/>
      <c r="GH569" s="26"/>
      <c r="GI569" s="26"/>
      <c r="GJ569" s="26"/>
      <c r="GK569" s="26"/>
      <c r="GL569" s="26"/>
      <c r="GM569" s="26"/>
      <c r="GN569" s="26"/>
      <c r="GO569" s="26"/>
      <c r="GP569" s="26"/>
      <c r="GQ569" s="26"/>
      <c r="GR569" s="26"/>
      <c r="GS569" s="26"/>
      <c r="GT569" s="26"/>
      <c r="GU569" s="26"/>
      <c r="GV569" s="26"/>
      <c r="GW569" s="26"/>
      <c r="GX569" s="26"/>
      <c r="GY569" s="26"/>
      <c r="GZ569" s="26"/>
      <c r="HA569" s="26"/>
      <c r="HB569" s="26"/>
      <c r="HC569" s="26"/>
      <c r="HD569" s="26"/>
      <c r="HE569" s="26"/>
      <c r="HF569" s="26"/>
      <c r="HG569" s="26"/>
      <c r="HH569" s="26"/>
    </row>
    <row r="570" spans="1:21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c r="BM570" s="26"/>
      <c r="BN570" s="26"/>
      <c r="BO570" s="26"/>
      <c r="BP570" s="26"/>
      <c r="BQ570" s="26"/>
      <c r="BR570" s="26"/>
      <c r="BS570" s="26"/>
      <c r="BT570" s="26"/>
      <c r="BU570" s="26"/>
      <c r="BV570" s="26"/>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26"/>
      <c r="CU570" s="26"/>
      <c r="CV570" s="26"/>
      <c r="CW570" s="26"/>
      <c r="CX570" s="26"/>
      <c r="CY570" s="26"/>
      <c r="CZ570" s="26"/>
      <c r="DA570" s="26"/>
      <c r="DB570" s="26"/>
      <c r="DC570" s="26"/>
      <c r="DD570" s="26"/>
      <c r="DE570" s="26"/>
      <c r="DF570" s="26"/>
      <c r="DG570" s="26"/>
      <c r="DH570" s="26"/>
      <c r="DI570" s="26"/>
      <c r="DJ570" s="26"/>
      <c r="DK570" s="26"/>
      <c r="DL570" s="26"/>
      <c r="DM570" s="26"/>
      <c r="DN570" s="26"/>
      <c r="DO570" s="26"/>
      <c r="DP570" s="26"/>
      <c r="DQ570" s="26"/>
      <c r="DR570" s="26"/>
      <c r="DS570" s="26"/>
      <c r="DT570" s="26"/>
      <c r="DU570" s="26"/>
      <c r="DV570" s="26"/>
      <c r="DW570" s="26"/>
      <c r="DX570" s="26"/>
      <c r="DY570" s="26"/>
      <c r="DZ570" s="26"/>
      <c r="EA570" s="26"/>
      <c r="EB570" s="26"/>
      <c r="EC570" s="26"/>
      <c r="ED570" s="26"/>
      <c r="EE570" s="26"/>
      <c r="EF570" s="26"/>
      <c r="EG570" s="26"/>
      <c r="EH570" s="26"/>
      <c r="EI570" s="26"/>
      <c r="EJ570" s="26"/>
      <c r="EK570" s="26"/>
      <c r="EL570" s="26"/>
      <c r="EM570" s="26"/>
      <c r="EN570" s="26"/>
      <c r="EO570" s="26"/>
      <c r="EP570" s="26"/>
      <c r="EQ570" s="26"/>
      <c r="ER570" s="26"/>
      <c r="ES570" s="26"/>
      <c r="ET570" s="26"/>
      <c r="EU570" s="26"/>
      <c r="EV570" s="26"/>
      <c r="EW570" s="26"/>
      <c r="EX570" s="26"/>
      <c r="EY570" s="26"/>
      <c r="EZ570" s="26"/>
      <c r="FA570" s="26"/>
      <c r="FB570" s="26"/>
      <c r="FC570" s="26"/>
      <c r="FD570" s="26"/>
      <c r="FE570" s="26"/>
      <c r="FF570" s="26"/>
      <c r="FG570" s="26"/>
      <c r="FH570" s="26"/>
      <c r="FI570" s="26"/>
      <c r="FJ570" s="26"/>
      <c r="FK570" s="26"/>
      <c r="FL570" s="26"/>
      <c r="FM570" s="26"/>
      <c r="FN570" s="26"/>
      <c r="FO570" s="26"/>
      <c r="FP570" s="26"/>
      <c r="FQ570" s="26"/>
      <c r="FR570" s="26"/>
      <c r="FS570" s="26"/>
      <c r="FT570" s="26"/>
      <c r="FU570" s="26"/>
      <c r="FV570" s="26"/>
      <c r="FW570" s="26"/>
      <c r="FX570" s="26"/>
      <c r="FY570" s="26"/>
      <c r="FZ570" s="26"/>
      <c r="GA570" s="26"/>
      <c r="GB570" s="26"/>
      <c r="GC570" s="26"/>
      <c r="GD570" s="26"/>
      <c r="GE570" s="26"/>
      <c r="GF570" s="26"/>
      <c r="GG570" s="26"/>
      <c r="GH570" s="26"/>
      <c r="GI570" s="26"/>
      <c r="GJ570" s="26"/>
      <c r="GK570" s="26"/>
      <c r="GL570" s="26"/>
      <c r="GM570" s="26"/>
      <c r="GN570" s="26"/>
      <c r="GO570" s="26"/>
      <c r="GP570" s="26"/>
      <c r="GQ570" s="26"/>
      <c r="GR570" s="26"/>
      <c r="GS570" s="26"/>
      <c r="GT570" s="26"/>
      <c r="GU570" s="26"/>
      <c r="GV570" s="26"/>
      <c r="GW570" s="26"/>
      <c r="GX570" s="26"/>
      <c r="GY570" s="26"/>
      <c r="GZ570" s="26"/>
      <c r="HA570" s="26"/>
      <c r="HB570" s="26"/>
      <c r="HC570" s="26"/>
      <c r="HD570" s="26"/>
      <c r="HE570" s="26"/>
      <c r="HF570" s="26"/>
      <c r="HG570" s="26"/>
      <c r="HH570" s="26"/>
    </row>
    <row r="571" spans="1:21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c r="BM571" s="26"/>
      <c r="BN571" s="26"/>
      <c r="BO571" s="26"/>
      <c r="BP571" s="26"/>
      <c r="BQ571" s="26"/>
      <c r="BR571" s="26"/>
      <c r="BS571" s="26"/>
      <c r="BT571" s="26"/>
      <c r="BU571" s="26"/>
      <c r="BV571" s="26"/>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26"/>
      <c r="CU571" s="26"/>
      <c r="CV571" s="26"/>
      <c r="CW571" s="26"/>
      <c r="CX571" s="26"/>
      <c r="CY571" s="26"/>
      <c r="CZ571" s="26"/>
      <c r="DA571" s="26"/>
      <c r="DB571" s="26"/>
      <c r="DC571" s="26"/>
      <c r="DD571" s="26"/>
      <c r="DE571" s="26"/>
      <c r="DF571" s="26"/>
      <c r="DG571" s="26"/>
      <c r="DH571" s="26"/>
      <c r="DI571" s="26"/>
      <c r="DJ571" s="26"/>
      <c r="DK571" s="26"/>
      <c r="DL571" s="26"/>
      <c r="DM571" s="26"/>
      <c r="DN571" s="26"/>
      <c r="DO571" s="26"/>
      <c r="DP571" s="26"/>
      <c r="DQ571" s="26"/>
      <c r="DR571" s="26"/>
      <c r="DS571" s="26"/>
      <c r="DT571" s="26"/>
      <c r="DU571" s="26"/>
      <c r="DV571" s="26"/>
      <c r="DW571" s="26"/>
      <c r="DX571" s="26"/>
      <c r="DY571" s="26"/>
      <c r="DZ571" s="26"/>
      <c r="EA571" s="26"/>
      <c r="EB571" s="26"/>
      <c r="EC571" s="26"/>
      <c r="ED571" s="26"/>
      <c r="EE571" s="26"/>
      <c r="EF571" s="26"/>
      <c r="EG571" s="26"/>
      <c r="EH571" s="26"/>
      <c r="EI571" s="26"/>
      <c r="EJ571" s="26"/>
      <c r="EK571" s="26"/>
      <c r="EL571" s="26"/>
      <c r="EM571" s="26"/>
      <c r="EN571" s="26"/>
      <c r="EO571" s="26"/>
      <c r="EP571" s="26"/>
      <c r="EQ571" s="26"/>
      <c r="ER571" s="26"/>
      <c r="ES571" s="26"/>
      <c r="ET571" s="26"/>
      <c r="EU571" s="26"/>
      <c r="EV571" s="26"/>
      <c r="EW571" s="26"/>
      <c r="EX571" s="26"/>
      <c r="EY571" s="26"/>
      <c r="EZ571" s="26"/>
      <c r="FA571" s="26"/>
      <c r="FB571" s="26"/>
      <c r="FC571" s="26"/>
      <c r="FD571" s="26"/>
      <c r="FE571" s="26"/>
      <c r="FF571" s="26"/>
      <c r="FG571" s="26"/>
      <c r="FH571" s="26"/>
      <c r="FI571" s="26"/>
      <c r="FJ571" s="26"/>
      <c r="FK571" s="26"/>
      <c r="FL571" s="26"/>
      <c r="FM571" s="26"/>
      <c r="FN571" s="26"/>
      <c r="FO571" s="26"/>
      <c r="FP571" s="26"/>
      <c r="FQ571" s="26"/>
      <c r="FR571" s="26"/>
      <c r="FS571" s="26"/>
      <c r="FT571" s="26"/>
      <c r="FU571" s="26"/>
      <c r="FV571" s="26"/>
      <c r="FW571" s="26"/>
      <c r="FX571" s="26"/>
      <c r="FY571" s="26"/>
      <c r="FZ571" s="26"/>
      <c r="GA571" s="26"/>
      <c r="GB571" s="26"/>
      <c r="GC571" s="26"/>
      <c r="GD571" s="26"/>
      <c r="GE571" s="26"/>
      <c r="GF571" s="26"/>
      <c r="GG571" s="26"/>
      <c r="GH571" s="26"/>
      <c r="GI571" s="26"/>
      <c r="GJ571" s="26"/>
      <c r="GK571" s="26"/>
      <c r="GL571" s="26"/>
      <c r="GM571" s="26"/>
      <c r="GN571" s="26"/>
      <c r="GO571" s="26"/>
      <c r="GP571" s="26"/>
      <c r="GQ571" s="26"/>
      <c r="GR571" s="26"/>
      <c r="GS571" s="26"/>
      <c r="GT571" s="26"/>
      <c r="GU571" s="26"/>
      <c r="GV571" s="26"/>
      <c r="GW571" s="26"/>
      <c r="GX571" s="26"/>
      <c r="GY571" s="26"/>
      <c r="GZ571" s="26"/>
      <c r="HA571" s="26"/>
      <c r="HB571" s="26"/>
      <c r="HC571" s="26"/>
      <c r="HD571" s="26"/>
      <c r="HE571" s="26"/>
      <c r="HF571" s="26"/>
      <c r="HG571" s="26"/>
      <c r="HH571" s="26"/>
    </row>
    <row r="572" spans="1:21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c r="BM572" s="26"/>
      <c r="BN572" s="26"/>
      <c r="BO572" s="26"/>
      <c r="BP572" s="26"/>
      <c r="BQ572" s="26"/>
      <c r="BR572" s="26"/>
      <c r="BS572" s="26"/>
      <c r="BT572" s="26"/>
      <c r="BU572" s="26"/>
      <c r="BV572" s="26"/>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26"/>
      <c r="CU572" s="26"/>
      <c r="CV572" s="26"/>
      <c r="CW572" s="26"/>
      <c r="CX572" s="26"/>
      <c r="CY572" s="26"/>
      <c r="CZ572" s="26"/>
      <c r="DA572" s="26"/>
      <c r="DB572" s="26"/>
      <c r="DC572" s="26"/>
      <c r="DD572" s="26"/>
      <c r="DE572" s="26"/>
      <c r="DF572" s="26"/>
      <c r="DG572" s="26"/>
      <c r="DH572" s="26"/>
      <c r="DI572" s="26"/>
      <c r="DJ572" s="26"/>
      <c r="DK572" s="26"/>
      <c r="DL572" s="26"/>
      <c r="DM572" s="26"/>
      <c r="DN572" s="26"/>
      <c r="DO572" s="26"/>
      <c r="DP572" s="26"/>
      <c r="DQ572" s="26"/>
      <c r="DR572" s="26"/>
      <c r="DS572" s="26"/>
      <c r="DT572" s="26"/>
      <c r="DU572" s="26"/>
      <c r="DV572" s="26"/>
      <c r="DW572" s="26"/>
      <c r="DX572" s="26"/>
      <c r="DY572" s="26"/>
      <c r="DZ572" s="26"/>
      <c r="EA572" s="26"/>
      <c r="EB572" s="26"/>
      <c r="EC572" s="26"/>
      <c r="ED572" s="26"/>
      <c r="EE572" s="26"/>
      <c r="EF572" s="26"/>
      <c r="EG572" s="26"/>
      <c r="EH572" s="26"/>
      <c r="EI572" s="26"/>
      <c r="EJ572" s="26"/>
      <c r="EK572" s="26"/>
      <c r="EL572" s="26"/>
      <c r="EM572" s="26"/>
      <c r="EN572" s="26"/>
      <c r="EO572" s="26"/>
      <c r="EP572" s="26"/>
      <c r="EQ572" s="26"/>
      <c r="ER572" s="26"/>
      <c r="ES572" s="26"/>
      <c r="ET572" s="26"/>
      <c r="EU572" s="26"/>
      <c r="EV572" s="26"/>
      <c r="EW572" s="26"/>
      <c r="EX572" s="26"/>
      <c r="EY572" s="26"/>
      <c r="EZ572" s="26"/>
      <c r="FA572" s="26"/>
      <c r="FB572" s="26"/>
      <c r="FC572" s="26"/>
      <c r="FD572" s="26"/>
      <c r="FE572" s="26"/>
      <c r="FF572" s="26"/>
      <c r="FG572" s="26"/>
      <c r="FH572" s="26"/>
      <c r="FI572" s="26"/>
      <c r="FJ572" s="26"/>
      <c r="FK572" s="26"/>
      <c r="FL572" s="26"/>
      <c r="FM572" s="26"/>
      <c r="FN572" s="26"/>
      <c r="FO572" s="26"/>
      <c r="FP572" s="26"/>
      <c r="FQ572" s="26"/>
      <c r="FR572" s="26"/>
      <c r="FS572" s="26"/>
      <c r="FT572" s="26"/>
      <c r="FU572" s="26"/>
      <c r="FV572" s="26"/>
      <c r="FW572" s="26"/>
      <c r="FX572" s="26"/>
      <c r="FY572" s="26"/>
      <c r="FZ572" s="26"/>
      <c r="GA572" s="26"/>
      <c r="GB572" s="26"/>
      <c r="GC572" s="26"/>
      <c r="GD572" s="26"/>
      <c r="GE572" s="26"/>
      <c r="GF572" s="26"/>
      <c r="GG572" s="26"/>
      <c r="GH572" s="26"/>
      <c r="GI572" s="26"/>
      <c r="GJ572" s="26"/>
      <c r="GK572" s="26"/>
      <c r="GL572" s="26"/>
      <c r="GM572" s="26"/>
      <c r="GN572" s="26"/>
      <c r="GO572" s="26"/>
      <c r="GP572" s="26"/>
      <c r="GQ572" s="26"/>
      <c r="GR572" s="26"/>
      <c r="GS572" s="26"/>
      <c r="GT572" s="26"/>
      <c r="GU572" s="26"/>
      <c r="GV572" s="26"/>
      <c r="GW572" s="26"/>
      <c r="GX572" s="26"/>
      <c r="GY572" s="26"/>
      <c r="GZ572" s="26"/>
      <c r="HA572" s="26"/>
      <c r="HB572" s="26"/>
      <c r="HC572" s="26"/>
      <c r="HD572" s="26"/>
      <c r="HE572" s="26"/>
      <c r="HF572" s="26"/>
      <c r="HG572" s="26"/>
      <c r="HH572" s="26"/>
    </row>
    <row r="573" spans="1:21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c r="BM573" s="26"/>
      <c r="BN573" s="26"/>
      <c r="BO573" s="26"/>
      <c r="BP573" s="26"/>
      <c r="BQ573" s="26"/>
      <c r="BR573" s="26"/>
      <c r="BS573" s="26"/>
      <c r="BT573" s="26"/>
      <c r="BU573" s="26"/>
      <c r="BV573" s="26"/>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26"/>
      <c r="CU573" s="26"/>
      <c r="CV573" s="26"/>
      <c r="CW573" s="26"/>
      <c r="CX573" s="26"/>
      <c r="CY573" s="26"/>
      <c r="CZ573" s="26"/>
      <c r="DA573" s="26"/>
      <c r="DB573" s="26"/>
      <c r="DC573" s="26"/>
      <c r="DD573" s="26"/>
      <c r="DE573" s="26"/>
      <c r="DF573" s="26"/>
      <c r="DG573" s="26"/>
      <c r="DH573" s="26"/>
      <c r="DI573" s="26"/>
      <c r="DJ573" s="26"/>
      <c r="DK573" s="26"/>
      <c r="DL573" s="26"/>
      <c r="DM573" s="26"/>
      <c r="DN573" s="26"/>
      <c r="DO573" s="26"/>
      <c r="DP573" s="26"/>
      <c r="DQ573" s="26"/>
      <c r="DR573" s="26"/>
      <c r="DS573" s="26"/>
      <c r="DT573" s="26"/>
      <c r="DU573" s="26"/>
      <c r="DV573" s="26"/>
      <c r="DW573" s="26"/>
      <c r="DX573" s="26"/>
      <c r="DY573" s="26"/>
      <c r="DZ573" s="26"/>
      <c r="EA573" s="26"/>
      <c r="EB573" s="26"/>
      <c r="EC573" s="26"/>
      <c r="ED573" s="26"/>
      <c r="EE573" s="26"/>
      <c r="EF573" s="26"/>
      <c r="EG573" s="26"/>
      <c r="EH573" s="26"/>
      <c r="EI573" s="26"/>
      <c r="EJ573" s="26"/>
      <c r="EK573" s="26"/>
      <c r="EL573" s="26"/>
      <c r="EM573" s="26"/>
      <c r="EN573" s="26"/>
      <c r="EO573" s="26"/>
      <c r="EP573" s="26"/>
      <c r="EQ573" s="26"/>
      <c r="ER573" s="26"/>
      <c r="ES573" s="26"/>
      <c r="ET573" s="26"/>
      <c r="EU573" s="26"/>
      <c r="EV573" s="26"/>
      <c r="EW573" s="26"/>
      <c r="EX573" s="26"/>
      <c r="EY573" s="26"/>
      <c r="EZ573" s="26"/>
      <c r="FA573" s="26"/>
      <c r="FB573" s="26"/>
      <c r="FC573" s="26"/>
      <c r="FD573" s="26"/>
      <c r="FE573" s="26"/>
      <c r="FF573" s="26"/>
      <c r="FG573" s="26"/>
      <c r="FH573" s="26"/>
      <c r="FI573" s="26"/>
      <c r="FJ573" s="26"/>
      <c r="FK573" s="26"/>
      <c r="FL573" s="26"/>
      <c r="FM573" s="26"/>
      <c r="FN573" s="26"/>
      <c r="FO573" s="26"/>
      <c r="FP573" s="26"/>
      <c r="FQ573" s="26"/>
      <c r="FR573" s="26"/>
      <c r="FS573" s="26"/>
      <c r="FT573" s="26"/>
      <c r="FU573" s="26"/>
      <c r="FV573" s="26"/>
      <c r="FW573" s="26"/>
      <c r="FX573" s="26"/>
      <c r="FY573" s="26"/>
      <c r="FZ573" s="26"/>
      <c r="GA573" s="26"/>
      <c r="GB573" s="26"/>
      <c r="GC573" s="26"/>
      <c r="GD573" s="26"/>
      <c r="GE573" s="26"/>
      <c r="GF573" s="26"/>
      <c r="GG573" s="26"/>
      <c r="GH573" s="26"/>
      <c r="GI573" s="26"/>
      <c r="GJ573" s="26"/>
      <c r="GK573" s="26"/>
      <c r="GL573" s="26"/>
      <c r="GM573" s="26"/>
      <c r="GN573" s="26"/>
      <c r="GO573" s="26"/>
      <c r="GP573" s="26"/>
      <c r="GQ573" s="26"/>
      <c r="GR573" s="26"/>
      <c r="GS573" s="26"/>
      <c r="GT573" s="26"/>
      <c r="GU573" s="26"/>
      <c r="GV573" s="26"/>
      <c r="GW573" s="26"/>
      <c r="GX573" s="26"/>
      <c r="GY573" s="26"/>
      <c r="GZ573" s="26"/>
      <c r="HA573" s="26"/>
      <c r="HB573" s="26"/>
      <c r="HC573" s="26"/>
      <c r="HD573" s="26"/>
      <c r="HE573" s="26"/>
      <c r="HF573" s="26"/>
      <c r="HG573" s="26"/>
      <c r="HH573" s="26"/>
    </row>
    <row r="574" spans="1:21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c r="BM574" s="26"/>
      <c r="BN574" s="26"/>
      <c r="BO574" s="26"/>
      <c r="BP574" s="26"/>
      <c r="BQ574" s="26"/>
      <c r="BR574" s="26"/>
      <c r="BS574" s="26"/>
      <c r="BT574" s="26"/>
      <c r="BU574" s="26"/>
      <c r="BV574" s="26"/>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26"/>
      <c r="CU574" s="26"/>
      <c r="CV574" s="26"/>
      <c r="CW574" s="26"/>
      <c r="CX574" s="26"/>
      <c r="CY574" s="26"/>
      <c r="CZ574" s="26"/>
      <c r="DA574" s="26"/>
      <c r="DB574" s="26"/>
      <c r="DC574" s="26"/>
      <c r="DD574" s="26"/>
      <c r="DE574" s="26"/>
      <c r="DF574" s="26"/>
      <c r="DG574" s="26"/>
      <c r="DH574" s="26"/>
      <c r="DI574" s="26"/>
      <c r="DJ574" s="26"/>
      <c r="DK574" s="26"/>
      <c r="DL574" s="26"/>
      <c r="DM574" s="26"/>
      <c r="DN574" s="26"/>
      <c r="DO574" s="26"/>
      <c r="DP574" s="26"/>
      <c r="DQ574" s="26"/>
      <c r="DR574" s="26"/>
      <c r="DS574" s="26"/>
      <c r="DT574" s="26"/>
      <c r="DU574" s="26"/>
      <c r="DV574" s="26"/>
      <c r="DW574" s="26"/>
      <c r="DX574" s="26"/>
      <c r="DY574" s="26"/>
      <c r="DZ574" s="26"/>
      <c r="EA574" s="26"/>
      <c r="EB574" s="26"/>
      <c r="EC574" s="26"/>
      <c r="ED574" s="26"/>
      <c r="EE574" s="26"/>
      <c r="EF574" s="26"/>
      <c r="EG574" s="26"/>
      <c r="EH574" s="26"/>
      <c r="EI574" s="26"/>
      <c r="EJ574" s="26"/>
      <c r="EK574" s="26"/>
      <c r="EL574" s="26"/>
      <c r="EM574" s="26"/>
      <c r="EN574" s="26"/>
      <c r="EO574" s="26"/>
      <c r="EP574" s="26"/>
      <c r="EQ574" s="26"/>
      <c r="ER574" s="26"/>
      <c r="ES574" s="26"/>
      <c r="ET574" s="26"/>
      <c r="EU574" s="26"/>
      <c r="EV574" s="26"/>
      <c r="EW574" s="26"/>
      <c r="EX574" s="26"/>
      <c r="EY574" s="26"/>
      <c r="EZ574" s="26"/>
      <c r="FA574" s="26"/>
      <c r="FB574" s="26"/>
      <c r="FC574" s="26"/>
      <c r="FD574" s="26"/>
      <c r="FE574" s="26"/>
      <c r="FF574" s="26"/>
      <c r="FG574" s="26"/>
      <c r="FH574" s="26"/>
      <c r="FI574" s="26"/>
      <c r="FJ574" s="26"/>
      <c r="FK574" s="26"/>
      <c r="FL574" s="26"/>
      <c r="FM574" s="26"/>
      <c r="FN574" s="26"/>
      <c r="FO574" s="26"/>
      <c r="FP574" s="26"/>
      <c r="FQ574" s="26"/>
      <c r="FR574" s="26"/>
      <c r="FS574" s="26"/>
      <c r="FT574" s="26"/>
      <c r="FU574" s="26"/>
      <c r="FV574" s="26"/>
      <c r="FW574" s="26"/>
      <c r="FX574" s="26"/>
      <c r="FY574" s="26"/>
      <c r="FZ574" s="26"/>
      <c r="GA574" s="26"/>
      <c r="GB574" s="26"/>
      <c r="GC574" s="26"/>
      <c r="GD574" s="26"/>
      <c r="GE574" s="26"/>
      <c r="GF574" s="26"/>
      <c r="GG574" s="26"/>
      <c r="GH574" s="26"/>
      <c r="GI574" s="26"/>
      <c r="GJ574" s="26"/>
      <c r="GK574" s="26"/>
      <c r="GL574" s="26"/>
      <c r="GM574" s="26"/>
      <c r="GN574" s="26"/>
      <c r="GO574" s="26"/>
      <c r="GP574" s="26"/>
      <c r="GQ574" s="26"/>
      <c r="GR574" s="26"/>
      <c r="GS574" s="26"/>
      <c r="GT574" s="26"/>
      <c r="GU574" s="26"/>
      <c r="GV574" s="26"/>
      <c r="GW574" s="26"/>
      <c r="GX574" s="26"/>
      <c r="GY574" s="26"/>
      <c r="GZ574" s="26"/>
      <c r="HA574" s="26"/>
      <c r="HB574" s="26"/>
      <c r="HC574" s="26"/>
      <c r="HD574" s="26"/>
      <c r="HE574" s="26"/>
      <c r="HF574" s="26"/>
      <c r="HG574" s="26"/>
      <c r="HH574" s="26"/>
    </row>
    <row r="575" spans="1:21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row>
    <row r="576" spans="1:21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row>
  </sheetData>
  <sortState xmlns:xlrd2="http://schemas.microsoft.com/office/spreadsheetml/2017/richdata2" ref="C60:E93">
    <sortCondition descending="1" ref="E93"/>
  </sortState>
  <mergeCells count="28">
    <mergeCell ref="AZ53:BB53"/>
    <mergeCell ref="AW53:AY53"/>
    <mergeCell ref="B4:E4"/>
    <mergeCell ref="AK53:AM53"/>
    <mergeCell ref="AN53:AP53"/>
    <mergeCell ref="AQ53:AS53"/>
    <mergeCell ref="AT53:AV53"/>
    <mergeCell ref="AD7:AE7"/>
    <mergeCell ref="AF7:AG7"/>
    <mergeCell ref="AH7:AI7"/>
    <mergeCell ref="D7:E7"/>
    <mergeCell ref="F7:G7"/>
    <mergeCell ref="H7:I7"/>
    <mergeCell ref="J7:K7"/>
    <mergeCell ref="L7:M7"/>
    <mergeCell ref="AB53:AD53"/>
    <mergeCell ref="AE53:AG53"/>
    <mergeCell ref="Z7:AA7"/>
    <mergeCell ref="P53:R53"/>
    <mergeCell ref="S53:U53"/>
    <mergeCell ref="V53:X53"/>
    <mergeCell ref="Y53:AA53"/>
    <mergeCell ref="AB7:AC7"/>
    <mergeCell ref="N7:O7"/>
    <mergeCell ref="P7:Q7"/>
    <mergeCell ref="R7:S7"/>
    <mergeCell ref="T7:U7"/>
    <mergeCell ref="V7:W7"/>
  </mergeCells>
  <phoneticPr fontId="3" type="noConversion"/>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B066-50A4-3842-9C6B-CE13E05023FC}">
  <sheetPr codeName="Sheet6">
    <tabColor rgb="FFA4A4A4"/>
  </sheetPr>
  <dimension ref="A4:M106"/>
  <sheetViews>
    <sheetView topLeftCell="A21" zoomScaleNormal="100" workbookViewId="0">
      <selection activeCell="P101" sqref="P101"/>
    </sheetView>
  </sheetViews>
  <sheetFormatPr defaultColWidth="11" defaultRowHeight="15.75"/>
  <cols>
    <col min="2" max="2" width="15.375" customWidth="1"/>
    <col min="6" max="6" width="12" bestFit="1" customWidth="1"/>
    <col min="7" max="7" width="11.625" customWidth="1"/>
    <col min="8" max="8" width="11.5" bestFit="1" customWidth="1"/>
    <col min="9" max="9" width="8.125" customWidth="1"/>
    <col min="10" max="10" width="9.5" bestFit="1" customWidth="1"/>
    <col min="11" max="11" width="12.5" customWidth="1"/>
  </cols>
  <sheetData>
    <row r="4" spans="1:13" ht="33.75">
      <c r="B4" s="1700" t="s">
        <v>1523</v>
      </c>
      <c r="C4" s="1700"/>
      <c r="D4" s="1700"/>
      <c r="E4" s="1700"/>
      <c r="F4" s="1700"/>
      <c r="G4" s="1700"/>
    </row>
    <row r="6" spans="1:13" ht="161.1" customHeight="1">
      <c r="B6" s="1701" t="s">
        <v>2055</v>
      </c>
      <c r="C6" s="1701"/>
      <c r="D6" s="1701"/>
      <c r="E6" s="1701"/>
      <c r="F6" s="1701"/>
      <c r="G6" s="1701"/>
    </row>
    <row r="7" spans="1:13">
      <c r="B7" s="1702" t="s">
        <v>1524</v>
      </c>
      <c r="C7" s="1702"/>
      <c r="D7" s="1702"/>
      <c r="E7" s="1702"/>
      <c r="F7" s="1702"/>
      <c r="G7" s="1702"/>
    </row>
    <row r="8" spans="1:13">
      <c r="M8" s="335"/>
    </row>
    <row r="10" spans="1:13" ht="18.75">
      <c r="B10" s="68" t="s">
        <v>1528</v>
      </c>
    </row>
    <row r="11" spans="1:13" ht="31.5" customHeight="1">
      <c r="B11" s="1704" t="s">
        <v>2842</v>
      </c>
      <c r="C11" s="1704"/>
      <c r="D11" s="1704"/>
      <c r="E11" s="1704"/>
      <c r="F11" s="1704"/>
      <c r="G11" s="1704"/>
      <c r="H11" s="1704"/>
      <c r="I11" s="1704"/>
      <c r="J11" s="1704"/>
      <c r="K11" s="1704"/>
      <c r="L11" s="1704"/>
    </row>
    <row r="12" spans="1:13">
      <c r="B12" s="292" t="s">
        <v>183</v>
      </c>
      <c r="C12" s="87" t="s">
        <v>182</v>
      </c>
      <c r="D12" s="308" t="s">
        <v>12</v>
      </c>
      <c r="E12" s="309" t="s">
        <v>14</v>
      </c>
      <c r="F12" s="310" t="s">
        <v>13</v>
      </c>
      <c r="G12" s="311" t="s">
        <v>71</v>
      </c>
    </row>
    <row r="13" spans="1:13">
      <c r="B13" s="90" t="s">
        <v>126</v>
      </c>
      <c r="C13" s="100">
        <f>COUNTIF(Logs!$C$9:$O$18, "*")</f>
        <v>77</v>
      </c>
      <c r="D13" s="319">
        <f>COUNTIF(Logs!$C$9:$O$18, "*"&amp;D$12&amp;"*")</f>
        <v>41</v>
      </c>
      <c r="E13" s="8">
        <f>COUNTIF(Logs!$C$9:$O$18, "*"&amp;E$12&amp;"*")</f>
        <v>12</v>
      </c>
      <c r="F13" s="33">
        <f>COUNTIF(Logs!$C$9:$O$18, "*"&amp;F$12&amp;"*")</f>
        <v>13</v>
      </c>
      <c r="G13" s="326">
        <f>COUNTIF(Logs!$C$9:$O$18, "*"&amp;G$12&amp;"*")</f>
        <v>11</v>
      </c>
      <c r="H13" s="329"/>
      <c r="J13" s="142"/>
    </row>
    <row r="14" spans="1:13">
      <c r="A14" s="142"/>
      <c r="B14" s="90" t="s">
        <v>127</v>
      </c>
      <c r="C14" s="98">
        <f>COUNTA(Logs!$C$27:$O$36)</f>
        <v>93</v>
      </c>
      <c r="D14" s="319">
        <f>COUNTIF(Logs!$C$27:$O$36, "*"&amp;D$12&amp;"*")</f>
        <v>58</v>
      </c>
      <c r="E14" s="8">
        <f>COUNTIF(Logs!$C$27:$O$36, "*"&amp;E$12&amp;"*")</f>
        <v>12</v>
      </c>
      <c r="F14" s="33">
        <f>COUNTIF(Logs!$C$27:$O$36, "*"&amp;F$12&amp;"*")</f>
        <v>12</v>
      </c>
      <c r="G14" s="326">
        <f>COUNTIF(Logs!$C$27:$O$36, "*"&amp;G$12&amp;"*")</f>
        <v>11</v>
      </c>
      <c r="H14" s="329"/>
      <c r="J14" s="142"/>
      <c r="K14" s="333"/>
    </row>
    <row r="15" spans="1:13">
      <c r="B15" s="90" t="s">
        <v>128</v>
      </c>
      <c r="C15" s="98">
        <f>COUNTA(Logs!$C$45:$O$54)</f>
        <v>92</v>
      </c>
      <c r="D15" s="319">
        <f>COUNTIF(Logs!$C$45:$O$54, "*"&amp;D$12&amp;"*")</f>
        <v>56</v>
      </c>
      <c r="E15" s="8">
        <f>COUNTIF(Logs!$C$45:$O$54, "*"&amp;E$12&amp;"*")</f>
        <v>12</v>
      </c>
      <c r="F15" s="33">
        <f>COUNTIF(Logs!$C$45:$O$54, "*"&amp;F$12&amp;"*")</f>
        <v>13</v>
      </c>
      <c r="G15" s="326">
        <f>COUNTIF(Logs!$C$45:$O$54, "*"&amp;G$12&amp;"*")</f>
        <v>11</v>
      </c>
      <c r="H15" s="329"/>
      <c r="J15" s="142"/>
      <c r="K15" s="333"/>
    </row>
    <row r="16" spans="1:13">
      <c r="B16" s="90" t="s">
        <v>129</v>
      </c>
      <c r="C16" s="98">
        <f>COUNTA(Logs!$C$63:$O$72)</f>
        <v>94</v>
      </c>
      <c r="D16" s="319">
        <f>COUNTIF(Logs!$C$63:$O$72, "*"&amp;D$12&amp;"*")</f>
        <v>58</v>
      </c>
      <c r="E16" s="8">
        <f>COUNTIF(Logs!$C$63:$O$72, "*"&amp;E$12&amp;"*")</f>
        <v>12</v>
      </c>
      <c r="F16" s="33">
        <f>COUNTIF(Logs!$C$63:$O$72, "*"&amp;F$12&amp;"*")</f>
        <v>13</v>
      </c>
      <c r="G16" s="326">
        <f>COUNTIF(Logs!$C$63:$O$72, "*"&amp;G$12&amp;"*")</f>
        <v>11</v>
      </c>
      <c r="H16" s="329"/>
      <c r="J16" s="142"/>
      <c r="K16" s="333"/>
    </row>
    <row r="17" spans="2:11">
      <c r="B17" s="90" t="s">
        <v>130</v>
      </c>
      <c r="C17" s="98">
        <f>COUNTIF(Logs!$C$81:$O$90, "*")</f>
        <v>88</v>
      </c>
      <c r="D17" s="319">
        <f>COUNTIF(Logs!$C$81:$O$90, "*"&amp;D$12&amp;"*")</f>
        <v>62</v>
      </c>
      <c r="E17" s="8">
        <f>COUNTIF(Logs!$C$81:$O$90, "*"&amp;E$12&amp;"*")</f>
        <v>12</v>
      </c>
      <c r="F17" s="33">
        <f>COUNTIF(Logs!$C$81:$O$90, "*"&amp;F$12&amp;"*")</f>
        <v>12</v>
      </c>
      <c r="G17" s="326">
        <f>COUNTIF(Logs!$C$81:$O$90, "*"&amp;G$12&amp;"*")</f>
        <v>2</v>
      </c>
      <c r="H17" s="329"/>
      <c r="J17" s="142"/>
      <c r="K17" s="333"/>
    </row>
    <row r="18" spans="2:11">
      <c r="B18" s="90" t="s">
        <v>131</v>
      </c>
      <c r="C18" s="98">
        <f>COUNTIF(Logs!$C$100:$O$112, "*")</f>
        <v>93</v>
      </c>
      <c r="D18" s="319">
        <f>COUNTIF(Logs!$C$100:$O$112, "*"&amp;D12&amp;"*")</f>
        <v>66</v>
      </c>
      <c r="E18" s="8">
        <f>COUNTIF(Logs!$C$100:$O$112, "*"&amp;E12&amp;"*")</f>
        <v>12</v>
      </c>
      <c r="F18" s="33">
        <f>COUNTIF(Logs!$C$100:$O$112, "*"&amp;F12&amp;"*")</f>
        <v>13</v>
      </c>
      <c r="G18" s="326">
        <f>COUNTIF(Logs!$C$100:$O$112, "*"&amp;G12&amp;"*")</f>
        <v>2</v>
      </c>
      <c r="H18" s="329"/>
      <c r="J18" s="142"/>
      <c r="K18" s="333"/>
    </row>
    <row r="19" spans="2:11">
      <c r="B19" s="90" t="s">
        <v>132</v>
      </c>
      <c r="C19" s="98">
        <f>COUNTIF(Logs!$C$120:$O$129, "*")</f>
        <v>83</v>
      </c>
      <c r="D19" s="319">
        <f>COUNTIF(Logs!$C$120:$O$129, "*"&amp;D12&amp;"*")</f>
        <v>56</v>
      </c>
      <c r="E19" s="8">
        <f>COUNTIF(Logs!$C$120:$O$129, "*"&amp;E12&amp;"*")</f>
        <v>12</v>
      </c>
      <c r="F19" s="33">
        <f>COUNTIF(Logs!$C$120:$O$129, "*"&amp;F12&amp;"*")</f>
        <v>13</v>
      </c>
      <c r="G19" s="326">
        <f>COUNTIF(Logs!$C$120:$O$129, "*"&amp;G12&amp;"*")</f>
        <v>2</v>
      </c>
      <c r="H19" s="329"/>
      <c r="J19" s="142"/>
      <c r="K19" s="333"/>
    </row>
    <row r="20" spans="2:11">
      <c r="B20" s="90" t="s">
        <v>133</v>
      </c>
      <c r="C20" s="98">
        <f>COUNTIF(Logs!$C$139:$O$150, "*")</f>
        <v>92</v>
      </c>
      <c r="D20" s="319">
        <f>COUNTIF(Logs!$C$139:$O$150, "*"&amp;D12&amp;"*")</f>
        <v>66</v>
      </c>
      <c r="E20" s="8">
        <f>COUNTIF(Logs!$C$139:$O$150, "*"&amp;E12&amp;"*")</f>
        <v>12</v>
      </c>
      <c r="F20" s="33">
        <f>COUNTIF(Logs!$C$139:$O$150, "*"&amp;F12&amp;"*")</f>
        <v>13</v>
      </c>
      <c r="G20" s="326">
        <f>COUNTIF(Logs!$C$139:$O$150, "*"&amp;G12&amp;"*")</f>
        <v>1</v>
      </c>
      <c r="H20" s="329"/>
      <c r="J20" s="142"/>
      <c r="K20" s="333"/>
    </row>
    <row r="21" spans="2:11">
      <c r="B21" s="90" t="s">
        <v>134</v>
      </c>
      <c r="C21" s="98">
        <f>COUNTIF(Logs!$C$159:$O$168, "*")</f>
        <v>83</v>
      </c>
      <c r="D21" s="319">
        <f>COUNTIF(Logs!$C$159:$O$168, "*"&amp;D$12&amp;"*")</f>
        <v>56</v>
      </c>
      <c r="E21" s="8">
        <f>COUNTIF(Logs!$C$159:$O$168, "*"&amp;E$12&amp;"*")</f>
        <v>12</v>
      </c>
      <c r="F21" s="33">
        <f>COUNTIF(Logs!$C$159:$O$168, "*"&amp;F$12&amp;"*")</f>
        <v>13</v>
      </c>
      <c r="G21" s="326">
        <f>COUNTIF(Logs!$C$159:$O$168, "*"&amp;G$12&amp;"*")</f>
        <v>2</v>
      </c>
      <c r="H21" s="329"/>
      <c r="J21" s="142"/>
      <c r="K21" s="333"/>
    </row>
    <row r="22" spans="2:11">
      <c r="B22" s="90" t="s">
        <v>135</v>
      </c>
      <c r="C22" s="98">
        <f>COUNTIF(Logs!$C$177:$O$189, "*") - 1</f>
        <v>79</v>
      </c>
      <c r="D22" s="319">
        <f>COUNTIF(Logs!$C$177:$O$189,  "*"&amp;D$12&amp;"*")</f>
        <v>52</v>
      </c>
      <c r="E22" s="8">
        <f>COUNTIF(Logs!$C$177:$O$189,  "*"&amp;E$12&amp;"*")</f>
        <v>13</v>
      </c>
      <c r="F22" s="33">
        <f>COUNTIF(Logs!$C$177:$O$189,  "*"&amp;F$12&amp;"*")</f>
        <v>13</v>
      </c>
      <c r="G22" s="326">
        <f>COUNTIF(Logs!$C$177:$O$189,  "*"&amp;G$12&amp;"*")</f>
        <v>2</v>
      </c>
      <c r="H22" s="329"/>
      <c r="J22" s="142"/>
      <c r="K22" s="333"/>
    </row>
    <row r="23" spans="2:11">
      <c r="B23" s="90" t="s">
        <v>136</v>
      </c>
      <c r="C23" s="98">
        <f>COUNTIF(Logs!$C$198:$O$207, "*")</f>
        <v>77</v>
      </c>
      <c r="D23" s="319">
        <f>COUNTIF(Logs!$C$198:$O$207, "*"&amp;D$12&amp;"*")</f>
        <v>50</v>
      </c>
      <c r="E23" s="8">
        <f>COUNTIF(Logs!$C$198:$O$207, "*"&amp;E$12&amp;"*")</f>
        <v>12</v>
      </c>
      <c r="F23" s="33">
        <f>COUNTIF(Logs!$C$198:$O$207, "*"&amp;F$12&amp;"*")</f>
        <v>13</v>
      </c>
      <c r="G23" s="326">
        <f>COUNTIF(Logs!$C$198:$O$207, "*"&amp;G$12&amp;"*")</f>
        <v>2</v>
      </c>
      <c r="H23" s="312" t="s">
        <v>49</v>
      </c>
      <c r="J23" s="142"/>
      <c r="K23" s="333"/>
    </row>
    <row r="24" spans="2:11">
      <c r="B24" s="90" t="s">
        <v>137</v>
      </c>
      <c r="C24" s="98">
        <f>COUNTIF(Logs!$C$215:$M$224, "*")</f>
        <v>73</v>
      </c>
      <c r="D24" s="319">
        <f>COUNTIF(Logs!$C$213:$O$224, "*"&amp;D$12&amp;"*")</f>
        <v>49</v>
      </c>
      <c r="E24" s="8">
        <f>COUNTIF(Logs!$C$213:$O$224, "*"&amp;E$12&amp;"*")</f>
        <v>11</v>
      </c>
      <c r="F24" s="33">
        <f>COUNTIF(Logs!$C$213:$O$224, "*"&amp;F$12&amp;"*")</f>
        <v>10</v>
      </c>
      <c r="G24" s="326">
        <f>COUNTIF(Logs!$C$213:$O$224, "*"&amp;G$12&amp;"*")</f>
        <v>1</v>
      </c>
      <c r="H24" s="329">
        <f>COUNTIF(Logs!$C$213:$O$224, "*"&amp;H$23&amp;"*")</f>
        <v>2</v>
      </c>
      <c r="J24" s="142"/>
      <c r="K24" s="333"/>
    </row>
    <row r="25" spans="2:11">
      <c r="B25" s="90" t="s">
        <v>138</v>
      </c>
      <c r="C25" s="98">
        <f>COUNTIF(Logs!$C$233:$M$242, "*")</f>
        <v>72</v>
      </c>
      <c r="D25" s="319">
        <f>COUNTIF(Logs!$C$233:$M$242, "*"&amp;D$12&amp;"*")</f>
        <v>48</v>
      </c>
      <c r="E25" s="8">
        <f>COUNTIF(Logs!$C$233:$M$242, "*"&amp;E$12&amp;"*")</f>
        <v>9</v>
      </c>
      <c r="F25" s="33">
        <f>COUNTIF(Logs!$C$233:$M$242, "*"&amp;F$12&amp;"*")</f>
        <v>11</v>
      </c>
      <c r="G25" s="326">
        <f>COUNTIF(Logs!$C$233:$M$242, "*"&amp;G$12&amp;"*")</f>
        <v>2</v>
      </c>
      <c r="H25" s="329">
        <f>COUNTIF(Logs!$C$233:$M$242, "*"&amp;H$23&amp;"*")</f>
        <v>2</v>
      </c>
      <c r="J25" s="142"/>
      <c r="K25" s="333"/>
    </row>
    <row r="26" spans="2:11">
      <c r="B26" s="90" t="s">
        <v>139</v>
      </c>
      <c r="C26" s="98">
        <f>COUNTIF(Logs!$C$250:$N$259, "*")</f>
        <v>70</v>
      </c>
      <c r="D26" s="319">
        <f>COUNTIF(Logs!$C$250:$N$259, "*"&amp;D$12&amp;"*")</f>
        <v>46</v>
      </c>
      <c r="E26" s="8">
        <f>COUNTIF(Logs!$C$250:$N$259, "*"&amp;E$12&amp;"*")</f>
        <v>11</v>
      </c>
      <c r="F26" s="33">
        <f>COUNTIF(Logs!$C$250:$N$259, "*"&amp;F$12&amp;"*")</f>
        <v>10</v>
      </c>
      <c r="G26" s="326">
        <f>COUNTIF(Logs!$C$250:$N$259, "*"&amp;G$12&amp;"*")</f>
        <v>1</v>
      </c>
      <c r="H26" s="329">
        <f>COUNTIF(Logs!$C$250:$N$259, "*"&amp;H$23&amp;"*")</f>
        <v>2</v>
      </c>
      <c r="J26" s="142"/>
      <c r="K26" s="333"/>
    </row>
    <row r="27" spans="2:11">
      <c r="B27" s="90" t="s">
        <v>140</v>
      </c>
      <c r="C27" s="98">
        <f>COUNTIF(Logs!$C$267:$N$276, "*") - 1</f>
        <v>76</v>
      </c>
      <c r="D27" s="319">
        <f>COUNTIF(Logs!$C$267:$N$276, "*"&amp;D$12&amp;"*")</f>
        <v>51</v>
      </c>
      <c r="E27" s="8">
        <f>COUNTIF(Logs!$C$267:$N$276, "*"&amp;E$12&amp;"*")</f>
        <v>13</v>
      </c>
      <c r="F27" s="33">
        <f>COUNTIF(Logs!$C$267:$N$276, "*"&amp;F$12&amp;"*")</f>
        <v>9</v>
      </c>
      <c r="G27" s="326">
        <f>COUNTIF(Logs!$C$267:$N$276, "*"&amp;G$12&amp;"*")</f>
        <v>1</v>
      </c>
      <c r="H27" s="329">
        <f>COUNTIF(Logs!$C$267:$N$276, "*"&amp;H$23&amp;"*")</f>
        <v>2</v>
      </c>
      <c r="J27" s="142"/>
      <c r="K27" s="333"/>
    </row>
    <row r="28" spans="2:11">
      <c r="B28" s="90" t="s">
        <v>141</v>
      </c>
      <c r="C28" s="98">
        <f>COUNTIF(Logs!$C$285:$N$294, "*")</f>
        <v>79</v>
      </c>
      <c r="D28" s="319">
        <f>COUNTIF(Logs!$C$285:$N$294, "*"&amp;D$12&amp;"*")</f>
        <v>54</v>
      </c>
      <c r="E28" s="8">
        <f>COUNTIF(Logs!$C$285:$N$294, "*"&amp;E$12&amp;"*")</f>
        <v>12</v>
      </c>
      <c r="F28" s="33">
        <f>COUNTIF(Logs!$C$285:$N$294, "*"&amp;F$12&amp;"*")</f>
        <v>9</v>
      </c>
      <c r="G28" s="326">
        <f>COUNTIF(Logs!$C$285:$N$294, "*"&amp;G$12&amp;"*")</f>
        <v>1</v>
      </c>
      <c r="H28" s="329">
        <f>COUNTIF(Logs!$C$285:$N$294, "*"&amp;H$23&amp;"*")</f>
        <v>3</v>
      </c>
      <c r="J28" s="142"/>
      <c r="K28" s="333"/>
    </row>
    <row r="29" spans="2:11">
      <c r="B29" s="90" t="s">
        <v>142</v>
      </c>
      <c r="C29" s="98">
        <f>COUNTIF(Logs!$C$302:$N$311, "*")</f>
        <v>79</v>
      </c>
      <c r="D29" s="319">
        <f>COUNTIF(Logs!$C$302:$N$311, "*"&amp;D$12&amp;"*")</f>
        <v>54</v>
      </c>
      <c r="E29" s="8">
        <f>COUNTIF(Logs!$C$302:$N$311, "*"&amp;E$12&amp;"*")</f>
        <v>12</v>
      </c>
      <c r="F29" s="33">
        <f>COUNTIF(Logs!$C$302:$N$311, "*"&amp;F$12&amp;"*")</f>
        <v>10</v>
      </c>
      <c r="G29" s="326">
        <f>COUNTIF(Logs!$C$302:$N$311, "*"&amp;G$12&amp;"*")</f>
        <v>1</v>
      </c>
      <c r="H29" s="329">
        <f>COUNTIF(Logs!$C$302:$N$311, "*"&amp;H$23&amp;"*")</f>
        <v>2</v>
      </c>
      <c r="J29" s="142"/>
      <c r="K29" s="333"/>
    </row>
    <row r="30" spans="2:11">
      <c r="B30" s="90" t="s">
        <v>143</v>
      </c>
      <c r="C30" s="98">
        <f>COUNTIF(Logs!$C$320:$N$329, "*")</f>
        <v>79</v>
      </c>
      <c r="D30" s="319">
        <f>COUNTIF(Logs!$C$320:$N$329, "*"&amp;D$12&amp;"*")</f>
        <v>56</v>
      </c>
      <c r="E30" s="8">
        <f>COUNTIF(Logs!$C$320:$N$329, "*"&amp;E$12&amp;"*")</f>
        <v>12</v>
      </c>
      <c r="F30" s="33">
        <f>COUNTIF(Logs!$C$320:$N$329, "*"&amp;F$12&amp;"*")</f>
        <v>10</v>
      </c>
      <c r="G30" s="326">
        <f>COUNTIF(Logs!$C$320:$N$329, "*"&amp;G$12&amp;"*")</f>
        <v>0</v>
      </c>
      <c r="H30" s="329">
        <f>COUNTIF(Logs!$C$320:$N$329, "*"&amp;H$23&amp;"*")</f>
        <v>1</v>
      </c>
      <c r="I30" s="313" t="s">
        <v>231</v>
      </c>
      <c r="J30" s="142"/>
      <c r="K30" s="333"/>
    </row>
    <row r="31" spans="2:11">
      <c r="B31" s="90" t="s">
        <v>144</v>
      </c>
      <c r="C31" s="98">
        <f>COUNTIF(Logs!$C$338:$N$347, "*") - 1</f>
        <v>79</v>
      </c>
      <c r="D31" s="319">
        <f>COUNTIF(Logs!$C$338:$N$347, "*"&amp;D$12&amp;"*")</f>
        <v>55</v>
      </c>
      <c r="E31" s="8">
        <f>COUNTIF(Logs!$C$338:$N$347, "*"&amp;E$12&amp;"*")</f>
        <v>13</v>
      </c>
      <c r="F31" s="33">
        <f>COUNTIF(Logs!$C$338:$N$347, "*"&amp;F$12&amp;"*")</f>
        <v>8</v>
      </c>
      <c r="G31" s="326">
        <f>COUNTIF(Logs!$C$338:$N$347, "*"&amp;G$12&amp;"*")</f>
        <v>0</v>
      </c>
      <c r="H31" s="329">
        <f>COUNTIF(Logs!$C$338:$N$347, "*"&amp;H$23&amp;"*")</f>
        <v>3</v>
      </c>
      <c r="I31">
        <f>COUNTIF(Logs!$C$338:$N$347, "*"&amp;I$30&amp;"*")</f>
        <v>1</v>
      </c>
      <c r="J31" s="142"/>
      <c r="K31" s="333"/>
    </row>
    <row r="32" spans="2:11">
      <c r="B32" s="90" t="s">
        <v>145</v>
      </c>
      <c r="C32" s="98">
        <f>COUNTIF(Logs!$C$356:$N$365, "*")</f>
        <v>76</v>
      </c>
      <c r="D32" s="319">
        <f>COUNTIF(Logs!$C$356:$N$365, "*"&amp;D$12&amp;"*")</f>
        <v>48</v>
      </c>
      <c r="E32" s="8">
        <f>COUNTIF(Logs!$C$356:$N$365, "*"&amp;E$12&amp;"*")</f>
        <v>12</v>
      </c>
      <c r="F32" s="33">
        <f>COUNTIF(Logs!$C$356:$N$365, "*"&amp;F$12&amp;"*")</f>
        <v>10</v>
      </c>
      <c r="G32" s="326">
        <f>COUNTIF(Logs!$C$356:$N$365, "*"&amp;G$12&amp;"*")</f>
        <v>3</v>
      </c>
      <c r="H32" s="329">
        <f>COUNTIF(Logs!$C$356:$N$365, "*"&amp;H$23&amp;"*")</f>
        <v>3</v>
      </c>
      <c r="J32" s="142"/>
      <c r="K32" s="333"/>
    </row>
    <row r="33" spans="2:12">
      <c r="B33" s="90" t="s">
        <v>146</v>
      </c>
      <c r="C33" s="98">
        <f>COUNTIF(Logs!$C$374:$N$383, "*")</f>
        <v>79</v>
      </c>
      <c r="D33" s="319">
        <f>COUNTIF(Logs!$C$374:$N$383, "*"&amp;D$12&amp;"*")</f>
        <v>50</v>
      </c>
      <c r="E33" s="8">
        <f>COUNTIF(Logs!$C$374:$N$383, "*"&amp;E$12&amp;"*")</f>
        <v>14</v>
      </c>
      <c r="F33" s="33">
        <f>COUNTIF(Logs!$C$374:$N$383, "*"&amp;F$12&amp;"*")</f>
        <v>10</v>
      </c>
      <c r="G33" s="326">
        <f>COUNTIF(Logs!$C$374:$N$383, "*"&amp;G$12&amp;"*")</f>
        <v>2</v>
      </c>
      <c r="H33" s="329">
        <f>COUNTIF(Logs!$C$374:$N$383, "*"&amp;H$23&amp;"*")</f>
        <v>3</v>
      </c>
      <c r="J33" s="142"/>
    </row>
    <row r="34" spans="2:12">
      <c r="B34" s="90" t="s">
        <v>147</v>
      </c>
      <c r="C34" s="98">
        <f>COUNTIF(Logs!$C$393:$N$402, "*")</f>
        <v>76</v>
      </c>
      <c r="D34" s="319">
        <f>COUNTIF(Logs!$C$393:$N$402, "*"&amp;D$12&amp;"*")</f>
        <v>51</v>
      </c>
      <c r="E34" s="8">
        <f>COUNTIF(Logs!$C$393:$N$402, "*"&amp;E$12&amp;"*")</f>
        <v>13</v>
      </c>
      <c r="F34" s="33">
        <f>COUNTIF(Logs!$C$393:$N$402, "*"&amp;F$12&amp;"*")</f>
        <v>9</v>
      </c>
      <c r="G34" s="326">
        <f>COUNTIF(Logs!$C$393:$N$402, "*"&amp;G$12&amp;"*")</f>
        <v>1</v>
      </c>
      <c r="H34" s="329">
        <f>COUNTIF(Logs!$C$393:$N$402, "*"&amp;H$23&amp;"*")</f>
        <v>2</v>
      </c>
      <c r="J34" s="142"/>
      <c r="K34" s="333"/>
    </row>
    <row r="35" spans="2:12">
      <c r="B35" s="90" t="s">
        <v>148</v>
      </c>
      <c r="C35" s="98">
        <f>COUNTIF(Logs!$C$411:$N$420, "*")</f>
        <v>78</v>
      </c>
      <c r="D35" s="319">
        <f>COUNTIF(Logs!$C$411:$N$420, "*"&amp;D$12&amp;"*")</f>
        <v>52</v>
      </c>
      <c r="E35" s="8">
        <f>COUNTIF(Logs!$C$411:$N$420, "*"&amp;E$12&amp;"*")</f>
        <v>13</v>
      </c>
      <c r="F35" s="33">
        <f>COUNTIF(Logs!$C$411:$N$420, "*"&amp;F$12&amp;"*")</f>
        <v>10</v>
      </c>
      <c r="G35" s="326">
        <f>COUNTIF(Logs!$C$411:$N$420, "*"&amp;G$12&amp;"*")</f>
        <v>1</v>
      </c>
      <c r="H35" s="329">
        <f>COUNTIF(Logs!$C$411:$N$420, "*"&amp;H$23&amp;"*")</f>
        <v>2</v>
      </c>
      <c r="J35" s="142"/>
      <c r="K35" s="333"/>
    </row>
    <row r="36" spans="2:12">
      <c r="B36" s="90" t="s">
        <v>125</v>
      </c>
      <c r="C36" s="98">
        <f>COUNTIF(Logs!$C$429:$N$438, "*")</f>
        <v>77</v>
      </c>
      <c r="D36" s="319">
        <f>COUNTIF(Logs!$C$429:$N$438, "*"&amp;D$12&amp;"*")</f>
        <v>53</v>
      </c>
      <c r="E36" s="8">
        <f>COUNTIF(Logs!$C$429:$N$438, "*"&amp;E$12&amp;"*")</f>
        <v>12</v>
      </c>
      <c r="F36" s="33">
        <f>COUNTIF(Logs!$C$429:$N$438, "*"&amp;F$12&amp;"*")</f>
        <v>9</v>
      </c>
      <c r="G36" s="326">
        <f>COUNTIF(Logs!$C$429:$N$438, "*"&amp;G$12&amp;"*")</f>
        <v>0</v>
      </c>
      <c r="H36" s="329">
        <f>COUNTIF(Logs!$C$429:$N$438, "*"&amp;H$23&amp;"*")</f>
        <v>3</v>
      </c>
      <c r="J36" s="142"/>
      <c r="K36" s="333"/>
    </row>
    <row r="37" spans="2:12">
      <c r="B37" s="90" t="s">
        <v>116</v>
      </c>
      <c r="C37" s="98">
        <f>COUNTIF(Logs!$C$447:$N$456, "*")</f>
        <v>80</v>
      </c>
      <c r="D37" s="319">
        <f>COUNTIF(Logs!$C$447:$N$456, "*"&amp;D$12&amp;"*")</f>
        <v>56</v>
      </c>
      <c r="E37" s="8">
        <f>COUNTIF(Logs!$C$447:$N$456, "*"&amp;E$12&amp;"*")</f>
        <v>10</v>
      </c>
      <c r="F37" s="33">
        <f>COUNTIF(Logs!$C$447:$N$456, "*"&amp;F$12&amp;"*")</f>
        <v>10</v>
      </c>
      <c r="G37" s="326">
        <f>COUNTIF(Logs!$C$447:$N$456, "*"&amp;G$12&amp;"*")</f>
        <v>1</v>
      </c>
      <c r="H37" s="329">
        <f>COUNTIF(Logs!$C$447:$N$456, "*"&amp;H$23&amp;"*")</f>
        <v>3</v>
      </c>
      <c r="J37" s="142"/>
      <c r="K37" s="333"/>
    </row>
    <row r="38" spans="2:12">
      <c r="B38" s="90" t="s">
        <v>104</v>
      </c>
      <c r="C38" s="98">
        <f>COUNTIF(Logs!$C$465:$N$474, "*")</f>
        <v>73</v>
      </c>
      <c r="D38" s="319">
        <f>COUNTIF(Logs!$C$465:$N$474, "*"&amp;D$12&amp;"*")</f>
        <v>49</v>
      </c>
      <c r="E38" s="8">
        <f>COUNTIF(Logs!$C$465:$N$474, "*"&amp;E$12&amp;"*")</f>
        <v>10</v>
      </c>
      <c r="F38" s="33">
        <f>COUNTIF(Logs!$C$465:$N$474, "*"&amp;F$12&amp;"*")</f>
        <v>11</v>
      </c>
      <c r="G38" s="326">
        <f>COUNTIF(Logs!$C$465:$N$474, "*"&amp;G$12&amp;"*")</f>
        <v>0</v>
      </c>
      <c r="H38" s="329">
        <f>COUNTIF(Logs!$C$465:$N$474, "*"&amp;H$23&amp;"*")</f>
        <v>3</v>
      </c>
      <c r="J38" s="142"/>
      <c r="K38" s="333"/>
    </row>
    <row r="39" spans="2:12">
      <c r="B39" s="90" t="s">
        <v>95</v>
      </c>
      <c r="C39" s="98">
        <f>COUNTIF(Logs!$C$483:$N$492, "*")</f>
        <v>72</v>
      </c>
      <c r="D39" s="319">
        <f>COUNTIF(Logs!$C$483:$N$492, "*"&amp;D$12&amp;"*")</f>
        <v>47</v>
      </c>
      <c r="E39" s="8">
        <f>COUNTIF(Logs!$C$483:$N$492, "*"&amp;E$12&amp;"*")</f>
        <v>12</v>
      </c>
      <c r="F39" s="33">
        <f>COUNTIF(Logs!$C$483:$N$492, "*"&amp;F$12&amp;"*")</f>
        <v>11</v>
      </c>
      <c r="G39" s="326">
        <f>COUNTIF(Logs!$C$483:$N$492, "*"&amp;G$12&amp;"*")</f>
        <v>1</v>
      </c>
      <c r="H39" s="329">
        <f>COUNTIF(Logs!$C$483:$N$492, "*"&amp;H$23&amp;"*")</f>
        <v>1</v>
      </c>
      <c r="J39" s="142"/>
      <c r="K39" s="333"/>
    </row>
    <row r="40" spans="2:12">
      <c r="B40" s="90" t="s">
        <v>85</v>
      </c>
      <c r="C40" s="98">
        <f>COUNTIF(Logs!$C$501:$N$510, "*")</f>
        <v>78</v>
      </c>
      <c r="D40" s="319">
        <f>COUNTIF(Logs!$C$501:$N$510, "*"&amp;D$12&amp;"*")</f>
        <v>52</v>
      </c>
      <c r="E40" s="8">
        <f>COUNTIF(Logs!$C$501:$N$510, "*"&amp;E$12&amp;"*")</f>
        <v>14</v>
      </c>
      <c r="F40" s="33">
        <f>COUNTIF(Logs!$C$501:$N$510, "*"&amp;F$12&amp;"*")</f>
        <v>10</v>
      </c>
      <c r="G40" s="326">
        <f>COUNTIF(Logs!$C$501:$N$510, "*"&amp;G$12&amp;"*")</f>
        <v>0</v>
      </c>
      <c r="H40" s="329">
        <f>COUNTIF(Logs!$C$501:$N$510, "*"&amp;H$23&amp;"*")</f>
        <v>2</v>
      </c>
      <c r="J40" s="142"/>
      <c r="K40" s="333"/>
    </row>
    <row r="41" spans="2:12">
      <c r="B41" s="90" t="s">
        <v>66</v>
      </c>
      <c r="C41" s="98">
        <f>COUNTIF(Logs!$C$519:$N$528, "*")</f>
        <v>77</v>
      </c>
      <c r="D41" s="319">
        <f>COUNTIF(Logs!$C$519:$N$528, "*"&amp;D$12&amp;"*")</f>
        <v>54</v>
      </c>
      <c r="E41" s="8">
        <f>COUNTIF(Logs!$C$519:$N$528, "*"&amp;E$12&amp;"*")</f>
        <v>11</v>
      </c>
      <c r="F41" s="33">
        <f>COUNTIF(Logs!$C$519:$N$528, "*"&amp;F$12&amp;"*")</f>
        <v>9</v>
      </c>
      <c r="G41" s="326">
        <f>COUNTIF(Logs!$C$519:$N$528, "*"&amp;G$12&amp;"*")</f>
        <v>1</v>
      </c>
      <c r="H41" s="329">
        <f>COUNTIF(Logs!$C$519:$N$528, "*"&amp;H$23&amp;"*")</f>
        <v>2</v>
      </c>
      <c r="J41" s="142"/>
      <c r="K41" s="333"/>
    </row>
    <row r="42" spans="2:12">
      <c r="B42" s="90" t="s">
        <v>65</v>
      </c>
      <c r="C42" s="98">
        <f>COUNTIF(Logs!$C$537:$N$546, "*")</f>
        <v>69</v>
      </c>
      <c r="D42" s="319">
        <f>COUNTIF(Logs!$C$537:$N$546,"*"&amp;D$12&amp;"*")</f>
        <v>49</v>
      </c>
      <c r="E42" s="8">
        <f>COUNTIF(Logs!$C$537:$N$546,"*"&amp;E$12&amp;"*")</f>
        <v>9</v>
      </c>
      <c r="F42" s="33">
        <f>COUNTIF(Logs!$C$537:$N$546,"*"&amp;F$12&amp;"*")</f>
        <v>9</v>
      </c>
      <c r="G42" s="326"/>
      <c r="H42" s="329">
        <f>COUNTIF(Logs!$C$537:$N$546,"*"&amp;H$23&amp;"*")</f>
        <v>2</v>
      </c>
      <c r="J42" s="142"/>
      <c r="K42" s="333"/>
    </row>
    <row r="43" spans="2:12">
      <c r="B43" s="90" t="s">
        <v>60</v>
      </c>
      <c r="C43" s="98">
        <f>COUNTIF(Logs!$C$555:$N$564, "*")</f>
        <v>78</v>
      </c>
      <c r="D43" s="319">
        <f>COUNTIF(Logs!$C$555:$N$564, "*"&amp;D$12&amp;"*")</f>
        <v>53</v>
      </c>
      <c r="E43" s="8">
        <f>COUNTIF(Logs!$C$555:$N$564, "*"&amp;E$12&amp;"*")</f>
        <v>12</v>
      </c>
      <c r="F43" s="33">
        <f>COUNTIF(Logs!$C$555:$N$564, "*"&amp;F$12&amp;"*")</f>
        <v>10</v>
      </c>
      <c r="G43" s="326"/>
      <c r="H43" s="329">
        <f>COUNTIF(Logs!$C$555:$N$564, "*"&amp;H$23&amp;"*")</f>
        <v>3</v>
      </c>
      <c r="J43" s="314" t="s">
        <v>56</v>
      </c>
    </row>
    <row r="44" spans="2:12">
      <c r="B44" s="90" t="s">
        <v>35</v>
      </c>
      <c r="C44" s="98">
        <f>COUNTIF(Logs!$C$572:$M$582, "*")</f>
        <v>82</v>
      </c>
      <c r="D44" s="319">
        <f>COUNTIF(Logs!$C$572:$N$582, "*"&amp;D$12&amp;"*")</f>
        <v>53</v>
      </c>
      <c r="E44" s="8">
        <f>COUNTIF(Logs!$C$572:$N$582, "*"&amp;E$12&amp;"*")</f>
        <v>11</v>
      </c>
      <c r="F44" s="33">
        <f>COUNTIF(Logs!$C$572:$N$582, "*"&amp;F$12&amp;"*")</f>
        <v>7</v>
      </c>
      <c r="G44" s="326"/>
      <c r="H44" s="329">
        <f>COUNTIF(Logs!$C$572:$N$582, "*"&amp;H$23&amp;"*")</f>
        <v>2</v>
      </c>
      <c r="J44" s="142">
        <f>COUNTIF(Logs!$C$572:$N$582, "*"&amp;J$43&amp;"*")</f>
        <v>9</v>
      </c>
      <c r="K44" s="333"/>
    </row>
    <row r="45" spans="2:12">
      <c r="B45" s="90" t="s">
        <v>11</v>
      </c>
      <c r="C45" s="98">
        <f>COUNTIF(Logs!$C$591:$M$600, "*")</f>
        <v>63</v>
      </c>
      <c r="D45" s="319">
        <f>COUNTIF(Logs!$C$591:$N$600, "*"&amp;D$12&amp;"*")</f>
        <v>43</v>
      </c>
      <c r="E45" s="8">
        <f>COUNTIF(Logs!$C$591:$N$600, "*"&amp;E$12&amp;"*")</f>
        <v>11</v>
      </c>
      <c r="F45" s="33">
        <f>COUNTIF(Logs!$C$591:$N$600, "*"&amp;F$12&amp;"*")</f>
        <v>8</v>
      </c>
      <c r="G45" s="33"/>
      <c r="H45" s="329">
        <f>COUNTIF(Logs!$C$591:$N$600, "*"&amp;H$23&amp;"*")</f>
        <v>1</v>
      </c>
      <c r="J45" s="142"/>
      <c r="K45" s="333"/>
    </row>
    <row r="46" spans="2:12">
      <c r="B46" s="90" t="s">
        <v>198</v>
      </c>
      <c r="C46" s="98">
        <f>COUNTIF(Logs!$C$607:$L$616, "*")</f>
        <v>60</v>
      </c>
      <c r="D46" s="319">
        <f>COUNTIF(Logs!$C$607:$N$616, "*"&amp;D$12&amp;"*")</f>
        <v>39</v>
      </c>
      <c r="E46" s="8">
        <f>COUNTIF(Logs!$C$607:$N$616, "*"&amp;E$12&amp;"*")</f>
        <v>12</v>
      </c>
      <c r="F46" s="33">
        <f>COUNTIF(Logs!$C$607:$N$616, "*"&amp;F$12&amp;"*")</f>
        <v>9</v>
      </c>
      <c r="G46" s="326"/>
      <c r="H46" s="329"/>
      <c r="J46" s="142"/>
      <c r="K46" s="315" t="s">
        <v>87</v>
      </c>
    </row>
    <row r="47" spans="2:12">
      <c r="B47" s="90" t="s">
        <v>184</v>
      </c>
      <c r="C47" s="98">
        <f>COUNTIF(Logs!$C$623:$N$632, "*")</f>
        <v>81</v>
      </c>
      <c r="D47" s="319">
        <f>COUNTIF(Logs!$C$623:$N$632, "*"&amp;D$12&amp;"*")</f>
        <v>57</v>
      </c>
      <c r="E47" s="8">
        <f>COUNTIF(Logs!$C$623:$N$632, "*"&amp;E$12&amp;"*")</f>
        <v>12</v>
      </c>
      <c r="F47" s="33">
        <f>COUNTIF(Logs!$C$623:$N$632, "*"&amp;F$12&amp;"*")</f>
        <v>10</v>
      </c>
      <c r="G47" s="326"/>
      <c r="H47" s="329"/>
      <c r="J47" s="142"/>
      <c r="K47" s="333">
        <f>COUNTIF(Logs!$C$623:$N$632, "*"&amp;K$46&amp;"*")</f>
        <v>2</v>
      </c>
    </row>
    <row r="48" spans="2:12">
      <c r="B48" s="90" t="s">
        <v>563</v>
      </c>
      <c r="C48" s="98">
        <f>COUNTIF(Logs!$C$640:$M$649, "*")</f>
        <v>69</v>
      </c>
      <c r="D48" s="319">
        <f>COUNTIF(Logs!$C$640:$N$649, "*"&amp;D$12&amp;"*")</f>
        <v>45</v>
      </c>
      <c r="E48" s="8">
        <f>COUNTIF(Logs!$C$640:$N$649, "*"&amp;E$12&amp;"*")</f>
        <v>14</v>
      </c>
      <c r="F48" s="33">
        <f>COUNTIF(Logs!$C$640:$N$649, "*"&amp;F$12&amp;"*")</f>
        <v>10</v>
      </c>
      <c r="G48" s="326"/>
      <c r="H48" s="329"/>
      <c r="J48" s="142"/>
      <c r="K48" s="333"/>
      <c r="L48" s="529" t="s">
        <v>1966</v>
      </c>
    </row>
    <row r="49" spans="2:12">
      <c r="B49" s="163" t="s">
        <v>1742</v>
      </c>
      <c r="C49" s="98">
        <f>COUNTIF(Logs!$C$655:$N$664, "*")</f>
        <v>90</v>
      </c>
      <c r="D49" s="319">
        <f>COUNTIF(Logs!$C$655:$N$664, D$12)</f>
        <v>67</v>
      </c>
      <c r="E49" s="8">
        <f>COUNTIF(Logs!$C$649:$N$664, E$12)</f>
        <v>13</v>
      </c>
      <c r="F49" s="33">
        <f>COUNTIF(Logs!$C$649:$N$664, F$12)</f>
        <v>7</v>
      </c>
      <c r="G49" s="403">
        <f>COUNTIF(Logs!$C$649:$N$664, G$12)</f>
        <v>1</v>
      </c>
      <c r="K49" s="333">
        <f>COUNTIF(Logs!$C$649:$N$664, K$46)</f>
        <v>1</v>
      </c>
      <c r="L49">
        <v>1</v>
      </c>
    </row>
    <row r="50" spans="2:12">
      <c r="B50" s="273" t="s">
        <v>2056</v>
      </c>
      <c r="C50" s="763">
        <f>COUNTIF(Logs!$C$671:$N$681, "*")</f>
        <v>86</v>
      </c>
      <c r="D50" s="320">
        <f>COUNTIF(Logs!$C$671:$N$681, D12)</f>
        <v>64</v>
      </c>
      <c r="E50" s="322">
        <f>COUNTIF(Logs!$C$671:$N$681, E12)</f>
        <v>13</v>
      </c>
      <c r="F50" s="325">
        <f>COUNTIF(Logs!$C$671:$N$681, F12)</f>
        <v>7</v>
      </c>
      <c r="G50" s="764">
        <f>COUNTIF(Logs!$C$671:$N$681, G12)</f>
        <v>1</v>
      </c>
      <c r="H50" s="20"/>
      <c r="I50" s="765">
        <f>COUNTIF(Logs!$C$671:$N$681, I30)</f>
        <v>1</v>
      </c>
      <c r="J50" s="20"/>
      <c r="K50" s="20"/>
      <c r="L50" s="20"/>
    </row>
    <row r="51" spans="2:12">
      <c r="B51" s="272" t="s">
        <v>200</v>
      </c>
      <c r="C51" s="565">
        <f>SUM(C$13:C$50)</f>
        <v>3002</v>
      </c>
      <c r="D51" s="319">
        <f t="shared" ref="D51:I51" si="0">SUM(D$13:D$50)</f>
        <v>2016</v>
      </c>
      <c r="E51" s="8">
        <f t="shared" si="0"/>
        <v>454</v>
      </c>
      <c r="F51" s="33">
        <f t="shared" si="0"/>
        <v>394</v>
      </c>
      <c r="G51" s="326">
        <f t="shared" si="0"/>
        <v>76</v>
      </c>
      <c r="H51" s="329">
        <f t="shared" si="0"/>
        <v>49</v>
      </c>
      <c r="I51">
        <f t="shared" si="0"/>
        <v>2</v>
      </c>
      <c r="J51" s="142">
        <f>SUM(J$13:J$49)</f>
        <v>9</v>
      </c>
      <c r="K51" s="333">
        <f>SUM(K$13:K$50)</f>
        <v>3</v>
      </c>
      <c r="L51">
        <f>SUM(L49:L50)</f>
        <v>1</v>
      </c>
    </row>
    <row r="53" spans="2:12">
      <c r="B53" s="35" t="s">
        <v>1543</v>
      </c>
    </row>
    <row r="54" spans="2:12">
      <c r="B54" s="349" t="s">
        <v>231</v>
      </c>
      <c r="C54" s="1701" t="s">
        <v>2579</v>
      </c>
      <c r="D54" s="1701"/>
      <c r="E54" s="1701"/>
      <c r="F54" s="1701"/>
      <c r="G54" s="1701"/>
      <c r="H54" s="1701"/>
      <c r="I54" s="1701"/>
      <c r="J54" s="1701"/>
      <c r="K54" s="1701"/>
    </row>
    <row r="55" spans="2:12">
      <c r="C55" s="1701"/>
      <c r="D55" s="1701"/>
      <c r="E55" s="1701"/>
      <c r="F55" s="1701"/>
      <c r="G55" s="1701"/>
      <c r="H55" s="1701"/>
      <c r="I55" s="1701"/>
      <c r="J55" s="1701"/>
      <c r="K55" s="1701"/>
    </row>
    <row r="56" spans="2:12">
      <c r="B56" s="350" t="s">
        <v>56</v>
      </c>
      <c r="C56" s="1703" t="s">
        <v>1544</v>
      </c>
      <c r="D56" s="1705"/>
      <c r="E56" s="1705"/>
      <c r="F56" s="1705"/>
      <c r="G56" s="1705"/>
      <c r="H56" s="1705"/>
      <c r="I56" s="1705"/>
      <c r="J56" s="1705"/>
      <c r="K56" s="1705"/>
    </row>
    <row r="57" spans="2:12">
      <c r="C57" s="1705"/>
      <c r="D57" s="1705"/>
      <c r="E57" s="1705"/>
      <c r="F57" s="1705"/>
      <c r="G57" s="1705"/>
      <c r="H57" s="1705"/>
      <c r="I57" s="1705"/>
      <c r="J57" s="1705"/>
      <c r="K57" s="1705"/>
    </row>
    <row r="58" spans="2:12">
      <c r="B58" s="351" t="s">
        <v>87</v>
      </c>
      <c r="C58" s="1701" t="s">
        <v>2580</v>
      </c>
      <c r="D58" s="1702"/>
      <c r="E58" s="1702"/>
      <c r="F58" s="1702"/>
      <c r="G58" s="1702"/>
      <c r="H58" s="1702"/>
      <c r="I58" s="1702"/>
      <c r="J58" s="1702"/>
      <c r="K58" s="1702"/>
    </row>
    <row r="59" spans="2:12">
      <c r="C59" s="1702"/>
      <c r="D59" s="1702"/>
      <c r="E59" s="1702"/>
      <c r="F59" s="1702"/>
      <c r="G59" s="1702"/>
      <c r="H59" s="1702"/>
      <c r="I59" s="1702"/>
      <c r="J59" s="1702"/>
      <c r="K59" s="1702"/>
    </row>
    <row r="60" spans="2:12">
      <c r="B60" s="606" t="s">
        <v>1966</v>
      </c>
      <c r="C60" s="1703" t="s">
        <v>2053</v>
      </c>
      <c r="D60" s="1703"/>
      <c r="E60" s="1703"/>
      <c r="F60" s="1703"/>
      <c r="G60" s="1703"/>
      <c r="H60" s="1703"/>
      <c r="I60" s="1703"/>
      <c r="J60" s="1703"/>
      <c r="K60" s="1703"/>
    </row>
    <row r="61" spans="2:12">
      <c r="C61" s="1703"/>
      <c r="D61" s="1703"/>
      <c r="E61" s="1703"/>
      <c r="F61" s="1703"/>
      <c r="G61" s="1703"/>
      <c r="H61" s="1703"/>
      <c r="I61" s="1703"/>
      <c r="J61" s="1703"/>
      <c r="K61" s="1703"/>
    </row>
    <row r="62" spans="2:12">
      <c r="C62" s="731"/>
      <c r="D62" s="731"/>
      <c r="E62" s="731"/>
      <c r="F62" s="731"/>
      <c r="G62" s="731"/>
      <c r="H62" s="731"/>
      <c r="I62" s="731"/>
      <c r="J62" s="731"/>
      <c r="K62" s="731"/>
    </row>
    <row r="63" spans="2:12" ht="18.75">
      <c r="B63" s="69" t="s">
        <v>2581</v>
      </c>
    </row>
    <row r="64" spans="2:12">
      <c r="B64" s="436"/>
      <c r="C64" s="308" t="s">
        <v>12</v>
      </c>
      <c r="D64" s="309" t="s">
        <v>14</v>
      </c>
      <c r="E64" s="310" t="s">
        <v>13</v>
      </c>
      <c r="F64" s="311" t="s">
        <v>71</v>
      </c>
    </row>
    <row r="65" spans="2:6">
      <c r="B65" s="163" t="s">
        <v>126</v>
      </c>
      <c r="C65" s="143">
        <f>D13/C13</f>
        <v>0.53246753246753242</v>
      </c>
      <c r="D65" s="143">
        <f>E13/C13</f>
        <v>0.15584415584415584</v>
      </c>
      <c r="E65" s="143">
        <f>F13/C13</f>
        <v>0.16883116883116883</v>
      </c>
      <c r="F65" s="143">
        <f>G13/C13</f>
        <v>0.14285714285714285</v>
      </c>
    </row>
    <row r="66" spans="2:6">
      <c r="B66" s="163" t="s">
        <v>127</v>
      </c>
      <c r="C66" s="143">
        <f>D14/C14</f>
        <v>0.62365591397849462</v>
      </c>
      <c r="D66" s="143">
        <f>E14/C14</f>
        <v>0.12903225806451613</v>
      </c>
      <c r="E66" s="143">
        <f>F14/C14</f>
        <v>0.12903225806451613</v>
      </c>
      <c r="F66" s="143">
        <f>G14/C14</f>
        <v>0.11827956989247312</v>
      </c>
    </row>
    <row r="67" spans="2:6">
      <c r="B67" s="163" t="s">
        <v>128</v>
      </c>
      <c r="C67" s="143">
        <f>D15/C15</f>
        <v>0.60869565217391308</v>
      </c>
      <c r="D67" s="143">
        <f>E15/C15</f>
        <v>0.13043478260869565</v>
      </c>
      <c r="E67" s="143">
        <f>F15/C15</f>
        <v>0.14130434782608695</v>
      </c>
      <c r="F67" s="143">
        <f>G15/C15</f>
        <v>0.11956521739130435</v>
      </c>
    </row>
    <row r="68" spans="2:6">
      <c r="B68" s="273" t="s">
        <v>129</v>
      </c>
      <c r="C68" s="769">
        <f>D16/C16</f>
        <v>0.61702127659574468</v>
      </c>
      <c r="D68" s="769">
        <f>E16/C16</f>
        <v>0.1276595744680851</v>
      </c>
      <c r="E68" s="769">
        <f>F16/C16</f>
        <v>0.13829787234042554</v>
      </c>
      <c r="F68" s="769">
        <f>G16/C16</f>
        <v>0.11702127659574468</v>
      </c>
    </row>
    <row r="69" spans="2:6">
      <c r="B69" s="272" t="s">
        <v>333</v>
      </c>
      <c r="C69" s="770">
        <f>AVERAGE(C65:C68)</f>
        <v>0.59546009380392118</v>
      </c>
      <c r="D69" s="770">
        <f>AVERAGE(D65:D68)</f>
        <v>0.13574269274636316</v>
      </c>
      <c r="E69" s="770">
        <f>AVERAGE(E65:E68)</f>
        <v>0.14436641176554937</v>
      </c>
      <c r="F69" s="770">
        <f>AVERAGE(F65:F68)</f>
        <v>0.12443080168416626</v>
      </c>
    </row>
    <row r="70" spans="2:6">
      <c r="B70" s="370" t="s">
        <v>2582</v>
      </c>
      <c r="C70" s="771">
        <f>STDEV(C65:C68)</f>
        <v>4.2438707440980779E-2</v>
      </c>
      <c r="D70" s="771">
        <f>STDEV(D65:D68)</f>
        <v>1.3448785117640961E-2</v>
      </c>
      <c r="E70" s="771">
        <f>STDEV(E65:E68)</f>
        <v>1.7125653411673658E-2</v>
      </c>
      <c r="F70" s="771">
        <f>STDEV(F65:F68)</f>
        <v>1.2328053024504206E-2</v>
      </c>
    </row>
    <row r="71" spans="2:6">
      <c r="B71" s="163" t="s">
        <v>130</v>
      </c>
      <c r="C71" s="143">
        <f t="shared" ref="C71:C104" si="1">D17/C17</f>
        <v>0.70454545454545459</v>
      </c>
      <c r="D71" s="143">
        <f t="shared" ref="D71:D104" si="2">E17/C17</f>
        <v>0.13636363636363635</v>
      </c>
      <c r="E71" s="143">
        <f t="shared" ref="E71:E104" si="3">F17/C17</f>
        <v>0.13636363636363635</v>
      </c>
      <c r="F71" s="143">
        <f t="shared" ref="F71:F104" si="4">G17/C17</f>
        <v>2.2727272727272728E-2</v>
      </c>
    </row>
    <row r="72" spans="2:6">
      <c r="B72" s="163" t="s">
        <v>131</v>
      </c>
      <c r="C72" s="143">
        <f t="shared" si="1"/>
        <v>0.70967741935483875</v>
      </c>
      <c r="D72" s="143">
        <f t="shared" si="2"/>
        <v>0.12903225806451613</v>
      </c>
      <c r="E72" s="143">
        <f t="shared" si="3"/>
        <v>0.13978494623655913</v>
      </c>
      <c r="F72" s="143">
        <f t="shared" si="4"/>
        <v>2.1505376344086023E-2</v>
      </c>
    </row>
    <row r="73" spans="2:6">
      <c r="B73" s="163" t="s">
        <v>132</v>
      </c>
      <c r="C73" s="143">
        <f t="shared" si="1"/>
        <v>0.67469879518072284</v>
      </c>
      <c r="D73" s="143">
        <f t="shared" si="2"/>
        <v>0.14457831325301204</v>
      </c>
      <c r="E73" s="143">
        <f t="shared" si="3"/>
        <v>0.15662650602409639</v>
      </c>
      <c r="F73" s="143">
        <f t="shared" si="4"/>
        <v>2.4096385542168676E-2</v>
      </c>
    </row>
    <row r="74" spans="2:6">
      <c r="B74" s="163" t="s">
        <v>133</v>
      </c>
      <c r="C74" s="143">
        <f t="shared" si="1"/>
        <v>0.71739130434782605</v>
      </c>
      <c r="D74" s="143">
        <f t="shared" si="2"/>
        <v>0.13043478260869565</v>
      </c>
      <c r="E74" s="143">
        <f t="shared" si="3"/>
        <v>0.14130434782608695</v>
      </c>
      <c r="F74" s="143">
        <f t="shared" si="4"/>
        <v>1.0869565217391304E-2</v>
      </c>
    </row>
    <row r="75" spans="2:6">
      <c r="B75" s="163" t="s">
        <v>134</v>
      </c>
      <c r="C75" s="143">
        <f t="shared" si="1"/>
        <v>0.67469879518072284</v>
      </c>
      <c r="D75" s="143">
        <f t="shared" si="2"/>
        <v>0.14457831325301204</v>
      </c>
      <c r="E75" s="143">
        <f t="shared" si="3"/>
        <v>0.15662650602409639</v>
      </c>
      <c r="F75" s="143">
        <f t="shared" si="4"/>
        <v>2.4096385542168676E-2</v>
      </c>
    </row>
    <row r="76" spans="2:6">
      <c r="B76" s="163" t="s">
        <v>135</v>
      </c>
      <c r="C76" s="143">
        <f t="shared" si="1"/>
        <v>0.65822784810126578</v>
      </c>
      <c r="D76" s="143">
        <f t="shared" si="2"/>
        <v>0.16455696202531644</v>
      </c>
      <c r="E76" s="143">
        <f t="shared" si="3"/>
        <v>0.16455696202531644</v>
      </c>
      <c r="F76" s="143">
        <f t="shared" si="4"/>
        <v>2.5316455696202531E-2</v>
      </c>
    </row>
    <row r="77" spans="2:6">
      <c r="B77" s="163" t="s">
        <v>136</v>
      </c>
      <c r="C77" s="143">
        <f t="shared" si="1"/>
        <v>0.64935064935064934</v>
      </c>
      <c r="D77" s="143">
        <f t="shared" si="2"/>
        <v>0.15584415584415584</v>
      </c>
      <c r="E77" s="143">
        <f t="shared" si="3"/>
        <v>0.16883116883116883</v>
      </c>
      <c r="F77" s="143">
        <f t="shared" si="4"/>
        <v>2.5974025974025976E-2</v>
      </c>
    </row>
    <row r="78" spans="2:6">
      <c r="B78" s="163" t="s">
        <v>137</v>
      </c>
      <c r="C78" s="143">
        <f t="shared" si="1"/>
        <v>0.67123287671232879</v>
      </c>
      <c r="D78" s="143">
        <f t="shared" si="2"/>
        <v>0.15068493150684931</v>
      </c>
      <c r="E78" s="143">
        <f t="shared" si="3"/>
        <v>0.13698630136986301</v>
      </c>
      <c r="F78" s="143">
        <f t="shared" si="4"/>
        <v>1.3698630136986301E-2</v>
      </c>
    </row>
    <row r="79" spans="2:6">
      <c r="B79" s="163" t="s">
        <v>138</v>
      </c>
      <c r="C79" s="143">
        <f t="shared" si="1"/>
        <v>0.66666666666666663</v>
      </c>
      <c r="D79" s="143">
        <f t="shared" si="2"/>
        <v>0.125</v>
      </c>
      <c r="E79" s="143">
        <f t="shared" si="3"/>
        <v>0.15277777777777779</v>
      </c>
      <c r="F79" s="143">
        <f t="shared" si="4"/>
        <v>2.7777777777777776E-2</v>
      </c>
    </row>
    <row r="80" spans="2:6">
      <c r="B80" s="163" t="s">
        <v>139</v>
      </c>
      <c r="C80" s="143">
        <f t="shared" si="1"/>
        <v>0.65714285714285714</v>
      </c>
      <c r="D80" s="143">
        <f t="shared" si="2"/>
        <v>0.15714285714285714</v>
      </c>
      <c r="E80" s="143">
        <f t="shared" si="3"/>
        <v>0.14285714285714285</v>
      </c>
      <c r="F80" s="143">
        <f t="shared" si="4"/>
        <v>1.4285714285714285E-2</v>
      </c>
    </row>
    <row r="81" spans="2:6">
      <c r="B81" s="163" t="s">
        <v>140</v>
      </c>
      <c r="C81" s="143">
        <f t="shared" si="1"/>
        <v>0.67105263157894735</v>
      </c>
      <c r="D81" s="143">
        <f t="shared" si="2"/>
        <v>0.17105263157894737</v>
      </c>
      <c r="E81" s="143">
        <f t="shared" si="3"/>
        <v>0.11842105263157894</v>
      </c>
      <c r="F81" s="143">
        <f t="shared" si="4"/>
        <v>1.3157894736842105E-2</v>
      </c>
    </row>
    <row r="82" spans="2:6">
      <c r="B82" s="163" t="s">
        <v>141</v>
      </c>
      <c r="C82" s="143">
        <f t="shared" si="1"/>
        <v>0.68354430379746833</v>
      </c>
      <c r="D82" s="143">
        <f t="shared" si="2"/>
        <v>0.15189873417721519</v>
      </c>
      <c r="E82" s="143">
        <f t="shared" si="3"/>
        <v>0.11392405063291139</v>
      </c>
      <c r="F82" s="143">
        <f t="shared" si="4"/>
        <v>1.2658227848101266E-2</v>
      </c>
    </row>
    <row r="83" spans="2:6">
      <c r="B83" s="163" t="s">
        <v>142</v>
      </c>
      <c r="C83" s="143">
        <f t="shared" si="1"/>
        <v>0.68354430379746833</v>
      </c>
      <c r="D83" s="143">
        <f t="shared" si="2"/>
        <v>0.15189873417721519</v>
      </c>
      <c r="E83" s="143">
        <f t="shared" si="3"/>
        <v>0.12658227848101267</v>
      </c>
      <c r="F83" s="143">
        <f t="shared" si="4"/>
        <v>1.2658227848101266E-2</v>
      </c>
    </row>
    <row r="84" spans="2:6">
      <c r="B84" s="163" t="s">
        <v>143</v>
      </c>
      <c r="C84" s="143">
        <f t="shared" si="1"/>
        <v>0.70886075949367089</v>
      </c>
      <c r="D84" s="143">
        <f t="shared" si="2"/>
        <v>0.15189873417721519</v>
      </c>
      <c r="E84" s="143">
        <f t="shared" si="3"/>
        <v>0.12658227848101267</v>
      </c>
      <c r="F84" s="143">
        <f t="shared" si="4"/>
        <v>0</v>
      </c>
    </row>
    <row r="85" spans="2:6">
      <c r="B85" s="163" t="s">
        <v>144</v>
      </c>
      <c r="C85" s="143">
        <f t="shared" si="1"/>
        <v>0.69620253164556967</v>
      </c>
      <c r="D85" s="143">
        <f t="shared" si="2"/>
        <v>0.16455696202531644</v>
      </c>
      <c r="E85" s="143">
        <f t="shared" si="3"/>
        <v>0.10126582278481013</v>
      </c>
      <c r="F85" s="143">
        <f t="shared" si="4"/>
        <v>0</v>
      </c>
    </row>
    <row r="86" spans="2:6">
      <c r="B86" s="163" t="s">
        <v>145</v>
      </c>
      <c r="C86" s="143">
        <f t="shared" si="1"/>
        <v>0.63157894736842102</v>
      </c>
      <c r="D86" s="143">
        <f t="shared" si="2"/>
        <v>0.15789473684210525</v>
      </c>
      <c r="E86" s="143">
        <f t="shared" si="3"/>
        <v>0.13157894736842105</v>
      </c>
      <c r="F86" s="143">
        <f t="shared" si="4"/>
        <v>3.9473684210526314E-2</v>
      </c>
    </row>
    <row r="87" spans="2:6">
      <c r="B87" s="163" t="s">
        <v>146</v>
      </c>
      <c r="C87" s="143">
        <f t="shared" si="1"/>
        <v>0.63291139240506333</v>
      </c>
      <c r="D87" s="143">
        <f t="shared" si="2"/>
        <v>0.17721518987341772</v>
      </c>
      <c r="E87" s="143">
        <f t="shared" si="3"/>
        <v>0.12658227848101267</v>
      </c>
      <c r="F87" s="143">
        <f t="shared" si="4"/>
        <v>2.5316455696202531E-2</v>
      </c>
    </row>
    <row r="88" spans="2:6">
      <c r="B88" s="163" t="s">
        <v>147</v>
      </c>
      <c r="C88" s="143">
        <f t="shared" si="1"/>
        <v>0.67105263157894735</v>
      </c>
      <c r="D88" s="143">
        <f t="shared" si="2"/>
        <v>0.17105263157894737</v>
      </c>
      <c r="E88" s="143">
        <f t="shared" si="3"/>
        <v>0.11842105263157894</v>
      </c>
      <c r="F88" s="143">
        <f t="shared" si="4"/>
        <v>1.3157894736842105E-2</v>
      </c>
    </row>
    <row r="89" spans="2:6">
      <c r="B89" s="163" t="s">
        <v>148</v>
      </c>
      <c r="C89" s="143">
        <f t="shared" si="1"/>
        <v>0.66666666666666663</v>
      </c>
      <c r="D89" s="143">
        <f t="shared" si="2"/>
        <v>0.16666666666666666</v>
      </c>
      <c r="E89" s="143">
        <f t="shared" si="3"/>
        <v>0.12820512820512819</v>
      </c>
      <c r="F89" s="143">
        <f t="shared" si="4"/>
        <v>1.282051282051282E-2</v>
      </c>
    </row>
    <row r="90" spans="2:6">
      <c r="B90" s="163" t="s">
        <v>125</v>
      </c>
      <c r="C90" s="143">
        <f t="shared" si="1"/>
        <v>0.68831168831168832</v>
      </c>
      <c r="D90" s="143">
        <f t="shared" si="2"/>
        <v>0.15584415584415584</v>
      </c>
      <c r="E90" s="143">
        <f t="shared" si="3"/>
        <v>0.11688311688311688</v>
      </c>
      <c r="F90" s="143">
        <f t="shared" si="4"/>
        <v>0</v>
      </c>
    </row>
    <row r="91" spans="2:6">
      <c r="B91" s="163" t="s">
        <v>116</v>
      </c>
      <c r="C91" s="143">
        <f t="shared" si="1"/>
        <v>0.7</v>
      </c>
      <c r="D91" s="143">
        <f t="shared" si="2"/>
        <v>0.125</v>
      </c>
      <c r="E91" s="143">
        <f t="shared" si="3"/>
        <v>0.125</v>
      </c>
      <c r="F91" s="143">
        <f t="shared" si="4"/>
        <v>1.2500000000000001E-2</v>
      </c>
    </row>
    <row r="92" spans="2:6">
      <c r="B92" s="163" t="s">
        <v>104</v>
      </c>
      <c r="C92" s="143">
        <f t="shared" si="1"/>
        <v>0.67123287671232879</v>
      </c>
      <c r="D92" s="143">
        <f t="shared" si="2"/>
        <v>0.13698630136986301</v>
      </c>
      <c r="E92" s="143">
        <f t="shared" si="3"/>
        <v>0.15068493150684931</v>
      </c>
      <c r="F92" s="143">
        <f t="shared" si="4"/>
        <v>0</v>
      </c>
    </row>
    <row r="93" spans="2:6">
      <c r="B93" s="163" t="s">
        <v>95</v>
      </c>
      <c r="C93" s="143">
        <f t="shared" si="1"/>
        <v>0.65277777777777779</v>
      </c>
      <c r="D93" s="143">
        <f t="shared" si="2"/>
        <v>0.16666666666666666</v>
      </c>
      <c r="E93" s="143">
        <f t="shared" si="3"/>
        <v>0.15277777777777779</v>
      </c>
      <c r="F93" s="143">
        <f t="shared" si="4"/>
        <v>1.3888888888888888E-2</v>
      </c>
    </row>
    <row r="94" spans="2:6">
      <c r="B94" s="163" t="s">
        <v>85</v>
      </c>
      <c r="C94" s="143">
        <f t="shared" si="1"/>
        <v>0.66666666666666663</v>
      </c>
      <c r="D94" s="143">
        <f t="shared" si="2"/>
        <v>0.17948717948717949</v>
      </c>
      <c r="E94" s="143">
        <f t="shared" si="3"/>
        <v>0.12820512820512819</v>
      </c>
      <c r="F94" s="143">
        <f t="shared" si="4"/>
        <v>0</v>
      </c>
    </row>
    <row r="95" spans="2:6">
      <c r="B95" s="163" t="s">
        <v>66</v>
      </c>
      <c r="C95" s="143">
        <f t="shared" si="1"/>
        <v>0.70129870129870131</v>
      </c>
      <c r="D95" s="143">
        <f t="shared" si="2"/>
        <v>0.14285714285714285</v>
      </c>
      <c r="E95" s="143">
        <f t="shared" si="3"/>
        <v>0.11688311688311688</v>
      </c>
      <c r="F95" s="143">
        <f t="shared" si="4"/>
        <v>1.2987012987012988E-2</v>
      </c>
    </row>
    <row r="96" spans="2:6">
      <c r="B96" s="163" t="s">
        <v>65</v>
      </c>
      <c r="C96" s="143">
        <f t="shared" si="1"/>
        <v>0.71014492753623193</v>
      </c>
      <c r="D96" s="143">
        <f t="shared" si="2"/>
        <v>0.13043478260869565</v>
      </c>
      <c r="E96" s="143">
        <f t="shared" si="3"/>
        <v>0.13043478260869565</v>
      </c>
      <c r="F96" s="143">
        <f t="shared" si="4"/>
        <v>0</v>
      </c>
    </row>
    <row r="97" spans="2:6">
      <c r="B97" s="163" t="s">
        <v>60</v>
      </c>
      <c r="C97" s="143">
        <f t="shared" si="1"/>
        <v>0.67948717948717952</v>
      </c>
      <c r="D97" s="143">
        <f t="shared" si="2"/>
        <v>0.15384615384615385</v>
      </c>
      <c r="E97" s="143">
        <f t="shared" si="3"/>
        <v>0.12820512820512819</v>
      </c>
      <c r="F97" s="143">
        <f t="shared" si="4"/>
        <v>0</v>
      </c>
    </row>
    <row r="98" spans="2:6">
      <c r="B98" s="163" t="s">
        <v>35</v>
      </c>
      <c r="C98" s="143">
        <f t="shared" si="1"/>
        <v>0.64634146341463417</v>
      </c>
      <c r="D98" s="143">
        <f t="shared" si="2"/>
        <v>0.13414634146341464</v>
      </c>
      <c r="E98" s="143">
        <f t="shared" si="3"/>
        <v>8.5365853658536592E-2</v>
      </c>
      <c r="F98" s="143">
        <f t="shared" si="4"/>
        <v>0</v>
      </c>
    </row>
    <row r="99" spans="2:6">
      <c r="B99" s="163" t="s">
        <v>11</v>
      </c>
      <c r="C99" s="143">
        <f t="shared" si="1"/>
        <v>0.68253968253968256</v>
      </c>
      <c r="D99" s="143">
        <f t="shared" si="2"/>
        <v>0.17460317460317459</v>
      </c>
      <c r="E99" s="143">
        <f t="shared" si="3"/>
        <v>0.12698412698412698</v>
      </c>
      <c r="F99" s="143">
        <f t="shared" si="4"/>
        <v>0</v>
      </c>
    </row>
    <row r="100" spans="2:6">
      <c r="B100" s="163" t="s">
        <v>198</v>
      </c>
      <c r="C100" s="143">
        <f t="shared" si="1"/>
        <v>0.65</v>
      </c>
      <c r="D100" s="143">
        <f t="shared" si="2"/>
        <v>0.2</v>
      </c>
      <c r="E100" s="143">
        <f t="shared" si="3"/>
        <v>0.15</v>
      </c>
      <c r="F100" s="143">
        <f t="shared" si="4"/>
        <v>0</v>
      </c>
    </row>
    <row r="101" spans="2:6">
      <c r="B101" s="163" t="s">
        <v>184</v>
      </c>
      <c r="C101" s="143">
        <f t="shared" si="1"/>
        <v>0.70370370370370372</v>
      </c>
      <c r="D101" s="143">
        <f t="shared" si="2"/>
        <v>0.14814814814814814</v>
      </c>
      <c r="E101" s="143">
        <f t="shared" si="3"/>
        <v>0.12345679012345678</v>
      </c>
      <c r="F101" s="143">
        <f t="shared" si="4"/>
        <v>0</v>
      </c>
    </row>
    <row r="102" spans="2:6">
      <c r="B102" s="163" t="s">
        <v>563</v>
      </c>
      <c r="C102" s="143">
        <f t="shared" si="1"/>
        <v>0.65217391304347827</v>
      </c>
      <c r="D102" s="143">
        <f t="shared" si="2"/>
        <v>0.20289855072463769</v>
      </c>
      <c r="E102" s="143">
        <f t="shared" si="3"/>
        <v>0.14492753623188406</v>
      </c>
      <c r="F102" s="143">
        <f t="shared" si="4"/>
        <v>0</v>
      </c>
    </row>
    <row r="103" spans="2:6">
      <c r="B103" s="163" t="s">
        <v>1742</v>
      </c>
      <c r="C103" s="143">
        <f t="shared" si="1"/>
        <v>0.74444444444444446</v>
      </c>
      <c r="D103" s="143">
        <f t="shared" si="2"/>
        <v>0.14444444444444443</v>
      </c>
      <c r="E103" s="143">
        <f t="shared" si="3"/>
        <v>7.7777777777777779E-2</v>
      </c>
      <c r="F103" s="143">
        <f t="shared" si="4"/>
        <v>1.1111111111111112E-2</v>
      </c>
    </row>
    <row r="104" spans="2:6">
      <c r="B104" s="273" t="s">
        <v>2056</v>
      </c>
      <c r="C104" s="769">
        <f t="shared" si="1"/>
        <v>0.7441860465116279</v>
      </c>
      <c r="D104" s="769">
        <f t="shared" si="2"/>
        <v>0.15116279069767441</v>
      </c>
      <c r="E104" s="769">
        <f t="shared" si="3"/>
        <v>8.1395348837209308E-2</v>
      </c>
      <c r="F104" s="769">
        <f t="shared" si="4"/>
        <v>1.1627906976744186E-2</v>
      </c>
    </row>
    <row r="105" spans="2:6">
      <c r="B105" s="272" t="s">
        <v>333</v>
      </c>
      <c r="C105" s="770">
        <f>AVERAGE(C71:C104)</f>
        <v>0.68006929136363814</v>
      </c>
      <c r="D105" s="770">
        <f>AVERAGE(D71:D104)</f>
        <v>0.15437873717413084</v>
      </c>
      <c r="E105" s="770">
        <f>AVERAGE(E71:E104)</f>
        <v>0.13021351766811809</v>
      </c>
      <c r="F105" s="770">
        <f>AVERAGE(F71:F104)</f>
        <v>1.1814864914843529E-2</v>
      </c>
    </row>
    <row r="106" spans="2:6">
      <c r="B106" s="272" t="s">
        <v>2582</v>
      </c>
      <c r="C106" s="770">
        <f>STDEV(C71:C104)</f>
        <v>2.7865542624953634E-2</v>
      </c>
      <c r="D106" s="770">
        <f>STDEV(D71:D104)</f>
        <v>1.9182305308362287E-2</v>
      </c>
      <c r="E106" s="770">
        <f>STDEV(E71:E104)</f>
        <v>2.173347309967771E-2</v>
      </c>
      <c r="F106" s="770">
        <f>STDEV(F71:F104)</f>
        <v>1.0727911594958065E-2</v>
      </c>
    </row>
  </sheetData>
  <mergeCells count="8">
    <mergeCell ref="B4:G4"/>
    <mergeCell ref="B6:G6"/>
    <mergeCell ref="B7:G7"/>
    <mergeCell ref="C60:K61"/>
    <mergeCell ref="C58:K59"/>
    <mergeCell ref="B11:L11"/>
    <mergeCell ref="C54:K55"/>
    <mergeCell ref="C56:K57"/>
  </mergeCells>
  <phoneticPr fontId="3" type="noConversion"/>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9C7D5-10F5-2747-92C4-51F305A3AFD6}">
  <sheetPr codeName="Sheet7">
    <tabColor rgb="FF003EFF"/>
  </sheetPr>
  <dimension ref="B5:AS879"/>
  <sheetViews>
    <sheetView topLeftCell="V521" zoomScaleNormal="100" workbookViewId="0">
      <selection activeCell="AR536" sqref="AR536"/>
    </sheetView>
  </sheetViews>
  <sheetFormatPr defaultColWidth="11" defaultRowHeight="15.75"/>
  <cols>
    <col min="2" max="2" width="12.125" customWidth="1"/>
    <col min="3" max="3" width="12.625" customWidth="1"/>
    <col min="4" max="4" width="12.125" customWidth="1"/>
    <col min="9" max="9" width="12.375" customWidth="1"/>
    <col min="10" max="10" width="12.5" customWidth="1"/>
    <col min="12" max="12" width="15.5" customWidth="1"/>
    <col min="17" max="17" width="12" customWidth="1"/>
  </cols>
  <sheetData>
    <row r="5" spans="2:20" ht="33.75">
      <c r="B5" s="1714" t="s">
        <v>451</v>
      </c>
      <c r="C5" s="1714"/>
      <c r="D5" s="1714"/>
    </row>
    <row r="7" spans="2:20">
      <c r="B7" s="1701" t="s">
        <v>1527</v>
      </c>
      <c r="C7" s="1701"/>
      <c r="D7" s="1701"/>
      <c r="E7" s="1701"/>
      <c r="F7" s="1701"/>
      <c r="G7" s="1701"/>
      <c r="H7" s="1701"/>
      <c r="I7" s="1701"/>
      <c r="J7" s="1701"/>
      <c r="K7" s="1701"/>
    </row>
    <row r="8" spans="2:20" ht="33" customHeight="1">
      <c r="B8" s="1701"/>
      <c r="C8" s="1701"/>
      <c r="D8" s="1701"/>
      <c r="E8" s="1701"/>
      <c r="F8" s="1701"/>
      <c r="G8" s="1701"/>
      <c r="H8" s="1701"/>
      <c r="I8" s="1701"/>
      <c r="J8" s="1701"/>
      <c r="K8" s="1701"/>
    </row>
    <row r="10" spans="2:20" ht="18.75">
      <c r="B10" s="346" t="s">
        <v>1535</v>
      </c>
    </row>
    <row r="11" spans="2:20">
      <c r="B11" t="s">
        <v>1529</v>
      </c>
    </row>
    <row r="12" spans="2:20">
      <c r="B12" s="435" t="s">
        <v>183</v>
      </c>
      <c r="C12" s="337" t="s">
        <v>12</v>
      </c>
    </row>
    <row r="13" spans="2:20">
      <c r="B13" s="90" t="s">
        <v>126</v>
      </c>
      <c r="C13" s="338">
        <f>COUNTIF(Logs!$C$9:$O$18, "*"&amp;C$12&amp;"*")</f>
        <v>41</v>
      </c>
    </row>
    <row r="14" spans="2:20">
      <c r="B14" s="90" t="s">
        <v>127</v>
      </c>
      <c r="C14" s="338">
        <f>COUNTIF(Logs!$C$27:$O$36, "*"&amp;C$12&amp;"*")</f>
        <v>58</v>
      </c>
      <c r="Q14" t="s">
        <v>183</v>
      </c>
      <c r="R14" t="s">
        <v>2841</v>
      </c>
      <c r="S14" t="str" cm="1">
        <f t="array" ref="S14:T19">_xldudf_SQLOOKUP("SELECT * FROM a WHERE Route_Info &gt;60", Q14:R52)</f>
        <v>Season #</v>
      </c>
      <c r="T14" t="str">
        <v>Route_Info</v>
      </c>
    </row>
    <row r="15" spans="2:20">
      <c r="B15" s="90" t="s">
        <v>128</v>
      </c>
      <c r="C15" s="338">
        <f>COUNTIF(Logs!$C$45:$O$54, "*"&amp;C$12&amp;"*")</f>
        <v>56</v>
      </c>
      <c r="Q15" t="s">
        <v>126</v>
      </c>
      <c r="R15">
        <v>41</v>
      </c>
      <c r="S15" t="str">
        <v>Season 5</v>
      </c>
      <c r="T15">
        <v>62</v>
      </c>
    </row>
    <row r="16" spans="2:20">
      <c r="B16" s="90" t="s">
        <v>129</v>
      </c>
      <c r="C16" s="338">
        <f>COUNTIF(Logs!$C$63:$O$72, "*"&amp;C$12&amp;"*")</f>
        <v>58</v>
      </c>
      <c r="Q16" t="s">
        <v>127</v>
      </c>
      <c r="R16">
        <v>58</v>
      </c>
      <c r="S16" t="str">
        <v>Season 6</v>
      </c>
      <c r="T16">
        <v>66</v>
      </c>
    </row>
    <row r="17" spans="2:20">
      <c r="B17" s="90" t="s">
        <v>130</v>
      </c>
      <c r="C17" s="338">
        <f>COUNTIF(Logs!$C$81:$O$90, "*"&amp;C$12&amp;"*")</f>
        <v>62</v>
      </c>
      <c r="Q17" t="s">
        <v>128</v>
      </c>
      <c r="R17">
        <v>56</v>
      </c>
      <c r="S17" t="str">
        <v>Season 8</v>
      </c>
      <c r="T17">
        <v>66</v>
      </c>
    </row>
    <row r="18" spans="2:20">
      <c r="B18" s="90" t="s">
        <v>131</v>
      </c>
      <c r="C18" s="338">
        <f>COUNTIF(Logs!$C$100:$O$112, "*"&amp;C12&amp;"*")</f>
        <v>66</v>
      </c>
      <c r="Q18" t="s">
        <v>129</v>
      </c>
      <c r="R18">
        <v>58</v>
      </c>
      <c r="S18" t="str">
        <v>Season 37</v>
      </c>
      <c r="T18">
        <v>67</v>
      </c>
    </row>
    <row r="19" spans="2:20">
      <c r="B19" s="90" t="s">
        <v>132</v>
      </c>
      <c r="C19" s="338">
        <f>COUNTIF(Logs!$C$120:$O$129, "*"&amp;C12&amp;"*")</f>
        <v>56</v>
      </c>
      <c r="Q19" t="s">
        <v>130</v>
      </c>
      <c r="R19">
        <v>62</v>
      </c>
      <c r="S19" t="str">
        <v>Season 38</v>
      </c>
      <c r="T19">
        <v>64</v>
      </c>
    </row>
    <row r="20" spans="2:20">
      <c r="B20" s="90" t="s">
        <v>133</v>
      </c>
      <c r="C20" s="338">
        <f>COUNTIF(Logs!$C$139:$O$150, "*"&amp;C12&amp;"*")</f>
        <v>66</v>
      </c>
      <c r="Q20" t="s">
        <v>131</v>
      </c>
      <c r="R20">
        <v>66</v>
      </c>
    </row>
    <row r="21" spans="2:20">
      <c r="B21" s="90" t="s">
        <v>134</v>
      </c>
      <c r="C21" s="338">
        <f>COUNTIF(Logs!$C$159:$O$168, "*"&amp;C$12&amp;"*")</f>
        <v>56</v>
      </c>
      <c r="Q21" t="s">
        <v>132</v>
      </c>
      <c r="R21">
        <v>56</v>
      </c>
    </row>
    <row r="22" spans="2:20">
      <c r="B22" s="90" t="s">
        <v>135</v>
      </c>
      <c r="C22" s="338">
        <f>COUNTIF(Logs!$C$177:$O$189,  "*"&amp;C$12&amp;"*")</f>
        <v>52</v>
      </c>
      <c r="Q22" t="s">
        <v>133</v>
      </c>
      <c r="R22">
        <v>66</v>
      </c>
    </row>
    <row r="23" spans="2:20">
      <c r="B23" s="90" t="s">
        <v>136</v>
      </c>
      <c r="C23" s="338">
        <f>COUNTIF(Logs!$C$198:$O$207, "*"&amp;C$12&amp;"*")</f>
        <v>50</v>
      </c>
      <c r="Q23" t="s">
        <v>134</v>
      </c>
      <c r="R23">
        <v>56</v>
      </c>
    </row>
    <row r="24" spans="2:20">
      <c r="B24" s="90" t="s">
        <v>137</v>
      </c>
      <c r="C24" s="338">
        <f>COUNTIF(Logs!$C$213:$O$224, "*"&amp;C$12&amp;"*")</f>
        <v>49</v>
      </c>
      <c r="Q24" t="s">
        <v>135</v>
      </c>
      <c r="R24">
        <v>52</v>
      </c>
    </row>
    <row r="25" spans="2:20">
      <c r="B25" s="90" t="s">
        <v>138</v>
      </c>
      <c r="C25" s="338">
        <f>COUNTIF(Logs!$C$233:$M$242, "*"&amp;C$12&amp;"*")</f>
        <v>48</v>
      </c>
      <c r="Q25" t="s">
        <v>136</v>
      </c>
      <c r="R25">
        <v>50</v>
      </c>
    </row>
    <row r="26" spans="2:20">
      <c r="B26" s="90" t="s">
        <v>139</v>
      </c>
      <c r="C26" s="338">
        <f>COUNTIF(Logs!$C$250:$N$259, "*"&amp;C$12&amp;"*")</f>
        <v>46</v>
      </c>
      <c r="Q26" t="s">
        <v>137</v>
      </c>
      <c r="R26">
        <v>49</v>
      </c>
    </row>
    <row r="27" spans="2:20">
      <c r="B27" s="90" t="s">
        <v>140</v>
      </c>
      <c r="C27" s="338">
        <f>COUNTIF(Logs!$C$267:$N$276, "*"&amp;C$12&amp;"*")</f>
        <v>51</v>
      </c>
      <c r="Q27" t="s">
        <v>138</v>
      </c>
      <c r="R27">
        <v>48</v>
      </c>
    </row>
    <row r="28" spans="2:20">
      <c r="B28" s="90" t="s">
        <v>141</v>
      </c>
      <c r="C28" s="338">
        <f>COUNTIF(Logs!$C$285:$N$294, "*"&amp;C$12&amp;"*")</f>
        <v>54</v>
      </c>
      <c r="Q28" t="s">
        <v>139</v>
      </c>
      <c r="R28">
        <v>46</v>
      </c>
    </row>
    <row r="29" spans="2:20">
      <c r="B29" s="90" t="s">
        <v>142</v>
      </c>
      <c r="C29" s="338">
        <f>COUNTIF(Logs!$C$302:$N$311, "*"&amp;C$12&amp;"*")</f>
        <v>54</v>
      </c>
      <c r="Q29" t="s">
        <v>140</v>
      </c>
      <c r="R29">
        <v>51</v>
      </c>
    </row>
    <row r="30" spans="2:20">
      <c r="B30" s="90" t="s">
        <v>143</v>
      </c>
      <c r="C30" s="338">
        <f>COUNTIF(Logs!$C$320:$N$329, "*"&amp;C$12&amp;"*")</f>
        <v>56</v>
      </c>
      <c r="Q30" t="s">
        <v>141</v>
      </c>
      <c r="R30">
        <v>54</v>
      </c>
    </row>
    <row r="31" spans="2:20">
      <c r="B31" s="90" t="s">
        <v>144</v>
      </c>
      <c r="C31" s="338">
        <f>COUNTIF(Logs!$C$338:$N$347, "*"&amp;C$12&amp;"*")</f>
        <v>55</v>
      </c>
      <c r="Q31" t="s">
        <v>142</v>
      </c>
      <c r="R31">
        <v>54</v>
      </c>
    </row>
    <row r="32" spans="2:20">
      <c r="B32" s="90" t="s">
        <v>145</v>
      </c>
      <c r="C32" s="338">
        <f>COUNTIF(Logs!$C$356:$N$365, "*"&amp;C$12&amp;"*")</f>
        <v>48</v>
      </c>
      <c r="Q32" t="s">
        <v>143</v>
      </c>
      <c r="R32">
        <v>56</v>
      </c>
    </row>
    <row r="33" spans="2:18">
      <c r="B33" s="90" t="s">
        <v>146</v>
      </c>
      <c r="C33" s="338">
        <f>COUNTIF(Logs!$C$374:$N$383, "*"&amp;C$12&amp;"*")</f>
        <v>50</v>
      </c>
      <c r="Q33" t="s">
        <v>144</v>
      </c>
      <c r="R33">
        <v>55</v>
      </c>
    </row>
    <row r="34" spans="2:18">
      <c r="B34" s="90" t="s">
        <v>147</v>
      </c>
      <c r="C34" s="338">
        <f>COUNTIF(Logs!$C$393:$N$402, "*"&amp;C$12&amp;"*")</f>
        <v>51</v>
      </c>
      <c r="Q34" t="s">
        <v>145</v>
      </c>
      <c r="R34">
        <v>48</v>
      </c>
    </row>
    <row r="35" spans="2:18">
      <c r="B35" s="90" t="s">
        <v>148</v>
      </c>
      <c r="C35" s="338">
        <f>COUNTIF(Logs!$C$411:$N$420, "*"&amp;C$12&amp;"*")</f>
        <v>52</v>
      </c>
      <c r="Q35" t="s">
        <v>146</v>
      </c>
      <c r="R35">
        <v>50</v>
      </c>
    </row>
    <row r="36" spans="2:18">
      <c r="B36" s="90" t="s">
        <v>125</v>
      </c>
      <c r="C36" s="338">
        <f>COUNTIF(Logs!$C$429:$N$438, "*"&amp;C$12&amp;"*")</f>
        <v>53</v>
      </c>
      <c r="Q36" t="s">
        <v>147</v>
      </c>
      <c r="R36">
        <v>51</v>
      </c>
    </row>
    <row r="37" spans="2:18">
      <c r="B37" s="90" t="s">
        <v>116</v>
      </c>
      <c r="C37" s="338">
        <f>COUNTIF(Logs!$C$447:$N$456, "*"&amp;C$12&amp;"*")</f>
        <v>56</v>
      </c>
      <c r="Q37" t="s">
        <v>148</v>
      </c>
      <c r="R37">
        <v>52</v>
      </c>
    </row>
    <row r="38" spans="2:18">
      <c r="B38" s="90" t="s">
        <v>104</v>
      </c>
      <c r="C38" s="338">
        <f>COUNTIF(Logs!$C$465:$N$474, "*"&amp;C$12&amp;"*")</f>
        <v>49</v>
      </c>
      <c r="Q38" t="s">
        <v>125</v>
      </c>
      <c r="R38">
        <v>53</v>
      </c>
    </row>
    <row r="39" spans="2:18">
      <c r="B39" s="90" t="s">
        <v>95</v>
      </c>
      <c r="C39" s="338">
        <f>COUNTIF(Logs!$C$483:$N$492, "*"&amp;C$12&amp;"*")</f>
        <v>47</v>
      </c>
      <c r="Q39" t="s">
        <v>116</v>
      </c>
      <c r="R39">
        <v>56</v>
      </c>
    </row>
    <row r="40" spans="2:18">
      <c r="B40" s="90" t="s">
        <v>85</v>
      </c>
      <c r="C40" s="338">
        <f>COUNTIF(Logs!$C$501:$N$510, "*"&amp;C$12&amp;"*")</f>
        <v>52</v>
      </c>
      <c r="Q40" t="s">
        <v>104</v>
      </c>
      <c r="R40">
        <v>49</v>
      </c>
    </row>
    <row r="41" spans="2:18">
      <c r="B41" s="90" t="s">
        <v>66</v>
      </c>
      <c r="C41" s="338">
        <f>COUNTIF(Logs!$C$519:$N$528, "*"&amp;C$12&amp;"*")</f>
        <v>54</v>
      </c>
      <c r="Q41" t="s">
        <v>95</v>
      </c>
      <c r="R41">
        <v>47</v>
      </c>
    </row>
    <row r="42" spans="2:18">
      <c r="B42" s="90" t="s">
        <v>65</v>
      </c>
      <c r="C42" s="338">
        <f>COUNTIF(Logs!$C$537:$N$546,"*"&amp;C$12&amp;"*")</f>
        <v>49</v>
      </c>
      <c r="Q42" t="s">
        <v>85</v>
      </c>
      <c r="R42">
        <v>52</v>
      </c>
    </row>
    <row r="43" spans="2:18">
      <c r="B43" s="90" t="s">
        <v>60</v>
      </c>
      <c r="C43" s="338">
        <f>COUNTIF(Logs!$C$555:$N$564, "*"&amp;C$12&amp;"*")</f>
        <v>53</v>
      </c>
      <c r="Q43" t="s">
        <v>66</v>
      </c>
      <c r="R43">
        <v>54</v>
      </c>
    </row>
    <row r="44" spans="2:18">
      <c r="B44" s="90" t="s">
        <v>35</v>
      </c>
      <c r="C44" s="338">
        <f>COUNTIF(Logs!$C$572:$N$582, "*"&amp;C$12&amp;"*")</f>
        <v>53</v>
      </c>
      <c r="Q44" t="s">
        <v>65</v>
      </c>
      <c r="R44">
        <v>49</v>
      </c>
    </row>
    <row r="45" spans="2:18">
      <c r="B45" s="90" t="s">
        <v>11</v>
      </c>
      <c r="C45" s="338">
        <f>COUNTIF(Logs!$C$591:$N$600, "*"&amp;C$12&amp;"*")</f>
        <v>43</v>
      </c>
      <c r="Q45" t="s">
        <v>60</v>
      </c>
      <c r="R45">
        <v>53</v>
      </c>
    </row>
    <row r="46" spans="2:18">
      <c r="B46" s="90" t="s">
        <v>198</v>
      </c>
      <c r="C46" s="338">
        <f>COUNTIF(Logs!$C$607:$N$616, "*"&amp;C$12&amp;"*")</f>
        <v>39</v>
      </c>
      <c r="Q46" t="s">
        <v>35</v>
      </c>
      <c r="R46">
        <v>53</v>
      </c>
    </row>
    <row r="47" spans="2:18">
      <c r="B47" s="90" t="s">
        <v>184</v>
      </c>
      <c r="C47" s="338">
        <f>COUNTIF(Logs!$C$623:$N$632, "*"&amp;C$12&amp;"*")</f>
        <v>57</v>
      </c>
      <c r="Q47" t="s">
        <v>11</v>
      </c>
      <c r="R47">
        <v>43</v>
      </c>
    </row>
    <row r="48" spans="2:18">
      <c r="B48" s="90" t="s">
        <v>563</v>
      </c>
      <c r="C48" s="338">
        <f>COUNTIF(Logs!$C$640:$N$649, "*"&amp;C$12&amp;"*")</f>
        <v>45</v>
      </c>
      <c r="E48" s="143"/>
      <c r="Q48" t="s">
        <v>198</v>
      </c>
      <c r="R48">
        <v>39</v>
      </c>
    </row>
    <row r="49" spans="2:31">
      <c r="B49" s="163" t="s">
        <v>1742</v>
      </c>
      <c r="C49" s="319">
        <f>COUNTIF(Logs!$C$655:$N$664, C$12)</f>
        <v>67</v>
      </c>
      <c r="Q49" t="s">
        <v>184</v>
      </c>
      <c r="R49">
        <v>57</v>
      </c>
    </row>
    <row r="50" spans="2:31">
      <c r="B50" s="273" t="s">
        <v>2056</v>
      </c>
      <c r="C50" s="319">
        <f>COUNTIF(Logs!$C$671:$N$681, C$12)</f>
        <v>64</v>
      </c>
      <c r="Q50" t="s">
        <v>563</v>
      </c>
      <c r="R50">
        <v>45</v>
      </c>
    </row>
    <row r="51" spans="2:31">
      <c r="B51" s="287" t="s">
        <v>182</v>
      </c>
      <c r="C51" s="567">
        <f>SUM(C$13:C$50)</f>
        <v>2016</v>
      </c>
      <c r="Q51" t="s">
        <v>1742</v>
      </c>
      <c r="R51">
        <v>67</v>
      </c>
    </row>
    <row r="52" spans="2:31">
      <c r="B52" s="163" t="s">
        <v>333</v>
      </c>
      <c r="C52" s="339">
        <f>AVERAGE(C13:C50)</f>
        <v>53.05263157894737</v>
      </c>
      <c r="Q52" t="s">
        <v>2056</v>
      </c>
      <c r="R52">
        <v>64</v>
      </c>
    </row>
    <row r="53" spans="2:31" ht="31.5">
      <c r="B53" s="436" t="s">
        <v>1938</v>
      </c>
      <c r="C53" s="437">
        <f>STDEV(C13:C50)</f>
        <v>6.5137997729604109</v>
      </c>
    </row>
    <row r="54" spans="2:31">
      <c r="B54" s="163" t="s">
        <v>1276</v>
      </c>
      <c r="C54" s="340">
        <f>MAX(C13:C50)</f>
        <v>67</v>
      </c>
    </row>
    <row r="55" spans="2:31">
      <c r="B55" s="163" t="s">
        <v>1530</v>
      </c>
      <c r="C55" s="340">
        <f>MIN(C13:C50)</f>
        <v>39</v>
      </c>
    </row>
    <row r="56" spans="2:31">
      <c r="B56" s="163" t="s">
        <v>1277</v>
      </c>
      <c r="C56" s="319">
        <f>MODE(C13:C50)</f>
        <v>56</v>
      </c>
      <c r="Q56" s="12"/>
      <c r="R56" s="12"/>
      <c r="S56" s="12"/>
      <c r="T56" s="12"/>
      <c r="U56" s="12"/>
      <c r="V56" s="12"/>
      <c r="W56" s="12"/>
      <c r="X56" s="12"/>
      <c r="Y56" s="12"/>
      <c r="Z56" s="12"/>
      <c r="AA56" s="12"/>
      <c r="AB56" s="12"/>
      <c r="AC56" s="12"/>
      <c r="AD56" s="12"/>
      <c r="AE56" s="12"/>
    </row>
    <row r="57" spans="2:31">
      <c r="B57" s="90"/>
      <c r="C57" s="319"/>
      <c r="Q57" s="12"/>
      <c r="R57" s="12"/>
      <c r="S57" s="12"/>
      <c r="T57" s="12"/>
      <c r="U57" s="12"/>
      <c r="V57" s="12"/>
      <c r="W57" s="12"/>
      <c r="X57" s="12"/>
      <c r="Y57" s="12"/>
      <c r="Z57" s="12"/>
      <c r="AA57" s="12"/>
      <c r="AB57" s="12"/>
      <c r="AC57" s="12"/>
      <c r="AD57" s="12"/>
      <c r="AE57" s="12"/>
    </row>
    <row r="59" spans="2:31" ht="18.75">
      <c r="B59" s="202" t="s">
        <v>2749</v>
      </c>
    </row>
    <row r="60" spans="2:31" ht="128.1" customHeight="1">
      <c r="B60" s="1701" t="s">
        <v>1842</v>
      </c>
      <c r="C60" s="1701"/>
      <c r="D60" s="1701"/>
      <c r="E60" s="1701"/>
      <c r="F60" s="1701"/>
      <c r="G60" s="1701"/>
      <c r="H60" s="1701"/>
      <c r="I60" s="1701"/>
      <c r="J60" s="1701"/>
      <c r="K60" s="1701"/>
      <c r="L60" s="1701"/>
      <c r="M60" s="1701"/>
      <c r="N60" s="1701"/>
    </row>
    <row r="62" spans="2:31">
      <c r="B62" s="82" t="s">
        <v>1831</v>
      </c>
      <c r="C62" s="83" t="s">
        <v>0</v>
      </c>
      <c r="D62" s="83" t="s">
        <v>1837</v>
      </c>
      <c r="E62" s="355" t="s">
        <v>1832</v>
      </c>
      <c r="F62" s="355" t="s">
        <v>1833</v>
      </c>
      <c r="G62" s="355" t="s">
        <v>24</v>
      </c>
      <c r="H62" s="355" t="s">
        <v>1835</v>
      </c>
      <c r="I62" s="355" t="s">
        <v>1834</v>
      </c>
      <c r="J62" s="355" t="s">
        <v>1839</v>
      </c>
      <c r="K62" s="355" t="s">
        <v>1841</v>
      </c>
      <c r="L62" s="355" t="s">
        <v>1836</v>
      </c>
      <c r="M62" s="355" t="s">
        <v>1838</v>
      </c>
      <c r="N62" s="355" t="s">
        <v>27</v>
      </c>
      <c r="O62" s="91" t="s">
        <v>182</v>
      </c>
    </row>
    <row r="63" spans="2:31">
      <c r="B63" s="163" t="s">
        <v>126</v>
      </c>
      <c r="C63" s="35">
        <f>COUNTIF($B$110:$O$115, "*Challenge*")</f>
        <v>4</v>
      </c>
      <c r="D63" s="35">
        <f>COUNTIF($B$110:$O$115, "Challenge")</f>
        <v>2</v>
      </c>
      <c r="E63">
        <f>COUNTIF($B$110:$O$115, "*Fly*")</f>
        <v>9</v>
      </c>
      <c r="F63">
        <f>COUNTIF($B$110:$O$115, "*Taxi*")</f>
        <v>24</v>
      </c>
      <c r="G63">
        <f>COUNTIF($B$110:$O$115, "*Drive*")</f>
        <v>4</v>
      </c>
      <c r="H63">
        <f>COUNTIF($B$110:$O$115, "*Train*")</f>
        <v>3</v>
      </c>
      <c r="I63">
        <f>COUNTIF($B$110:$O$115, "*Boat*")</f>
        <v>5</v>
      </c>
      <c r="J63">
        <f>COUNTIF($B$110:$O$115, "*Bus*")</f>
        <v>1</v>
      </c>
      <c r="K63">
        <f>COUNTIF($B$110:$O$115, "*Bike*")</f>
        <v>0</v>
      </c>
      <c r="L63">
        <f>COUNTIF($B$110:$O$115, "*Ride*")</f>
        <v>5</v>
      </c>
      <c r="M63">
        <f>COUNTIF($B$110:$O$115, "*Run*")</f>
        <v>5</v>
      </c>
      <c r="N63">
        <f>COUNTIF($B$110:$O$115, "*Animal*")</f>
        <v>1</v>
      </c>
      <c r="O63" s="291">
        <f>SUM(C63:N63)</f>
        <v>63</v>
      </c>
    </row>
    <row r="64" spans="2:31">
      <c r="B64" s="163" t="s">
        <v>127</v>
      </c>
      <c r="C64" s="35">
        <f>COUNTIF($C$118:$O$125, "*Challenge*")</f>
        <v>5</v>
      </c>
      <c r="D64" s="35">
        <f>COUNTIF($C$118:$O$125, "Challenge")</f>
        <v>0</v>
      </c>
      <c r="E64">
        <f>COUNTIF($C$118:$O$125, "*Fly*")</f>
        <v>11</v>
      </c>
      <c r="F64">
        <f>COUNTIF($C$118:$O$125, "*Taxi*")</f>
        <v>28</v>
      </c>
      <c r="G64">
        <f>COUNTIF($C$118:$O$125, "*Drive*")</f>
        <v>24</v>
      </c>
      <c r="H64">
        <f>COUNTIF($C$118:$O$125, "*Train*")</f>
        <v>1</v>
      </c>
      <c r="I64">
        <f>COUNTIF($C$118:$O$125, "*Boat*")</f>
        <v>9</v>
      </c>
      <c r="J64">
        <f>COUNTIF($C$118:$O$125, "*Bus*")</f>
        <v>2</v>
      </c>
      <c r="K64">
        <f>COUNTIF($C$118:$O$125, "*Bike*")</f>
        <v>0</v>
      </c>
      <c r="L64">
        <f>COUNTIF($C$118:$O$125, "*Ride*")</f>
        <v>2</v>
      </c>
      <c r="M64">
        <f>COUNTIF($C$118:$O$125, "*Run*")</f>
        <v>7</v>
      </c>
      <c r="N64">
        <f>COUNTIF($C$118:$O$125, "*Animal*")</f>
        <v>0</v>
      </c>
      <c r="O64" s="291">
        <f t="shared" ref="O64:O98" si="0">SUM(C64:N64)</f>
        <v>89</v>
      </c>
    </row>
    <row r="65" spans="2:15">
      <c r="B65" s="163" t="s">
        <v>128</v>
      </c>
      <c r="C65" s="35">
        <f>COUNTIF($C$128:$O$134, "*Challenge*")</f>
        <v>11</v>
      </c>
      <c r="D65" s="35">
        <f>COUNTIF($C$128:$O$134, "Challenge")</f>
        <v>0</v>
      </c>
      <c r="E65">
        <f>COUNTIF($C$128:$O$134, "*Fly*")</f>
        <v>10</v>
      </c>
      <c r="F65">
        <f>COUNTIF($C$128:$O$134, "*Taxi*")</f>
        <v>27</v>
      </c>
      <c r="G65">
        <f>COUNTIF($C$128:$O$134,"*Drive*")</f>
        <v>20</v>
      </c>
      <c r="H65">
        <f>COUNTIF($C$128:$O$134,"*Train*")</f>
        <v>10</v>
      </c>
      <c r="I65">
        <f>COUNTIF($C$128:$O$134,"*Boat*")</f>
        <v>6</v>
      </c>
      <c r="J65">
        <f>COUNTIF($C$128:$O$134, "*Bus*")</f>
        <v>4</v>
      </c>
      <c r="K65">
        <f>COUNTIF($C$128:$O$134, "*Bike*")</f>
        <v>1</v>
      </c>
      <c r="L65">
        <f>COUNTIF($C$128:$O$134,"*Ride*")</f>
        <v>1</v>
      </c>
      <c r="M65">
        <f>COUNTIF($C$128:$O$134, "*Run*")</f>
        <v>6</v>
      </c>
      <c r="N65">
        <f>COUNTIF($C$128:$O$134,"*Animal*")</f>
        <v>0</v>
      </c>
      <c r="O65" s="291">
        <f t="shared" si="0"/>
        <v>96</v>
      </c>
    </row>
    <row r="66" spans="2:15">
      <c r="B66" s="163" t="s">
        <v>129</v>
      </c>
      <c r="C66" s="35">
        <f>COUNTIF($C$137:$O$144, "*Challenge*")</f>
        <v>9</v>
      </c>
      <c r="D66" s="35">
        <f>COUNTIF($C$137:$O$144, "Challenge")</f>
        <v>1</v>
      </c>
      <c r="E66">
        <f>COUNTIF($C$137:$O$144, "*Fly*")</f>
        <v>9</v>
      </c>
      <c r="F66">
        <f>COUNTIF($C$137:$O$144, "*Taxi*")</f>
        <v>26</v>
      </c>
      <c r="G66">
        <f>COUNTIF($C$137:$O$144,"*Drive*")</f>
        <v>20</v>
      </c>
      <c r="H66">
        <f>COUNTIF($C$137:$O$144,"*Train*")</f>
        <v>5</v>
      </c>
      <c r="I66">
        <f>COUNTIF($C$137:$O$144,"*Boat*")</f>
        <v>3</v>
      </c>
      <c r="J66">
        <f>COUNTIF($C$137:$O$144, "*Bus*")</f>
        <v>1</v>
      </c>
      <c r="K66">
        <f>COUNTIF($C$137:$O$144, "*Bike*")</f>
        <v>2</v>
      </c>
      <c r="L66">
        <f>COUNTIF($C$137:$O$144,"*Ride*")</f>
        <v>3</v>
      </c>
      <c r="M66">
        <f>COUNTIF($C$137:$O$144, "*Run*")</f>
        <v>3</v>
      </c>
      <c r="N66">
        <f>COUNTIF($C$137:$O$144,"*Animal*")</f>
        <v>0</v>
      </c>
      <c r="O66" s="291">
        <f t="shared" si="0"/>
        <v>82</v>
      </c>
    </row>
    <row r="67" spans="2:15">
      <c r="B67" s="163" t="s">
        <v>130</v>
      </c>
      <c r="C67" s="35">
        <f>COUNTIF($C$147:$O$153, "*Challenge*")</f>
        <v>13</v>
      </c>
      <c r="D67" s="35">
        <f>COUNTIF($C$147:$O$153, "Challenge")</f>
        <v>7</v>
      </c>
      <c r="E67">
        <f>COUNTIF($C$147:$O$153, "*Fly*")</f>
        <v>13</v>
      </c>
      <c r="F67">
        <f>COUNTIF($C$147:$O$153, "*Taxi*")</f>
        <v>29</v>
      </c>
      <c r="G67">
        <f>COUNTIF($C$147:$O$153,"*Drive*")</f>
        <v>12</v>
      </c>
      <c r="H67">
        <f>COUNTIF($C$147:$O$153,"*Train*")</f>
        <v>2</v>
      </c>
      <c r="I67">
        <f>COUNTIF($C$147:$O$153,"*Boat*")</f>
        <v>8</v>
      </c>
      <c r="J67">
        <f>COUNTIF($C$147:$O$153, "*Bus*")</f>
        <v>3</v>
      </c>
      <c r="K67">
        <f>COUNTIF($C$147:$O$153, "*Bike*")</f>
        <v>0</v>
      </c>
      <c r="L67">
        <f>COUNTIF($C$147:$O$153,"*Ride*")</f>
        <v>5</v>
      </c>
      <c r="M67">
        <f>COUNTIF($C$147:$O$153, "*Run*")</f>
        <v>5</v>
      </c>
      <c r="N67">
        <f>COUNTIF($C$147:$O$153,"*Animal*")</f>
        <v>0</v>
      </c>
      <c r="O67" s="291">
        <f t="shared" si="0"/>
        <v>97</v>
      </c>
    </row>
    <row r="68" spans="2:15">
      <c r="B68" s="163" t="s">
        <v>131</v>
      </c>
      <c r="C68" s="35">
        <f>COUNTIF($C$156:$N$163, "*Challenge*")</f>
        <v>12</v>
      </c>
      <c r="D68" s="35">
        <f>COUNTIF($C$156:$N$163, "Challenge")</f>
        <v>4</v>
      </c>
      <c r="E68">
        <f>COUNTIF($C$156:$N$163, "*Fly*")</f>
        <v>12</v>
      </c>
      <c r="F68">
        <f>COUNTIF($C$156:$N$163, "*Taxi*")</f>
        <v>35</v>
      </c>
      <c r="G68">
        <f>COUNTIF($C$156:$N$163,"*Drive*")</f>
        <v>18</v>
      </c>
      <c r="H68">
        <f>COUNTIF($C$156:$N$163,"*Train*")</f>
        <v>8</v>
      </c>
      <c r="I68">
        <f>COUNTIF($C$156:$N$163,"*Boat*")</f>
        <v>3</v>
      </c>
      <c r="J68">
        <f>COUNTIF($C$156:$N$163, "*Bus*")</f>
        <v>4</v>
      </c>
      <c r="K68">
        <f>COUNTIF($C$156:$N$163, "*Bike*")</f>
        <v>2</v>
      </c>
      <c r="L68">
        <f>COUNTIF($C$156:$N$163,"*Ride*")</f>
        <v>3</v>
      </c>
      <c r="M68">
        <f>COUNTIF($C$156:$N$163, "*Run*")</f>
        <v>6</v>
      </c>
      <c r="N68">
        <f>COUNTIF($C$156:$N$163,"*Animal*")</f>
        <v>0</v>
      </c>
      <c r="O68" s="291">
        <f t="shared" si="0"/>
        <v>107</v>
      </c>
    </row>
    <row r="69" spans="2:15">
      <c r="B69" s="163" t="s">
        <v>132</v>
      </c>
      <c r="C69" s="35">
        <f>COUNTIF($C$166:$O$172, "*Challenge*")</f>
        <v>9</v>
      </c>
      <c r="D69" s="35">
        <f>COUNTIF($C$166:$O$172, "Challenge")</f>
        <v>1</v>
      </c>
      <c r="E69">
        <f>COUNTIF($C$166:$O$172, "*Fly*")</f>
        <v>12</v>
      </c>
      <c r="F69">
        <f>COUNTIF($C$166:$O$172, "*Taxi*")</f>
        <v>33</v>
      </c>
      <c r="G69">
        <f>COUNTIF($C$166:$O$172,"*Drive*")</f>
        <v>19</v>
      </c>
      <c r="H69">
        <f>COUNTIF($C$166:$O$172,"*Train*")</f>
        <v>3</v>
      </c>
      <c r="I69">
        <f>COUNTIF($C$166:$O$172,"*Boat*")</f>
        <v>2</v>
      </c>
      <c r="J69">
        <f>COUNTIF($C$166:$O$172, "*Bus*")</f>
        <v>2</v>
      </c>
      <c r="K69">
        <f>COUNTIF($C$166:$O$172, "*Bike*")</f>
        <v>0</v>
      </c>
      <c r="L69">
        <f>COUNTIF($C$166:$O$172,"*Ride*")</f>
        <v>2</v>
      </c>
      <c r="M69">
        <f>COUNTIF($C$166:$O$172, "*Run*")</f>
        <v>2</v>
      </c>
      <c r="N69">
        <f>COUNTIF($C$166:$O$172,"*Animal*")</f>
        <v>0</v>
      </c>
      <c r="O69" s="291">
        <f t="shared" si="0"/>
        <v>85</v>
      </c>
    </row>
    <row r="70" spans="2:15">
      <c r="B70" s="163" t="s">
        <v>133</v>
      </c>
      <c r="C70" s="35">
        <f>COUNTIF($C$175:$N$182, "*Challenge*")</f>
        <v>13</v>
      </c>
      <c r="D70" s="35">
        <f>COUNTIF($C$175:$N$182, "Challenge")</f>
        <v>4</v>
      </c>
      <c r="E70">
        <f>COUNTIF($C$175:$N$182, "*Fly*")</f>
        <v>4</v>
      </c>
      <c r="F70">
        <f>COUNTIF($C$175:$N$182, "*Taxi*")</f>
        <v>11</v>
      </c>
      <c r="G70">
        <f>COUNTIF($C$175:$N$182,"*Drive*")</f>
        <v>44</v>
      </c>
      <c r="H70">
        <f>COUNTIF($C$175:$N$182,"*Train*")</f>
        <v>0</v>
      </c>
      <c r="I70">
        <f>COUNTIF($C$175:$N$182,"*Boat*")</f>
        <v>5</v>
      </c>
      <c r="J70">
        <f>COUNTIF($C$175:$N$182, "*Bus*")</f>
        <v>2</v>
      </c>
      <c r="K70">
        <f>COUNTIF($C$175:$N$182, "*Bike*")</f>
        <v>0</v>
      </c>
      <c r="L70">
        <f>COUNTIF($C$175:$N$182,"*Ride*")</f>
        <v>2</v>
      </c>
      <c r="M70">
        <f>COUNTIF($C$175:$N$182, "*Run*")</f>
        <v>4</v>
      </c>
      <c r="N70">
        <f>COUNTIF($C$175:$N$182,"*Animal*")</f>
        <v>0</v>
      </c>
      <c r="O70" s="291">
        <f t="shared" si="0"/>
        <v>89</v>
      </c>
    </row>
    <row r="71" spans="2:15">
      <c r="B71" s="163" t="s">
        <v>134</v>
      </c>
      <c r="C71" s="35">
        <f>COUNTIF($C$185:$O$189, "*Challenge*")</f>
        <v>2</v>
      </c>
      <c r="D71" s="35">
        <f>COUNTIF($C$185:$O$191, "Challenge")</f>
        <v>1</v>
      </c>
      <c r="E71">
        <f>COUNTIF($C$185:$O$191, "*Fly*")</f>
        <v>12</v>
      </c>
      <c r="F71">
        <f>COUNTIF($C$185:$O$191, "*Taxi*")</f>
        <v>26</v>
      </c>
      <c r="G71">
        <f>COUNTIF($C$185:$O$191,"*Drive*")</f>
        <v>25</v>
      </c>
      <c r="H71">
        <f>COUNTIF($C$185:$O$191,"*Train*")</f>
        <v>3</v>
      </c>
      <c r="I71">
        <f>COUNTIF($C$185:$O$191,"*Boat*")</f>
        <v>6</v>
      </c>
      <c r="J71">
        <f>COUNTIF($C$185:$O$191, "*Bus*")</f>
        <v>2</v>
      </c>
      <c r="K71">
        <f>COUNTIF($C$185:$O$191, "*Bike*")</f>
        <v>1</v>
      </c>
      <c r="L71">
        <f>COUNTIF($C$185:$O$191,"*Ride*")</f>
        <v>2</v>
      </c>
      <c r="M71">
        <f>COUNTIF($C$185:$O$191, "*Run*")</f>
        <v>5</v>
      </c>
      <c r="N71">
        <f>COUNTIF($C$185:$O$191,"*Animal*")</f>
        <v>0</v>
      </c>
      <c r="O71" s="291">
        <f t="shared" si="0"/>
        <v>85</v>
      </c>
    </row>
    <row r="72" spans="2:15">
      <c r="B72" s="163" t="s">
        <v>135</v>
      </c>
      <c r="C72" s="35">
        <f>COUNTIF($C$194:$N$202, "*Challenge*")</f>
        <v>7</v>
      </c>
      <c r="D72" s="35">
        <f>COUNTIF($C$194:$N$202, "Challenge")</f>
        <v>2</v>
      </c>
      <c r="E72">
        <f>COUNTIF($C$194:$N$202, "*Fly*")</f>
        <v>12</v>
      </c>
      <c r="F72">
        <f>COUNTIF($C$194:$N$202, "*Taxi*")</f>
        <v>22</v>
      </c>
      <c r="G72">
        <f>COUNTIF($C$194:$N$202,"*Drive*")</f>
        <v>19</v>
      </c>
      <c r="H72">
        <f>COUNTIF($C$194:$N$202,"*Train*")</f>
        <v>11</v>
      </c>
      <c r="I72">
        <f>COUNTIF($C$194:$N$202,"*Boat*")</f>
        <v>2</v>
      </c>
      <c r="J72">
        <f>COUNTIF($C$194:$N$202, "*Bus*")</f>
        <v>4</v>
      </c>
      <c r="K72">
        <f>COUNTIF($C$194:$N$202, "*Bike*")</f>
        <v>0</v>
      </c>
      <c r="L72">
        <f>COUNTIF($C$194:$N$202,"*Ride*")</f>
        <v>0</v>
      </c>
      <c r="M72">
        <f>COUNTIF($C$194:$N$202, "*Run*")</f>
        <v>3</v>
      </c>
      <c r="N72">
        <f>COUNTIF($C$194:$N$202,"*Animal*")</f>
        <v>2</v>
      </c>
      <c r="O72" s="291">
        <f t="shared" si="0"/>
        <v>84</v>
      </c>
    </row>
    <row r="73" spans="2:15">
      <c r="B73" s="163" t="s">
        <v>136</v>
      </c>
      <c r="C73" s="35">
        <f>COUNTIF($C$205:$O$210, "*Challenge*")</f>
        <v>4</v>
      </c>
      <c r="D73" s="35">
        <f>COUNTIF($C$205:$O$210, "Challenge")</f>
        <v>1</v>
      </c>
      <c r="E73">
        <f>COUNTIF($C$205:$O$210, "*Fly*")</f>
        <v>14</v>
      </c>
      <c r="F73">
        <f>COUNTIF($C$205:$O$210, "*Taxi*")</f>
        <v>29</v>
      </c>
      <c r="G73">
        <f>COUNTIF($C$205:$O$210,"*Drive*")</f>
        <v>16</v>
      </c>
      <c r="H73">
        <f>COUNTIF($C$205:$O$210,"*Train*")</f>
        <v>4</v>
      </c>
      <c r="I73">
        <f>COUNTIF($C$205:$O$210,"*Boat*")</f>
        <v>3</v>
      </c>
      <c r="J73">
        <f>COUNTIF($C$205:$O$210, "*Bus*")</f>
        <v>1</v>
      </c>
      <c r="K73">
        <f>COUNTIF($C$205:$O$210, "*Bike*")</f>
        <v>0</v>
      </c>
      <c r="L73">
        <f>COUNTIF($C$205:$O$210,"*Ride*")</f>
        <v>1</v>
      </c>
      <c r="M73">
        <f>COUNTIF($C$205:$O$210, "*Run*")</f>
        <v>5</v>
      </c>
      <c r="N73">
        <f>COUNTIF($C$205:$O$210,"*Animal*")</f>
        <v>0</v>
      </c>
      <c r="O73" s="291">
        <f t="shared" si="0"/>
        <v>78</v>
      </c>
    </row>
    <row r="74" spans="2:15">
      <c r="B74" s="163" t="s">
        <v>137</v>
      </c>
      <c r="C74" s="35">
        <f>COUNTIF($C$213:$M$219, "*Challenge*")</f>
        <v>10</v>
      </c>
      <c r="D74" s="35">
        <f>COUNTIF($C$213:$M$219, "Challenge")</f>
        <v>3</v>
      </c>
      <c r="E74">
        <f>COUNTIF($C$213:$M$219, "*Fly*")</f>
        <v>8</v>
      </c>
      <c r="F74">
        <f>COUNTIF($C$213:$M$219, "*Taxi*")</f>
        <v>25</v>
      </c>
      <c r="G74">
        <f>COUNTIF($C$213:$M$219,"*Drive*")</f>
        <v>11</v>
      </c>
      <c r="H74">
        <f>COUNTIF($C$213:$M$219,"*Train*")</f>
        <v>2</v>
      </c>
      <c r="I74">
        <f>COUNTIF($C$213:$M$219,"*Boat*")</f>
        <v>2</v>
      </c>
      <c r="J74">
        <f>COUNTIF($C$213:$M$219, "*Bus*")</f>
        <v>2</v>
      </c>
      <c r="K74">
        <f>COUNTIF($C$213:$M$219, "*Bike*")</f>
        <v>2</v>
      </c>
      <c r="L74">
        <f>COUNTIF($C$213:$M$219,"*Ride*")</f>
        <v>2</v>
      </c>
      <c r="M74">
        <f>COUNTIF($C$213:$M$219, "*Run*")</f>
        <v>8</v>
      </c>
      <c r="N74">
        <f>COUNTIF($C$213:$M$219,"*Animal*")</f>
        <v>0</v>
      </c>
      <c r="O74" s="291">
        <f t="shared" si="0"/>
        <v>75</v>
      </c>
    </row>
    <row r="75" spans="2:15">
      <c r="B75" s="163" t="s">
        <v>138</v>
      </c>
      <c r="C75" s="35">
        <f>COUNTIF($C$222:$M$228, "*Challenge*")</f>
        <v>10</v>
      </c>
      <c r="D75" s="35">
        <f>COUNTIF($C$222:$M$228, "Challenge")</f>
        <v>4</v>
      </c>
      <c r="E75">
        <f>COUNTIF($C$222:$M$228,"*Fly*")</f>
        <v>9</v>
      </c>
      <c r="F75">
        <f>COUNTIF($C$222:$M$228, "*Taxi*")</f>
        <v>35</v>
      </c>
      <c r="G75">
        <f>COUNTIF($C$222:$M$228,"*Drive*")</f>
        <v>7</v>
      </c>
      <c r="H75">
        <f>COUNTIF($C$222:$M$228,"*Train*")</f>
        <v>0</v>
      </c>
      <c r="I75">
        <f>COUNTIF($C$222:$M$228,"*Boat*")</f>
        <v>1</v>
      </c>
      <c r="J75">
        <f>COUNTIF($C$222:$M$228, "*Bus*")</f>
        <v>0</v>
      </c>
      <c r="K75">
        <f>COUNTIF($C$222:$M$228, "*Bike*")</f>
        <v>0</v>
      </c>
      <c r="L75">
        <f>COUNTIF($C$222:$M$228,"*Ride*")</f>
        <v>2</v>
      </c>
      <c r="M75">
        <f>COUNTIF($C$222:$M$228, "*Run*")</f>
        <v>4</v>
      </c>
      <c r="N75">
        <f>COUNTIF($C$222:$M$228,"*Animal*")</f>
        <v>0</v>
      </c>
      <c r="O75" s="291">
        <f t="shared" si="0"/>
        <v>72</v>
      </c>
    </row>
    <row r="76" spans="2:15">
      <c r="B76" s="163" t="s">
        <v>139</v>
      </c>
      <c r="C76" s="35">
        <f>COUNTIF($C$231:$N$236, "*Challenge*")</f>
        <v>9</v>
      </c>
      <c r="D76" s="35">
        <f>COUNTIF($C$231:$N$236, "Challenge")</f>
        <v>3</v>
      </c>
      <c r="E76">
        <f>COUNTIF($C$231:$N$236,"*Fly*")</f>
        <v>10</v>
      </c>
      <c r="F76">
        <f>COUNTIF($C$231:$N$236, "*Taxi*")</f>
        <v>28</v>
      </c>
      <c r="G76">
        <f>COUNTIF($C$231:$N$236,"*Drive*")</f>
        <v>6</v>
      </c>
      <c r="H76">
        <f>COUNTIF($C$231:$N$236,"*Train*")</f>
        <v>4</v>
      </c>
      <c r="I76">
        <f>COUNTIF($C$231:$N$236,"*Boat*")</f>
        <v>1</v>
      </c>
      <c r="J76">
        <f>COUNTIF($C$231:$N$236, "*Bus*")</f>
        <v>0</v>
      </c>
      <c r="K76">
        <f>COUNTIF($C$231:$N$236, "*Bike*")</f>
        <v>1</v>
      </c>
      <c r="L76">
        <f>COUNTIF($C$231:$N$236,"*Ride*")</f>
        <v>1</v>
      </c>
      <c r="M76">
        <f>COUNTIF($C$231:$N$236, "*Run*")</f>
        <v>3</v>
      </c>
      <c r="N76">
        <f>COUNTIF($C$231:$N$236,"*Animal*")</f>
        <v>0</v>
      </c>
      <c r="O76" s="291">
        <f t="shared" si="0"/>
        <v>66</v>
      </c>
    </row>
    <row r="77" spans="2:15">
      <c r="B77" s="163" t="s">
        <v>140</v>
      </c>
      <c r="C77" s="35">
        <f>COUNTIF($C$239:$N$246, "*Challenge*")</f>
        <v>17</v>
      </c>
      <c r="D77" s="35">
        <f>COUNTIF($C$239:$N$246, "Challenge")</f>
        <v>7</v>
      </c>
      <c r="E77">
        <f>COUNTIF($C$239:$N$246,"*Fly*")</f>
        <v>6</v>
      </c>
      <c r="F77">
        <f>COUNTIF($C$239:$N$246, "*Taxi*")</f>
        <v>29</v>
      </c>
      <c r="G77">
        <f>COUNTIF($C$239:$N$246,"*Drive*")</f>
        <v>7</v>
      </c>
      <c r="H77">
        <f>COUNTIF($C$239:$N$246,"*Train*")</f>
        <v>0</v>
      </c>
      <c r="I77">
        <f>COUNTIF($C$239:$N$246,"*Boat*")</f>
        <v>1</v>
      </c>
      <c r="J77">
        <f>COUNTIF($C$239:$N$246, "*Bus*")</f>
        <v>1</v>
      </c>
      <c r="K77">
        <f>COUNTIF($C$239:$N$246, "*Bike*")</f>
        <v>1</v>
      </c>
      <c r="L77">
        <f>COUNTIF($C$239:$N$246,"*Ride*")</f>
        <v>1</v>
      </c>
      <c r="M77">
        <f>COUNTIF($C$239:$N$246, "*Run*")</f>
        <v>7</v>
      </c>
      <c r="N77">
        <f>COUNTIF($C$239:$N$246,"*Animal*")</f>
        <v>0</v>
      </c>
      <c r="O77" s="291">
        <f t="shared" si="0"/>
        <v>77</v>
      </c>
    </row>
    <row r="78" spans="2:15">
      <c r="B78" s="163" t="s">
        <v>141</v>
      </c>
      <c r="C78" s="35">
        <f>COUNTIF($C$249:$N$256, "*Challenge*")</f>
        <v>15</v>
      </c>
      <c r="D78" s="35">
        <f>COUNTIF($C$249:$N$256, "Challenge")</f>
        <v>4</v>
      </c>
      <c r="E78">
        <f>COUNTIF($C$249:$N$256,"*Fly*")</f>
        <v>6</v>
      </c>
      <c r="F78">
        <f>COUNTIF($C$249:$N$256, "*Taxi*")</f>
        <v>24</v>
      </c>
      <c r="G78">
        <f>COUNTIF($C$249:$N$256,"*Drive*")</f>
        <v>13</v>
      </c>
      <c r="H78">
        <f>COUNTIF($C$249:$N$256,"*Train*")</f>
        <v>2</v>
      </c>
      <c r="I78">
        <f>COUNTIF($C$249:$N$256,"*Boat*")</f>
        <v>4</v>
      </c>
      <c r="J78">
        <f>COUNTIF($C$249:$N$256,"*Bus*")</f>
        <v>4</v>
      </c>
      <c r="K78">
        <f>COUNTIF($C$249:$N$256, "*Bike*")</f>
        <v>1</v>
      </c>
      <c r="L78">
        <f>COUNTIF($C$249:$N$256,"*Ride*")</f>
        <v>5</v>
      </c>
      <c r="M78">
        <f>COUNTIF($C$249:$N$256,"*Run*")</f>
        <v>6</v>
      </c>
      <c r="N78">
        <f>COUNTIF($C$249:$N$256,"*Animal*")</f>
        <v>0</v>
      </c>
      <c r="O78" s="291">
        <f t="shared" si="0"/>
        <v>84</v>
      </c>
    </row>
    <row r="79" spans="2:15">
      <c r="B79" s="163" t="s">
        <v>142</v>
      </c>
      <c r="C79" s="35">
        <f>COUNTIF($C$259:$N$264, "*Challenge*")</f>
        <v>15</v>
      </c>
      <c r="D79" s="35">
        <f>COUNTIF($C$259:$N$264, "Challenge")</f>
        <v>4</v>
      </c>
      <c r="E79">
        <f>COUNTIF($C$259:$N$264,"*Fly*")</f>
        <v>9</v>
      </c>
      <c r="F79">
        <f>COUNTIF($C$259:$N$264, "*Taxi*")</f>
        <v>33</v>
      </c>
      <c r="G79">
        <f>COUNTIF($C$259:$N$264,"*Drive*")</f>
        <v>13</v>
      </c>
      <c r="H79">
        <f>COUNTIF($C$259:$N$264,"*Train*")</f>
        <v>1</v>
      </c>
      <c r="I79">
        <f>COUNTIF($C$259:$N$264,"*Boat*")</f>
        <v>4</v>
      </c>
      <c r="J79">
        <f>COUNTIF($C$259:$N$264,"*Bus*")</f>
        <v>1</v>
      </c>
      <c r="K79">
        <f>COUNTIF($C$259:$N$264, "*Bike*")</f>
        <v>0</v>
      </c>
      <c r="L79">
        <f>COUNTIF($C$259:$N$264,"*Ride*")</f>
        <v>2</v>
      </c>
      <c r="M79">
        <f>COUNTIF($C$259:$N$264,"*Run*")</f>
        <v>4</v>
      </c>
      <c r="N79">
        <f>COUNTIF($C$259:$N$264,"*Animal*")</f>
        <v>0</v>
      </c>
      <c r="O79" s="291">
        <f t="shared" si="0"/>
        <v>86</v>
      </c>
    </row>
    <row r="80" spans="2:15">
      <c r="B80" s="163" t="s">
        <v>143</v>
      </c>
      <c r="C80" s="35">
        <f>COUNTIF($C$267:$N$273, "*Challenge*")</f>
        <v>12</v>
      </c>
      <c r="D80" s="35">
        <f>COUNTIF($C$267:$N$273, "Challenge")</f>
        <v>7</v>
      </c>
      <c r="E80">
        <f>COUNTIF($C$267:$N$273,"*Fly*")</f>
        <v>9</v>
      </c>
      <c r="F80">
        <f>COUNTIF($C$267:$N$273, "*Taxi*")</f>
        <v>31</v>
      </c>
      <c r="G80">
        <f>COUNTIF($C$267:$N$273,"*Drive*")</f>
        <v>9</v>
      </c>
      <c r="H80">
        <f>COUNTIF($C$267:$N$273,"*Train*")</f>
        <v>5</v>
      </c>
      <c r="I80">
        <f>COUNTIF($C$267:$N$273,"*Boat*")</f>
        <v>2</v>
      </c>
      <c r="J80">
        <f>COUNTIF($C$267:$N$273,"*Bus*")</f>
        <v>2</v>
      </c>
      <c r="K80">
        <f>COUNTIF($C$267:$N$273, "*Bike*")</f>
        <v>1</v>
      </c>
      <c r="L80">
        <f>COUNTIF($C$267:$N$273,"*Ride*")</f>
        <v>1</v>
      </c>
      <c r="M80">
        <f>COUNTIF($C$267:$N$273,"*Run*")</f>
        <v>2</v>
      </c>
      <c r="N80">
        <f>COUNTIF($C$267:$N$273,"*Animal*")</f>
        <v>0</v>
      </c>
      <c r="O80" s="291">
        <f t="shared" si="0"/>
        <v>81</v>
      </c>
    </row>
    <row r="81" spans="2:15">
      <c r="B81" s="163" t="s">
        <v>144</v>
      </c>
      <c r="C81" s="35">
        <f>COUNTIF($C$276:$N$282, "*Challenge*")</f>
        <v>17</v>
      </c>
      <c r="D81" s="35">
        <f>COUNTIF($C$276:$N$282, "Challenge")</f>
        <v>7</v>
      </c>
      <c r="E81">
        <f>COUNTIF($C$276:$N$282,"*Fly*")</f>
        <v>7</v>
      </c>
      <c r="F81">
        <f>COUNTIF($C$276:$N$282, "*Taxi*")</f>
        <v>26</v>
      </c>
      <c r="G81">
        <f>COUNTIF($C$276:$N$282,"*Drive*")</f>
        <v>12</v>
      </c>
      <c r="H81">
        <f>COUNTIF($C$276:$N$282,"*Train*")</f>
        <v>3</v>
      </c>
      <c r="I81">
        <f>COUNTIF($C$276:$N$282,"*Boat*")</f>
        <v>3</v>
      </c>
      <c r="J81">
        <f>COUNTIF($C$276:$N$282,"*Bus*")</f>
        <v>2</v>
      </c>
      <c r="K81">
        <f>COUNTIF($C$276:$N$282, "*Bike*")</f>
        <v>1</v>
      </c>
      <c r="L81">
        <f>COUNTIF($C$276:$N$282,"*Ride*")</f>
        <v>0</v>
      </c>
      <c r="M81">
        <f>COUNTIF($C$276:$N$282,"*Run*")</f>
        <v>3</v>
      </c>
      <c r="N81">
        <f>COUNTIF($C$276:$N$282,"*Animal*")</f>
        <v>1</v>
      </c>
      <c r="O81" s="291">
        <f t="shared" si="0"/>
        <v>82</v>
      </c>
    </row>
    <row r="82" spans="2:15">
      <c r="B82" s="163" t="s">
        <v>145</v>
      </c>
      <c r="C82" s="35">
        <f>COUNTIF($C$285:$N$290, "*Challenge*")</f>
        <v>9</v>
      </c>
      <c r="D82" s="35">
        <f>COUNTIF($C$285:$N$290, "Challenge")</f>
        <v>3</v>
      </c>
      <c r="E82">
        <f>COUNTIF($C$285:$N$290,"*Fly*")</f>
        <v>10</v>
      </c>
      <c r="F82">
        <f>COUNTIF($C$285:$N$290, "*Taxi*")</f>
        <v>29</v>
      </c>
      <c r="G82">
        <f>COUNTIF($C$285:$N$290,"*Drive*")</f>
        <v>11</v>
      </c>
      <c r="H82">
        <f>COUNTIF($C$285:$N$290,"*Train*")</f>
        <v>2</v>
      </c>
      <c r="I82">
        <f>COUNTIF($C$285:$N$290,"*Boat*")</f>
        <v>2</v>
      </c>
      <c r="J82">
        <f>COUNTIF($C$285:$N$290,"*Bus*")</f>
        <v>2</v>
      </c>
      <c r="K82">
        <f>COUNTIF($C$285:$N$290, "*Bike*")</f>
        <v>0</v>
      </c>
      <c r="L82">
        <f>COUNTIF($C$285:$N$290,"*Ride*")</f>
        <v>2</v>
      </c>
      <c r="M82">
        <f>COUNTIF($C$285:$N$290,"*Run*")</f>
        <v>3</v>
      </c>
      <c r="N82">
        <f>COUNTIF($C$285:$N$290,"*Animal*")</f>
        <v>0</v>
      </c>
      <c r="O82" s="291">
        <f t="shared" si="0"/>
        <v>73</v>
      </c>
    </row>
    <row r="83" spans="2:15">
      <c r="B83" s="163" t="s">
        <v>146</v>
      </c>
      <c r="C83" s="35">
        <f>COUNTIF($C$293:$N$297, "*Challenge*")</f>
        <v>14</v>
      </c>
      <c r="D83" s="35">
        <f>COUNTIF($C$293:$N$297, "Challenge")</f>
        <v>3</v>
      </c>
      <c r="E83">
        <f>COUNTIF($C$293:$N$297,"*Fly*")</f>
        <v>8</v>
      </c>
      <c r="F83">
        <f>COUNTIF($C$293:$N$297, "*Taxi*")</f>
        <v>32</v>
      </c>
      <c r="G83">
        <f>COUNTIF($C$293:$N$297,"*Drive*")</f>
        <v>7</v>
      </c>
      <c r="H83">
        <f>COUNTIF($C$293:$N$297,"*Train*")</f>
        <v>2</v>
      </c>
      <c r="I83">
        <f>COUNTIF($C$293:$N$297,"*Boat*")</f>
        <v>3</v>
      </c>
      <c r="J83">
        <f>COUNTIF($C$293:$N$297,"*Bus*")</f>
        <v>0</v>
      </c>
      <c r="K83">
        <f>COUNTIF($C$293:$N$297, "*Bike*")</f>
        <v>0</v>
      </c>
      <c r="L83">
        <f>COUNTIF($C$293:$N$297,"*Ride*")</f>
        <v>1</v>
      </c>
      <c r="M83">
        <f>COUNTIF($C$293:$N$297,"*Run*")</f>
        <v>2</v>
      </c>
      <c r="N83">
        <f>COUNTIF($C$293:$N$297,"*Animal*")</f>
        <v>0</v>
      </c>
      <c r="O83" s="291">
        <f t="shared" si="0"/>
        <v>72</v>
      </c>
    </row>
    <row r="84" spans="2:15">
      <c r="B84" s="163" t="s">
        <v>147</v>
      </c>
      <c r="C84" s="35">
        <f>COUNTIF($C$300:$N$308, "*Challenge*")</f>
        <v>14</v>
      </c>
      <c r="D84" s="35">
        <f>COUNTIF($C$300:$N$308, "Challenge")</f>
        <v>3</v>
      </c>
      <c r="E84">
        <f>COUNTIF($C$300:$N$308,"*Fly*")</f>
        <v>9</v>
      </c>
      <c r="F84">
        <f>COUNTIF($C$300:$N$308, "*Taxi*")</f>
        <v>22</v>
      </c>
      <c r="G84">
        <f>COUNTIF($C$300:$N$308,"*Drive*")</f>
        <v>15</v>
      </c>
      <c r="H84">
        <f>COUNTIF($C$300:$N$308,"*Train*")</f>
        <v>4</v>
      </c>
      <c r="I84">
        <f>COUNTIF($C$300:$N$308,"*Boat*")</f>
        <v>7</v>
      </c>
      <c r="J84">
        <f>COUNTIF($C$300:$N$308,"*Bus*")</f>
        <v>0</v>
      </c>
      <c r="K84">
        <f>COUNTIF($C$300:$N$308, "*Bike*")</f>
        <v>0</v>
      </c>
      <c r="L84">
        <f>COUNTIF($C$300:$N$308,"*Ride*")</f>
        <v>0</v>
      </c>
      <c r="M84">
        <f>COUNTIF($C$300:$N$308,"*Run*")</f>
        <v>5</v>
      </c>
      <c r="N84">
        <f>COUNTIF($C$300:$N$308,"*Animal*")</f>
        <v>0</v>
      </c>
      <c r="O84" s="291">
        <f t="shared" si="0"/>
        <v>79</v>
      </c>
    </row>
    <row r="85" spans="2:15">
      <c r="B85" s="163" t="s">
        <v>148</v>
      </c>
      <c r="C85" s="35">
        <f>COUNTIF($C$311:$N$316, "*Challenge*")</f>
        <v>14</v>
      </c>
      <c r="D85" s="35">
        <f>COUNTIF($C$311:$N$316, "Challenge")</f>
        <v>5</v>
      </c>
      <c r="E85">
        <f>COUNTIF($C$311:$N$316,"*Fly*")</f>
        <v>9</v>
      </c>
      <c r="F85">
        <f>COUNTIF($C$311:$N$316, "*Taxi*")</f>
        <v>28</v>
      </c>
      <c r="G85">
        <f>COUNTIF($C$311:$N$316,"*Drive*")</f>
        <v>7</v>
      </c>
      <c r="H85">
        <f>COUNTIF($C$311:$N$316,"*Train*")</f>
        <v>1</v>
      </c>
      <c r="I85">
        <f>COUNTIF($C$311:$N$316,"*Boat*")</f>
        <v>6</v>
      </c>
      <c r="J85">
        <f>COUNTIF($C$311:$N$316,"*Bus*")</f>
        <v>1</v>
      </c>
      <c r="K85">
        <f>COUNTIF($C$311:$N$316, "*Bike*")</f>
        <v>0</v>
      </c>
      <c r="L85">
        <f>COUNTIF($C$311:$N$316,"*Ride*")</f>
        <v>2</v>
      </c>
      <c r="M85">
        <f>COUNTIF($C$311:$N$316,"*Run*")</f>
        <v>5</v>
      </c>
      <c r="N85">
        <f>COUNTIF($C$311:$N$316,"*Animal*")</f>
        <v>0</v>
      </c>
      <c r="O85" s="291">
        <f t="shared" si="0"/>
        <v>78</v>
      </c>
    </row>
    <row r="86" spans="2:15">
      <c r="B86" s="163" t="s">
        <v>125</v>
      </c>
      <c r="C86" s="35">
        <f>COUNTIF($C$319:$N$326, "*Challenge*")</f>
        <v>21</v>
      </c>
      <c r="D86" s="35">
        <f>COUNTIF($C$319:$N$326, "Challenge")</f>
        <v>4</v>
      </c>
      <c r="E86">
        <f>COUNTIF($C$319:$N$326,"*Fly*")</f>
        <v>9</v>
      </c>
      <c r="F86">
        <f>COUNTIF($C$319:$N$326,"*Taxi*")</f>
        <v>33</v>
      </c>
      <c r="G86">
        <f>COUNTIF($C$319:$N$326,"*Drive*")</f>
        <v>10</v>
      </c>
      <c r="H86">
        <f>COUNTIF($C$319:$N$326,"*Train*")</f>
        <v>4</v>
      </c>
      <c r="I86">
        <f>COUNTIF($C$319:$N$326,"*Boat*")</f>
        <v>0</v>
      </c>
      <c r="J86">
        <f>COUNTIF($C$319:$N$326,"*Bus*")</f>
        <v>0</v>
      </c>
      <c r="K86">
        <f>COUNTIF($C$319:$N$326,"*Bike*")</f>
        <v>0</v>
      </c>
      <c r="L86">
        <f>COUNTIF($C$319:$N$326,"*Ride*")</f>
        <v>2</v>
      </c>
      <c r="M86">
        <f>COUNTIF($C$319:$N$326,"*Run*")</f>
        <v>5</v>
      </c>
      <c r="N86">
        <f>COUNTIF($C$319:$N$326,"*Animal*")</f>
        <v>0</v>
      </c>
      <c r="O86" s="291">
        <f t="shared" si="0"/>
        <v>88</v>
      </c>
    </row>
    <row r="87" spans="2:15">
      <c r="B87" s="163" t="s">
        <v>116</v>
      </c>
      <c r="C87" s="35">
        <f>COUNTIF($C$329:$N$335, "*Challenge*")</f>
        <v>22</v>
      </c>
      <c r="D87" s="35">
        <f>COUNTIF($C$329:$N$335, "Challenge")</f>
        <v>7</v>
      </c>
      <c r="E87">
        <f>COUNTIF($C$329:$N$335,"*Fly*")</f>
        <v>7</v>
      </c>
      <c r="F87">
        <f>COUNTIF($C$329:$N$335,"*Taxi*")</f>
        <v>27</v>
      </c>
      <c r="G87">
        <f>COUNTIF($C$329:$N$335,"*Drive*")</f>
        <v>10</v>
      </c>
      <c r="H87">
        <f>COUNTIF($C$329:$N$335,"*Train*")</f>
        <v>2</v>
      </c>
      <c r="I87">
        <f>COUNTIF($C$329:$N$335,"*Boat*")</f>
        <v>2</v>
      </c>
      <c r="J87">
        <f>COUNTIF($C$329:$N$335,"*Bus*")</f>
        <v>0</v>
      </c>
      <c r="K87">
        <f>COUNTIF($C$329:$N$335,"*Bike*")</f>
        <v>0</v>
      </c>
      <c r="L87">
        <f>COUNTIF($C$329:$N$335,"*Ride*")</f>
        <v>3</v>
      </c>
      <c r="M87">
        <f>COUNTIF($C$329:$N$335,"*Run*")</f>
        <v>7</v>
      </c>
      <c r="N87">
        <f>COUNTIF($C$329:$N$335,"*Animal*")</f>
        <v>1</v>
      </c>
      <c r="O87" s="291">
        <f t="shared" si="0"/>
        <v>88</v>
      </c>
    </row>
    <row r="88" spans="2:15">
      <c r="B88" s="163" t="s">
        <v>104</v>
      </c>
      <c r="C88" s="35">
        <f>COUNTIF($C$338:$N$343, "*Challenge*")</f>
        <v>13</v>
      </c>
      <c r="D88" s="35">
        <f>COUNTIF($C$338:$N$343, "Challenge")</f>
        <v>4</v>
      </c>
      <c r="E88">
        <f>COUNTIF($C$338:$N$343,"*Fly*")</f>
        <v>9</v>
      </c>
      <c r="F88">
        <f>COUNTIF($C$338:$N$343,"*Taxi*")</f>
        <v>29</v>
      </c>
      <c r="G88">
        <f>COUNTIF($C$338:$N$343,"*Drive*")</f>
        <v>8</v>
      </c>
      <c r="H88">
        <f>COUNTIF($C$338:$N$343,"*Train*")</f>
        <v>1</v>
      </c>
      <c r="I88">
        <f>COUNTIF($C$338:$N$343,"*Boat*")</f>
        <v>1</v>
      </c>
      <c r="J88">
        <f>COUNTIF($C$338:$N$343,"*Bus*")</f>
        <v>0</v>
      </c>
      <c r="K88">
        <f>COUNTIF($C$338:$N$343,"*Bike*")</f>
        <v>1</v>
      </c>
      <c r="L88">
        <f>COUNTIF($C$338:$N$343,"*Ride*")</f>
        <v>1</v>
      </c>
      <c r="M88">
        <f>COUNTIF($C$338:$N$343,"*Run*")</f>
        <v>4</v>
      </c>
      <c r="N88">
        <f>COUNTIF($C$338:$N$343,"*Animal*")</f>
        <v>0</v>
      </c>
      <c r="O88" s="291">
        <f t="shared" si="0"/>
        <v>71</v>
      </c>
    </row>
    <row r="89" spans="2:15">
      <c r="B89" s="163" t="s">
        <v>95</v>
      </c>
      <c r="C89" s="35">
        <f>COUNTIF($C$346:$N$352, "*Challenge*")</f>
        <v>10</v>
      </c>
      <c r="D89" s="35">
        <f>COUNTIF($C$346:$N$352, "Challenge")</f>
        <v>4</v>
      </c>
      <c r="E89">
        <f>COUNTIF($C$346:$N$352,"*Fly*")</f>
        <v>8</v>
      </c>
      <c r="F89">
        <f>COUNTIF($C$346:$N$352,"*Taxi*")</f>
        <v>34</v>
      </c>
      <c r="G89">
        <f>COUNTIF($C$346:$N$352,"*Drive*")</f>
        <v>1</v>
      </c>
      <c r="H89">
        <f>COUNTIF($C$346:$N$352,"*Train*")</f>
        <v>4</v>
      </c>
      <c r="I89">
        <f>COUNTIF($C$346:$N$352,"*Boat*")</f>
        <v>2</v>
      </c>
      <c r="J89">
        <f>COUNTIF($C$346:$N$352,"*Bus*")</f>
        <v>1</v>
      </c>
      <c r="K89">
        <f>COUNTIF($C$346:$N$352,"*Bike*")</f>
        <v>0</v>
      </c>
      <c r="L89">
        <f>COUNTIF($C$346:$N$352,"*Ride*")</f>
        <v>2</v>
      </c>
      <c r="M89">
        <f>COUNTIF($C$346:$N$352,"*Run*")</f>
        <v>2</v>
      </c>
      <c r="N89">
        <f>COUNTIF($C$346:$N$352,"*Animal*")</f>
        <v>0</v>
      </c>
      <c r="O89" s="291">
        <f t="shared" si="0"/>
        <v>68</v>
      </c>
    </row>
    <row r="90" spans="2:15">
      <c r="B90" s="163" t="s">
        <v>85</v>
      </c>
      <c r="C90" s="35">
        <f>COUNTIF($C$356:$N$361, "*Challenge*")</f>
        <v>8</v>
      </c>
      <c r="D90" s="35">
        <f>COUNTIF($C$356:$N$361, "Challenge")</f>
        <v>5</v>
      </c>
      <c r="E90">
        <f>COUNTIF($C$356:$N$361,"*Fly*")</f>
        <v>8</v>
      </c>
      <c r="F90">
        <f>COUNTIF($C$356:$N$361,"*Taxi*")</f>
        <v>39</v>
      </c>
      <c r="G90">
        <f>COUNTIF($C$356:$N$361,"*Drive*")</f>
        <v>3</v>
      </c>
      <c r="H90">
        <f>COUNTIF($C$356:$N$361,"*Train*")</f>
        <v>1</v>
      </c>
      <c r="I90">
        <f>COUNTIF($C$356:$N$361,"*Boat*")</f>
        <v>0</v>
      </c>
      <c r="J90">
        <f>COUNTIF($C$356:$N$361,"*Bus*")</f>
        <v>0</v>
      </c>
      <c r="K90">
        <f>COUNTIF($C$356:$N$361,"*Bike*")</f>
        <v>0</v>
      </c>
      <c r="L90">
        <f>COUNTIF($C$356:$N$361,"*Ride*")</f>
        <v>2</v>
      </c>
      <c r="M90">
        <f>COUNTIF($C$356:$N$361,"*Run*")</f>
        <v>5</v>
      </c>
      <c r="N90">
        <f>COUNTIF($C$356:$N$361,"*Animal*")</f>
        <v>0</v>
      </c>
      <c r="O90" s="291">
        <f t="shared" si="0"/>
        <v>71</v>
      </c>
    </row>
    <row r="91" spans="2:15">
      <c r="B91" s="163" t="s">
        <v>66</v>
      </c>
      <c r="C91" s="35">
        <f>COUNTIF($C$364:$N$372, "*Challenge*")</f>
        <v>22</v>
      </c>
      <c r="D91" s="35">
        <f>COUNTIF($C$364:$N$372, "Challenge")</f>
        <v>6</v>
      </c>
      <c r="E91">
        <f>COUNTIF($C$364:$N$372,"*Fly*")</f>
        <v>8</v>
      </c>
      <c r="F91">
        <f>COUNTIF($C$364:$N$372,"*Taxi*")</f>
        <v>35</v>
      </c>
      <c r="G91">
        <f>COUNTIF($C$364:$N$372,"*Drive*")</f>
        <v>8</v>
      </c>
      <c r="H91">
        <f>COUNTIF($C$364:$N$372,"*Train*")</f>
        <v>0</v>
      </c>
      <c r="I91">
        <f>COUNTIF($C$364:$N$372,"*Boat*")</f>
        <v>6</v>
      </c>
      <c r="J91">
        <f>COUNTIF($C$364:$N$372,"*Bus*")</f>
        <v>1</v>
      </c>
      <c r="K91">
        <f>COUNTIF($C$364:$N$372,"*Bike*")</f>
        <v>2</v>
      </c>
      <c r="L91">
        <f>COUNTIF($C$364:$N$372,"*Ride*")</f>
        <v>1</v>
      </c>
      <c r="M91">
        <f>COUNTIF($C$364:$N$372,"*Run*")</f>
        <v>1</v>
      </c>
      <c r="N91">
        <f>COUNTIF($C$364:$N$372,"*Animal*")</f>
        <v>0</v>
      </c>
      <c r="O91" s="291">
        <f t="shared" si="0"/>
        <v>90</v>
      </c>
    </row>
    <row r="92" spans="2:15">
      <c r="B92" s="163" t="s">
        <v>65</v>
      </c>
      <c r="C92" s="35">
        <f>COUNTIF($C$375:$N$383, "*Challenge*")</f>
        <v>24</v>
      </c>
      <c r="D92" s="35">
        <f>COUNTIF($C$375:$N$383, "Challenge")</f>
        <v>13</v>
      </c>
      <c r="E92">
        <f>COUNTIF($C$375:$N$383,"*Fly*")</f>
        <v>9</v>
      </c>
      <c r="F92">
        <f>COUNTIF($C$375:$N$383,"*Taxi*")</f>
        <v>25</v>
      </c>
      <c r="G92">
        <f>COUNTIF($C$375:$N$383,"*Drive*")</f>
        <v>10</v>
      </c>
      <c r="H92">
        <f>COUNTIF($C$375:$N$383,"*Train*")</f>
        <v>1</v>
      </c>
      <c r="I92">
        <f>COUNTIF($C$375:$N$383,"*Boat*")</f>
        <v>1</v>
      </c>
      <c r="J92">
        <f>COUNTIF($C$375:$N$383,"*Bus*")</f>
        <v>0</v>
      </c>
      <c r="K92">
        <f>COUNTIF($C$375:$N$383,"*Bike*")</f>
        <v>0</v>
      </c>
      <c r="L92">
        <f>COUNTIF($C$375:$N$383,"*Ride*")</f>
        <v>0</v>
      </c>
      <c r="M92">
        <f>COUNTIF($C$375:$N$383,"*Run*")</f>
        <v>2</v>
      </c>
      <c r="N92">
        <f>COUNTIF($C$375:$N$383,"*Animal*")</f>
        <v>0</v>
      </c>
      <c r="O92" s="291">
        <f t="shared" si="0"/>
        <v>85</v>
      </c>
    </row>
    <row r="93" spans="2:15">
      <c r="B93" s="163" t="s">
        <v>60</v>
      </c>
      <c r="C93" s="35">
        <f>COUNTIF($C$386:$N$391, "*Challenge*")</f>
        <v>17</v>
      </c>
      <c r="D93" s="35">
        <f>COUNTIF($C$386:$N$391, "Challenge")</f>
        <v>9</v>
      </c>
      <c r="E93">
        <f>COUNTIF($C$386:$N$391,"*Fly*")</f>
        <v>10</v>
      </c>
      <c r="F93">
        <f>COUNTIF($C$386:$N$391,"*Taxi*")</f>
        <v>28</v>
      </c>
      <c r="G93">
        <f>COUNTIF($C$386:$N$391,"*Drive*")</f>
        <v>4</v>
      </c>
      <c r="H93">
        <f>COUNTIF($C$386:$N$391,"*Train*")</f>
        <v>2</v>
      </c>
      <c r="I93">
        <f>COUNTIF($C$386:$N$391,"*Boat*")</f>
        <v>3</v>
      </c>
      <c r="J93">
        <f>COUNTIF($C$386:$N$391,"*Bus*")</f>
        <v>0</v>
      </c>
      <c r="K93">
        <f>COUNTIF($C$386:$N$391,"*Bike*")</f>
        <v>2</v>
      </c>
      <c r="L93">
        <f>COUNTIF($C$386:$N$391,"*Ride*")</f>
        <v>6</v>
      </c>
      <c r="M93">
        <f>COUNTIF($C$386:$N$391,"*Run*")</f>
        <v>1</v>
      </c>
      <c r="N93">
        <f>COUNTIF($C$386:$N$391,"*Animal*")</f>
        <v>0</v>
      </c>
      <c r="O93" s="291">
        <f t="shared" si="0"/>
        <v>82</v>
      </c>
    </row>
    <row r="94" spans="2:15">
      <c r="B94" s="163" t="s">
        <v>35</v>
      </c>
      <c r="C94" s="35">
        <f>COUNTIF($C$394:$M$400, "*Challenge*")</f>
        <v>27</v>
      </c>
      <c r="D94" s="35">
        <f>COUNTIF($C$394:$M$400,"Challenge")</f>
        <v>10</v>
      </c>
      <c r="E94">
        <f>COUNTIF($C$394:$M$400,"*Fly*")</f>
        <v>10</v>
      </c>
      <c r="F94">
        <f>COUNTIF($C$394:$M$400,"*Taxi*")</f>
        <v>33</v>
      </c>
      <c r="G94">
        <f>COUNTIF($C$394:$M$400,"*Drive*")</f>
        <v>2</v>
      </c>
      <c r="H94">
        <f>COUNTIF($C$394:$M$400,"*Train*")</f>
        <v>1</v>
      </c>
      <c r="I94">
        <f>COUNTIF($C$394:$M$400,"*Boat*")</f>
        <v>4</v>
      </c>
      <c r="J94">
        <f>COUNTIF($C$394:$M$400,"*Bus*")</f>
        <v>0</v>
      </c>
      <c r="K94">
        <f>COUNTIF($C$394:$M$400,"*Bike*")</f>
        <v>0</v>
      </c>
      <c r="L94">
        <f>COUNTIF($C$394:$M$400,"*Ride*")</f>
        <v>1</v>
      </c>
      <c r="M94">
        <f>COUNTIF($C$394:$M$400,"*Run*")</f>
        <v>4</v>
      </c>
      <c r="N94">
        <f>COUNTIF($C$394:$M$400,"*Animal*")</f>
        <v>0</v>
      </c>
      <c r="O94" s="291">
        <f t="shared" si="0"/>
        <v>92</v>
      </c>
    </row>
    <row r="95" spans="2:15">
      <c r="B95" s="163" t="s">
        <v>11</v>
      </c>
      <c r="C95" s="35">
        <f>COUNTIF($C$404:$M$411, "*Challenge*")</f>
        <v>16</v>
      </c>
      <c r="D95" s="35">
        <f>COUNTIF($C$404:$M$411,"Challenge")</f>
        <v>6</v>
      </c>
      <c r="E95">
        <f>COUNTIF($C$404:$M$411,"*Fly*")</f>
        <v>1</v>
      </c>
      <c r="F95">
        <f>COUNTIF($C$404:$M$411,"*Taxi*")</f>
        <v>9</v>
      </c>
      <c r="G95">
        <f>COUNTIF($C$404:$M$411,"*Drive*")</f>
        <v>19</v>
      </c>
      <c r="H95">
        <f>COUNTIF($C$404:$M$411,"*Train*")</f>
        <v>1</v>
      </c>
      <c r="I95">
        <f>COUNTIF($C$404:$M$411,"*Boat*")</f>
        <v>1</v>
      </c>
      <c r="J95">
        <f>COUNTIF($C$404:$M$411,"*Bus*")</f>
        <v>1</v>
      </c>
      <c r="K95">
        <f>COUNTIF($C$404:$M$411,"*Bike*")</f>
        <v>0</v>
      </c>
      <c r="L95">
        <f>COUNTIF($C$404:$M$411,"*Ride*")</f>
        <v>0</v>
      </c>
      <c r="M95">
        <f>COUNTIF($C$404:$M$411,"*Run*")</f>
        <v>6</v>
      </c>
      <c r="N95">
        <f>COUNTIF($C$404:$M$411,"*Animal*")</f>
        <v>0</v>
      </c>
      <c r="O95" s="291">
        <f t="shared" si="0"/>
        <v>60</v>
      </c>
    </row>
    <row r="96" spans="2:15">
      <c r="B96" s="163" t="s">
        <v>198</v>
      </c>
      <c r="C96" s="35">
        <f>COUNTIF($C$415:$L$421, "*Challenge*")</f>
        <v>10</v>
      </c>
      <c r="D96" s="35">
        <f>COUNTIF($C$415:$L$421,"Challenge")</f>
        <v>7</v>
      </c>
      <c r="E96">
        <f>COUNTIF($C$415:$L$421,"*Fly*")</f>
        <v>0</v>
      </c>
      <c r="F96">
        <f>COUNTIF($C$415:$L$421,"*Taxi*")</f>
        <v>3</v>
      </c>
      <c r="G96">
        <f>COUNTIF($C$415:$L$421,"*Drive*")</f>
        <v>18</v>
      </c>
      <c r="H96">
        <f>COUNTIF($C$415:$L$421,"*Train*")</f>
        <v>0</v>
      </c>
      <c r="I96">
        <f>COUNTIF($C$415:$L$421,"*Boat*")</f>
        <v>0</v>
      </c>
      <c r="J96">
        <f>COUNTIF($C$415:$L$421,"*Bus*")</f>
        <v>0</v>
      </c>
      <c r="K96">
        <f>COUNTIF($C$415:$L$421,"*Bike*")</f>
        <v>1</v>
      </c>
      <c r="L96">
        <f>COUNTIF($C$415:$L$421,"*Ride*")</f>
        <v>0</v>
      </c>
      <c r="M96">
        <f>COUNTIF($C$415:$L$421,"*Run*")</f>
        <v>10</v>
      </c>
      <c r="N96">
        <f>COUNTIF($C$415:$L$421,"*Animal*")</f>
        <v>0</v>
      </c>
      <c r="O96" s="291">
        <f t="shared" si="0"/>
        <v>49</v>
      </c>
    </row>
    <row r="97" spans="2:15">
      <c r="B97" s="163" t="s">
        <v>184</v>
      </c>
      <c r="C97" s="35">
        <f>COUNTIF($C$424:$N$430, "*Challenge*")</f>
        <v>17</v>
      </c>
      <c r="D97" s="35">
        <f>COUNTIF($C$424:$N$430,"Challenge")</f>
        <v>5</v>
      </c>
      <c r="E97">
        <f>COUNTIF($C$424:$N$430,"*Fly*")</f>
        <v>8</v>
      </c>
      <c r="F97">
        <f>COUNTIF($C$424:$N$430,"*Taxi*")</f>
        <v>27</v>
      </c>
      <c r="G97">
        <f>COUNTIF($C$424:$N$430,"*Drive*")</f>
        <v>19</v>
      </c>
      <c r="H97">
        <f>COUNTIF($C$424:$N$430,"*Train*")</f>
        <v>1</v>
      </c>
      <c r="I97">
        <f>COUNTIF($C$424:$N$430,"*Boat*")</f>
        <v>4</v>
      </c>
      <c r="J97">
        <f>COUNTIF($C$424:$N$430,"*Bus*")</f>
        <v>2</v>
      </c>
      <c r="K97">
        <f>COUNTIF($C$424:$N$430,"*Bike*")</f>
        <v>0</v>
      </c>
      <c r="L97">
        <f>COUNTIF($C$424:$N$430,"*Ride*")</f>
        <v>2</v>
      </c>
      <c r="M97">
        <f>COUNTIF($C$424:$N$430,"*Run*")</f>
        <v>9</v>
      </c>
      <c r="N97">
        <f>COUNTIF($C$424:$N$430,"*Animal*")</f>
        <v>0</v>
      </c>
      <c r="O97" s="291">
        <f t="shared" si="0"/>
        <v>94</v>
      </c>
    </row>
    <row r="98" spans="2:15">
      <c r="B98" s="163" t="s">
        <v>563</v>
      </c>
      <c r="C98" s="35">
        <f>COUNTIF($C$434:$M$441, "*Challenge*")</f>
        <v>3</v>
      </c>
      <c r="D98" s="35">
        <f>COUNTIF($C$434:$M$441,"Challenge")</f>
        <v>3</v>
      </c>
      <c r="E98">
        <f>COUNTIF($C$434:$M$441,"*Fly*")</f>
        <v>0</v>
      </c>
      <c r="F98">
        <f>COUNTIF($C$434:$M$441,"*Taxi*")</f>
        <v>12</v>
      </c>
      <c r="G98">
        <f>COUNTIF($C$434:$M$441,"*Drive*")</f>
        <v>21</v>
      </c>
      <c r="H98">
        <f>COUNTIF($C$434:$M$441,"*Train*")</f>
        <v>0</v>
      </c>
      <c r="I98">
        <f>COUNTIF($C$434:$M$441,"*Boat*")</f>
        <v>1</v>
      </c>
      <c r="J98">
        <f>COUNTIF($C$434:$M$441,"*Bus*")</f>
        <v>0</v>
      </c>
      <c r="K98">
        <f>COUNTIF($C$434:$M$441,"*Bike*")</f>
        <v>0</v>
      </c>
      <c r="L98">
        <f>COUNTIF($C$434:$M$441,"*Ride*")</f>
        <v>0</v>
      </c>
      <c r="M98">
        <f>COUNTIF($C$434:$M$441,"*Run*")</f>
        <v>9</v>
      </c>
      <c r="N98">
        <f>COUNTIF($C$434:$M$441,"*Animal*")</f>
        <v>0</v>
      </c>
      <c r="O98" s="291">
        <f t="shared" si="0"/>
        <v>49</v>
      </c>
    </row>
    <row r="99" spans="2:15">
      <c r="B99" s="163" t="s">
        <v>1742</v>
      </c>
      <c r="C99" s="35">
        <f>COUNTIF($C$444:$N$451, "*Challenge*")</f>
        <v>16</v>
      </c>
      <c r="D99" s="35">
        <f>COUNTIF($C$444:$N$451, "Challenge")</f>
        <v>11</v>
      </c>
      <c r="E99">
        <f>COUNTIF($C$444:$N$451, "*Fly*")</f>
        <v>9</v>
      </c>
      <c r="F99">
        <f>COUNTIF($C$444:$N$451, "*Taxi*")-4</f>
        <v>28</v>
      </c>
      <c r="G99">
        <f>COUNTIF($C$444:$N$451, "*Drive*")</f>
        <v>17</v>
      </c>
      <c r="H99">
        <f>COUNTIF($C$444:$N$451, "*Train*")</f>
        <v>2</v>
      </c>
      <c r="I99">
        <f>COUNTIF($C$444:$N$451, "*Boat*")</f>
        <v>4</v>
      </c>
      <c r="J99">
        <f>COUNTIF($C$444:$N$451, "*Bus*")</f>
        <v>0</v>
      </c>
      <c r="K99">
        <f>COUNTIF($C$444:$N$451, "*Bike*")</f>
        <v>0</v>
      </c>
      <c r="L99">
        <f>COUNTIF($C$444:$N$451, "*Ride*")</f>
        <v>2</v>
      </c>
      <c r="M99">
        <f>COUNTIF($C$444:$N$451, "*Run*")</f>
        <v>11</v>
      </c>
      <c r="N99">
        <f>COUNTIF($C$444:$N$451, "*Animal*")</f>
        <v>0</v>
      </c>
      <c r="O99" s="291">
        <f>SUM(C99:N99)</f>
        <v>100</v>
      </c>
    </row>
    <row r="100" spans="2:15">
      <c r="B100" s="273" t="s">
        <v>2056</v>
      </c>
      <c r="C100" s="35">
        <f>COUNTIF($C$454:$N$461, "*Challenge*")</f>
        <v>20</v>
      </c>
      <c r="D100" s="35">
        <f>COUNTIF($C$454:$N$461, "Challenge")</f>
        <v>11</v>
      </c>
      <c r="E100">
        <f>COUNTIF($C$454:$N$461, "*Fly*")</f>
        <v>6</v>
      </c>
      <c r="F100">
        <f>COUNTIF($C$454:$N$461, "*Taxi*")-4</f>
        <v>22</v>
      </c>
      <c r="G100">
        <f>COUNTIF($C$454:$N$461, "*Drive*")</f>
        <v>15</v>
      </c>
      <c r="H100">
        <f>COUNTIF($C$454:$N$461, "*Train*")</f>
        <v>3</v>
      </c>
      <c r="I100">
        <f>COUNTIF($C$454:$N$461, "*Boat*")</f>
        <v>0</v>
      </c>
      <c r="J100">
        <f>COUNTIF($C$454:$N$461, "*Bus*")</f>
        <v>0</v>
      </c>
      <c r="K100">
        <f>COUNTIF($C$454:$N$461, "*Bike*")</f>
        <v>2</v>
      </c>
      <c r="L100">
        <f>COUNTIF($C$454:$N$461, "*Ride*")</f>
        <v>0</v>
      </c>
      <c r="M100">
        <f>COUNTIF($C$454:$N$461, "*Run*")</f>
        <v>13</v>
      </c>
      <c r="N100">
        <f>COUNTIF($C$454:$N$461, "*Animal*")</f>
        <v>0</v>
      </c>
      <c r="O100" s="291">
        <f>SUM(C100:N100)</f>
        <v>92</v>
      </c>
    </row>
    <row r="101" spans="2:15">
      <c r="B101" s="272" t="s">
        <v>182</v>
      </c>
      <c r="C101" s="567">
        <f t="shared" ref="C101:N101" si="1">SUM(C63:C100)</f>
        <v>491</v>
      </c>
      <c r="D101" s="402">
        <f t="shared" si="1"/>
        <v>181</v>
      </c>
      <c r="E101" s="402">
        <f t="shared" si="1"/>
        <v>320</v>
      </c>
      <c r="F101" s="402">
        <f t="shared" si="1"/>
        <v>1016</v>
      </c>
      <c r="G101" s="402">
        <f t="shared" si="1"/>
        <v>504</v>
      </c>
      <c r="H101" s="402">
        <f t="shared" si="1"/>
        <v>99</v>
      </c>
      <c r="I101" s="402">
        <f t="shared" si="1"/>
        <v>117</v>
      </c>
      <c r="J101" s="402">
        <f t="shared" si="1"/>
        <v>46</v>
      </c>
      <c r="K101" s="402">
        <f t="shared" si="1"/>
        <v>21</v>
      </c>
      <c r="L101" s="402">
        <f t="shared" si="1"/>
        <v>67</v>
      </c>
      <c r="M101" s="402">
        <f t="shared" si="1"/>
        <v>192</v>
      </c>
      <c r="N101" s="402">
        <f t="shared" si="1"/>
        <v>5</v>
      </c>
      <c r="O101" s="284">
        <f>SUM(C101:N101)</f>
        <v>3059</v>
      </c>
    </row>
    <row r="102" spans="2:15">
      <c r="B102" s="288" t="s">
        <v>333</v>
      </c>
      <c r="C102" s="339">
        <f t="shared" ref="C102:N102" si="2">AVERAGE(C63:C98)</f>
        <v>12.638888888888889</v>
      </c>
      <c r="D102" s="339">
        <f t="shared" si="2"/>
        <v>4.416666666666667</v>
      </c>
      <c r="E102" s="339">
        <f t="shared" si="2"/>
        <v>8.4722222222222214</v>
      </c>
      <c r="F102" s="339">
        <f t="shared" si="2"/>
        <v>26.833333333333332</v>
      </c>
      <c r="G102" s="339">
        <f t="shared" si="2"/>
        <v>13.111111111111111</v>
      </c>
      <c r="H102" s="339">
        <f t="shared" si="2"/>
        <v>2.6111111111111112</v>
      </c>
      <c r="I102" s="339">
        <f t="shared" si="2"/>
        <v>3.1388888888888888</v>
      </c>
      <c r="J102" s="339">
        <f t="shared" si="2"/>
        <v>1.2777777777777777</v>
      </c>
      <c r="K102" s="339">
        <f t="shared" si="2"/>
        <v>0.52777777777777779</v>
      </c>
      <c r="L102" s="339">
        <f t="shared" si="2"/>
        <v>1.8055555555555556</v>
      </c>
      <c r="M102" s="339">
        <f t="shared" si="2"/>
        <v>4.666666666666667</v>
      </c>
      <c r="N102" s="339">
        <f t="shared" si="2"/>
        <v>0.1388888888888889</v>
      </c>
      <c r="O102" s="291"/>
    </row>
    <row r="103" spans="2:15" ht="31.5">
      <c r="B103" s="436" t="s">
        <v>1938</v>
      </c>
      <c r="C103" s="437">
        <f t="shared" ref="C103:N103" si="3">STDEV(C63:C98)</f>
        <v>5.9433169083446895</v>
      </c>
      <c r="D103" s="437">
        <f t="shared" si="3"/>
        <v>2.8422827847649903</v>
      </c>
      <c r="E103" s="437">
        <f t="shared" si="3"/>
        <v>3.2025535446498323</v>
      </c>
      <c r="F103" s="437">
        <f t="shared" si="3"/>
        <v>7.6587951309029583</v>
      </c>
      <c r="G103" s="437">
        <f t="shared" si="3"/>
        <v>8.3110177399050151</v>
      </c>
      <c r="H103" s="437">
        <f t="shared" si="3"/>
        <v>2.6325194643456542</v>
      </c>
      <c r="I103" s="437">
        <f t="shared" si="3"/>
        <v>2.3071661996951742</v>
      </c>
      <c r="J103" s="437">
        <f t="shared" si="3"/>
        <v>1.3007934086792923</v>
      </c>
      <c r="K103" s="437">
        <f t="shared" si="3"/>
        <v>0.73624961260668387</v>
      </c>
      <c r="L103" s="437">
        <f t="shared" si="3"/>
        <v>1.5272654263551186</v>
      </c>
      <c r="M103" s="437">
        <f t="shared" si="3"/>
        <v>2.2677868380553634</v>
      </c>
      <c r="N103" s="767">
        <f t="shared" si="3"/>
        <v>0.42445109277598775</v>
      </c>
    </row>
    <row r="104" spans="2:15">
      <c r="B104" s="288" t="s">
        <v>1277</v>
      </c>
      <c r="C104" s="319">
        <f t="shared" ref="C104:N104" si="4">MODE(C63:C100)</f>
        <v>9</v>
      </c>
      <c r="D104" s="319">
        <f t="shared" si="4"/>
        <v>4</v>
      </c>
      <c r="E104" s="319">
        <f t="shared" si="4"/>
        <v>9</v>
      </c>
      <c r="F104" s="319">
        <f t="shared" si="4"/>
        <v>28</v>
      </c>
      <c r="G104" s="319">
        <f t="shared" si="4"/>
        <v>19</v>
      </c>
      <c r="H104" s="319">
        <f t="shared" si="4"/>
        <v>1</v>
      </c>
      <c r="I104" s="319">
        <f t="shared" si="4"/>
        <v>2</v>
      </c>
      <c r="J104" s="319">
        <f t="shared" si="4"/>
        <v>0</v>
      </c>
      <c r="K104" s="319">
        <f t="shared" si="4"/>
        <v>0</v>
      </c>
      <c r="L104" s="319">
        <f t="shared" si="4"/>
        <v>2</v>
      </c>
      <c r="M104" s="319">
        <f t="shared" si="4"/>
        <v>5</v>
      </c>
      <c r="N104" s="768">
        <f t="shared" si="4"/>
        <v>0</v>
      </c>
    </row>
    <row r="105" spans="2:15">
      <c r="B105" s="288" t="s">
        <v>1276</v>
      </c>
      <c r="C105" s="319">
        <f t="shared" ref="C105:N105" si="5">MAX(C63:C100)</f>
        <v>27</v>
      </c>
      <c r="D105" s="319">
        <f t="shared" si="5"/>
        <v>13</v>
      </c>
      <c r="E105" s="319">
        <f t="shared" si="5"/>
        <v>14</v>
      </c>
      <c r="F105" s="319">
        <f t="shared" si="5"/>
        <v>39</v>
      </c>
      <c r="G105" s="319">
        <f t="shared" si="5"/>
        <v>44</v>
      </c>
      <c r="H105" s="319">
        <f t="shared" si="5"/>
        <v>11</v>
      </c>
      <c r="I105" s="319">
        <f t="shared" si="5"/>
        <v>9</v>
      </c>
      <c r="J105" s="319">
        <f t="shared" si="5"/>
        <v>4</v>
      </c>
      <c r="K105" s="319">
        <f t="shared" si="5"/>
        <v>2</v>
      </c>
      <c r="L105" s="319">
        <f t="shared" si="5"/>
        <v>6</v>
      </c>
      <c r="M105" s="319">
        <f t="shared" si="5"/>
        <v>13</v>
      </c>
      <c r="N105" s="768">
        <f t="shared" si="5"/>
        <v>2</v>
      </c>
    </row>
    <row r="106" spans="2:15">
      <c r="B106" s="288" t="s">
        <v>1530</v>
      </c>
      <c r="C106" s="319">
        <f t="shared" ref="C106:N106" si="6">MIN(C63:C100)</f>
        <v>2</v>
      </c>
      <c r="D106" s="319">
        <f t="shared" si="6"/>
        <v>0</v>
      </c>
      <c r="E106" s="319">
        <f t="shared" si="6"/>
        <v>0</v>
      </c>
      <c r="F106" s="319">
        <f t="shared" si="6"/>
        <v>3</v>
      </c>
      <c r="G106" s="319">
        <f t="shared" si="6"/>
        <v>1</v>
      </c>
      <c r="H106" s="319">
        <f t="shared" si="6"/>
        <v>0</v>
      </c>
      <c r="I106" s="319">
        <f t="shared" si="6"/>
        <v>0</v>
      </c>
      <c r="J106" s="319">
        <f t="shared" si="6"/>
        <v>0</v>
      </c>
      <c r="K106" s="319">
        <f t="shared" si="6"/>
        <v>0</v>
      </c>
      <c r="L106" s="319">
        <f t="shared" si="6"/>
        <v>0</v>
      </c>
      <c r="M106" s="319">
        <f t="shared" si="6"/>
        <v>1</v>
      </c>
      <c r="N106" s="768">
        <f t="shared" si="6"/>
        <v>0</v>
      </c>
    </row>
    <row r="107" spans="2:15">
      <c r="B107" s="147"/>
      <c r="C107" s="319"/>
      <c r="D107" s="319"/>
      <c r="E107" s="319"/>
      <c r="F107" s="319"/>
      <c r="G107" s="319"/>
      <c r="H107" s="319"/>
      <c r="I107" s="319"/>
      <c r="J107" s="319"/>
      <c r="K107" s="319"/>
      <c r="L107" s="319"/>
      <c r="M107" s="319"/>
      <c r="N107" s="319"/>
    </row>
    <row r="108" spans="2:15">
      <c r="B108" s="428" t="s">
        <v>1830</v>
      </c>
    </row>
    <row r="109" spans="2:15">
      <c r="B109" s="634" t="s">
        <v>126</v>
      </c>
      <c r="C109" s="635" t="s">
        <v>1</v>
      </c>
      <c r="D109" s="635" t="s">
        <v>2</v>
      </c>
      <c r="E109" s="635" t="s">
        <v>3</v>
      </c>
      <c r="F109" s="635" t="s">
        <v>4</v>
      </c>
      <c r="G109" s="635" t="s">
        <v>5</v>
      </c>
      <c r="H109" s="635" t="s">
        <v>6</v>
      </c>
      <c r="I109" s="635" t="s">
        <v>7</v>
      </c>
      <c r="J109" s="635" t="s">
        <v>8</v>
      </c>
      <c r="K109" s="635" t="s">
        <v>9</v>
      </c>
      <c r="L109" s="635" t="s">
        <v>10</v>
      </c>
      <c r="M109" s="635" t="s">
        <v>36</v>
      </c>
      <c r="N109" s="635" t="s">
        <v>37</v>
      </c>
      <c r="O109" s="298" t="s">
        <v>344</v>
      </c>
    </row>
    <row r="110" spans="2:15" ht="47.25">
      <c r="B110" s="636" t="s">
        <v>1688</v>
      </c>
      <c r="C110" s="296" t="s">
        <v>1738</v>
      </c>
      <c r="D110" s="296" t="s">
        <v>1674</v>
      </c>
      <c r="E110" s="296" t="s">
        <v>1672</v>
      </c>
      <c r="F110" s="296" t="s">
        <v>1682</v>
      </c>
      <c r="G110" s="296" t="s">
        <v>1672</v>
      </c>
      <c r="H110" s="296" t="s">
        <v>1672</v>
      </c>
      <c r="I110" s="425" t="s">
        <v>1738</v>
      </c>
      <c r="J110" s="296" t="s">
        <v>1674</v>
      </c>
      <c r="K110" s="425" t="s">
        <v>1738</v>
      </c>
      <c r="L110" s="296" t="s">
        <v>1685</v>
      </c>
      <c r="M110" s="425" t="s">
        <v>1738</v>
      </c>
      <c r="N110" s="296" t="s">
        <v>1672</v>
      </c>
      <c r="O110" s="148" t="s">
        <v>1674</v>
      </c>
    </row>
    <row r="111" spans="2:15" ht="63">
      <c r="B111" s="636" t="s">
        <v>1689</v>
      </c>
      <c r="C111" s="296" t="s">
        <v>1738</v>
      </c>
      <c r="D111" s="296" t="s">
        <v>1681</v>
      </c>
      <c r="E111" s="296" t="s">
        <v>1672</v>
      </c>
      <c r="F111" s="296" t="s">
        <v>1682</v>
      </c>
      <c r="G111" s="296" t="s">
        <v>1675</v>
      </c>
      <c r="H111" s="296" t="s">
        <v>1683</v>
      </c>
      <c r="I111" s="296" t="s">
        <v>1672</v>
      </c>
      <c r="J111" s="296" t="s">
        <v>1684</v>
      </c>
      <c r="K111" s="296" t="s">
        <v>1672</v>
      </c>
      <c r="L111" s="296" t="s">
        <v>1840</v>
      </c>
      <c r="M111" s="296" t="s">
        <v>1672</v>
      </c>
      <c r="N111" s="296" t="s">
        <v>1679</v>
      </c>
      <c r="O111" s="425" t="s">
        <v>1738</v>
      </c>
    </row>
    <row r="112" spans="2:15" ht="31.5">
      <c r="B112" s="636" t="s">
        <v>1690</v>
      </c>
      <c r="C112" s="296" t="s">
        <v>1673</v>
      </c>
      <c r="D112" s="296"/>
      <c r="E112" s="296" t="s">
        <v>1672</v>
      </c>
      <c r="F112" s="296"/>
      <c r="G112" s="296" t="s">
        <v>1676</v>
      </c>
      <c r="H112" s="296" t="s">
        <v>1677</v>
      </c>
      <c r="I112" s="296"/>
      <c r="J112" s="296" t="s">
        <v>1672</v>
      </c>
      <c r="K112" s="296"/>
      <c r="L112" s="296" t="s">
        <v>1686</v>
      </c>
      <c r="M112" s="423" t="s">
        <v>1678</v>
      </c>
      <c r="N112" s="296" t="s">
        <v>1683</v>
      </c>
      <c r="O112" s="148" t="s">
        <v>1677</v>
      </c>
    </row>
    <row r="113" spans="2:15">
      <c r="B113" s="636" t="s">
        <v>1691</v>
      </c>
      <c r="C113" s="296" t="s">
        <v>1673</v>
      </c>
      <c r="D113" s="296"/>
      <c r="E113" s="296"/>
      <c r="F113" s="296"/>
      <c r="G113" s="296"/>
      <c r="H113" s="296" t="s">
        <v>1675</v>
      </c>
      <c r="I113" s="296"/>
      <c r="J113" s="296"/>
      <c r="K113" s="296"/>
      <c r="L113" s="296"/>
      <c r="M113" s="296"/>
      <c r="N113" s="423" t="s">
        <v>1678</v>
      </c>
      <c r="O113" s="148"/>
    </row>
    <row r="114" spans="2:15">
      <c r="B114" s="636" t="s">
        <v>1692</v>
      </c>
      <c r="C114" s="296" t="s">
        <v>1673</v>
      </c>
      <c r="D114" s="296"/>
      <c r="E114" s="296"/>
      <c r="F114" s="296"/>
      <c r="G114" s="296"/>
      <c r="H114" s="296"/>
      <c r="I114" s="296"/>
      <c r="J114" s="296"/>
      <c r="K114" s="296"/>
      <c r="L114" s="296"/>
      <c r="M114" s="296"/>
      <c r="N114" s="296" t="s">
        <v>1675</v>
      </c>
      <c r="O114" s="148"/>
    </row>
    <row r="115" spans="2:15" ht="31.5">
      <c r="B115" s="636" t="s">
        <v>1693</v>
      </c>
      <c r="C115" s="296"/>
      <c r="D115" s="296"/>
      <c r="E115" s="296"/>
      <c r="F115" s="296"/>
      <c r="G115" s="296"/>
      <c r="H115" s="296"/>
      <c r="I115" s="296"/>
      <c r="J115" s="296"/>
      <c r="K115" s="296"/>
      <c r="L115" s="296"/>
      <c r="M115" s="296"/>
      <c r="N115" s="296" t="s">
        <v>1687</v>
      </c>
      <c r="O115" s="148"/>
    </row>
    <row r="116" spans="2:15">
      <c r="B116" s="637"/>
      <c r="C116" s="422"/>
      <c r="D116" s="422"/>
      <c r="E116" s="422"/>
      <c r="F116" s="422"/>
      <c r="G116" s="422"/>
      <c r="H116" s="422"/>
      <c r="I116" s="422"/>
      <c r="J116" s="422"/>
      <c r="K116" s="422"/>
      <c r="L116" s="422"/>
      <c r="M116" s="422"/>
      <c r="N116" s="422"/>
    </row>
    <row r="117" spans="2:15">
      <c r="B117" s="634" t="s">
        <v>127</v>
      </c>
      <c r="C117" s="635" t="s">
        <v>1</v>
      </c>
      <c r="D117" s="635" t="s">
        <v>2</v>
      </c>
      <c r="E117" s="635" t="s">
        <v>3</v>
      </c>
      <c r="F117" s="635" t="s">
        <v>4</v>
      </c>
      <c r="G117" s="635" t="s">
        <v>5</v>
      </c>
      <c r="H117" s="635" t="s">
        <v>6</v>
      </c>
      <c r="I117" s="635" t="s">
        <v>7</v>
      </c>
      <c r="J117" s="635" t="s">
        <v>8</v>
      </c>
      <c r="K117" s="635" t="s">
        <v>9</v>
      </c>
      <c r="L117" s="635" t="s">
        <v>10</v>
      </c>
      <c r="M117" s="635" t="s">
        <v>36</v>
      </c>
      <c r="N117" s="635" t="s">
        <v>37</v>
      </c>
      <c r="O117" s="298" t="s">
        <v>344</v>
      </c>
    </row>
    <row r="118" spans="2:15" ht="47.25">
      <c r="B118" s="636" t="s">
        <v>1688</v>
      </c>
      <c r="C118" s="296" t="s">
        <v>1793</v>
      </c>
      <c r="D118" s="296" t="s">
        <v>1699</v>
      </c>
      <c r="E118" s="296" t="s">
        <v>1702</v>
      </c>
      <c r="F118" s="296" t="s">
        <v>1738</v>
      </c>
      <c r="G118" s="296" t="s">
        <v>1738</v>
      </c>
      <c r="H118" s="296" t="s">
        <v>1705</v>
      </c>
      <c r="I118" s="296" t="s">
        <v>1675</v>
      </c>
      <c r="J118" s="296" t="s">
        <v>1706</v>
      </c>
      <c r="K118" s="296" t="s">
        <v>1672</v>
      </c>
      <c r="L118" s="296" t="s">
        <v>1697</v>
      </c>
      <c r="M118" s="296" t="s">
        <v>1708</v>
      </c>
      <c r="N118" s="296" t="s">
        <v>1672</v>
      </c>
      <c r="O118" s="296" t="s">
        <v>1704</v>
      </c>
    </row>
    <row r="119" spans="2:15" ht="47.25">
      <c r="B119" s="636" t="s">
        <v>1689</v>
      </c>
      <c r="C119" s="296" t="s">
        <v>1672</v>
      </c>
      <c r="D119" s="296" t="s">
        <v>1679</v>
      </c>
      <c r="E119" s="296" t="s">
        <v>1701</v>
      </c>
      <c r="F119" s="296" t="s">
        <v>1738</v>
      </c>
      <c r="G119" s="296" t="s">
        <v>1672</v>
      </c>
      <c r="H119" s="296" t="s">
        <v>1684</v>
      </c>
      <c r="I119" s="296" t="s">
        <v>1697</v>
      </c>
      <c r="J119" s="296" t="s">
        <v>1672</v>
      </c>
      <c r="K119" s="296" t="s">
        <v>1707</v>
      </c>
      <c r="L119" s="296" t="s">
        <v>1698</v>
      </c>
      <c r="M119" s="296" t="s">
        <v>1675</v>
      </c>
      <c r="N119" s="425" t="s">
        <v>1738</v>
      </c>
      <c r="O119" s="425" t="s">
        <v>1738</v>
      </c>
    </row>
    <row r="120" spans="2:15" ht="47.25">
      <c r="B120" s="636" t="s">
        <v>1690</v>
      </c>
      <c r="C120" s="296" t="s">
        <v>1698</v>
      </c>
      <c r="D120" s="296" t="s">
        <v>1675</v>
      </c>
      <c r="E120" s="296" t="s">
        <v>1672</v>
      </c>
      <c r="F120" s="423" t="s">
        <v>1703</v>
      </c>
      <c r="G120" s="296" t="s">
        <v>1682</v>
      </c>
      <c r="H120" s="296" t="s">
        <v>1675</v>
      </c>
      <c r="I120" s="296" t="s">
        <v>1705</v>
      </c>
      <c r="J120" s="425" t="s">
        <v>1738</v>
      </c>
      <c r="K120" s="296" t="s">
        <v>1675</v>
      </c>
      <c r="L120" s="296" t="s">
        <v>1675</v>
      </c>
      <c r="M120" s="296" t="s">
        <v>1675</v>
      </c>
      <c r="N120" s="296" t="s">
        <v>1708</v>
      </c>
      <c r="O120" s="148" t="s">
        <v>1674</v>
      </c>
    </row>
    <row r="121" spans="2:15" ht="31.5">
      <c r="B121" s="636" t="s">
        <v>1691</v>
      </c>
      <c r="C121" s="296" t="s">
        <v>1682</v>
      </c>
      <c r="D121" s="296" t="s">
        <v>1700</v>
      </c>
      <c r="E121" s="296" t="s">
        <v>1672</v>
      </c>
      <c r="F121" s="296" t="s">
        <v>1704</v>
      </c>
      <c r="G121" s="296"/>
      <c r="H121" s="296" t="s">
        <v>1675</v>
      </c>
      <c r="I121" s="296" t="s">
        <v>1682</v>
      </c>
      <c r="J121" s="296" t="s">
        <v>1672</v>
      </c>
      <c r="K121" s="296" t="s">
        <v>1674</v>
      </c>
      <c r="L121" s="296"/>
      <c r="M121" s="296" t="s">
        <v>1675</v>
      </c>
      <c r="N121" s="296" t="s">
        <v>1675</v>
      </c>
      <c r="O121" s="148" t="s">
        <v>1675</v>
      </c>
    </row>
    <row r="122" spans="2:15" ht="31.5">
      <c r="B122" s="636" t="s">
        <v>1692</v>
      </c>
      <c r="C122" s="296"/>
      <c r="D122" s="296"/>
      <c r="E122" s="296"/>
      <c r="F122" s="296" t="s">
        <v>1675</v>
      </c>
      <c r="G122" s="296"/>
      <c r="H122" s="296"/>
      <c r="I122" s="296"/>
      <c r="J122" s="296"/>
      <c r="K122" s="296"/>
      <c r="L122" s="296"/>
      <c r="M122" s="296"/>
      <c r="N122" s="296"/>
      <c r="O122" s="296" t="s">
        <v>1709</v>
      </c>
    </row>
    <row r="123" spans="2:15">
      <c r="B123" s="636" t="s">
        <v>1693</v>
      </c>
      <c r="C123" s="296"/>
      <c r="D123" s="296"/>
      <c r="E123" s="296"/>
      <c r="F123" s="296" t="s">
        <v>1675</v>
      </c>
      <c r="G123" s="296"/>
      <c r="H123" s="296"/>
      <c r="I123" s="296"/>
      <c r="J123" s="296"/>
      <c r="K123" s="296"/>
      <c r="L123" s="296"/>
      <c r="M123" s="296"/>
      <c r="N123" s="296"/>
      <c r="O123" s="148" t="s">
        <v>1675</v>
      </c>
    </row>
    <row r="124" spans="2:15">
      <c r="B124" s="636" t="s">
        <v>1694</v>
      </c>
      <c r="C124" s="296"/>
      <c r="D124" s="296"/>
      <c r="E124" s="296"/>
      <c r="F124" s="296" t="s">
        <v>1675</v>
      </c>
      <c r="G124" s="296"/>
      <c r="H124" s="296"/>
      <c r="I124" s="296"/>
      <c r="J124" s="296"/>
      <c r="K124" s="296"/>
      <c r="L124" s="296"/>
      <c r="M124" s="296"/>
      <c r="N124" s="296"/>
      <c r="O124" s="148" t="s">
        <v>1674</v>
      </c>
    </row>
    <row r="125" spans="2:15">
      <c r="B125" s="636" t="s">
        <v>1695</v>
      </c>
      <c r="C125" s="296"/>
      <c r="D125" s="296"/>
      <c r="E125" s="296"/>
      <c r="F125" s="296"/>
      <c r="G125" s="296"/>
      <c r="H125" s="296"/>
      <c r="I125" s="296"/>
      <c r="J125" s="296"/>
      <c r="K125" s="296"/>
      <c r="L125" s="296"/>
      <c r="M125" s="296"/>
      <c r="N125" s="296"/>
      <c r="O125" s="296" t="s">
        <v>1672</v>
      </c>
    </row>
    <row r="126" spans="2:15">
      <c r="B126" s="638"/>
      <c r="C126" s="296"/>
      <c r="D126" s="296"/>
      <c r="E126" s="296"/>
      <c r="F126" s="296"/>
      <c r="G126" s="296"/>
      <c r="H126" s="296"/>
      <c r="I126" s="296"/>
      <c r="J126" s="296"/>
      <c r="K126" s="296"/>
      <c r="L126" s="296"/>
      <c r="M126" s="296"/>
      <c r="N126" s="296"/>
      <c r="O126" s="148"/>
    </row>
    <row r="127" spans="2:15">
      <c r="B127" s="634" t="s">
        <v>128</v>
      </c>
      <c r="C127" s="635" t="s">
        <v>1</v>
      </c>
      <c r="D127" s="635" t="s">
        <v>2</v>
      </c>
      <c r="E127" s="635" t="s">
        <v>3</v>
      </c>
      <c r="F127" s="635" t="s">
        <v>4</v>
      </c>
      <c r="G127" s="635" t="s">
        <v>5</v>
      </c>
      <c r="H127" s="635" t="s">
        <v>6</v>
      </c>
      <c r="I127" s="635" t="s">
        <v>7</v>
      </c>
      <c r="J127" s="635" t="s">
        <v>8</v>
      </c>
      <c r="K127" s="635" t="s">
        <v>9</v>
      </c>
      <c r="L127" s="635" t="s">
        <v>10</v>
      </c>
      <c r="M127" s="635" t="s">
        <v>36</v>
      </c>
      <c r="N127" s="635" t="s">
        <v>37</v>
      </c>
      <c r="O127" s="298" t="s">
        <v>344</v>
      </c>
    </row>
    <row r="128" spans="2:15" ht="47.25">
      <c r="B128" s="636" t="s">
        <v>1688</v>
      </c>
      <c r="C128" s="296" t="s">
        <v>1793</v>
      </c>
      <c r="D128" s="296" t="s">
        <v>1793</v>
      </c>
      <c r="E128" s="296" t="s">
        <v>1793</v>
      </c>
      <c r="F128" s="296" t="s">
        <v>1674</v>
      </c>
      <c r="G128" s="423" t="s">
        <v>1713</v>
      </c>
      <c r="H128" s="296" t="s">
        <v>1675</v>
      </c>
      <c r="I128" s="296" t="s">
        <v>1738</v>
      </c>
      <c r="J128" s="296" t="s">
        <v>1715</v>
      </c>
      <c r="K128" s="423" t="s">
        <v>1710</v>
      </c>
      <c r="L128" s="296" t="s">
        <v>1672</v>
      </c>
      <c r="M128" s="296" t="s">
        <v>1738</v>
      </c>
      <c r="N128" s="296" t="s">
        <v>1722</v>
      </c>
      <c r="O128" s="148" t="s">
        <v>1672</v>
      </c>
    </row>
    <row r="129" spans="2:15" ht="63">
      <c r="B129" s="636" t="s">
        <v>1689</v>
      </c>
      <c r="C129" s="423" t="s">
        <v>1710</v>
      </c>
      <c r="D129" s="296" t="s">
        <v>1679</v>
      </c>
      <c r="E129" s="296" t="s">
        <v>1712</v>
      </c>
      <c r="F129" s="296" t="s">
        <v>1738</v>
      </c>
      <c r="G129" s="296" t="s">
        <v>1708</v>
      </c>
      <c r="H129" s="296" t="s">
        <v>1714</v>
      </c>
      <c r="I129" s="296" t="s">
        <v>1677</v>
      </c>
      <c r="J129" s="296" t="s">
        <v>1716</v>
      </c>
      <c r="K129" s="296" t="s">
        <v>1714</v>
      </c>
      <c r="L129" s="423" t="s">
        <v>1721</v>
      </c>
      <c r="M129" s="296" t="s">
        <v>1672</v>
      </c>
      <c r="N129" s="296" t="s">
        <v>1672</v>
      </c>
      <c r="O129" s="296" t="s">
        <v>1725</v>
      </c>
    </row>
    <row r="130" spans="2:15" ht="47.25">
      <c r="B130" s="636" t="s">
        <v>1690</v>
      </c>
      <c r="C130" s="296" t="s">
        <v>1711</v>
      </c>
      <c r="D130" s="296" t="s">
        <v>1708</v>
      </c>
      <c r="E130" s="296" t="s">
        <v>1674</v>
      </c>
      <c r="F130" s="296" t="s">
        <v>1684</v>
      </c>
      <c r="G130" s="296" t="s">
        <v>1711</v>
      </c>
      <c r="H130" s="423" t="s">
        <v>1713</v>
      </c>
      <c r="I130" s="296" t="s">
        <v>1698</v>
      </c>
      <c r="J130" s="296" t="s">
        <v>1677</v>
      </c>
      <c r="K130" s="423" t="s">
        <v>1718</v>
      </c>
      <c r="L130" s="423" t="s">
        <v>1703</v>
      </c>
      <c r="M130" s="296" t="s">
        <v>1672</v>
      </c>
      <c r="N130" s="296" t="s">
        <v>1682</v>
      </c>
      <c r="O130" s="296" t="s">
        <v>1797</v>
      </c>
    </row>
    <row r="131" spans="2:15" ht="31.5">
      <c r="B131" s="636" t="s">
        <v>1691</v>
      </c>
      <c r="C131" s="296" t="s">
        <v>1675</v>
      </c>
      <c r="D131" s="296" t="s">
        <v>1675</v>
      </c>
      <c r="E131" s="296"/>
      <c r="F131" s="296" t="s">
        <v>1674</v>
      </c>
      <c r="G131" s="296" t="s">
        <v>1675</v>
      </c>
      <c r="H131" s="296" t="s">
        <v>1672</v>
      </c>
      <c r="I131" s="296" t="s">
        <v>1675</v>
      </c>
      <c r="J131" s="296" t="s">
        <v>1677</v>
      </c>
      <c r="K131" s="296" t="s">
        <v>1720</v>
      </c>
      <c r="L131" s="296" t="s">
        <v>1722</v>
      </c>
      <c r="M131" s="296"/>
      <c r="N131" s="296" t="s">
        <v>1723</v>
      </c>
      <c r="O131" s="296" t="s">
        <v>1697</v>
      </c>
    </row>
    <row r="132" spans="2:15" ht="31.5">
      <c r="B132" s="636" t="s">
        <v>1692</v>
      </c>
      <c r="C132" s="296"/>
      <c r="D132" s="296"/>
      <c r="E132" s="296"/>
      <c r="F132" s="296"/>
      <c r="G132" s="296"/>
      <c r="H132" s="296"/>
      <c r="I132" s="296"/>
      <c r="J132" s="296" t="s">
        <v>1717</v>
      </c>
      <c r="K132" s="296"/>
      <c r="L132" s="296" t="s">
        <v>1675</v>
      </c>
      <c r="M132" s="296"/>
      <c r="N132" s="296"/>
      <c r="O132" s="148" t="s">
        <v>1674</v>
      </c>
    </row>
    <row r="133" spans="2:15">
      <c r="B133" s="636" t="s">
        <v>1693</v>
      </c>
      <c r="C133" s="296"/>
      <c r="D133" s="296"/>
      <c r="E133" s="296"/>
      <c r="F133" s="296"/>
      <c r="G133" s="296"/>
      <c r="H133" s="296"/>
      <c r="I133" s="296"/>
      <c r="J133" s="296"/>
      <c r="K133" s="296"/>
      <c r="L133" s="296" t="s">
        <v>1675</v>
      </c>
      <c r="M133" s="296"/>
      <c r="N133" s="296"/>
      <c r="O133" s="148" t="s">
        <v>1672</v>
      </c>
    </row>
    <row r="134" spans="2:15">
      <c r="B134" s="636" t="s">
        <v>1694</v>
      </c>
      <c r="C134" s="296"/>
      <c r="D134" s="296"/>
      <c r="E134" s="296"/>
      <c r="F134" s="296"/>
      <c r="G134" s="296"/>
      <c r="H134" s="296"/>
      <c r="I134" s="296"/>
      <c r="J134" s="296"/>
      <c r="K134" s="296"/>
      <c r="L134" s="296"/>
      <c r="M134" s="296"/>
      <c r="N134" s="296"/>
      <c r="O134" s="148" t="s">
        <v>1672</v>
      </c>
    </row>
    <row r="135" spans="2:15">
      <c r="B135" s="638"/>
      <c r="C135" s="296"/>
      <c r="D135" s="296"/>
      <c r="E135" s="296"/>
      <c r="F135" s="296"/>
      <c r="G135" s="296"/>
      <c r="H135" s="296"/>
      <c r="I135" s="296"/>
      <c r="J135" s="296"/>
      <c r="K135" s="296"/>
      <c r="L135" s="296"/>
      <c r="M135" s="296"/>
      <c r="N135" s="296"/>
      <c r="O135" s="148"/>
    </row>
    <row r="136" spans="2:15">
      <c r="B136" s="634" t="s">
        <v>129</v>
      </c>
      <c r="C136" s="635" t="s">
        <v>1</v>
      </c>
      <c r="D136" s="635" t="s">
        <v>2</v>
      </c>
      <c r="E136" s="635" t="s">
        <v>3</v>
      </c>
      <c r="F136" s="635" t="s">
        <v>4</v>
      </c>
      <c r="G136" s="635" t="s">
        <v>5</v>
      </c>
      <c r="H136" s="635" t="s">
        <v>6</v>
      </c>
      <c r="I136" s="635" t="s">
        <v>7</v>
      </c>
      <c r="J136" s="635" t="s">
        <v>8</v>
      </c>
      <c r="K136" s="635" t="s">
        <v>9</v>
      </c>
      <c r="L136" s="635" t="s">
        <v>10</v>
      </c>
      <c r="M136" s="635" t="s">
        <v>36</v>
      </c>
      <c r="N136" s="635" t="s">
        <v>37</v>
      </c>
      <c r="O136" s="298" t="s">
        <v>344</v>
      </c>
    </row>
    <row r="137" spans="2:15" ht="47.25">
      <c r="B137" s="636" t="s">
        <v>1688</v>
      </c>
      <c r="C137" s="296" t="s">
        <v>1793</v>
      </c>
      <c r="D137" s="296" t="s">
        <v>1698</v>
      </c>
      <c r="E137" s="296" t="s">
        <v>1722</v>
      </c>
      <c r="F137" s="296" t="s">
        <v>1727</v>
      </c>
      <c r="G137" s="296" t="s">
        <v>1793</v>
      </c>
      <c r="H137" s="296" t="s">
        <v>1738</v>
      </c>
      <c r="I137" s="296" t="s">
        <v>1729</v>
      </c>
      <c r="J137" s="296" t="s">
        <v>1738</v>
      </c>
      <c r="K137" s="296" t="s">
        <v>1672</v>
      </c>
      <c r="L137" s="296" t="s">
        <v>1705</v>
      </c>
      <c r="M137" s="296" t="s">
        <v>1705</v>
      </c>
      <c r="N137" s="296" t="s">
        <v>1715</v>
      </c>
      <c r="O137" s="296" t="s">
        <v>1715</v>
      </c>
    </row>
    <row r="138" spans="2:15" ht="47.25">
      <c r="B138" s="636" t="s">
        <v>1689</v>
      </c>
      <c r="C138" s="423" t="s">
        <v>1726</v>
      </c>
      <c r="D138" s="296" t="s">
        <v>1677</v>
      </c>
      <c r="E138" s="296" t="s">
        <v>1673</v>
      </c>
      <c r="F138" s="296" t="s">
        <v>1675</v>
      </c>
      <c r="G138" s="296" t="s">
        <v>1701</v>
      </c>
      <c r="H138" s="296" t="s">
        <v>1719</v>
      </c>
      <c r="I138" s="296" t="s">
        <v>1672</v>
      </c>
      <c r="J138" s="296" t="s">
        <v>1682</v>
      </c>
      <c r="K138" s="296" t="s">
        <v>1675</v>
      </c>
      <c r="L138" s="296" t="s">
        <v>1738</v>
      </c>
      <c r="M138" s="296" t="s">
        <v>1675</v>
      </c>
      <c r="N138" s="296" t="s">
        <v>1731</v>
      </c>
      <c r="O138" s="296" t="s">
        <v>1675</v>
      </c>
    </row>
    <row r="139" spans="2:15" ht="47.25">
      <c r="B139" s="636" t="s">
        <v>1690</v>
      </c>
      <c r="C139" s="296" t="s">
        <v>1673</v>
      </c>
      <c r="D139" s="296" t="s">
        <v>1672</v>
      </c>
      <c r="E139" s="296" t="s">
        <v>1672</v>
      </c>
      <c r="F139" s="296" t="s">
        <v>1675</v>
      </c>
      <c r="G139" s="296" t="s">
        <v>1675</v>
      </c>
      <c r="H139" s="296" t="s">
        <v>1672</v>
      </c>
      <c r="I139" s="296" t="s">
        <v>1672</v>
      </c>
      <c r="J139" s="296" t="s">
        <v>1701</v>
      </c>
      <c r="K139" s="296" t="s">
        <v>1675</v>
      </c>
      <c r="L139" s="296" t="s">
        <v>1672</v>
      </c>
      <c r="M139" s="296" t="s">
        <v>1674</v>
      </c>
      <c r="N139" s="296" t="s">
        <v>1732</v>
      </c>
      <c r="O139" s="296" t="s">
        <v>1731</v>
      </c>
    </row>
    <row r="140" spans="2:15" ht="31.5">
      <c r="B140" s="636" t="s">
        <v>1691</v>
      </c>
      <c r="C140" s="296" t="s">
        <v>1717</v>
      </c>
      <c r="D140" s="296" t="s">
        <v>1672</v>
      </c>
      <c r="E140" s="296" t="s">
        <v>1677</v>
      </c>
      <c r="F140" s="296" t="s">
        <v>1675</v>
      </c>
      <c r="G140" s="296" t="s">
        <v>1675</v>
      </c>
      <c r="H140" s="296" t="s">
        <v>1672</v>
      </c>
      <c r="I140" s="296" t="s">
        <v>1672</v>
      </c>
      <c r="J140" s="296"/>
      <c r="K140" s="296" t="s">
        <v>1675</v>
      </c>
      <c r="L140" s="296" t="s">
        <v>1672</v>
      </c>
      <c r="M140" s="296"/>
      <c r="N140" s="296" t="s">
        <v>1675</v>
      </c>
      <c r="O140" s="148" t="s">
        <v>1675</v>
      </c>
    </row>
    <row r="141" spans="2:15">
      <c r="B141" s="636" t="s">
        <v>1692</v>
      </c>
      <c r="C141" s="296"/>
      <c r="D141" s="296"/>
      <c r="E141" s="296"/>
      <c r="F141" s="296"/>
      <c r="G141" s="296"/>
      <c r="H141" s="296"/>
      <c r="I141" s="296"/>
      <c r="J141" s="296"/>
      <c r="K141" s="296"/>
      <c r="L141" s="296" t="s">
        <v>1672</v>
      </c>
      <c r="M141" s="296"/>
      <c r="N141" s="296" t="s">
        <v>1675</v>
      </c>
      <c r="O141" s="148" t="s">
        <v>1671</v>
      </c>
    </row>
    <row r="142" spans="2:15">
      <c r="B142" s="636" t="s">
        <v>1693</v>
      </c>
      <c r="C142" s="296"/>
      <c r="D142" s="296"/>
      <c r="E142" s="296"/>
      <c r="F142" s="296"/>
      <c r="G142" s="296"/>
      <c r="H142" s="296"/>
      <c r="I142" s="296"/>
      <c r="J142" s="296"/>
      <c r="K142" s="296"/>
      <c r="L142" s="296"/>
      <c r="M142" s="296"/>
      <c r="N142" s="296" t="s">
        <v>1675</v>
      </c>
      <c r="O142" s="148" t="s">
        <v>1672</v>
      </c>
    </row>
    <row r="143" spans="2:15">
      <c r="B143" s="636" t="s">
        <v>1694</v>
      </c>
      <c r="C143" s="296"/>
      <c r="D143" s="296"/>
      <c r="E143" s="296"/>
      <c r="F143" s="296"/>
      <c r="G143" s="296"/>
      <c r="H143" s="296"/>
      <c r="I143" s="296"/>
      <c r="J143" s="296"/>
      <c r="K143" s="296"/>
      <c r="L143" s="296"/>
      <c r="M143" s="296"/>
      <c r="N143" s="296"/>
      <c r="O143" s="304" t="s">
        <v>1678</v>
      </c>
    </row>
    <row r="144" spans="2:15" ht="31.5">
      <c r="B144" s="636" t="s">
        <v>1695</v>
      </c>
      <c r="C144" s="296"/>
      <c r="D144" s="296"/>
      <c r="E144" s="296"/>
      <c r="F144" s="296"/>
      <c r="G144" s="296"/>
      <c r="H144" s="296"/>
      <c r="I144" s="296"/>
      <c r="J144" s="296"/>
      <c r="K144" s="296"/>
      <c r="L144" s="296"/>
      <c r="M144" s="296"/>
      <c r="N144" s="296"/>
      <c r="O144" s="296" t="s">
        <v>1733</v>
      </c>
    </row>
    <row r="145" spans="2:15">
      <c r="B145" s="638"/>
      <c r="C145" s="296"/>
      <c r="D145" s="296"/>
      <c r="E145" s="296"/>
      <c r="F145" s="296"/>
      <c r="G145" s="296"/>
      <c r="H145" s="296"/>
      <c r="I145" s="296"/>
      <c r="J145" s="296"/>
      <c r="K145" s="296"/>
      <c r="L145" s="296"/>
      <c r="M145" s="296"/>
      <c r="N145" s="296"/>
      <c r="O145" s="148"/>
    </row>
    <row r="146" spans="2:15">
      <c r="B146" s="634" t="s">
        <v>130</v>
      </c>
      <c r="C146" s="635" t="s">
        <v>1</v>
      </c>
      <c r="D146" s="635" t="s">
        <v>2</v>
      </c>
      <c r="E146" s="635" t="s">
        <v>3</v>
      </c>
      <c r="F146" s="635" t="s">
        <v>4</v>
      </c>
      <c r="G146" s="635" t="s">
        <v>5</v>
      </c>
      <c r="H146" s="635" t="s">
        <v>6</v>
      </c>
      <c r="I146" s="635" t="s">
        <v>7</v>
      </c>
      <c r="J146" s="635" t="s">
        <v>8</v>
      </c>
      <c r="K146" s="635" t="s">
        <v>9</v>
      </c>
      <c r="L146" s="635" t="s">
        <v>10</v>
      </c>
      <c r="M146" s="635" t="s">
        <v>36</v>
      </c>
      <c r="N146" s="635" t="s">
        <v>37</v>
      </c>
      <c r="O146" s="298" t="s">
        <v>344</v>
      </c>
    </row>
    <row r="147" spans="2:15" ht="63">
      <c r="B147" s="636" t="s">
        <v>1688</v>
      </c>
      <c r="C147" s="296" t="s">
        <v>1734</v>
      </c>
      <c r="D147" s="296" t="s">
        <v>1715</v>
      </c>
      <c r="E147" s="296" t="s">
        <v>1697</v>
      </c>
      <c r="F147" s="296" t="s">
        <v>1737</v>
      </c>
      <c r="G147" s="296" t="s">
        <v>1722</v>
      </c>
      <c r="H147" s="423" t="s">
        <v>1678</v>
      </c>
      <c r="I147" s="296" t="s">
        <v>1739</v>
      </c>
      <c r="J147" s="425" t="s">
        <v>1738</v>
      </c>
      <c r="K147" s="296" t="s">
        <v>1675</v>
      </c>
      <c r="L147" s="296" t="s">
        <v>1707</v>
      </c>
      <c r="M147" s="296" t="s">
        <v>1715</v>
      </c>
      <c r="N147" s="296" t="s">
        <v>1672</v>
      </c>
      <c r="O147" s="296" t="s">
        <v>1740</v>
      </c>
    </row>
    <row r="148" spans="2:15" ht="47.25">
      <c r="B148" s="636" t="s">
        <v>1689</v>
      </c>
      <c r="C148" s="296" t="s">
        <v>1701</v>
      </c>
      <c r="D148" s="296" t="s">
        <v>1736</v>
      </c>
      <c r="E148" s="296" t="s">
        <v>1675</v>
      </c>
      <c r="F148" s="296" t="s">
        <v>1672</v>
      </c>
      <c r="G148" s="425" t="s">
        <v>1738</v>
      </c>
      <c r="H148" s="296" t="s">
        <v>1738</v>
      </c>
      <c r="I148" s="296" t="s">
        <v>1679</v>
      </c>
      <c r="J148" s="296" t="s">
        <v>1674</v>
      </c>
      <c r="K148" s="423" t="s">
        <v>1678</v>
      </c>
      <c r="L148" s="296" t="s">
        <v>1675</v>
      </c>
      <c r="M148" s="296" t="s">
        <v>1680</v>
      </c>
      <c r="N148" s="296" t="s">
        <v>1702</v>
      </c>
      <c r="O148" s="423" t="s">
        <v>1820</v>
      </c>
    </row>
    <row r="149" spans="2:15" ht="47.25">
      <c r="B149" s="636" t="s">
        <v>1690</v>
      </c>
      <c r="C149" s="423" t="s">
        <v>1735</v>
      </c>
      <c r="D149" s="296" t="s">
        <v>1672</v>
      </c>
      <c r="E149" s="296" t="s">
        <v>1687</v>
      </c>
      <c r="F149" s="296" t="s">
        <v>1672</v>
      </c>
      <c r="G149" s="296" t="s">
        <v>1672</v>
      </c>
      <c r="H149" s="296" t="s">
        <v>1672</v>
      </c>
      <c r="I149" s="296" t="s">
        <v>1672</v>
      </c>
      <c r="J149" s="296" t="s">
        <v>1682</v>
      </c>
      <c r="K149" s="296" t="s">
        <v>1738</v>
      </c>
      <c r="L149" s="296"/>
      <c r="M149" s="296" t="s">
        <v>1672</v>
      </c>
      <c r="N149" s="423" t="s">
        <v>1678</v>
      </c>
      <c r="O149" s="296" t="s">
        <v>1673</v>
      </c>
    </row>
    <row r="150" spans="2:15" ht="31.5">
      <c r="B150" s="636" t="s">
        <v>1691</v>
      </c>
      <c r="C150" s="296" t="s">
        <v>1672</v>
      </c>
      <c r="D150" s="296" t="s">
        <v>1673</v>
      </c>
      <c r="E150" s="296" t="s">
        <v>1675</v>
      </c>
      <c r="F150" s="296" t="s">
        <v>1673</v>
      </c>
      <c r="G150" s="423" t="s">
        <v>1678</v>
      </c>
      <c r="H150" s="296" t="s">
        <v>1701</v>
      </c>
      <c r="I150" s="296" t="s">
        <v>1698</v>
      </c>
      <c r="J150" s="423" t="s">
        <v>1678</v>
      </c>
      <c r="K150" s="296" t="s">
        <v>1672</v>
      </c>
      <c r="L150" s="296"/>
      <c r="M150" s="296" t="s">
        <v>1672</v>
      </c>
      <c r="N150" s="296" t="s">
        <v>1701</v>
      </c>
      <c r="O150" s="296" t="s">
        <v>1717</v>
      </c>
    </row>
    <row r="151" spans="2:15" ht="47.25">
      <c r="B151" s="636" t="s">
        <v>1692</v>
      </c>
      <c r="C151" s="423" t="s">
        <v>1678</v>
      </c>
      <c r="D151" s="296"/>
      <c r="E151" s="296"/>
      <c r="F151" s="296"/>
      <c r="G151" s="296" t="s">
        <v>1672</v>
      </c>
      <c r="H151" s="296"/>
      <c r="I151" s="296"/>
      <c r="J151" s="296"/>
      <c r="K151" s="296" t="s">
        <v>1677</v>
      </c>
      <c r="L151" s="296"/>
      <c r="M151" s="296"/>
      <c r="N151" s="296" t="s">
        <v>1674</v>
      </c>
      <c r="O151" s="296" t="s">
        <v>1738</v>
      </c>
    </row>
    <row r="152" spans="2:15">
      <c r="B152" s="636" t="s">
        <v>1693</v>
      </c>
      <c r="C152" s="296" t="s">
        <v>1672</v>
      </c>
      <c r="D152" s="296"/>
      <c r="E152" s="296"/>
      <c r="F152" s="296"/>
      <c r="G152" s="296"/>
      <c r="H152" s="296"/>
      <c r="I152" s="296"/>
      <c r="J152" s="296"/>
      <c r="K152" s="296" t="s">
        <v>1672</v>
      </c>
      <c r="L152" s="296"/>
      <c r="M152" s="296"/>
      <c r="N152" s="296" t="s">
        <v>1701</v>
      </c>
      <c r="O152" s="423" t="s">
        <v>1678</v>
      </c>
    </row>
    <row r="153" spans="2:15">
      <c r="B153" s="636" t="s">
        <v>1694</v>
      </c>
      <c r="C153" s="296" t="s">
        <v>1672</v>
      </c>
      <c r="D153" s="296"/>
      <c r="E153" s="296"/>
      <c r="F153" s="296"/>
      <c r="G153" s="296"/>
      <c r="H153" s="296"/>
      <c r="I153" s="296"/>
      <c r="J153" s="296"/>
      <c r="K153" s="296"/>
      <c r="L153" s="296"/>
      <c r="M153" s="296"/>
      <c r="N153" s="296"/>
      <c r="O153" s="148" t="s">
        <v>1672</v>
      </c>
    </row>
    <row r="154" spans="2:15">
      <c r="B154" s="638"/>
      <c r="C154" s="296"/>
      <c r="D154" s="296"/>
      <c r="E154" s="296"/>
      <c r="F154" s="296"/>
      <c r="G154" s="296"/>
      <c r="H154" s="296"/>
      <c r="I154" s="296"/>
      <c r="J154" s="296"/>
      <c r="K154" s="296"/>
      <c r="L154" s="296"/>
      <c r="M154" s="296"/>
      <c r="N154" s="296"/>
      <c r="O154" s="148"/>
    </row>
    <row r="155" spans="2:15">
      <c r="B155" s="634" t="s">
        <v>131</v>
      </c>
      <c r="C155" s="635" t="s">
        <v>1</v>
      </c>
      <c r="D155" s="635" t="s">
        <v>2</v>
      </c>
      <c r="E155" s="635" t="s">
        <v>3</v>
      </c>
      <c r="F155" s="635" t="s">
        <v>4</v>
      </c>
      <c r="G155" s="635" t="s">
        <v>5</v>
      </c>
      <c r="H155" s="635" t="s">
        <v>6</v>
      </c>
      <c r="I155" s="635" t="s">
        <v>7</v>
      </c>
      <c r="J155" s="635" t="s">
        <v>8</v>
      </c>
      <c r="K155" s="635" t="s">
        <v>9</v>
      </c>
      <c r="L155" s="635" t="s">
        <v>10</v>
      </c>
      <c r="M155" s="635" t="s">
        <v>36</v>
      </c>
      <c r="N155" s="635" t="s">
        <v>37</v>
      </c>
      <c r="O155" s="90"/>
    </row>
    <row r="156" spans="2:15" ht="47.25">
      <c r="B156" s="636" t="s">
        <v>1688</v>
      </c>
      <c r="C156" s="296" t="s">
        <v>1738</v>
      </c>
      <c r="D156" s="296" t="s">
        <v>1707</v>
      </c>
      <c r="E156" s="296" t="s">
        <v>1745</v>
      </c>
      <c r="F156" s="296" t="s">
        <v>1672</v>
      </c>
      <c r="G156" s="296" t="s">
        <v>1732</v>
      </c>
      <c r="H156" s="296" t="s">
        <v>1672</v>
      </c>
      <c r="I156" s="296" t="s">
        <v>1672</v>
      </c>
      <c r="J156" s="296" t="s">
        <v>1708</v>
      </c>
      <c r="K156" s="425" t="s">
        <v>1738</v>
      </c>
      <c r="L156" s="425" t="s">
        <v>1738</v>
      </c>
      <c r="M156" s="296" t="s">
        <v>1684</v>
      </c>
      <c r="N156" s="296" t="s">
        <v>1707</v>
      </c>
      <c r="O156" s="148"/>
    </row>
    <row r="157" spans="2:15" ht="63">
      <c r="B157" s="636" t="s">
        <v>1689</v>
      </c>
      <c r="C157" s="296" t="s">
        <v>1704</v>
      </c>
      <c r="D157" s="296" t="s">
        <v>1675</v>
      </c>
      <c r="E157" s="423" t="s">
        <v>1678</v>
      </c>
      <c r="F157" s="296" t="s">
        <v>1738</v>
      </c>
      <c r="G157" s="296" t="s">
        <v>1747</v>
      </c>
      <c r="H157" s="296" t="s">
        <v>1672</v>
      </c>
      <c r="I157" s="296" t="s">
        <v>1680</v>
      </c>
      <c r="J157" s="296" t="s">
        <v>1798</v>
      </c>
      <c r="K157" s="423" t="s">
        <v>1678</v>
      </c>
      <c r="L157" s="296" t="s">
        <v>1672</v>
      </c>
      <c r="M157" s="296" t="s">
        <v>1672</v>
      </c>
      <c r="N157" s="296" t="s">
        <v>1675</v>
      </c>
      <c r="O157" s="148"/>
    </row>
    <row r="158" spans="2:15" ht="47.25">
      <c r="B158" s="636" t="s">
        <v>1690</v>
      </c>
      <c r="C158" s="296" t="s">
        <v>1687</v>
      </c>
      <c r="D158" s="423" t="s">
        <v>1735</v>
      </c>
      <c r="E158" s="296" t="s">
        <v>1705</v>
      </c>
      <c r="F158" s="423" t="s">
        <v>1713</v>
      </c>
      <c r="G158" s="296" t="s">
        <v>1672</v>
      </c>
      <c r="H158" s="296" t="s">
        <v>1707</v>
      </c>
      <c r="I158" s="296" t="s">
        <v>1675</v>
      </c>
      <c r="J158" s="423" t="s">
        <v>2753</v>
      </c>
      <c r="K158" s="296" t="s">
        <v>1727</v>
      </c>
      <c r="L158" s="296" t="s">
        <v>1705</v>
      </c>
      <c r="M158" s="296" t="s">
        <v>1700</v>
      </c>
      <c r="N158" s="296" t="s">
        <v>1793</v>
      </c>
      <c r="O158" s="148"/>
    </row>
    <row r="159" spans="2:15" ht="31.5">
      <c r="B159" s="636" t="s">
        <v>1691</v>
      </c>
      <c r="C159" s="296" t="s">
        <v>1743</v>
      </c>
      <c r="D159" s="296" t="s">
        <v>1744</v>
      </c>
      <c r="E159" s="296" t="s">
        <v>1733</v>
      </c>
      <c r="F159" s="296" t="s">
        <v>1672</v>
      </c>
      <c r="G159" s="296" t="s">
        <v>1672</v>
      </c>
      <c r="H159" s="296" t="s">
        <v>1677</v>
      </c>
      <c r="I159" s="296" t="s">
        <v>1675</v>
      </c>
      <c r="J159" s="423" t="s">
        <v>1678</v>
      </c>
      <c r="K159" s="296" t="s">
        <v>1748</v>
      </c>
      <c r="L159" s="423" t="s">
        <v>1678</v>
      </c>
      <c r="M159" s="296" t="s">
        <v>1679</v>
      </c>
      <c r="N159" s="296" t="s">
        <v>1749</v>
      </c>
      <c r="O159" s="148"/>
    </row>
    <row r="160" spans="2:15" ht="31.5">
      <c r="B160" s="636" t="s">
        <v>1692</v>
      </c>
      <c r="C160" s="296" t="s">
        <v>1675</v>
      </c>
      <c r="D160" s="296" t="s">
        <v>1675</v>
      </c>
      <c r="E160" s="296" t="s">
        <v>1746</v>
      </c>
      <c r="F160" s="296" t="s">
        <v>1672</v>
      </c>
      <c r="G160" s="296" t="s">
        <v>1704</v>
      </c>
      <c r="H160" s="296" t="s">
        <v>1728</v>
      </c>
      <c r="I160" s="296" t="s">
        <v>1675</v>
      </c>
      <c r="J160" s="296" t="s">
        <v>1674</v>
      </c>
      <c r="K160" s="296" t="s">
        <v>1712</v>
      </c>
      <c r="L160" s="296" t="s">
        <v>1672</v>
      </c>
      <c r="M160" s="296"/>
      <c r="N160" s="296" t="s">
        <v>1674</v>
      </c>
      <c r="O160" s="148"/>
    </row>
    <row r="161" spans="2:15">
      <c r="B161" s="636" t="s">
        <v>1693</v>
      </c>
      <c r="C161" s="296" t="s">
        <v>1675</v>
      </c>
      <c r="D161" s="296"/>
      <c r="E161" s="296"/>
      <c r="F161" s="296" t="s">
        <v>1672</v>
      </c>
      <c r="G161" s="296"/>
      <c r="H161" s="296" t="s">
        <v>1672</v>
      </c>
      <c r="I161" s="296"/>
      <c r="J161" s="296"/>
      <c r="K161" s="296"/>
      <c r="L161" s="296"/>
      <c r="M161" s="296"/>
      <c r="N161" s="296"/>
      <c r="O161" s="148"/>
    </row>
    <row r="162" spans="2:15">
      <c r="B162" s="636" t="s">
        <v>1694</v>
      </c>
      <c r="C162" s="296"/>
      <c r="D162" s="296"/>
      <c r="E162" s="296"/>
      <c r="F162" s="296"/>
      <c r="G162" s="296"/>
      <c r="H162" s="296" t="s">
        <v>1672</v>
      </c>
      <c r="I162" s="296"/>
      <c r="J162" s="296"/>
      <c r="K162" s="296"/>
      <c r="L162" s="296"/>
      <c r="M162" s="296"/>
      <c r="N162" s="296"/>
      <c r="O162" s="148"/>
    </row>
    <row r="163" spans="2:15">
      <c r="B163" s="636" t="s">
        <v>1695</v>
      </c>
      <c r="C163" s="296"/>
      <c r="D163" s="296"/>
      <c r="E163" s="296"/>
      <c r="F163" s="296"/>
      <c r="G163" s="296"/>
      <c r="H163" s="296" t="s">
        <v>1672</v>
      </c>
      <c r="I163" s="296"/>
      <c r="J163" s="296"/>
      <c r="K163" s="296"/>
      <c r="L163" s="296"/>
      <c r="M163" s="296"/>
      <c r="N163" s="296"/>
      <c r="O163" s="148"/>
    </row>
    <row r="164" spans="2:15">
      <c r="B164" s="638"/>
      <c r="C164" s="296"/>
      <c r="D164" s="296"/>
      <c r="E164" s="296"/>
      <c r="F164" s="296"/>
      <c r="G164" s="296"/>
      <c r="H164" s="296"/>
      <c r="I164" s="296"/>
      <c r="J164" s="296"/>
      <c r="K164" s="296"/>
      <c r="L164" s="296"/>
      <c r="M164" s="296"/>
      <c r="N164" s="296"/>
      <c r="O164" s="148"/>
    </row>
    <row r="165" spans="2:15">
      <c r="B165" s="634" t="s">
        <v>132</v>
      </c>
      <c r="C165" s="635" t="s">
        <v>1</v>
      </c>
      <c r="D165" s="635" t="s">
        <v>2</v>
      </c>
      <c r="E165" s="635" t="s">
        <v>3</v>
      </c>
      <c r="F165" s="635" t="s">
        <v>4</v>
      </c>
      <c r="G165" s="635" t="s">
        <v>5</v>
      </c>
      <c r="H165" s="635" t="s">
        <v>6</v>
      </c>
      <c r="I165" s="635" t="s">
        <v>7</v>
      </c>
      <c r="J165" s="635" t="s">
        <v>8</v>
      </c>
      <c r="K165" s="635" t="s">
        <v>9</v>
      </c>
      <c r="L165" s="635" t="s">
        <v>10</v>
      </c>
      <c r="M165" s="635" t="s">
        <v>36</v>
      </c>
      <c r="N165" s="635" t="s">
        <v>37</v>
      </c>
      <c r="O165" s="298" t="s">
        <v>344</v>
      </c>
    </row>
    <row r="166" spans="2:15" ht="47.25">
      <c r="B166" s="636" t="s">
        <v>1688</v>
      </c>
      <c r="C166" s="296" t="s">
        <v>1697</v>
      </c>
      <c r="D166" s="296" t="s">
        <v>1679</v>
      </c>
      <c r="E166" s="296" t="s">
        <v>1675</v>
      </c>
      <c r="F166" s="296" t="s">
        <v>1675</v>
      </c>
      <c r="G166" s="425" t="s">
        <v>1738</v>
      </c>
      <c r="H166" s="296" t="s">
        <v>1715</v>
      </c>
      <c r="I166" s="296" t="s">
        <v>1675</v>
      </c>
      <c r="J166" s="425" t="s">
        <v>1738</v>
      </c>
      <c r="K166" s="296" t="s">
        <v>1677</v>
      </c>
      <c r="L166" s="296" t="s">
        <v>1702</v>
      </c>
      <c r="M166" s="296" t="s">
        <v>1672</v>
      </c>
      <c r="N166" s="425" t="s">
        <v>1738</v>
      </c>
      <c r="O166" s="296" t="s">
        <v>1705</v>
      </c>
    </row>
    <row r="167" spans="2:15" ht="47.25">
      <c r="B167" s="636" t="s">
        <v>1689</v>
      </c>
      <c r="C167" s="296" t="s">
        <v>1748</v>
      </c>
      <c r="D167" s="425" t="s">
        <v>1738</v>
      </c>
      <c r="E167" s="296" t="s">
        <v>1675</v>
      </c>
      <c r="F167" s="296" t="s">
        <v>1793</v>
      </c>
      <c r="G167" s="423" t="s">
        <v>1750</v>
      </c>
      <c r="H167" s="296" t="s">
        <v>1727</v>
      </c>
      <c r="I167" s="296" t="s">
        <v>1675</v>
      </c>
      <c r="J167" s="296" t="s">
        <v>1673</v>
      </c>
      <c r="K167" s="423" t="s">
        <v>1678</v>
      </c>
      <c r="L167" s="423" t="s">
        <v>1751</v>
      </c>
      <c r="M167" s="425" t="s">
        <v>1738</v>
      </c>
      <c r="N167" s="296" t="s">
        <v>1672</v>
      </c>
      <c r="O167" s="148" t="s">
        <v>1672</v>
      </c>
    </row>
    <row r="168" spans="2:15" ht="47.25">
      <c r="B168" s="636" t="s">
        <v>1690</v>
      </c>
      <c r="C168" s="425" t="s">
        <v>1738</v>
      </c>
      <c r="D168" s="296" t="s">
        <v>1672</v>
      </c>
      <c r="E168" s="296" t="s">
        <v>1675</v>
      </c>
      <c r="F168" s="296" t="s">
        <v>1677</v>
      </c>
      <c r="G168" s="296" t="s">
        <v>1675</v>
      </c>
      <c r="H168" s="296" t="s">
        <v>1675</v>
      </c>
      <c r="I168" s="296" t="s">
        <v>1675</v>
      </c>
      <c r="J168" s="296" t="s">
        <v>1672</v>
      </c>
      <c r="K168" s="296" t="s">
        <v>1672</v>
      </c>
      <c r="L168" s="296" t="s">
        <v>1672</v>
      </c>
      <c r="M168" s="296" t="s">
        <v>1705</v>
      </c>
      <c r="N168" s="296" t="s">
        <v>1672</v>
      </c>
      <c r="O168" s="296" t="s">
        <v>1707</v>
      </c>
    </row>
    <row r="169" spans="2:15" ht="31.5">
      <c r="B169" s="636" t="s">
        <v>1691</v>
      </c>
      <c r="C169" s="296" t="s">
        <v>1672</v>
      </c>
      <c r="D169" s="296"/>
      <c r="E169" s="296"/>
      <c r="F169" s="296" t="s">
        <v>1672</v>
      </c>
      <c r="G169" s="296" t="s">
        <v>1715</v>
      </c>
      <c r="H169" s="296" t="s">
        <v>1675</v>
      </c>
      <c r="I169" s="296"/>
      <c r="J169" s="296" t="s">
        <v>1672</v>
      </c>
      <c r="K169" s="296" t="s">
        <v>1672</v>
      </c>
      <c r="L169" s="296" t="s">
        <v>1674</v>
      </c>
      <c r="M169" s="296" t="s">
        <v>1672</v>
      </c>
      <c r="N169" s="296"/>
      <c r="O169" s="148" t="s">
        <v>1675</v>
      </c>
    </row>
    <row r="170" spans="2:15" ht="47.25">
      <c r="B170" s="636" t="s">
        <v>1692</v>
      </c>
      <c r="C170" s="296" t="s">
        <v>1698</v>
      </c>
      <c r="D170" s="296"/>
      <c r="E170" s="296"/>
      <c r="F170" s="296"/>
      <c r="G170" s="296" t="s">
        <v>1675</v>
      </c>
      <c r="H170" s="296"/>
      <c r="I170" s="296"/>
      <c r="J170" s="296"/>
      <c r="K170" s="296" t="s">
        <v>1672</v>
      </c>
      <c r="L170" s="296"/>
      <c r="M170" s="296" t="s">
        <v>1672</v>
      </c>
      <c r="N170" s="296"/>
      <c r="O170" s="296" t="s">
        <v>1793</v>
      </c>
    </row>
    <row r="171" spans="2:15" ht="31.5">
      <c r="B171" s="636" t="s">
        <v>1693</v>
      </c>
      <c r="C171" s="296" t="s">
        <v>1705</v>
      </c>
      <c r="D171" s="296"/>
      <c r="E171" s="296"/>
      <c r="F171" s="296"/>
      <c r="G171" s="296"/>
      <c r="H171" s="296"/>
      <c r="I171" s="296"/>
      <c r="J171" s="296"/>
      <c r="K171" s="296"/>
      <c r="L171" s="296"/>
      <c r="M171" s="296"/>
      <c r="N171" s="296"/>
      <c r="O171" s="148" t="s">
        <v>1672</v>
      </c>
    </row>
    <row r="172" spans="2:15">
      <c r="B172" s="636" t="s">
        <v>1694</v>
      </c>
      <c r="C172" s="296" t="s">
        <v>1672</v>
      </c>
      <c r="D172" s="296"/>
      <c r="E172" s="296"/>
      <c r="F172" s="296"/>
      <c r="G172" s="296"/>
      <c r="H172" s="296"/>
      <c r="I172" s="296"/>
      <c r="J172" s="296"/>
      <c r="K172" s="296"/>
      <c r="L172" s="296"/>
      <c r="M172" s="296"/>
      <c r="N172" s="296"/>
      <c r="O172" s="148" t="s">
        <v>1672</v>
      </c>
    </row>
    <row r="173" spans="2:15">
      <c r="B173" s="422"/>
      <c r="C173" s="422"/>
      <c r="D173" s="422"/>
      <c r="E173" s="422"/>
      <c r="F173" s="422"/>
      <c r="G173" s="422"/>
      <c r="H173" s="422"/>
      <c r="I173" s="422"/>
      <c r="J173" s="422"/>
      <c r="K173" s="422"/>
      <c r="L173" s="422"/>
      <c r="M173" s="422"/>
      <c r="N173" s="422"/>
    </row>
    <row r="174" spans="2:15">
      <c r="B174" s="634" t="s">
        <v>133</v>
      </c>
      <c r="C174" s="635" t="s">
        <v>1</v>
      </c>
      <c r="D174" s="635" t="s">
        <v>2</v>
      </c>
      <c r="E174" s="635" t="s">
        <v>3</v>
      </c>
      <c r="F174" s="635" t="s">
        <v>4</v>
      </c>
      <c r="G174" s="635" t="s">
        <v>5</v>
      </c>
      <c r="H174" s="635" t="s">
        <v>6</v>
      </c>
      <c r="I174" s="635" t="s">
        <v>7</v>
      </c>
      <c r="J174" s="635" t="s">
        <v>8</v>
      </c>
      <c r="K174" s="635" t="s">
        <v>9</v>
      </c>
      <c r="L174" s="635" t="s">
        <v>10</v>
      </c>
      <c r="M174" s="635" t="s">
        <v>36</v>
      </c>
      <c r="N174" s="635" t="s">
        <v>37</v>
      </c>
      <c r="O174" s="90"/>
    </row>
    <row r="175" spans="2:15" ht="47.25">
      <c r="B175" s="636" t="s">
        <v>1688</v>
      </c>
      <c r="C175" s="296" t="s">
        <v>1752</v>
      </c>
      <c r="D175" s="296" t="s">
        <v>1675</v>
      </c>
      <c r="E175" s="425" t="s">
        <v>1738</v>
      </c>
      <c r="F175" s="296" t="s">
        <v>1675</v>
      </c>
      <c r="G175" s="296" t="s">
        <v>1702</v>
      </c>
      <c r="H175" s="296" t="s">
        <v>1756</v>
      </c>
      <c r="I175" s="296" t="s">
        <v>1674</v>
      </c>
      <c r="J175" s="296" t="s">
        <v>1675</v>
      </c>
      <c r="K175" s="296" t="s">
        <v>1675</v>
      </c>
      <c r="L175" s="296" t="s">
        <v>1675</v>
      </c>
      <c r="M175" s="296" t="s">
        <v>1675</v>
      </c>
      <c r="N175" s="296" t="s">
        <v>1758</v>
      </c>
      <c r="O175" s="148"/>
    </row>
    <row r="176" spans="2:15" ht="31.5">
      <c r="B176" s="636" t="s">
        <v>1689</v>
      </c>
      <c r="C176" s="296" t="s">
        <v>1675</v>
      </c>
      <c r="D176" s="296" t="s">
        <v>1675</v>
      </c>
      <c r="E176" s="296" t="s">
        <v>1754</v>
      </c>
      <c r="F176" s="296" t="s">
        <v>1675</v>
      </c>
      <c r="G176" s="296" t="s">
        <v>1672</v>
      </c>
      <c r="H176" s="296" t="s">
        <v>1675</v>
      </c>
      <c r="I176" s="296" t="s">
        <v>1672</v>
      </c>
      <c r="J176" s="296" t="s">
        <v>1675</v>
      </c>
      <c r="K176" s="296" t="s">
        <v>1673</v>
      </c>
      <c r="L176" s="423" t="s">
        <v>1757</v>
      </c>
      <c r="M176" s="296" t="s">
        <v>1715</v>
      </c>
      <c r="N176" s="296" t="s">
        <v>1672</v>
      </c>
      <c r="O176" s="148"/>
    </row>
    <row r="177" spans="2:15" ht="47.25">
      <c r="B177" s="636" t="s">
        <v>1690</v>
      </c>
      <c r="C177" s="296" t="s">
        <v>1675</v>
      </c>
      <c r="D177" s="423" t="s">
        <v>1678</v>
      </c>
      <c r="E177" s="296" t="s">
        <v>1675</v>
      </c>
      <c r="F177" s="423" t="s">
        <v>1678</v>
      </c>
      <c r="G177" s="296" t="s">
        <v>1672</v>
      </c>
      <c r="H177" s="296" t="s">
        <v>1675</v>
      </c>
      <c r="I177" s="296" t="s">
        <v>1707</v>
      </c>
      <c r="J177" s="296" t="s">
        <v>1675</v>
      </c>
      <c r="K177" s="296" t="s">
        <v>1675</v>
      </c>
      <c r="L177" s="296" t="s">
        <v>1675</v>
      </c>
      <c r="M177" s="296" t="s">
        <v>1672</v>
      </c>
      <c r="N177" s="296" t="s">
        <v>1672</v>
      </c>
      <c r="O177" s="148"/>
    </row>
    <row r="178" spans="2:15" ht="31.5">
      <c r="B178" s="636" t="s">
        <v>1691</v>
      </c>
      <c r="C178" s="296" t="s">
        <v>1753</v>
      </c>
      <c r="D178" s="296" t="s">
        <v>1675</v>
      </c>
      <c r="E178" s="296" t="s">
        <v>1755</v>
      </c>
      <c r="F178" s="296" t="s">
        <v>1675</v>
      </c>
      <c r="G178" s="296"/>
      <c r="H178" s="296" t="s">
        <v>1675</v>
      </c>
      <c r="I178" s="296" t="s">
        <v>1675</v>
      </c>
      <c r="J178" s="296" t="s">
        <v>1708</v>
      </c>
      <c r="K178" s="296" t="s">
        <v>1675</v>
      </c>
      <c r="L178" s="296" t="s">
        <v>1675</v>
      </c>
      <c r="M178" s="296" t="s">
        <v>1675</v>
      </c>
      <c r="N178" s="296" t="s">
        <v>1705</v>
      </c>
      <c r="O178" s="148"/>
    </row>
    <row r="179" spans="2:15" ht="31.5">
      <c r="B179" s="636" t="s">
        <v>1692</v>
      </c>
      <c r="C179" s="296" t="s">
        <v>1675</v>
      </c>
      <c r="D179" s="296"/>
      <c r="E179" s="296" t="s">
        <v>1674</v>
      </c>
      <c r="F179" s="423" t="s">
        <v>1678</v>
      </c>
      <c r="G179" s="296"/>
      <c r="H179" s="296"/>
      <c r="I179" s="296"/>
      <c r="J179" s="296"/>
      <c r="K179" s="296" t="s">
        <v>1715</v>
      </c>
      <c r="L179" s="296" t="s">
        <v>1675</v>
      </c>
      <c r="M179" s="296"/>
      <c r="N179" s="423" t="s">
        <v>1678</v>
      </c>
      <c r="O179" s="148"/>
    </row>
    <row r="180" spans="2:15" ht="31.5">
      <c r="B180" s="636" t="s">
        <v>1693</v>
      </c>
      <c r="C180" s="296" t="s">
        <v>1675</v>
      </c>
      <c r="D180" s="296"/>
      <c r="E180" s="296"/>
      <c r="F180" s="296" t="s">
        <v>1675</v>
      </c>
      <c r="G180" s="296"/>
      <c r="H180" s="296"/>
      <c r="I180" s="296"/>
      <c r="J180" s="296"/>
      <c r="K180" s="296" t="s">
        <v>1675</v>
      </c>
      <c r="L180" s="296" t="s">
        <v>1675</v>
      </c>
      <c r="M180" s="296"/>
      <c r="N180" s="296" t="s">
        <v>1715</v>
      </c>
      <c r="O180" s="148"/>
    </row>
    <row r="181" spans="2:15" ht="31.5">
      <c r="B181" s="636" t="s">
        <v>1694</v>
      </c>
      <c r="C181" s="296" t="s">
        <v>1675</v>
      </c>
      <c r="D181" s="296"/>
      <c r="E181" s="296"/>
      <c r="F181" s="296" t="s">
        <v>1675</v>
      </c>
      <c r="G181" s="296"/>
      <c r="H181" s="296"/>
      <c r="I181" s="296"/>
      <c r="J181" s="296"/>
      <c r="K181" s="296" t="s">
        <v>1675</v>
      </c>
      <c r="L181" s="296" t="s">
        <v>1715</v>
      </c>
      <c r="M181" s="296"/>
      <c r="N181" s="296" t="s">
        <v>1708</v>
      </c>
      <c r="O181" s="148"/>
    </row>
    <row r="182" spans="2:15">
      <c r="B182" s="636" t="s">
        <v>1695</v>
      </c>
      <c r="C182" s="296"/>
      <c r="D182" s="296"/>
      <c r="E182" s="296"/>
      <c r="F182" s="296" t="s">
        <v>1675</v>
      </c>
      <c r="G182" s="296"/>
      <c r="H182" s="296"/>
      <c r="I182" s="296"/>
      <c r="J182" s="296"/>
      <c r="K182" s="296"/>
      <c r="L182" s="296" t="s">
        <v>1675</v>
      </c>
      <c r="M182" s="296"/>
      <c r="N182" s="296" t="s">
        <v>1701</v>
      </c>
      <c r="O182" s="148"/>
    </row>
    <row r="183" spans="2:15">
      <c r="B183" s="422"/>
      <c r="C183" s="422"/>
      <c r="D183" s="422"/>
      <c r="E183" s="422"/>
      <c r="F183" s="422"/>
      <c r="G183" s="422"/>
      <c r="H183" s="422"/>
      <c r="I183" s="422"/>
      <c r="J183" s="422"/>
      <c r="K183" s="422"/>
      <c r="L183" s="422"/>
      <c r="M183" s="422"/>
      <c r="N183" s="422"/>
    </row>
    <row r="184" spans="2:15">
      <c r="B184" s="634" t="s">
        <v>134</v>
      </c>
      <c r="C184" s="635" t="s">
        <v>1</v>
      </c>
      <c r="D184" s="635" t="s">
        <v>2</v>
      </c>
      <c r="E184" s="635" t="s">
        <v>3</v>
      </c>
      <c r="F184" s="635" t="s">
        <v>4</v>
      </c>
      <c r="G184" s="635" t="s">
        <v>5</v>
      </c>
      <c r="H184" s="635" t="s">
        <v>6</v>
      </c>
      <c r="I184" s="635" t="s">
        <v>7</v>
      </c>
      <c r="J184" s="635" t="s">
        <v>8</v>
      </c>
      <c r="K184" s="635" t="s">
        <v>9</v>
      </c>
      <c r="L184" s="635" t="s">
        <v>10</v>
      </c>
      <c r="M184" s="635" t="s">
        <v>36</v>
      </c>
      <c r="N184" s="635" t="s">
        <v>37</v>
      </c>
      <c r="O184" s="298" t="s">
        <v>344</v>
      </c>
    </row>
    <row r="185" spans="2:15" ht="47.25">
      <c r="B185" s="636" t="s">
        <v>1688</v>
      </c>
      <c r="C185" s="296" t="s">
        <v>1793</v>
      </c>
      <c r="D185" s="296" t="s">
        <v>1672</v>
      </c>
      <c r="E185" s="296" t="s">
        <v>1687</v>
      </c>
      <c r="F185" s="296" t="s">
        <v>1727</v>
      </c>
      <c r="G185" s="425" t="s">
        <v>1738</v>
      </c>
      <c r="H185" s="296" t="s">
        <v>1675</v>
      </c>
      <c r="I185" s="296" t="s">
        <v>1843</v>
      </c>
      <c r="J185" s="425" t="s">
        <v>1738</v>
      </c>
      <c r="K185" s="425" t="s">
        <v>1738</v>
      </c>
      <c r="L185" s="296" t="s">
        <v>1672</v>
      </c>
      <c r="M185" s="296" t="s">
        <v>1760</v>
      </c>
      <c r="N185" s="296" t="s">
        <v>1675</v>
      </c>
      <c r="O185" s="296" t="s">
        <v>1680</v>
      </c>
    </row>
    <row r="186" spans="2:15" ht="63">
      <c r="B186" s="636" t="s">
        <v>1689</v>
      </c>
      <c r="C186" s="296" t="s">
        <v>1672</v>
      </c>
      <c r="D186" s="296" t="s">
        <v>1679</v>
      </c>
      <c r="E186" s="296" t="s">
        <v>1793</v>
      </c>
      <c r="F186" s="296" t="s">
        <v>1673</v>
      </c>
      <c r="G186" s="296" t="s">
        <v>1675</v>
      </c>
      <c r="H186" s="423" t="s">
        <v>1678</v>
      </c>
      <c r="I186" s="296" t="s">
        <v>1672</v>
      </c>
      <c r="J186" s="296" t="s">
        <v>1675</v>
      </c>
      <c r="K186" s="296" t="s">
        <v>1759</v>
      </c>
      <c r="L186" s="296" t="s">
        <v>1707</v>
      </c>
      <c r="M186" s="296" t="s">
        <v>1682</v>
      </c>
      <c r="N186" s="425" t="s">
        <v>1844</v>
      </c>
      <c r="O186" s="148" t="s">
        <v>1675</v>
      </c>
    </row>
    <row r="187" spans="2:15" ht="31.5">
      <c r="B187" s="636" t="s">
        <v>1690</v>
      </c>
      <c r="C187" s="296" t="s">
        <v>1672</v>
      </c>
      <c r="D187" s="296" t="s">
        <v>1675</v>
      </c>
      <c r="E187" s="296" t="s">
        <v>1672</v>
      </c>
      <c r="F187" s="296" t="s">
        <v>1675</v>
      </c>
      <c r="G187" s="296" t="s">
        <v>1704</v>
      </c>
      <c r="H187" s="296" t="s">
        <v>1675</v>
      </c>
      <c r="I187" s="296" t="s">
        <v>1680</v>
      </c>
      <c r="J187" s="296" t="s">
        <v>1675</v>
      </c>
      <c r="K187" s="296" t="s">
        <v>1723</v>
      </c>
      <c r="L187" s="296" t="s">
        <v>1675</v>
      </c>
      <c r="M187" s="296" t="s">
        <v>1723</v>
      </c>
      <c r="N187" s="296" t="s">
        <v>1674</v>
      </c>
      <c r="O187" s="296" t="s">
        <v>1704</v>
      </c>
    </row>
    <row r="188" spans="2:15" ht="47.25">
      <c r="B188" s="636" t="s">
        <v>1691</v>
      </c>
      <c r="C188" s="296" t="s">
        <v>1672</v>
      </c>
      <c r="D188" s="296"/>
      <c r="E188" s="296" t="s">
        <v>1672</v>
      </c>
      <c r="F188" s="296" t="s">
        <v>1675</v>
      </c>
      <c r="G188" s="296" t="s">
        <v>1674</v>
      </c>
      <c r="H188" s="296" t="s">
        <v>1674</v>
      </c>
      <c r="I188" s="296" t="s">
        <v>1677</v>
      </c>
      <c r="J188" s="296" t="s">
        <v>1675</v>
      </c>
      <c r="K188" s="296" t="s">
        <v>1672</v>
      </c>
      <c r="L188" s="296" t="s">
        <v>1675</v>
      </c>
      <c r="M188" s="296"/>
      <c r="N188" s="296" t="s">
        <v>1672</v>
      </c>
      <c r="O188" s="425" t="s">
        <v>1738</v>
      </c>
    </row>
    <row r="189" spans="2:15">
      <c r="B189" s="636" t="s">
        <v>1692</v>
      </c>
      <c r="C189" s="296"/>
      <c r="D189" s="296"/>
      <c r="E189" s="296"/>
      <c r="F189" s="296" t="s">
        <v>1675</v>
      </c>
      <c r="G189" s="296"/>
      <c r="H189" s="296"/>
      <c r="I189" s="296" t="s">
        <v>1675</v>
      </c>
      <c r="J189" s="296"/>
      <c r="K189" s="296"/>
      <c r="L189" s="296" t="s">
        <v>1675</v>
      </c>
      <c r="M189" s="296"/>
      <c r="N189" s="296" t="s">
        <v>1675</v>
      </c>
      <c r="O189" s="148" t="s">
        <v>1672</v>
      </c>
    </row>
    <row r="190" spans="2:15" ht="31.5">
      <c r="B190" s="636" t="s">
        <v>1693</v>
      </c>
      <c r="C190" s="296"/>
      <c r="D190" s="296"/>
      <c r="E190" s="296"/>
      <c r="F190" s="296"/>
      <c r="G190" s="296"/>
      <c r="H190" s="296"/>
      <c r="I190" s="296"/>
      <c r="J190" s="296"/>
      <c r="K190" s="296"/>
      <c r="L190" s="296"/>
      <c r="M190" s="296"/>
      <c r="N190" s="296" t="s">
        <v>1708</v>
      </c>
      <c r="O190" s="148"/>
    </row>
    <row r="191" spans="2:15">
      <c r="B191" s="636" t="s">
        <v>1694</v>
      </c>
      <c r="C191" s="296"/>
      <c r="D191" s="296"/>
      <c r="E191" s="296"/>
      <c r="F191" s="296"/>
      <c r="G191" s="296"/>
      <c r="H191" s="296"/>
      <c r="I191" s="296"/>
      <c r="J191" s="296"/>
      <c r="K191" s="296"/>
      <c r="L191" s="296"/>
      <c r="M191" s="296"/>
      <c r="N191" s="296"/>
      <c r="O191" s="148"/>
    </row>
    <row r="192" spans="2:15">
      <c r="B192" s="422"/>
      <c r="C192" s="422"/>
      <c r="D192" s="422"/>
      <c r="E192" s="422"/>
      <c r="F192" s="422"/>
      <c r="G192" s="422"/>
      <c r="H192" s="422"/>
      <c r="I192" s="422"/>
      <c r="J192" s="422"/>
      <c r="K192" s="422"/>
      <c r="L192" s="422"/>
      <c r="M192" s="422"/>
      <c r="N192" s="422"/>
    </row>
    <row r="193" spans="2:15">
      <c r="B193" s="634" t="s">
        <v>135</v>
      </c>
      <c r="C193" s="635" t="s">
        <v>1</v>
      </c>
      <c r="D193" s="635" t="s">
        <v>2</v>
      </c>
      <c r="E193" s="635" t="s">
        <v>3</v>
      </c>
      <c r="F193" s="635" t="s">
        <v>4</v>
      </c>
      <c r="G193" s="635" t="s">
        <v>5</v>
      </c>
      <c r="H193" s="635" t="s">
        <v>6</v>
      </c>
      <c r="I193" s="635" t="s">
        <v>7</v>
      </c>
      <c r="J193" s="635" t="s">
        <v>8</v>
      </c>
      <c r="K193" s="635" t="s">
        <v>9</v>
      </c>
      <c r="L193" s="635" t="s">
        <v>10</v>
      </c>
      <c r="M193" s="635" t="s">
        <v>36</v>
      </c>
      <c r="N193" s="635" t="s">
        <v>37</v>
      </c>
    </row>
    <row r="194" spans="2:15" ht="47.25">
      <c r="B194" s="636" t="s">
        <v>1688</v>
      </c>
      <c r="C194" s="296" t="s">
        <v>1793</v>
      </c>
      <c r="D194" s="296" t="s">
        <v>1761</v>
      </c>
      <c r="E194" s="296" t="s">
        <v>1727</v>
      </c>
      <c r="F194" s="296" t="s">
        <v>1705</v>
      </c>
      <c r="G194" s="296" t="s">
        <v>1727</v>
      </c>
      <c r="H194" s="296" t="s">
        <v>1758</v>
      </c>
      <c r="I194" s="296" t="s">
        <v>1727</v>
      </c>
      <c r="J194" s="296" t="s">
        <v>1793</v>
      </c>
      <c r="K194" s="296" t="s">
        <v>1727</v>
      </c>
      <c r="L194" s="296" t="s">
        <v>1727</v>
      </c>
      <c r="M194" s="296" t="s">
        <v>1675</v>
      </c>
      <c r="N194" s="423" t="s">
        <v>1713</v>
      </c>
    </row>
    <row r="195" spans="2:15" ht="47.25">
      <c r="B195" s="636" t="s">
        <v>1689</v>
      </c>
      <c r="C195" s="296" t="s">
        <v>1672</v>
      </c>
      <c r="D195" s="296" t="s">
        <v>1762</v>
      </c>
      <c r="E195" s="423" t="s">
        <v>1678</v>
      </c>
      <c r="F195" s="296" t="s">
        <v>1672</v>
      </c>
      <c r="G195" s="296" t="s">
        <v>1679</v>
      </c>
      <c r="H195" s="296" t="s">
        <v>1675</v>
      </c>
      <c r="I195" s="423" t="s">
        <v>1764</v>
      </c>
      <c r="J195" s="296" t="s">
        <v>1672</v>
      </c>
      <c r="K195" s="296" t="s">
        <v>1677</v>
      </c>
      <c r="L195" s="296" t="s">
        <v>1675</v>
      </c>
      <c r="M195" s="296" t="s">
        <v>1680</v>
      </c>
      <c r="N195" s="296" t="s">
        <v>1727</v>
      </c>
    </row>
    <row r="196" spans="2:15" ht="31.5">
      <c r="B196" s="636" t="s">
        <v>1690</v>
      </c>
      <c r="C196" s="296" t="s">
        <v>1672</v>
      </c>
      <c r="D196" s="296" t="s">
        <v>1763</v>
      </c>
      <c r="E196" s="296" t="s">
        <v>1672</v>
      </c>
      <c r="F196" s="296" t="s">
        <v>1701</v>
      </c>
      <c r="G196" s="296" t="s">
        <v>1679</v>
      </c>
      <c r="H196" s="296" t="s">
        <v>1675</v>
      </c>
      <c r="I196" s="296" t="s">
        <v>1675</v>
      </c>
      <c r="J196" s="296"/>
      <c r="K196" s="296" t="s">
        <v>1744</v>
      </c>
      <c r="L196" s="296" t="s">
        <v>1675</v>
      </c>
      <c r="M196" s="296" t="s">
        <v>1672</v>
      </c>
      <c r="N196" s="296" t="s">
        <v>1677</v>
      </c>
    </row>
    <row r="197" spans="2:15" ht="31.5">
      <c r="B197" s="636" t="s">
        <v>1691</v>
      </c>
      <c r="C197" s="296" t="s">
        <v>1705</v>
      </c>
      <c r="D197" s="296"/>
      <c r="E197" s="296" t="s">
        <v>1679</v>
      </c>
      <c r="F197" s="296" t="s">
        <v>1701</v>
      </c>
      <c r="G197" s="296" t="s">
        <v>1675</v>
      </c>
      <c r="H197" s="296"/>
      <c r="I197" s="296" t="s">
        <v>1675</v>
      </c>
      <c r="J197" s="296"/>
      <c r="K197" s="296" t="s">
        <v>1675</v>
      </c>
      <c r="L197" s="296" t="s">
        <v>1675</v>
      </c>
      <c r="M197" s="296"/>
      <c r="N197" s="296" t="s">
        <v>1677</v>
      </c>
    </row>
    <row r="198" spans="2:15" ht="31.5">
      <c r="B198" s="636" t="s">
        <v>1692</v>
      </c>
      <c r="C198" s="296"/>
      <c r="D198" s="296"/>
      <c r="E198" s="296" t="s">
        <v>1674</v>
      </c>
      <c r="F198" s="296"/>
      <c r="G198" s="296"/>
      <c r="H198" s="296"/>
      <c r="I198" s="296"/>
      <c r="J198" s="296"/>
      <c r="K198" s="423" t="s">
        <v>1678</v>
      </c>
      <c r="L198" s="296"/>
      <c r="M198" s="296"/>
      <c r="N198" s="296" t="s">
        <v>1680</v>
      </c>
    </row>
    <row r="199" spans="2:15" ht="31.5">
      <c r="B199" s="636" t="s">
        <v>1693</v>
      </c>
      <c r="C199" s="296"/>
      <c r="D199" s="296"/>
      <c r="E199" s="296"/>
      <c r="F199" s="296"/>
      <c r="G199" s="296"/>
      <c r="H199" s="296"/>
      <c r="I199" s="296"/>
      <c r="J199" s="296"/>
      <c r="K199" s="296" t="s">
        <v>1680</v>
      </c>
      <c r="L199" s="296"/>
      <c r="M199" s="296"/>
      <c r="N199" s="296" t="s">
        <v>1674</v>
      </c>
    </row>
    <row r="200" spans="2:15">
      <c r="B200" s="636" t="s">
        <v>1694</v>
      </c>
      <c r="C200" s="296"/>
      <c r="D200" s="296"/>
      <c r="E200" s="296"/>
      <c r="F200" s="296"/>
      <c r="G200" s="296"/>
      <c r="H200" s="296"/>
      <c r="I200" s="296"/>
      <c r="J200" s="296"/>
      <c r="K200" s="296" t="s">
        <v>1675</v>
      </c>
      <c r="L200" s="296"/>
      <c r="M200" s="296"/>
      <c r="N200" s="296" t="s">
        <v>1672</v>
      </c>
    </row>
    <row r="201" spans="2:15">
      <c r="B201" s="636" t="s">
        <v>1695</v>
      </c>
      <c r="C201" s="296"/>
      <c r="D201" s="296"/>
      <c r="E201" s="296"/>
      <c r="F201" s="296"/>
      <c r="G201" s="296"/>
      <c r="H201" s="296"/>
      <c r="I201" s="296"/>
      <c r="J201" s="296"/>
      <c r="K201" s="296" t="s">
        <v>1675</v>
      </c>
      <c r="L201" s="296"/>
      <c r="M201" s="296"/>
      <c r="N201" s="296"/>
    </row>
    <row r="202" spans="2:15">
      <c r="B202" s="636" t="s">
        <v>1696</v>
      </c>
      <c r="C202" s="296"/>
      <c r="D202" s="296"/>
      <c r="E202" s="296"/>
      <c r="F202" s="296"/>
      <c r="G202" s="296"/>
      <c r="H202" s="296"/>
      <c r="I202" s="296"/>
      <c r="J202" s="296"/>
      <c r="K202" s="296" t="s">
        <v>1675</v>
      </c>
      <c r="L202" s="296"/>
      <c r="M202" s="296"/>
      <c r="N202" s="296"/>
    </row>
    <row r="203" spans="2:15">
      <c r="B203" s="422"/>
      <c r="C203" s="422"/>
      <c r="D203" s="422"/>
      <c r="E203" s="422"/>
      <c r="F203" s="422"/>
      <c r="G203" s="422"/>
      <c r="H203" s="422"/>
      <c r="I203" s="422"/>
      <c r="J203" s="422"/>
      <c r="K203" s="422"/>
      <c r="L203" s="422"/>
      <c r="M203" s="422"/>
      <c r="N203" s="422"/>
    </row>
    <row r="204" spans="2:15">
      <c r="B204" s="634" t="s">
        <v>136</v>
      </c>
      <c r="C204" s="635" t="s">
        <v>1</v>
      </c>
      <c r="D204" s="635" t="s">
        <v>2</v>
      </c>
      <c r="E204" s="635" t="s">
        <v>3</v>
      </c>
      <c r="F204" s="635" t="s">
        <v>4</v>
      </c>
      <c r="G204" s="635" t="s">
        <v>5</v>
      </c>
      <c r="H204" s="635" t="s">
        <v>6</v>
      </c>
      <c r="I204" s="635" t="s">
        <v>7</v>
      </c>
      <c r="J204" s="635" t="s">
        <v>8</v>
      </c>
      <c r="K204" s="635" t="s">
        <v>9</v>
      </c>
      <c r="L204" s="635" t="s">
        <v>10</v>
      </c>
      <c r="M204" s="635" t="s">
        <v>36</v>
      </c>
      <c r="N204" s="635" t="s">
        <v>37</v>
      </c>
      <c r="O204" s="298" t="s">
        <v>344</v>
      </c>
    </row>
    <row r="205" spans="2:15" ht="63">
      <c r="B205" s="636" t="s">
        <v>1688</v>
      </c>
      <c r="C205" s="296" t="s">
        <v>1793</v>
      </c>
      <c r="D205" s="296" t="s">
        <v>1793</v>
      </c>
      <c r="E205" s="296" t="s">
        <v>1675</v>
      </c>
      <c r="F205" s="296" t="s">
        <v>1727</v>
      </c>
      <c r="G205" s="296" t="s">
        <v>1765</v>
      </c>
      <c r="H205" s="296" t="s">
        <v>1702</v>
      </c>
      <c r="I205" s="296" t="s">
        <v>1727</v>
      </c>
      <c r="J205" s="296" t="s">
        <v>1672</v>
      </c>
      <c r="K205" s="296" t="s">
        <v>1766</v>
      </c>
      <c r="L205" s="296" t="s">
        <v>1727</v>
      </c>
      <c r="M205" s="296" t="s">
        <v>1701</v>
      </c>
      <c r="N205" s="296" t="s">
        <v>1707</v>
      </c>
      <c r="O205" s="296" t="s">
        <v>1768</v>
      </c>
    </row>
    <row r="206" spans="2:15" ht="47.25">
      <c r="B206" s="636" t="s">
        <v>1689</v>
      </c>
      <c r="C206" s="296" t="s">
        <v>1672</v>
      </c>
      <c r="D206" s="296" t="s">
        <v>1671</v>
      </c>
      <c r="E206" s="296" t="s">
        <v>1731</v>
      </c>
      <c r="F206" s="296" t="s">
        <v>1671</v>
      </c>
      <c r="G206" s="296" t="s">
        <v>1680</v>
      </c>
      <c r="H206" s="296" t="s">
        <v>1672</v>
      </c>
      <c r="I206" s="423" t="s">
        <v>2754</v>
      </c>
      <c r="J206" s="296" t="s">
        <v>1672</v>
      </c>
      <c r="K206" s="296" t="s">
        <v>1672</v>
      </c>
      <c r="L206" s="296" t="s">
        <v>1672</v>
      </c>
      <c r="M206" s="296" t="s">
        <v>1672</v>
      </c>
      <c r="N206" s="296" t="s">
        <v>1675</v>
      </c>
      <c r="O206" s="148" t="s">
        <v>1674</v>
      </c>
    </row>
    <row r="207" spans="2:15" ht="31.5">
      <c r="B207" s="636" t="s">
        <v>1690</v>
      </c>
      <c r="C207" s="296" t="s">
        <v>1675</v>
      </c>
      <c r="D207" s="296" t="s">
        <v>1675</v>
      </c>
      <c r="E207" s="296" t="s">
        <v>1675</v>
      </c>
      <c r="F207" s="296" t="s">
        <v>1672</v>
      </c>
      <c r="G207" s="296" t="s">
        <v>1672</v>
      </c>
      <c r="H207" s="296" t="s">
        <v>1672</v>
      </c>
      <c r="I207" s="296" t="s">
        <v>1674</v>
      </c>
      <c r="J207" s="296" t="s">
        <v>1675</v>
      </c>
      <c r="K207" s="296" t="s">
        <v>1672</v>
      </c>
      <c r="L207" s="296" t="s">
        <v>1715</v>
      </c>
      <c r="M207" s="296" t="s">
        <v>1672</v>
      </c>
      <c r="N207" s="296" t="s">
        <v>1675</v>
      </c>
      <c r="O207" s="148" t="s">
        <v>1701</v>
      </c>
    </row>
    <row r="208" spans="2:15" ht="31.5">
      <c r="B208" s="636" t="s">
        <v>1691</v>
      </c>
      <c r="C208" s="296" t="s">
        <v>1674</v>
      </c>
      <c r="D208" s="296"/>
      <c r="E208" s="296" t="s">
        <v>1675</v>
      </c>
      <c r="F208" s="296" t="s">
        <v>1674</v>
      </c>
      <c r="G208" s="296" t="s">
        <v>1672</v>
      </c>
      <c r="H208" s="296"/>
      <c r="I208" s="296"/>
      <c r="J208" s="296"/>
      <c r="K208" s="296" t="s">
        <v>1672</v>
      </c>
      <c r="L208" s="296" t="s">
        <v>1675</v>
      </c>
      <c r="M208" s="296" t="s">
        <v>1672</v>
      </c>
      <c r="N208" s="296"/>
      <c r="O208" s="296" t="s">
        <v>1680</v>
      </c>
    </row>
    <row r="209" spans="2:15">
      <c r="B209" s="636" t="s">
        <v>1692</v>
      </c>
      <c r="C209" s="296"/>
      <c r="D209" s="296"/>
      <c r="E209" s="296"/>
      <c r="F209" s="296"/>
      <c r="G209" s="296"/>
      <c r="H209" s="296"/>
      <c r="I209" s="296"/>
      <c r="J209" s="296"/>
      <c r="K209" s="296"/>
      <c r="L209" s="296"/>
      <c r="M209" s="296" t="s">
        <v>1675</v>
      </c>
      <c r="N209" s="296"/>
      <c r="O209" s="304" t="s">
        <v>1678</v>
      </c>
    </row>
    <row r="210" spans="2:15">
      <c r="B210" s="636" t="s">
        <v>1693</v>
      </c>
      <c r="C210" s="296"/>
      <c r="D210" s="296"/>
      <c r="E210" s="296"/>
      <c r="F210" s="296"/>
      <c r="G210" s="296"/>
      <c r="H210" s="296"/>
      <c r="I210" s="296"/>
      <c r="J210" s="296"/>
      <c r="K210" s="296"/>
      <c r="L210" s="296"/>
      <c r="M210" s="296"/>
      <c r="N210" s="296"/>
      <c r="O210" t="s">
        <v>1672</v>
      </c>
    </row>
    <row r="211" spans="2:15">
      <c r="B211" s="422"/>
      <c r="C211" s="422"/>
      <c r="D211" s="422"/>
      <c r="E211" s="422"/>
      <c r="F211" s="422"/>
      <c r="G211" s="422"/>
      <c r="H211" s="422"/>
      <c r="I211" s="422"/>
      <c r="J211" s="422"/>
      <c r="K211" s="422"/>
      <c r="L211" s="422"/>
      <c r="M211" s="422"/>
      <c r="N211" s="422"/>
    </row>
    <row r="212" spans="2:15">
      <c r="B212" s="634" t="s">
        <v>137</v>
      </c>
      <c r="C212" s="635" t="s">
        <v>1</v>
      </c>
      <c r="D212" s="635" t="s">
        <v>2</v>
      </c>
      <c r="E212" s="635" t="s">
        <v>3</v>
      </c>
      <c r="F212" s="635" t="s">
        <v>4</v>
      </c>
      <c r="G212" s="635" t="s">
        <v>5</v>
      </c>
      <c r="H212" s="635" t="s">
        <v>6</v>
      </c>
      <c r="I212" s="635" t="s">
        <v>7</v>
      </c>
      <c r="J212" s="635" t="s">
        <v>8</v>
      </c>
      <c r="K212" s="635" t="s">
        <v>9</v>
      </c>
      <c r="L212" s="635" t="s">
        <v>10</v>
      </c>
      <c r="M212" s="635" t="s">
        <v>36</v>
      </c>
      <c r="N212" s="639"/>
    </row>
    <row r="213" spans="2:15" ht="63">
      <c r="B213" s="636" t="s">
        <v>1688</v>
      </c>
      <c r="C213" s="296" t="s">
        <v>1769</v>
      </c>
      <c r="D213" s="296" t="s">
        <v>1793</v>
      </c>
      <c r="E213" s="423" t="s">
        <v>1721</v>
      </c>
      <c r="F213" s="296" t="s">
        <v>1674</v>
      </c>
      <c r="G213" s="296" t="s">
        <v>1707</v>
      </c>
      <c r="H213" s="296" t="s">
        <v>1707</v>
      </c>
      <c r="I213" s="296" t="s">
        <v>1772</v>
      </c>
      <c r="J213" s="296" t="s">
        <v>1773</v>
      </c>
      <c r="K213" s="425" t="s">
        <v>1738</v>
      </c>
      <c r="L213" s="423" t="s">
        <v>1718</v>
      </c>
      <c r="M213" s="296" t="s">
        <v>1672</v>
      </c>
      <c r="N213" s="296"/>
    </row>
    <row r="214" spans="2:15" ht="31.5">
      <c r="B214" s="636" t="s">
        <v>1689</v>
      </c>
      <c r="C214" s="296" t="s">
        <v>1770</v>
      </c>
      <c r="D214" s="296" t="s">
        <v>1679</v>
      </c>
      <c r="E214" s="296" t="s">
        <v>1677</v>
      </c>
      <c r="F214" s="423" t="s">
        <v>1713</v>
      </c>
      <c r="G214" s="296" t="s">
        <v>1675</v>
      </c>
      <c r="H214" s="296" t="s">
        <v>1771</v>
      </c>
      <c r="I214" s="296" t="s">
        <v>1675</v>
      </c>
      <c r="J214" s="296" t="s">
        <v>1672</v>
      </c>
      <c r="K214" s="296" t="s">
        <v>1672</v>
      </c>
      <c r="L214" s="296" t="s">
        <v>1680</v>
      </c>
      <c r="M214" s="296" t="s">
        <v>1672</v>
      </c>
      <c r="N214" s="296"/>
    </row>
    <row r="215" spans="2:15" ht="31.5">
      <c r="B215" s="636" t="s">
        <v>1690</v>
      </c>
      <c r="C215" s="423" t="s">
        <v>1678</v>
      </c>
      <c r="D215" s="296" t="s">
        <v>1719</v>
      </c>
      <c r="E215" s="423" t="s">
        <v>1678</v>
      </c>
      <c r="F215" s="296" t="s">
        <v>1674</v>
      </c>
      <c r="G215" s="423" t="s">
        <v>1678</v>
      </c>
      <c r="H215" s="296" t="s">
        <v>1672</v>
      </c>
      <c r="I215" s="296" t="s">
        <v>1675</v>
      </c>
      <c r="J215" s="296" t="s">
        <v>1672</v>
      </c>
      <c r="K215" s="296" t="s">
        <v>1672</v>
      </c>
      <c r="L215" s="296" t="s">
        <v>1722</v>
      </c>
      <c r="M215" s="296" t="s">
        <v>1700</v>
      </c>
      <c r="N215" s="296"/>
    </row>
    <row r="216" spans="2:15" ht="31.5">
      <c r="B216" s="636" t="s">
        <v>1691</v>
      </c>
      <c r="C216" s="296" t="s">
        <v>1675</v>
      </c>
      <c r="D216" s="296"/>
      <c r="E216" s="296" t="s">
        <v>1674</v>
      </c>
      <c r="F216" s="296" t="s">
        <v>1672</v>
      </c>
      <c r="G216" s="296" t="s">
        <v>1674</v>
      </c>
      <c r="H216" s="296"/>
      <c r="I216" s="296" t="s">
        <v>1675</v>
      </c>
      <c r="J216" s="296" t="s">
        <v>1672</v>
      </c>
      <c r="K216" s="296" t="s">
        <v>1672</v>
      </c>
      <c r="L216" s="423" t="s">
        <v>1774</v>
      </c>
      <c r="M216" s="296" t="s">
        <v>1673</v>
      </c>
      <c r="N216" s="296"/>
    </row>
    <row r="217" spans="2:15" ht="31.5">
      <c r="B217" s="636" t="s">
        <v>1692</v>
      </c>
      <c r="C217" s="296"/>
      <c r="D217" s="296"/>
      <c r="E217" s="296"/>
      <c r="F217" s="296" t="s">
        <v>1672</v>
      </c>
      <c r="G217" s="296"/>
      <c r="H217" s="296"/>
      <c r="I217" s="296"/>
      <c r="J217" s="296" t="s">
        <v>1672</v>
      </c>
      <c r="K217" s="296"/>
      <c r="L217" s="296" t="s">
        <v>1672</v>
      </c>
      <c r="M217" s="423" t="s">
        <v>2754</v>
      </c>
      <c r="N217" s="296"/>
    </row>
    <row r="218" spans="2:15">
      <c r="B218" s="636" t="s">
        <v>1693</v>
      </c>
      <c r="C218" s="296"/>
      <c r="D218" s="296"/>
      <c r="E218" s="296"/>
      <c r="F218" s="296"/>
      <c r="G218" s="296"/>
      <c r="H218" s="296"/>
      <c r="I218" s="296"/>
      <c r="J218" s="296"/>
      <c r="K218" s="296"/>
      <c r="L218" s="296"/>
      <c r="M218" s="296" t="s">
        <v>1674</v>
      </c>
      <c r="N218" s="296"/>
    </row>
    <row r="219" spans="2:15">
      <c r="B219" s="636" t="s">
        <v>1694</v>
      </c>
      <c r="C219" s="296"/>
      <c r="D219" s="296"/>
      <c r="E219" s="296"/>
      <c r="F219" s="296"/>
      <c r="G219" s="296"/>
      <c r="H219" s="296"/>
      <c r="I219" s="296"/>
      <c r="J219" s="296"/>
      <c r="K219" s="296"/>
      <c r="L219" s="296"/>
      <c r="M219" s="296" t="s">
        <v>1672</v>
      </c>
      <c r="N219" s="296"/>
    </row>
    <row r="220" spans="2:15">
      <c r="B220" s="422"/>
      <c r="C220" s="422"/>
      <c r="D220" s="422"/>
      <c r="E220" s="422"/>
      <c r="F220" s="422"/>
      <c r="G220" s="422"/>
      <c r="H220" s="422"/>
      <c r="I220" s="422"/>
      <c r="J220" s="422"/>
      <c r="K220" s="422"/>
      <c r="L220" s="422"/>
      <c r="M220" s="422"/>
      <c r="N220" s="422"/>
    </row>
    <row r="221" spans="2:15">
      <c r="B221" s="634" t="s">
        <v>138</v>
      </c>
      <c r="C221" s="635" t="s">
        <v>1</v>
      </c>
      <c r="D221" s="635" t="s">
        <v>2</v>
      </c>
      <c r="E221" s="635" t="s">
        <v>3</v>
      </c>
      <c r="F221" s="635" t="s">
        <v>4</v>
      </c>
      <c r="G221" s="635" t="s">
        <v>5</v>
      </c>
      <c r="H221" s="635" t="s">
        <v>6</v>
      </c>
      <c r="I221" s="635" t="s">
        <v>7</v>
      </c>
      <c r="J221" s="635" t="s">
        <v>8</v>
      </c>
      <c r="K221" s="635" t="s">
        <v>9</v>
      </c>
      <c r="L221" s="635" t="s">
        <v>10</v>
      </c>
      <c r="M221" s="635" t="s">
        <v>36</v>
      </c>
      <c r="N221" s="639"/>
    </row>
    <row r="222" spans="2:15" ht="63">
      <c r="B222" s="636" t="s">
        <v>1688</v>
      </c>
      <c r="C222" s="296" t="s">
        <v>1793</v>
      </c>
      <c r="D222" s="425" t="s">
        <v>1738</v>
      </c>
      <c r="E222" s="423" t="s">
        <v>1775</v>
      </c>
      <c r="F222" s="423" t="s">
        <v>1776</v>
      </c>
      <c r="G222" s="296" t="s">
        <v>1793</v>
      </c>
      <c r="H222" s="425" t="s">
        <v>1738</v>
      </c>
      <c r="I222" s="296" t="s">
        <v>1672</v>
      </c>
      <c r="J222" s="425" t="s">
        <v>1738</v>
      </c>
      <c r="K222" s="425" t="s">
        <v>1738</v>
      </c>
      <c r="L222" s="296" t="s">
        <v>1672</v>
      </c>
      <c r="M222" s="425" t="s">
        <v>1738</v>
      </c>
      <c r="N222" s="296"/>
    </row>
    <row r="223" spans="2:15" ht="31.5">
      <c r="B223" s="636" t="s">
        <v>1689</v>
      </c>
      <c r="C223" s="423" t="s">
        <v>1678</v>
      </c>
      <c r="D223" s="296" t="s">
        <v>1673</v>
      </c>
      <c r="E223" s="423" t="s">
        <v>2754</v>
      </c>
      <c r="F223" s="296" t="s">
        <v>1675</v>
      </c>
      <c r="G223" s="423" t="s">
        <v>1678</v>
      </c>
      <c r="H223" s="296" t="s">
        <v>1672</v>
      </c>
      <c r="I223" s="296" t="s">
        <v>1672</v>
      </c>
      <c r="J223" s="296" t="s">
        <v>1672</v>
      </c>
      <c r="K223" s="296" t="s">
        <v>1672</v>
      </c>
      <c r="L223" s="296" t="s">
        <v>1672</v>
      </c>
      <c r="M223" s="296" t="s">
        <v>1698</v>
      </c>
      <c r="N223" s="296"/>
    </row>
    <row r="224" spans="2:15" ht="31.5">
      <c r="B224" s="636" t="s">
        <v>1690</v>
      </c>
      <c r="C224" s="296" t="s">
        <v>1672</v>
      </c>
      <c r="D224" s="296" t="s">
        <v>1672</v>
      </c>
      <c r="E224" s="296" t="s">
        <v>1672</v>
      </c>
      <c r="F224" s="296" t="s">
        <v>1675</v>
      </c>
      <c r="G224" s="296" t="s">
        <v>1682</v>
      </c>
      <c r="H224" s="296" t="s">
        <v>1672</v>
      </c>
      <c r="I224" s="296" t="s">
        <v>1672</v>
      </c>
      <c r="J224" s="296" t="s">
        <v>1674</v>
      </c>
      <c r="K224" s="296" t="s">
        <v>1672</v>
      </c>
      <c r="L224" s="296" t="s">
        <v>1672</v>
      </c>
      <c r="M224" s="423" t="s">
        <v>1678</v>
      </c>
      <c r="N224" s="296"/>
    </row>
    <row r="225" spans="2:14" ht="31.5">
      <c r="B225" s="636" t="s">
        <v>1691</v>
      </c>
      <c r="C225" s="296" t="s">
        <v>1672</v>
      </c>
      <c r="D225" s="296" t="s">
        <v>1672</v>
      </c>
      <c r="E225" s="296" t="s">
        <v>1672</v>
      </c>
      <c r="F225" s="423" t="s">
        <v>1678</v>
      </c>
      <c r="G225" s="296" t="s">
        <v>1672</v>
      </c>
      <c r="H225" s="296"/>
      <c r="I225" s="296"/>
      <c r="J225" s="296"/>
      <c r="K225" s="296" t="s">
        <v>1672</v>
      </c>
      <c r="L225" s="296" t="s">
        <v>1674</v>
      </c>
      <c r="M225" s="296" t="s">
        <v>1705</v>
      </c>
      <c r="N225" s="296"/>
    </row>
    <row r="226" spans="2:14" ht="31.5">
      <c r="B226" s="636" t="s">
        <v>1692</v>
      </c>
      <c r="C226" s="296" t="s">
        <v>1672</v>
      </c>
      <c r="D226" s="296"/>
      <c r="E226" s="296"/>
      <c r="F226" s="296" t="s">
        <v>1675</v>
      </c>
      <c r="G226" s="296" t="s">
        <v>1672</v>
      </c>
      <c r="H226" s="296"/>
      <c r="I226" s="296"/>
      <c r="J226" s="296"/>
      <c r="K226" s="296"/>
      <c r="L226" s="296"/>
      <c r="M226" s="296" t="s">
        <v>1732</v>
      </c>
      <c r="N226" s="296"/>
    </row>
    <row r="227" spans="2:14" ht="31.5">
      <c r="B227" s="636" t="s">
        <v>1693</v>
      </c>
      <c r="C227" s="296"/>
      <c r="D227" s="296"/>
      <c r="E227" s="296"/>
      <c r="F227" s="296" t="s">
        <v>1675</v>
      </c>
      <c r="G227" s="296"/>
      <c r="H227" s="296"/>
      <c r="I227" s="296"/>
      <c r="J227" s="296"/>
      <c r="K227" s="296"/>
      <c r="L227" s="296"/>
      <c r="M227" s="423" t="s">
        <v>1703</v>
      </c>
      <c r="N227" s="296"/>
    </row>
    <row r="228" spans="2:14">
      <c r="B228" s="636" t="s">
        <v>1694</v>
      </c>
      <c r="C228" s="296"/>
      <c r="D228" s="296"/>
      <c r="E228" s="296"/>
      <c r="F228" s="296"/>
      <c r="G228" s="296"/>
      <c r="H228" s="296"/>
      <c r="I228" s="296"/>
      <c r="J228" s="296"/>
      <c r="K228" s="296"/>
      <c r="L228" s="296"/>
      <c r="M228" s="296" t="s">
        <v>1672</v>
      </c>
      <c r="N228" s="296"/>
    </row>
    <row r="229" spans="2:14">
      <c r="B229" s="422"/>
      <c r="C229" s="422"/>
      <c r="D229" s="422"/>
      <c r="E229" s="422"/>
      <c r="F229" s="422"/>
      <c r="G229" s="422"/>
      <c r="H229" s="422"/>
      <c r="I229" s="422"/>
      <c r="J229" s="422"/>
      <c r="K229" s="422"/>
      <c r="L229" s="422"/>
      <c r="M229" s="422"/>
      <c r="N229" s="422"/>
    </row>
    <row r="230" spans="2:14">
      <c r="B230" s="634" t="s">
        <v>139</v>
      </c>
      <c r="C230" s="635" t="s">
        <v>1</v>
      </c>
      <c r="D230" s="635" t="s">
        <v>2</v>
      </c>
      <c r="E230" s="635" t="s">
        <v>3</v>
      </c>
      <c r="F230" s="635" t="s">
        <v>4</v>
      </c>
      <c r="G230" s="635" t="s">
        <v>5</v>
      </c>
      <c r="H230" s="635" t="s">
        <v>6</v>
      </c>
      <c r="I230" s="635" t="s">
        <v>7</v>
      </c>
      <c r="J230" s="635" t="s">
        <v>8</v>
      </c>
      <c r="K230" s="635" t="s">
        <v>9</v>
      </c>
      <c r="L230" s="635" t="s">
        <v>10</v>
      </c>
      <c r="M230" s="635" t="s">
        <v>36</v>
      </c>
      <c r="N230" s="635" t="s">
        <v>37</v>
      </c>
    </row>
    <row r="231" spans="2:14" ht="47.25">
      <c r="B231" s="636" t="s">
        <v>1688</v>
      </c>
      <c r="C231" s="296" t="s">
        <v>1777</v>
      </c>
      <c r="D231" s="296" t="s">
        <v>1707</v>
      </c>
      <c r="E231" s="296" t="s">
        <v>1724</v>
      </c>
      <c r="F231" s="425" t="s">
        <v>1738</v>
      </c>
      <c r="G231" s="296" t="s">
        <v>1677</v>
      </c>
      <c r="H231" s="425" t="s">
        <v>1738</v>
      </c>
      <c r="I231" s="296" t="s">
        <v>1778</v>
      </c>
      <c r="J231" s="296" t="s">
        <v>1758</v>
      </c>
      <c r="K231" s="425" t="s">
        <v>1738</v>
      </c>
      <c r="L231" s="425" t="s">
        <v>1738</v>
      </c>
      <c r="M231" s="296" t="s">
        <v>1672</v>
      </c>
      <c r="N231" s="296" t="s">
        <v>1758</v>
      </c>
    </row>
    <row r="232" spans="2:14" ht="31.5">
      <c r="B232" s="636" t="s">
        <v>1689</v>
      </c>
      <c r="C232" s="296" t="s">
        <v>1672</v>
      </c>
      <c r="D232" s="296" t="s">
        <v>1675</v>
      </c>
      <c r="E232" s="296" t="s">
        <v>1677</v>
      </c>
      <c r="F232" s="296" t="s">
        <v>1672</v>
      </c>
      <c r="G232" s="296" t="s">
        <v>1675</v>
      </c>
      <c r="H232" s="296" t="s">
        <v>1672</v>
      </c>
      <c r="I232" s="423" t="s">
        <v>1678</v>
      </c>
      <c r="J232" s="296" t="s">
        <v>1701</v>
      </c>
      <c r="K232" s="296" t="s">
        <v>1672</v>
      </c>
      <c r="L232" s="296" t="s">
        <v>1672</v>
      </c>
      <c r="M232" s="423" t="s">
        <v>1678</v>
      </c>
      <c r="N232" s="296" t="s">
        <v>1780</v>
      </c>
    </row>
    <row r="233" spans="2:14" ht="31.5">
      <c r="B233" s="636" t="s">
        <v>1690</v>
      </c>
      <c r="C233" s="296" t="s">
        <v>1677</v>
      </c>
      <c r="D233" s="296" t="s">
        <v>1672</v>
      </c>
      <c r="E233" s="296" t="s">
        <v>1672</v>
      </c>
      <c r="F233" s="296" t="s">
        <v>1672</v>
      </c>
      <c r="G233" s="296"/>
      <c r="H233" s="296" t="s">
        <v>1730</v>
      </c>
      <c r="I233" s="296" t="s">
        <v>1705</v>
      </c>
      <c r="J233" s="296" t="s">
        <v>1672</v>
      </c>
      <c r="K233" s="423" t="s">
        <v>1779</v>
      </c>
      <c r="L233" s="296" t="s">
        <v>1672</v>
      </c>
      <c r="M233" s="296" t="s">
        <v>1719</v>
      </c>
      <c r="N233" s="296" t="s">
        <v>1672</v>
      </c>
    </row>
    <row r="234" spans="2:14">
      <c r="B234" s="636" t="s">
        <v>1691</v>
      </c>
      <c r="C234" s="423" t="s">
        <v>1678</v>
      </c>
      <c r="D234" s="296" t="s">
        <v>1675</v>
      </c>
      <c r="E234" s="296"/>
      <c r="F234" s="296" t="s">
        <v>1672</v>
      </c>
      <c r="G234" s="296"/>
      <c r="H234" s="296" t="s">
        <v>1672</v>
      </c>
      <c r="I234" s="296" t="s">
        <v>1672</v>
      </c>
      <c r="J234" s="296"/>
      <c r="K234" s="296"/>
      <c r="L234" s="296"/>
      <c r="M234" s="296" t="s">
        <v>1674</v>
      </c>
      <c r="N234" s="296" t="s">
        <v>1672</v>
      </c>
    </row>
    <row r="235" spans="2:14">
      <c r="B235" s="636" t="s">
        <v>1692</v>
      </c>
      <c r="C235" s="296" t="s">
        <v>1672</v>
      </c>
      <c r="D235" s="296"/>
      <c r="E235" s="296"/>
      <c r="F235" s="296" t="s">
        <v>1672</v>
      </c>
      <c r="G235" s="296"/>
      <c r="H235" s="296"/>
      <c r="I235" s="296"/>
      <c r="J235" s="296"/>
      <c r="K235" s="296"/>
      <c r="L235" s="296"/>
      <c r="M235" s="296" t="s">
        <v>1672</v>
      </c>
      <c r="N235" s="296"/>
    </row>
    <row r="236" spans="2:14">
      <c r="B236" s="636" t="s">
        <v>1693</v>
      </c>
      <c r="C236" s="296"/>
      <c r="D236" s="296"/>
      <c r="E236" s="296"/>
      <c r="F236" s="296"/>
      <c r="G236" s="296"/>
      <c r="H236" s="296"/>
      <c r="I236" s="296"/>
      <c r="J236" s="296"/>
      <c r="K236" s="296"/>
      <c r="L236" s="296"/>
      <c r="M236" s="296" t="s">
        <v>1672</v>
      </c>
      <c r="N236" s="296"/>
    </row>
    <row r="237" spans="2:14">
      <c r="B237" s="422"/>
      <c r="C237" s="422"/>
      <c r="D237" s="422"/>
      <c r="E237" s="422"/>
      <c r="F237" s="422"/>
      <c r="G237" s="422"/>
      <c r="H237" s="422"/>
      <c r="I237" s="422"/>
      <c r="J237" s="422"/>
      <c r="K237" s="422"/>
      <c r="L237" s="422"/>
      <c r="M237" s="422"/>
      <c r="N237" s="422"/>
    </row>
    <row r="238" spans="2:14">
      <c r="B238" s="634" t="s">
        <v>140</v>
      </c>
      <c r="C238" s="635" t="s">
        <v>1</v>
      </c>
      <c r="D238" s="635" t="s">
        <v>2</v>
      </c>
      <c r="E238" s="635" t="s">
        <v>3</v>
      </c>
      <c r="F238" s="635" t="s">
        <v>4</v>
      </c>
      <c r="G238" s="635" t="s">
        <v>5</v>
      </c>
      <c r="H238" s="635" t="s">
        <v>6</v>
      </c>
      <c r="I238" s="635" t="s">
        <v>7</v>
      </c>
      <c r="J238" s="635" t="s">
        <v>8</v>
      </c>
      <c r="K238" s="635" t="s">
        <v>9</v>
      </c>
      <c r="L238" s="635" t="s">
        <v>10</v>
      </c>
      <c r="M238" s="635" t="s">
        <v>36</v>
      </c>
      <c r="N238" s="635" t="s">
        <v>37</v>
      </c>
    </row>
    <row r="239" spans="2:14" ht="47.25">
      <c r="B239" s="636" t="s">
        <v>1688</v>
      </c>
      <c r="C239" s="423" t="s">
        <v>1781</v>
      </c>
      <c r="D239" s="423" t="s">
        <v>1782</v>
      </c>
      <c r="E239" s="296" t="s">
        <v>1705</v>
      </c>
      <c r="F239" s="296" t="s">
        <v>1672</v>
      </c>
      <c r="G239" s="423" t="s">
        <v>2756</v>
      </c>
      <c r="H239" s="296" t="s">
        <v>1672</v>
      </c>
      <c r="I239" s="296" t="s">
        <v>1707</v>
      </c>
      <c r="J239" s="296" t="s">
        <v>1702</v>
      </c>
      <c r="K239" s="296" t="s">
        <v>1783</v>
      </c>
      <c r="L239" s="296" t="s">
        <v>1758</v>
      </c>
      <c r="M239" s="296" t="s">
        <v>1672</v>
      </c>
      <c r="N239" s="296" t="s">
        <v>1672</v>
      </c>
    </row>
    <row r="240" spans="2:14" ht="31.5">
      <c r="B240" s="636" t="s">
        <v>1689</v>
      </c>
      <c r="C240" s="423" t="s">
        <v>1678</v>
      </c>
      <c r="D240" s="423" t="s">
        <v>2755</v>
      </c>
      <c r="E240" s="422" t="s">
        <v>1749</v>
      </c>
      <c r="F240" s="423" t="s">
        <v>1678</v>
      </c>
      <c r="G240" s="296" t="s">
        <v>1675</v>
      </c>
      <c r="H240" s="296" t="s">
        <v>1672</v>
      </c>
      <c r="I240" s="296" t="s">
        <v>1675</v>
      </c>
      <c r="J240" s="423" t="s">
        <v>1678</v>
      </c>
      <c r="K240" s="296" t="s">
        <v>1672</v>
      </c>
      <c r="L240" s="296" t="s">
        <v>1672</v>
      </c>
      <c r="M240" s="296" t="s">
        <v>1672</v>
      </c>
      <c r="N240" s="296" t="s">
        <v>1672</v>
      </c>
    </row>
    <row r="241" spans="2:30" ht="31.5">
      <c r="B241" s="636" t="s">
        <v>1690</v>
      </c>
      <c r="C241" s="296"/>
      <c r="D241" s="296" t="s">
        <v>1674</v>
      </c>
      <c r="E241" s="296" t="s">
        <v>1672</v>
      </c>
      <c r="F241" s="296" t="s">
        <v>1674</v>
      </c>
      <c r="G241" s="296" t="s">
        <v>1675</v>
      </c>
      <c r="H241" s="296" t="s">
        <v>1698</v>
      </c>
      <c r="I241" s="296" t="s">
        <v>1675</v>
      </c>
      <c r="J241" s="423" t="s">
        <v>1678</v>
      </c>
      <c r="K241" s="296" t="s">
        <v>1674</v>
      </c>
      <c r="L241" s="423" t="s">
        <v>1774</v>
      </c>
      <c r="M241" s="296" t="s">
        <v>1672</v>
      </c>
      <c r="N241" s="296" t="s">
        <v>1672</v>
      </c>
    </row>
    <row r="242" spans="2:30">
      <c r="B242" s="636" t="s">
        <v>1691</v>
      </c>
      <c r="C242" s="296"/>
      <c r="D242" s="296" t="s">
        <v>1674</v>
      </c>
      <c r="E242" s="296" t="s">
        <v>1672</v>
      </c>
      <c r="F242" s="296" t="s">
        <v>1674</v>
      </c>
      <c r="G242" s="296" t="s">
        <v>1675</v>
      </c>
      <c r="H242" s="296" t="s">
        <v>1674</v>
      </c>
      <c r="I242" s="296" t="s">
        <v>1719</v>
      </c>
      <c r="J242" s="296" t="s">
        <v>1674</v>
      </c>
      <c r="K242" s="296"/>
      <c r="L242" s="296" t="s">
        <v>1672</v>
      </c>
      <c r="M242" s="423" t="s">
        <v>1678</v>
      </c>
      <c r="N242" s="423" t="s">
        <v>1678</v>
      </c>
    </row>
    <row r="243" spans="2:30" ht="31.5">
      <c r="B243" s="636" t="s">
        <v>1692</v>
      </c>
      <c r="C243" s="296"/>
      <c r="D243" s="296"/>
      <c r="E243" s="296"/>
      <c r="F243" s="296"/>
      <c r="G243" s="296"/>
      <c r="H243" s="296"/>
      <c r="I243" s="296"/>
      <c r="J243" s="296"/>
      <c r="K243" s="296"/>
      <c r="L243" s="296"/>
      <c r="M243" s="296" t="s">
        <v>1672</v>
      </c>
      <c r="N243" s="423" t="s">
        <v>1774</v>
      </c>
    </row>
    <row r="244" spans="2:30">
      <c r="B244" s="636" t="s">
        <v>1693</v>
      </c>
      <c r="C244" s="296"/>
      <c r="D244" s="296"/>
      <c r="E244" s="296"/>
      <c r="F244" s="296"/>
      <c r="G244" s="296"/>
      <c r="H244" s="296"/>
      <c r="I244" s="296"/>
      <c r="J244" s="296"/>
      <c r="K244" s="296"/>
      <c r="L244" s="296"/>
      <c r="M244" s="296" t="s">
        <v>1672</v>
      </c>
      <c r="N244" s="423" t="s">
        <v>1678</v>
      </c>
    </row>
    <row r="245" spans="2:30">
      <c r="B245" s="636" t="s">
        <v>1694</v>
      </c>
      <c r="C245" s="296"/>
      <c r="D245" s="296"/>
      <c r="E245" s="296"/>
      <c r="F245" s="296"/>
      <c r="G245" s="296"/>
      <c r="H245" s="296"/>
      <c r="I245" s="296"/>
      <c r="J245" s="296"/>
      <c r="K245" s="296"/>
      <c r="L245" s="296"/>
      <c r="M245" s="296"/>
      <c r="N245" s="296" t="s">
        <v>1672</v>
      </c>
    </row>
    <row r="246" spans="2:30" ht="31.5">
      <c r="B246" s="636" t="s">
        <v>1695</v>
      </c>
      <c r="C246" s="296"/>
      <c r="D246" s="296"/>
      <c r="E246" s="296"/>
      <c r="F246" s="296"/>
      <c r="G246" s="296"/>
      <c r="H246" s="296"/>
      <c r="I246" s="296"/>
      <c r="J246" s="296"/>
      <c r="K246" s="296"/>
      <c r="L246" s="296"/>
      <c r="M246" s="296"/>
      <c r="N246" s="423" t="s">
        <v>1774</v>
      </c>
    </row>
    <row r="247" spans="2:30">
      <c r="B247" s="422"/>
      <c r="C247" s="422"/>
      <c r="D247" s="422"/>
      <c r="E247" s="422"/>
      <c r="F247" s="422"/>
      <c r="G247" s="422"/>
      <c r="H247" s="422"/>
      <c r="I247" s="422"/>
      <c r="J247" s="422"/>
      <c r="K247" s="422"/>
      <c r="L247" s="422"/>
      <c r="M247" s="422"/>
      <c r="N247" s="422"/>
    </row>
    <row r="248" spans="2:30">
      <c r="B248" s="634" t="s">
        <v>141</v>
      </c>
      <c r="C248" s="635" t="s">
        <v>1</v>
      </c>
      <c r="D248" s="635" t="s">
        <v>2</v>
      </c>
      <c r="E248" s="635" t="s">
        <v>3</v>
      </c>
      <c r="F248" s="635" t="s">
        <v>4</v>
      </c>
      <c r="G248" s="635" t="s">
        <v>5</v>
      </c>
      <c r="H248" s="635" t="s">
        <v>6</v>
      </c>
      <c r="I248" s="635" t="s">
        <v>7</v>
      </c>
      <c r="J248" s="635" t="s">
        <v>8</v>
      </c>
      <c r="K248" s="635" t="s">
        <v>9</v>
      </c>
      <c r="L248" s="635" t="s">
        <v>10</v>
      </c>
      <c r="M248" s="635" t="s">
        <v>36</v>
      </c>
      <c r="N248" s="635" t="s">
        <v>37</v>
      </c>
      <c r="Q248" s="990"/>
      <c r="R248" s="58"/>
      <c r="S248" s="52"/>
      <c r="T248" s="990"/>
      <c r="U248" s="12"/>
      <c r="V248" s="990"/>
      <c r="W248" s="58"/>
      <c r="X248" s="52"/>
      <c r="Y248" s="990"/>
      <c r="Z248" s="990"/>
      <c r="AA248" s="58"/>
      <c r="AB248" s="58"/>
      <c r="AC248" s="990"/>
      <c r="AD248" s="990"/>
    </row>
    <row r="249" spans="2:30" ht="63">
      <c r="B249" s="636" t="s">
        <v>1688</v>
      </c>
      <c r="C249" s="296" t="s">
        <v>1784</v>
      </c>
      <c r="D249" s="296" t="s">
        <v>1785</v>
      </c>
      <c r="E249" s="296" t="s">
        <v>1786</v>
      </c>
      <c r="F249" s="296" t="s">
        <v>1787</v>
      </c>
      <c r="G249" s="296" t="s">
        <v>1715</v>
      </c>
      <c r="H249" s="296" t="s">
        <v>1715</v>
      </c>
      <c r="I249" s="425" t="s">
        <v>1738</v>
      </c>
      <c r="J249" s="296" t="s">
        <v>1799</v>
      </c>
      <c r="K249" s="296" t="s">
        <v>1789</v>
      </c>
      <c r="L249" s="296" t="s">
        <v>1702</v>
      </c>
      <c r="M249" s="296" t="s">
        <v>1672</v>
      </c>
      <c r="N249" s="425" t="s">
        <v>1738</v>
      </c>
      <c r="Q249" s="990"/>
      <c r="R249" s="58"/>
      <c r="S249" s="58"/>
      <c r="T249" s="990"/>
      <c r="U249" s="58"/>
      <c r="V249" s="990"/>
      <c r="W249" s="58"/>
      <c r="X249" s="990"/>
      <c r="Y249" s="58"/>
      <c r="Z249" s="990"/>
      <c r="AA249" s="58"/>
      <c r="AB249" s="58"/>
      <c r="AC249" s="58"/>
      <c r="AD249" s="978"/>
    </row>
    <row r="250" spans="2:30" ht="31.5">
      <c r="B250" s="636" t="s">
        <v>1689</v>
      </c>
      <c r="C250" s="296" t="s">
        <v>1673</v>
      </c>
      <c r="D250" s="296" t="s">
        <v>1675</v>
      </c>
      <c r="E250" s="296" t="s">
        <v>1674</v>
      </c>
      <c r="F250" s="296" t="s">
        <v>1672</v>
      </c>
      <c r="G250" s="296" t="s">
        <v>1675</v>
      </c>
      <c r="H250" s="296" t="s">
        <v>1675</v>
      </c>
      <c r="I250" s="296" t="s">
        <v>1673</v>
      </c>
      <c r="J250" s="296" t="s">
        <v>1672</v>
      </c>
      <c r="K250" s="423" t="s">
        <v>1774</v>
      </c>
      <c r="L250" s="296" t="s">
        <v>1672</v>
      </c>
      <c r="M250" s="296" t="s">
        <v>1673</v>
      </c>
      <c r="N250" s="423" t="s">
        <v>1713</v>
      </c>
    </row>
    <row r="251" spans="2:30" ht="31.5">
      <c r="B251" s="636" t="s">
        <v>1690</v>
      </c>
      <c r="C251" s="423" t="s">
        <v>1678</v>
      </c>
      <c r="D251" s="296" t="s">
        <v>1675</v>
      </c>
      <c r="E251" s="296" t="s">
        <v>1675</v>
      </c>
      <c r="F251" s="296" t="s">
        <v>1705</v>
      </c>
      <c r="G251" s="296" t="s">
        <v>1674</v>
      </c>
      <c r="H251" s="296" t="s">
        <v>1675</v>
      </c>
      <c r="I251" s="296" t="s">
        <v>1788</v>
      </c>
      <c r="J251" s="296" t="s">
        <v>1672</v>
      </c>
      <c r="K251" s="296" t="s">
        <v>1672</v>
      </c>
      <c r="L251" s="423" t="s">
        <v>1678</v>
      </c>
      <c r="M251" s="296" t="s">
        <v>1715</v>
      </c>
      <c r="N251" s="296" t="s">
        <v>1672</v>
      </c>
    </row>
    <row r="252" spans="2:30" ht="31.5">
      <c r="B252" s="636" t="s">
        <v>1691</v>
      </c>
      <c r="C252" s="296" t="s">
        <v>1674</v>
      </c>
      <c r="D252" s="296"/>
      <c r="E252" s="296" t="s">
        <v>1675</v>
      </c>
      <c r="F252" s="296" t="s">
        <v>1672</v>
      </c>
      <c r="G252" s="296" t="s">
        <v>1719</v>
      </c>
      <c r="H252" s="296" t="s">
        <v>1675</v>
      </c>
      <c r="I252" s="423" t="s">
        <v>1713</v>
      </c>
      <c r="J252" s="296"/>
      <c r="K252" s="296" t="s">
        <v>1672</v>
      </c>
      <c r="L252" s="296" t="s">
        <v>1672</v>
      </c>
      <c r="M252" s="296" t="s">
        <v>1672</v>
      </c>
      <c r="N252" s="423" t="s">
        <v>1678</v>
      </c>
    </row>
    <row r="253" spans="2:30" ht="31.5">
      <c r="B253" s="636" t="s">
        <v>1692</v>
      </c>
      <c r="C253" s="296"/>
      <c r="D253" s="296"/>
      <c r="E253" s="296"/>
      <c r="F253" s="296"/>
      <c r="G253" s="296"/>
      <c r="H253" s="296"/>
      <c r="I253" s="296"/>
      <c r="J253" s="296"/>
      <c r="K253" s="296" t="s">
        <v>1672</v>
      </c>
      <c r="L253" s="296" t="s">
        <v>1673</v>
      </c>
      <c r="M253" s="296"/>
      <c r="N253" s="296" t="s">
        <v>1705</v>
      </c>
    </row>
    <row r="254" spans="2:30">
      <c r="B254" s="636" t="s">
        <v>1693</v>
      </c>
      <c r="C254" s="296"/>
      <c r="D254" s="296"/>
      <c r="E254" s="296"/>
      <c r="F254" s="296"/>
      <c r="G254" s="296"/>
      <c r="H254" s="296"/>
      <c r="I254" s="296"/>
      <c r="J254" s="296"/>
      <c r="K254" s="296"/>
      <c r="L254" s="296"/>
      <c r="M254" s="296"/>
      <c r="N254" s="296" t="s">
        <v>1672</v>
      </c>
    </row>
    <row r="255" spans="2:30">
      <c r="B255" s="636" t="s">
        <v>1694</v>
      </c>
      <c r="C255" s="296"/>
      <c r="D255" s="296"/>
      <c r="E255" s="296"/>
      <c r="F255" s="296"/>
      <c r="G255" s="296"/>
      <c r="H255" s="296"/>
      <c r="I255" s="296"/>
      <c r="J255" s="296"/>
      <c r="K255" s="296"/>
      <c r="L255" s="296"/>
      <c r="M255" s="296"/>
      <c r="N255" s="423" t="s">
        <v>1678</v>
      </c>
    </row>
    <row r="256" spans="2:30" ht="31.5">
      <c r="B256" s="636" t="s">
        <v>1695</v>
      </c>
      <c r="C256" s="296"/>
      <c r="D256" s="296"/>
      <c r="E256" s="296"/>
      <c r="F256" s="296"/>
      <c r="G256" s="296"/>
      <c r="H256" s="296"/>
      <c r="I256" s="296"/>
      <c r="J256" s="296"/>
      <c r="K256" s="296"/>
      <c r="L256" s="296"/>
      <c r="M256" s="296"/>
      <c r="N256" s="423" t="s">
        <v>1774</v>
      </c>
    </row>
    <row r="257" spans="2:14">
      <c r="B257" s="422"/>
      <c r="C257" s="422"/>
      <c r="D257" s="422"/>
      <c r="E257" s="422"/>
      <c r="F257" s="422"/>
      <c r="G257" s="422"/>
      <c r="H257" s="422"/>
      <c r="I257" s="422"/>
      <c r="J257" s="422"/>
      <c r="K257" s="422"/>
      <c r="L257" s="422"/>
      <c r="M257" s="422"/>
      <c r="N257" s="422"/>
    </row>
    <row r="258" spans="2:14">
      <c r="B258" s="634" t="s">
        <v>142</v>
      </c>
      <c r="C258" s="635" t="s">
        <v>1</v>
      </c>
      <c r="D258" s="635" t="s">
        <v>2</v>
      </c>
      <c r="E258" s="635" t="s">
        <v>3</v>
      </c>
      <c r="F258" s="635" t="s">
        <v>4</v>
      </c>
      <c r="G258" s="635" t="s">
        <v>5</v>
      </c>
      <c r="H258" s="635" t="s">
        <v>6</v>
      </c>
      <c r="I258" s="635" t="s">
        <v>7</v>
      </c>
      <c r="J258" s="635" t="s">
        <v>8</v>
      </c>
      <c r="K258" s="635" t="s">
        <v>9</v>
      </c>
      <c r="L258" s="635" t="s">
        <v>10</v>
      </c>
      <c r="M258" s="635" t="s">
        <v>36</v>
      </c>
      <c r="N258" s="635" t="s">
        <v>37</v>
      </c>
    </row>
    <row r="259" spans="2:14" ht="63">
      <c r="B259" s="636" t="s">
        <v>1688</v>
      </c>
      <c r="C259" s="296" t="s">
        <v>1731</v>
      </c>
      <c r="D259" s="425" t="s">
        <v>1738</v>
      </c>
      <c r="E259" s="296" t="s">
        <v>1672</v>
      </c>
      <c r="F259" s="296" t="s">
        <v>1707</v>
      </c>
      <c r="G259" s="296" t="s">
        <v>1675</v>
      </c>
      <c r="H259" s="296" t="s">
        <v>1790</v>
      </c>
      <c r="I259" s="296" t="s">
        <v>1672</v>
      </c>
      <c r="J259" s="425" t="s">
        <v>1738</v>
      </c>
      <c r="K259" s="296" t="s">
        <v>1758</v>
      </c>
      <c r="L259" s="296" t="s">
        <v>1791</v>
      </c>
      <c r="M259" s="296" t="s">
        <v>1707</v>
      </c>
      <c r="N259" s="296" t="s">
        <v>1738</v>
      </c>
    </row>
    <row r="260" spans="2:14" ht="31.5">
      <c r="B260" s="636" t="s">
        <v>1689</v>
      </c>
      <c r="C260" s="423" t="s">
        <v>1713</v>
      </c>
      <c r="D260" s="296" t="s">
        <v>1672</v>
      </c>
      <c r="E260" s="296" t="s">
        <v>1672</v>
      </c>
      <c r="F260" s="423" t="s">
        <v>1713</v>
      </c>
      <c r="G260" s="296" t="s">
        <v>1675</v>
      </c>
      <c r="H260" s="423" t="s">
        <v>1713</v>
      </c>
      <c r="I260" s="423" t="s">
        <v>1713</v>
      </c>
      <c r="J260" s="296" t="s">
        <v>1675</v>
      </c>
      <c r="K260" s="296" t="s">
        <v>1672</v>
      </c>
      <c r="L260" s="296" t="s">
        <v>1723</v>
      </c>
      <c r="M260" s="296" t="s">
        <v>1723</v>
      </c>
      <c r="N260" s="423" t="s">
        <v>1678</v>
      </c>
    </row>
    <row r="261" spans="2:14" ht="31.5">
      <c r="B261" s="636" t="s">
        <v>1690</v>
      </c>
      <c r="C261" s="423" t="s">
        <v>1751</v>
      </c>
      <c r="D261" s="296" t="s">
        <v>1672</v>
      </c>
      <c r="E261" s="423" t="s">
        <v>1678</v>
      </c>
      <c r="F261" s="296" t="s">
        <v>1675</v>
      </c>
      <c r="G261" s="296" t="s">
        <v>1675</v>
      </c>
      <c r="H261" s="296" t="s">
        <v>1672</v>
      </c>
      <c r="I261" s="296" t="s">
        <v>1732</v>
      </c>
      <c r="J261" s="296" t="s">
        <v>1675</v>
      </c>
      <c r="K261" s="296" t="s">
        <v>1672</v>
      </c>
      <c r="L261" s="423" t="s">
        <v>1713</v>
      </c>
      <c r="M261" s="296" t="s">
        <v>1771</v>
      </c>
      <c r="N261" s="296" t="s">
        <v>1673</v>
      </c>
    </row>
    <row r="262" spans="2:14" ht="31.5">
      <c r="B262" s="636" t="s">
        <v>1691</v>
      </c>
      <c r="C262" s="296" t="s">
        <v>1674</v>
      </c>
      <c r="D262" s="296" t="s">
        <v>1672</v>
      </c>
      <c r="E262" s="423" t="s">
        <v>1678</v>
      </c>
      <c r="F262" s="296" t="s">
        <v>1675</v>
      </c>
      <c r="G262" s="296" t="s">
        <v>1675</v>
      </c>
      <c r="H262" s="296" t="s">
        <v>1672</v>
      </c>
      <c r="I262" s="423" t="s">
        <v>1713</v>
      </c>
      <c r="J262" s="296" t="s">
        <v>1715</v>
      </c>
      <c r="K262" s="296" t="s">
        <v>1672</v>
      </c>
      <c r="L262" s="296" t="s">
        <v>1672</v>
      </c>
      <c r="M262" s="296" t="s">
        <v>1672</v>
      </c>
      <c r="N262" s="423" t="s">
        <v>1713</v>
      </c>
    </row>
    <row r="263" spans="2:14">
      <c r="B263" s="636" t="s">
        <v>1692</v>
      </c>
      <c r="C263" s="296"/>
      <c r="D263" s="296"/>
      <c r="E263" s="296" t="s">
        <v>1674</v>
      </c>
      <c r="F263" s="296"/>
      <c r="G263" s="296"/>
      <c r="H263" s="296"/>
      <c r="I263" s="296" t="s">
        <v>1672</v>
      </c>
      <c r="J263" s="296" t="s">
        <v>1672</v>
      </c>
      <c r="K263" s="296"/>
      <c r="L263" s="296"/>
      <c r="M263" s="296" t="s">
        <v>1672</v>
      </c>
      <c r="N263" s="423" t="s">
        <v>1678</v>
      </c>
    </row>
    <row r="264" spans="2:14">
      <c r="B264" s="636" t="s">
        <v>1693</v>
      </c>
      <c r="C264" s="296"/>
      <c r="D264" s="296"/>
      <c r="E264" s="296"/>
      <c r="F264" s="296"/>
      <c r="G264" s="296"/>
      <c r="H264" s="296"/>
      <c r="I264" s="296"/>
      <c r="J264" s="296"/>
      <c r="K264" s="296"/>
      <c r="L264" s="296"/>
      <c r="M264" s="296"/>
      <c r="N264" s="296" t="s">
        <v>1672</v>
      </c>
    </row>
    <row r="265" spans="2:14">
      <c r="B265" s="422"/>
      <c r="C265" s="422"/>
      <c r="D265" s="422"/>
      <c r="E265" s="422"/>
      <c r="F265" s="422"/>
      <c r="G265" s="422"/>
      <c r="H265" s="422"/>
      <c r="I265" s="422"/>
      <c r="J265" s="422"/>
      <c r="K265" s="422"/>
      <c r="L265" s="422"/>
      <c r="M265" s="422"/>
      <c r="N265" s="422"/>
    </row>
    <row r="266" spans="2:14">
      <c r="B266" s="634" t="s">
        <v>143</v>
      </c>
      <c r="C266" s="635" t="s">
        <v>1</v>
      </c>
      <c r="D266" s="635" t="s">
        <v>2</v>
      </c>
      <c r="E266" s="635" t="s">
        <v>3</v>
      </c>
      <c r="F266" s="635" t="s">
        <v>4</v>
      </c>
      <c r="G266" s="635" t="s">
        <v>5</v>
      </c>
      <c r="H266" s="635" t="s">
        <v>6</v>
      </c>
      <c r="I266" s="635" t="s">
        <v>7</v>
      </c>
      <c r="J266" s="635" t="s">
        <v>8</v>
      </c>
      <c r="K266" s="635" t="s">
        <v>9</v>
      </c>
      <c r="L266" s="635" t="s">
        <v>10</v>
      </c>
      <c r="M266" s="635" t="s">
        <v>36</v>
      </c>
      <c r="N266" s="635" t="s">
        <v>37</v>
      </c>
    </row>
    <row r="267" spans="2:14" ht="47.25">
      <c r="B267" s="636" t="s">
        <v>1688</v>
      </c>
      <c r="C267" s="423" t="s">
        <v>1678</v>
      </c>
      <c r="D267" s="423" t="s">
        <v>1774</v>
      </c>
      <c r="E267" s="425" t="s">
        <v>1738</v>
      </c>
      <c r="F267" s="296" t="s">
        <v>1738</v>
      </c>
      <c r="G267" s="296" t="s">
        <v>1677</v>
      </c>
      <c r="H267" s="296" t="s">
        <v>1705</v>
      </c>
      <c r="I267" s="296" t="s">
        <v>1738</v>
      </c>
      <c r="J267" s="296" t="s">
        <v>1680</v>
      </c>
      <c r="K267" s="296" t="s">
        <v>1677</v>
      </c>
      <c r="L267" s="296" t="s">
        <v>1672</v>
      </c>
      <c r="M267" s="296" t="s">
        <v>1767</v>
      </c>
      <c r="N267" s="296" t="s">
        <v>1738</v>
      </c>
    </row>
    <row r="268" spans="2:14" ht="63">
      <c r="B268" s="636" t="s">
        <v>1689</v>
      </c>
      <c r="C268" s="296" t="s">
        <v>1792</v>
      </c>
      <c r="D268" s="296" t="s">
        <v>1680</v>
      </c>
      <c r="E268" s="296" t="s">
        <v>1675</v>
      </c>
      <c r="F268" s="423" t="s">
        <v>1678</v>
      </c>
      <c r="G268" s="296" t="s">
        <v>1672</v>
      </c>
      <c r="H268" s="296" t="s">
        <v>1738</v>
      </c>
      <c r="I268" s="296" t="s">
        <v>1672</v>
      </c>
      <c r="J268" s="423" t="s">
        <v>1718</v>
      </c>
      <c r="K268" s="296" t="s">
        <v>1761</v>
      </c>
      <c r="L268" s="296" t="s">
        <v>1677</v>
      </c>
      <c r="M268" s="296" t="s">
        <v>1672</v>
      </c>
      <c r="N268" s="296" t="s">
        <v>1672</v>
      </c>
    </row>
    <row r="269" spans="2:14" ht="31.5">
      <c r="B269" s="636" t="s">
        <v>1690</v>
      </c>
      <c r="C269" s="423" t="s">
        <v>1678</v>
      </c>
      <c r="D269" s="296" t="s">
        <v>1675</v>
      </c>
      <c r="E269" s="296" t="s">
        <v>1675</v>
      </c>
      <c r="F269" s="296" t="s">
        <v>1672</v>
      </c>
      <c r="G269" s="296" t="s">
        <v>1672</v>
      </c>
      <c r="H269" s="296" t="s">
        <v>1672</v>
      </c>
      <c r="I269" s="296" t="s">
        <v>1672</v>
      </c>
      <c r="J269" s="296" t="s">
        <v>1675</v>
      </c>
      <c r="K269" s="296" t="s">
        <v>1672</v>
      </c>
      <c r="L269" s="296" t="s">
        <v>1674</v>
      </c>
      <c r="M269" s="296" t="s">
        <v>1672</v>
      </c>
      <c r="N269" s="423" t="s">
        <v>1774</v>
      </c>
    </row>
    <row r="270" spans="2:14" ht="31.5">
      <c r="B270" s="636" t="s">
        <v>1691</v>
      </c>
      <c r="C270" s="296" t="s">
        <v>1672</v>
      </c>
      <c r="D270" s="423" t="s">
        <v>1713</v>
      </c>
      <c r="E270" s="296" t="s">
        <v>1675</v>
      </c>
      <c r="F270" s="296" t="s">
        <v>1679</v>
      </c>
      <c r="G270" s="296" t="s">
        <v>1672</v>
      </c>
      <c r="H270" s="296" t="s">
        <v>1672</v>
      </c>
      <c r="I270" s="296"/>
      <c r="J270" s="296" t="s">
        <v>1675</v>
      </c>
      <c r="K270" s="296" t="s">
        <v>1672</v>
      </c>
      <c r="L270" s="296"/>
      <c r="M270" s="423" t="s">
        <v>1678</v>
      </c>
      <c r="N270" s="296" t="s">
        <v>1674</v>
      </c>
    </row>
    <row r="271" spans="2:14">
      <c r="B271" s="636" t="s">
        <v>1692</v>
      </c>
      <c r="C271" s="296"/>
      <c r="D271" s="423" t="s">
        <v>1678</v>
      </c>
      <c r="E271" s="296"/>
      <c r="F271" s="423" t="s">
        <v>1678</v>
      </c>
      <c r="G271" s="296" t="s">
        <v>1672</v>
      </c>
      <c r="H271" s="296"/>
      <c r="I271" s="296"/>
      <c r="J271" s="296"/>
      <c r="K271" s="296"/>
      <c r="L271" s="296"/>
      <c r="M271" s="296" t="s">
        <v>1672</v>
      </c>
      <c r="N271" s="296" t="s">
        <v>1701</v>
      </c>
    </row>
    <row r="272" spans="2:14">
      <c r="B272" s="636" t="s">
        <v>1693</v>
      </c>
      <c r="C272" s="296"/>
      <c r="D272" s="296" t="s">
        <v>1675</v>
      </c>
      <c r="E272" s="296"/>
      <c r="F272" s="296" t="s">
        <v>1672</v>
      </c>
      <c r="G272" s="296"/>
      <c r="H272" s="296"/>
      <c r="I272" s="296"/>
      <c r="J272" s="296"/>
      <c r="K272" s="296"/>
      <c r="L272" s="296"/>
      <c r="M272" s="296"/>
      <c r="N272" s="423" t="s">
        <v>1678</v>
      </c>
    </row>
    <row r="273" spans="2:14" ht="31.5">
      <c r="B273" s="636" t="s">
        <v>1694</v>
      </c>
      <c r="C273" s="296"/>
      <c r="D273" s="296"/>
      <c r="E273" s="296"/>
      <c r="F273" s="296"/>
      <c r="G273" s="296"/>
      <c r="H273" s="296"/>
      <c r="I273" s="296"/>
      <c r="J273" s="296"/>
      <c r="K273" s="296"/>
      <c r="L273" s="296"/>
      <c r="M273" s="296"/>
      <c r="N273" s="296" t="s">
        <v>1733</v>
      </c>
    </row>
    <row r="274" spans="2:14">
      <c r="B274" s="422"/>
      <c r="C274" s="422"/>
      <c r="D274" s="422"/>
      <c r="E274" s="422"/>
      <c r="F274" s="422"/>
      <c r="G274" s="422"/>
      <c r="H274" s="422"/>
      <c r="I274" s="422"/>
      <c r="J274" s="422"/>
      <c r="K274" s="422"/>
      <c r="L274" s="422"/>
      <c r="M274" s="422"/>
      <c r="N274" s="422"/>
    </row>
    <row r="275" spans="2:14">
      <c r="B275" s="634" t="s">
        <v>144</v>
      </c>
      <c r="C275" s="635" t="s">
        <v>1</v>
      </c>
      <c r="D275" s="635" t="s">
        <v>2</v>
      </c>
      <c r="E275" s="635" t="s">
        <v>3</v>
      </c>
      <c r="F275" s="635" t="s">
        <v>4</v>
      </c>
      <c r="G275" s="635" t="s">
        <v>5</v>
      </c>
      <c r="H275" s="635" t="s">
        <v>6</v>
      </c>
      <c r="I275" s="635" t="s">
        <v>7</v>
      </c>
      <c r="J275" s="635" t="s">
        <v>8</v>
      </c>
      <c r="K275" s="635" t="s">
        <v>9</v>
      </c>
      <c r="L275" s="635" t="s">
        <v>10</v>
      </c>
      <c r="M275" s="635" t="s">
        <v>36</v>
      </c>
      <c r="N275" s="635" t="s">
        <v>37</v>
      </c>
    </row>
    <row r="276" spans="2:14" ht="47.25">
      <c r="B276" s="636" t="s">
        <v>1688</v>
      </c>
      <c r="C276" s="423" t="s">
        <v>1678</v>
      </c>
      <c r="D276" s="296" t="s">
        <v>1727</v>
      </c>
      <c r="E276" s="296" t="s">
        <v>1719</v>
      </c>
      <c r="F276" s="296" t="s">
        <v>1738</v>
      </c>
      <c r="G276" s="296" t="s">
        <v>1676</v>
      </c>
      <c r="H276" s="296" t="s">
        <v>1738</v>
      </c>
      <c r="I276" s="296" t="s">
        <v>1679</v>
      </c>
      <c r="J276" s="296" t="s">
        <v>1707</v>
      </c>
      <c r="K276" s="296" t="s">
        <v>1675</v>
      </c>
      <c r="L276" s="296" t="s">
        <v>1675</v>
      </c>
      <c r="M276" s="423" t="s">
        <v>1678</v>
      </c>
      <c r="N276" s="425" t="s">
        <v>1738</v>
      </c>
    </row>
    <row r="277" spans="2:14" ht="47.25">
      <c r="B277" s="636" t="s">
        <v>1689</v>
      </c>
      <c r="C277" s="296" t="s">
        <v>1793</v>
      </c>
      <c r="D277" s="296" t="s">
        <v>1672</v>
      </c>
      <c r="E277" s="296" t="s">
        <v>1672</v>
      </c>
      <c r="F277" s="296" t="s">
        <v>1701</v>
      </c>
      <c r="G277" s="296" t="s">
        <v>1705</v>
      </c>
      <c r="H277" s="296" t="s">
        <v>1672</v>
      </c>
      <c r="I277" s="296" t="s">
        <v>1672</v>
      </c>
      <c r="J277" s="423" t="s">
        <v>1713</v>
      </c>
      <c r="K277" s="296" t="s">
        <v>1675</v>
      </c>
      <c r="L277" s="296" t="s">
        <v>1675</v>
      </c>
      <c r="M277" s="296" t="s">
        <v>1795</v>
      </c>
      <c r="N277" s="423" t="s">
        <v>1678</v>
      </c>
    </row>
    <row r="278" spans="2:14" ht="31.5">
      <c r="B278" s="636" t="s">
        <v>1690</v>
      </c>
      <c r="C278" s="422" t="s">
        <v>1672</v>
      </c>
      <c r="D278" s="423" t="s">
        <v>1713</v>
      </c>
      <c r="E278" s="296" t="s">
        <v>1672</v>
      </c>
      <c r="F278" s="296" t="s">
        <v>1701</v>
      </c>
      <c r="G278" s="296" t="s">
        <v>1748</v>
      </c>
      <c r="H278" s="296" t="s">
        <v>1672</v>
      </c>
      <c r="I278" s="296" t="s">
        <v>1674</v>
      </c>
      <c r="J278" s="296" t="s">
        <v>1675</v>
      </c>
      <c r="K278" s="423" t="s">
        <v>1678</v>
      </c>
      <c r="L278" s="296" t="s">
        <v>1675</v>
      </c>
      <c r="M278" s="423" t="s">
        <v>1713</v>
      </c>
      <c r="N278" s="423" t="s">
        <v>1713</v>
      </c>
    </row>
    <row r="279" spans="2:14" ht="31.5">
      <c r="B279" s="636" t="s">
        <v>1691</v>
      </c>
      <c r="C279" s="296" t="s">
        <v>1672</v>
      </c>
      <c r="D279" s="296"/>
      <c r="E279" s="296" t="s">
        <v>1674</v>
      </c>
      <c r="F279" s="296"/>
      <c r="G279" s="296" t="s">
        <v>1672</v>
      </c>
      <c r="H279" s="423" t="s">
        <v>1678</v>
      </c>
      <c r="I279" s="296"/>
      <c r="J279" s="296" t="s">
        <v>1674</v>
      </c>
      <c r="K279" s="296" t="s">
        <v>1675</v>
      </c>
      <c r="L279" s="423" t="s">
        <v>1794</v>
      </c>
      <c r="M279" s="423" t="s">
        <v>1713</v>
      </c>
      <c r="N279" s="423" t="s">
        <v>1713</v>
      </c>
    </row>
    <row r="280" spans="2:14" ht="31.5">
      <c r="B280" s="636" t="s">
        <v>1692</v>
      </c>
      <c r="C280" s="296" t="s">
        <v>1701</v>
      </c>
      <c r="D280" s="296"/>
      <c r="E280" s="296"/>
      <c r="F280" s="296"/>
      <c r="G280" s="296"/>
      <c r="H280" s="296"/>
      <c r="I280" s="296"/>
      <c r="J280" s="296" t="s">
        <v>1675</v>
      </c>
      <c r="K280" s="296" t="s">
        <v>1677</v>
      </c>
      <c r="L280" s="423" t="s">
        <v>1794</v>
      </c>
      <c r="M280" s="296"/>
      <c r="N280" s="423" t="s">
        <v>1678</v>
      </c>
    </row>
    <row r="281" spans="2:14">
      <c r="B281" s="636" t="s">
        <v>1693</v>
      </c>
      <c r="C281" s="296" t="s">
        <v>1672</v>
      </c>
      <c r="D281" s="296"/>
      <c r="E281" s="296"/>
      <c r="F281" s="296"/>
      <c r="G281" s="296"/>
      <c r="H281" s="296"/>
      <c r="I281" s="296"/>
      <c r="J281" s="296"/>
      <c r="K281" s="423" t="s">
        <v>1678</v>
      </c>
      <c r="L281" s="296"/>
      <c r="M281" s="296"/>
      <c r="N281" s="296" t="s">
        <v>1672</v>
      </c>
    </row>
    <row r="282" spans="2:14">
      <c r="B282" s="636" t="s">
        <v>1694</v>
      </c>
      <c r="C282" s="296"/>
      <c r="D282" s="296"/>
      <c r="E282" s="296"/>
      <c r="F282" s="296"/>
      <c r="G282" s="296"/>
      <c r="H282" s="296"/>
      <c r="I282" s="296"/>
      <c r="J282" s="296"/>
      <c r="K282" s="296" t="s">
        <v>1672</v>
      </c>
      <c r="L282" s="296"/>
      <c r="M282" s="296"/>
      <c r="N282" s="296"/>
    </row>
    <row r="283" spans="2:14">
      <c r="B283" s="422"/>
      <c r="C283" s="422"/>
      <c r="D283" s="422"/>
      <c r="E283" s="422"/>
      <c r="F283" s="422"/>
      <c r="G283" s="422"/>
      <c r="H283" s="422"/>
      <c r="I283" s="422"/>
      <c r="J283" s="422"/>
      <c r="K283" s="422"/>
      <c r="L283" s="422"/>
      <c r="M283" s="422"/>
      <c r="N283" s="422"/>
    </row>
    <row r="284" spans="2:14">
      <c r="B284" s="634" t="s">
        <v>145</v>
      </c>
      <c r="C284" s="635" t="s">
        <v>1</v>
      </c>
      <c r="D284" s="635" t="s">
        <v>2</v>
      </c>
      <c r="E284" s="635" t="s">
        <v>3</v>
      </c>
      <c r="F284" s="635" t="s">
        <v>4</v>
      </c>
      <c r="G284" s="635" t="s">
        <v>5</v>
      </c>
      <c r="H284" s="635" t="s">
        <v>6</v>
      </c>
      <c r="I284" s="635" t="s">
        <v>7</v>
      </c>
      <c r="J284" s="635" t="s">
        <v>8</v>
      </c>
      <c r="K284" s="635" t="s">
        <v>9</v>
      </c>
      <c r="L284" s="635" t="s">
        <v>10</v>
      </c>
      <c r="M284" s="635" t="s">
        <v>36</v>
      </c>
      <c r="N284" s="635" t="s">
        <v>37</v>
      </c>
    </row>
    <row r="285" spans="2:14" ht="47.25">
      <c r="B285" s="636" t="s">
        <v>1688</v>
      </c>
      <c r="C285" s="423" t="s">
        <v>1678</v>
      </c>
      <c r="D285" s="296" t="s">
        <v>1675</v>
      </c>
      <c r="E285" s="296" t="s">
        <v>1773</v>
      </c>
      <c r="F285" s="296" t="s">
        <v>1707</v>
      </c>
      <c r="G285" s="296" t="s">
        <v>1744</v>
      </c>
      <c r="H285" s="296" t="s">
        <v>1793</v>
      </c>
      <c r="I285" s="296" t="s">
        <v>1739</v>
      </c>
      <c r="J285" s="296" t="s">
        <v>1672</v>
      </c>
      <c r="K285" s="296" t="s">
        <v>1760</v>
      </c>
      <c r="L285" s="296" t="s">
        <v>1672</v>
      </c>
      <c r="M285" s="296" t="s">
        <v>1702</v>
      </c>
      <c r="N285" s="296" t="s">
        <v>1773</v>
      </c>
    </row>
    <row r="286" spans="2:14" ht="47.25">
      <c r="B286" s="636" t="s">
        <v>1689</v>
      </c>
      <c r="C286" s="296" t="s">
        <v>1731</v>
      </c>
      <c r="D286" s="296" t="s">
        <v>1679</v>
      </c>
      <c r="E286" s="296" t="s">
        <v>1672</v>
      </c>
      <c r="F286" s="296" t="s">
        <v>1715</v>
      </c>
      <c r="G286" s="423" t="s">
        <v>1713</v>
      </c>
      <c r="H286" s="296" t="s">
        <v>1672</v>
      </c>
      <c r="I286" s="296" t="s">
        <v>1672</v>
      </c>
      <c r="J286" s="296" t="s">
        <v>1672</v>
      </c>
      <c r="K286" s="296" t="s">
        <v>1672</v>
      </c>
      <c r="L286" s="296" t="s">
        <v>1672</v>
      </c>
      <c r="M286" s="296" t="s">
        <v>1677</v>
      </c>
      <c r="N286" s="423" t="s">
        <v>1678</v>
      </c>
    </row>
    <row r="287" spans="2:14" ht="47.25">
      <c r="B287" s="636" t="s">
        <v>1690</v>
      </c>
      <c r="C287" s="296" t="s">
        <v>1731</v>
      </c>
      <c r="D287" s="296" t="s">
        <v>1672</v>
      </c>
      <c r="E287" s="296" t="s">
        <v>1674</v>
      </c>
      <c r="F287" s="296" t="s">
        <v>1672</v>
      </c>
      <c r="G287" s="296" t="s">
        <v>1675</v>
      </c>
      <c r="H287" s="296" t="s">
        <v>1672</v>
      </c>
      <c r="I287" s="296" t="s">
        <v>1672</v>
      </c>
      <c r="J287" s="296" t="s">
        <v>1672</v>
      </c>
      <c r="K287" s="296" t="s">
        <v>1672</v>
      </c>
      <c r="L287" s="296" t="s">
        <v>1672</v>
      </c>
      <c r="M287" s="296" t="s">
        <v>1672</v>
      </c>
      <c r="N287" s="296" t="s">
        <v>1771</v>
      </c>
    </row>
    <row r="288" spans="2:14" ht="47.25">
      <c r="B288" s="636" t="s">
        <v>1691</v>
      </c>
      <c r="C288" s="296" t="s">
        <v>1731</v>
      </c>
      <c r="D288" s="296"/>
      <c r="E288" s="296"/>
      <c r="F288" s="296"/>
      <c r="G288" s="296" t="s">
        <v>1675</v>
      </c>
      <c r="H288" s="296" t="s">
        <v>1672</v>
      </c>
      <c r="I288" s="423" t="s">
        <v>1713</v>
      </c>
      <c r="J288" s="296" t="s">
        <v>1674</v>
      </c>
      <c r="K288" s="296"/>
      <c r="L288" s="296" t="s">
        <v>1701</v>
      </c>
      <c r="M288" s="296" t="s">
        <v>1672</v>
      </c>
      <c r="N288" s="423" t="s">
        <v>1678</v>
      </c>
    </row>
    <row r="289" spans="2:14" ht="31.5">
      <c r="B289" s="636" t="s">
        <v>1692</v>
      </c>
      <c r="C289" s="423" t="s">
        <v>1713</v>
      </c>
      <c r="D289" s="296"/>
      <c r="E289" s="296"/>
      <c r="F289" s="296"/>
      <c r="G289" s="296"/>
      <c r="H289" s="296"/>
      <c r="I289" s="296"/>
      <c r="J289" s="296"/>
      <c r="K289" s="296"/>
      <c r="L289" s="296"/>
      <c r="M289" s="296"/>
      <c r="N289" s="422" t="s">
        <v>1672</v>
      </c>
    </row>
    <row r="290" spans="2:14" ht="31.5">
      <c r="B290" s="636" t="s">
        <v>1693</v>
      </c>
      <c r="C290" s="296"/>
      <c r="D290" s="296"/>
      <c r="E290" s="296"/>
      <c r="F290" s="296"/>
      <c r="G290" s="296"/>
      <c r="H290" s="296"/>
      <c r="I290" s="296"/>
      <c r="J290" s="296"/>
      <c r="K290" s="296"/>
      <c r="L290" s="296"/>
      <c r="M290" s="296"/>
      <c r="N290" s="296" t="s">
        <v>1796</v>
      </c>
    </row>
    <row r="291" spans="2:14">
      <c r="B291" s="422"/>
      <c r="C291" s="422"/>
      <c r="D291" s="422"/>
      <c r="E291" s="422"/>
      <c r="F291" s="422"/>
      <c r="G291" s="422"/>
      <c r="H291" s="422"/>
      <c r="I291" s="422"/>
      <c r="J291" s="422"/>
      <c r="K291" s="422"/>
      <c r="L291" s="422"/>
      <c r="M291" s="422"/>
      <c r="N291" s="422"/>
    </row>
    <row r="292" spans="2:14">
      <c r="B292" s="634" t="s">
        <v>146</v>
      </c>
      <c r="C292" s="635" t="s">
        <v>1</v>
      </c>
      <c r="D292" s="635" t="s">
        <v>2</v>
      </c>
      <c r="E292" s="635" t="s">
        <v>3</v>
      </c>
      <c r="F292" s="635" t="s">
        <v>4</v>
      </c>
      <c r="G292" s="635" t="s">
        <v>5</v>
      </c>
      <c r="H292" s="635" t="s">
        <v>6</v>
      </c>
      <c r="I292" s="635" t="s">
        <v>7</v>
      </c>
      <c r="J292" s="635" t="s">
        <v>8</v>
      </c>
      <c r="K292" s="635" t="s">
        <v>9</v>
      </c>
      <c r="L292" s="635" t="s">
        <v>10</v>
      </c>
      <c r="M292" s="635" t="s">
        <v>36</v>
      </c>
      <c r="N292" s="635" t="s">
        <v>37</v>
      </c>
    </row>
    <row r="293" spans="2:14" ht="63">
      <c r="B293" s="636" t="s">
        <v>1688</v>
      </c>
      <c r="C293" s="423" t="s">
        <v>1678</v>
      </c>
      <c r="D293" s="296" t="s">
        <v>1738</v>
      </c>
      <c r="E293" s="296" t="s">
        <v>1672</v>
      </c>
      <c r="F293" s="296" t="s">
        <v>1738</v>
      </c>
      <c r="G293" s="296" t="s">
        <v>1672</v>
      </c>
      <c r="H293" s="296" t="s">
        <v>1738</v>
      </c>
      <c r="I293" s="296" t="s">
        <v>1738</v>
      </c>
      <c r="J293" s="296" t="s">
        <v>1672</v>
      </c>
      <c r="K293" s="296" t="s">
        <v>1801</v>
      </c>
      <c r="L293" s="296" t="s">
        <v>1738</v>
      </c>
      <c r="M293" s="296" t="s">
        <v>1802</v>
      </c>
      <c r="N293" s="423" t="s">
        <v>1774</v>
      </c>
    </row>
    <row r="294" spans="2:14" ht="47.25">
      <c r="B294" s="636" t="s">
        <v>1689</v>
      </c>
      <c r="C294" s="296" t="s">
        <v>1738</v>
      </c>
      <c r="D294" s="296" t="s">
        <v>1673</v>
      </c>
      <c r="E294" s="296" t="s">
        <v>1722</v>
      </c>
      <c r="F294" s="296" t="s">
        <v>1749</v>
      </c>
      <c r="G294" s="296" t="s">
        <v>1672</v>
      </c>
      <c r="H294" s="296" t="s">
        <v>1701</v>
      </c>
      <c r="I294" s="296" t="s">
        <v>1672</v>
      </c>
      <c r="J294" s="296" t="s">
        <v>1672</v>
      </c>
      <c r="K294" s="296" t="s">
        <v>1753</v>
      </c>
      <c r="L294" s="296" t="s">
        <v>1675</v>
      </c>
      <c r="M294" s="423" t="s">
        <v>1718</v>
      </c>
      <c r="N294" s="296" t="s">
        <v>1672</v>
      </c>
    </row>
    <row r="295" spans="2:14" ht="31.5">
      <c r="B295" s="636" t="s">
        <v>1690</v>
      </c>
      <c r="C295" s="296" t="s">
        <v>1672</v>
      </c>
      <c r="D295" s="296" t="s">
        <v>1672</v>
      </c>
      <c r="E295" s="296" t="s">
        <v>1672</v>
      </c>
      <c r="F295" s="296" t="s">
        <v>1701</v>
      </c>
      <c r="G295" s="423" t="s">
        <v>1774</v>
      </c>
      <c r="H295" s="296" t="s">
        <v>1672</v>
      </c>
      <c r="I295" s="296" t="s">
        <v>1672</v>
      </c>
      <c r="J295" s="296"/>
      <c r="K295" s="423" t="s">
        <v>1678</v>
      </c>
      <c r="L295" s="296" t="s">
        <v>1675</v>
      </c>
      <c r="M295" s="423" t="s">
        <v>1718</v>
      </c>
      <c r="N295" s="423" t="s">
        <v>1678</v>
      </c>
    </row>
    <row r="296" spans="2:14" ht="31.5">
      <c r="B296" s="636" t="s">
        <v>1691</v>
      </c>
      <c r="C296" s="296" t="s">
        <v>1800</v>
      </c>
      <c r="D296" s="296" t="s">
        <v>1672</v>
      </c>
      <c r="E296" s="296" t="s">
        <v>1672</v>
      </c>
      <c r="F296" s="296"/>
      <c r="G296" s="296"/>
      <c r="H296" s="296" t="s">
        <v>1674</v>
      </c>
      <c r="I296" s="423" t="s">
        <v>1774</v>
      </c>
      <c r="J296" s="296"/>
      <c r="K296" s="296" t="s">
        <v>1672</v>
      </c>
      <c r="L296" s="296" t="s">
        <v>1675</v>
      </c>
      <c r="M296" s="296" t="s">
        <v>1675</v>
      </c>
      <c r="N296" s="423" t="s">
        <v>1774</v>
      </c>
    </row>
    <row r="297" spans="2:14" ht="31.5">
      <c r="B297" s="636" t="s">
        <v>1692</v>
      </c>
      <c r="C297" s="296" t="s">
        <v>1674</v>
      </c>
      <c r="D297" s="423" t="s">
        <v>1774</v>
      </c>
      <c r="E297" s="296"/>
      <c r="F297" s="296"/>
      <c r="G297" s="296"/>
      <c r="H297" s="296" t="s">
        <v>1672</v>
      </c>
      <c r="I297" s="296"/>
      <c r="J297" s="296"/>
      <c r="K297" s="296" t="s">
        <v>1672</v>
      </c>
      <c r="L297" s="296"/>
      <c r="M297" s="296" t="s">
        <v>1675</v>
      </c>
      <c r="N297" s="296" t="s">
        <v>1672</v>
      </c>
    </row>
    <row r="298" spans="2:14">
      <c r="B298" s="422"/>
      <c r="C298" s="422"/>
      <c r="D298" s="422"/>
      <c r="E298" s="422"/>
      <c r="F298" s="422"/>
      <c r="G298" s="422"/>
      <c r="H298" s="422"/>
      <c r="I298" s="422"/>
      <c r="J298" s="422"/>
      <c r="K298" s="422"/>
      <c r="L298" s="422"/>
      <c r="M298" s="422"/>
      <c r="N298" s="422"/>
    </row>
    <row r="299" spans="2:14">
      <c r="B299" s="634" t="s">
        <v>147</v>
      </c>
      <c r="C299" s="635" t="s">
        <v>1</v>
      </c>
      <c r="D299" s="635" t="s">
        <v>2</v>
      </c>
      <c r="E299" s="635" t="s">
        <v>3</v>
      </c>
      <c r="F299" s="635" t="s">
        <v>4</v>
      </c>
      <c r="G299" s="635" t="s">
        <v>5</v>
      </c>
      <c r="H299" s="635" t="s">
        <v>6</v>
      </c>
      <c r="I299" s="635" t="s">
        <v>7</v>
      </c>
      <c r="J299" s="635" t="s">
        <v>8</v>
      </c>
      <c r="K299" s="635" t="s">
        <v>9</v>
      </c>
      <c r="L299" s="635" t="s">
        <v>10</v>
      </c>
      <c r="M299" s="635" t="s">
        <v>36</v>
      </c>
      <c r="N299" s="635" t="s">
        <v>37</v>
      </c>
    </row>
    <row r="300" spans="2:14" ht="63">
      <c r="B300" s="636" t="s">
        <v>1688</v>
      </c>
      <c r="C300" s="296" t="s">
        <v>1674</v>
      </c>
      <c r="D300" s="296" t="s">
        <v>1803</v>
      </c>
      <c r="E300" s="296" t="s">
        <v>1707</v>
      </c>
      <c r="F300" s="296" t="s">
        <v>1804</v>
      </c>
      <c r="G300" s="296" t="s">
        <v>1738</v>
      </c>
      <c r="H300" s="423" t="s">
        <v>1805</v>
      </c>
      <c r="I300" s="296" t="s">
        <v>1675</v>
      </c>
      <c r="J300" s="296" t="s">
        <v>1738</v>
      </c>
      <c r="K300" s="296" t="s">
        <v>1724</v>
      </c>
      <c r="L300" s="296" t="s">
        <v>1707</v>
      </c>
      <c r="M300" s="296" t="s">
        <v>1806</v>
      </c>
      <c r="N300" s="296" t="s">
        <v>1753</v>
      </c>
    </row>
    <row r="301" spans="2:14" ht="47.25">
      <c r="B301" s="636" t="s">
        <v>1689</v>
      </c>
      <c r="C301" s="296" t="s">
        <v>1675</v>
      </c>
      <c r="D301" s="296" t="s">
        <v>1701</v>
      </c>
      <c r="E301" s="296" t="s">
        <v>1701</v>
      </c>
      <c r="F301" s="296" t="s">
        <v>1672</v>
      </c>
      <c r="G301" s="296" t="s">
        <v>1749</v>
      </c>
      <c r="H301" s="296" t="s">
        <v>1675</v>
      </c>
      <c r="I301" s="296" t="s">
        <v>1672</v>
      </c>
      <c r="J301" s="296" t="s">
        <v>1677</v>
      </c>
      <c r="K301" s="423" t="s">
        <v>1718</v>
      </c>
      <c r="L301" s="296" t="s">
        <v>1715</v>
      </c>
      <c r="M301" s="296" t="s">
        <v>1675</v>
      </c>
      <c r="N301" s="296" t="s">
        <v>1758</v>
      </c>
    </row>
    <row r="302" spans="2:14" ht="31.5">
      <c r="B302" s="636" t="s">
        <v>1690</v>
      </c>
      <c r="C302" s="296" t="s">
        <v>1683</v>
      </c>
      <c r="D302" s="296"/>
      <c r="E302" s="296" t="s">
        <v>1675</v>
      </c>
      <c r="F302" s="296"/>
      <c r="G302" s="296" t="s">
        <v>1672</v>
      </c>
      <c r="H302" s="296" t="s">
        <v>1675</v>
      </c>
      <c r="I302" s="296" t="s">
        <v>1674</v>
      </c>
      <c r="J302" s="296" t="s">
        <v>1705</v>
      </c>
      <c r="K302" s="296" t="s">
        <v>1715</v>
      </c>
      <c r="L302" s="296" t="s">
        <v>1672</v>
      </c>
      <c r="M302" s="296" t="s">
        <v>1672</v>
      </c>
      <c r="N302" s="296" t="s">
        <v>1672</v>
      </c>
    </row>
    <row r="303" spans="2:14" ht="31.5">
      <c r="B303" s="636" t="s">
        <v>1691</v>
      </c>
      <c r="C303" s="296" t="s">
        <v>1701</v>
      </c>
      <c r="D303" s="296"/>
      <c r="E303" s="296" t="s">
        <v>1675</v>
      </c>
      <c r="F303" s="296"/>
      <c r="G303" s="296"/>
      <c r="H303" s="296" t="s">
        <v>1674</v>
      </c>
      <c r="I303" s="296"/>
      <c r="J303" s="296" t="s">
        <v>1722</v>
      </c>
      <c r="K303" s="296" t="s">
        <v>1675</v>
      </c>
      <c r="L303" s="296" t="s">
        <v>1704</v>
      </c>
      <c r="M303" s="296"/>
      <c r="N303" s="296" t="s">
        <v>1672</v>
      </c>
    </row>
    <row r="304" spans="2:14" ht="31.5">
      <c r="B304" s="636" t="s">
        <v>1692</v>
      </c>
      <c r="C304" s="423" t="s">
        <v>1735</v>
      </c>
      <c r="D304" s="296"/>
      <c r="E304" s="296"/>
      <c r="F304" s="296"/>
      <c r="G304" s="296"/>
      <c r="H304" s="296"/>
      <c r="I304" s="296"/>
      <c r="J304" s="296" t="s">
        <v>1677</v>
      </c>
      <c r="K304" s="296" t="s">
        <v>1672</v>
      </c>
      <c r="L304" s="296"/>
      <c r="M304" s="296"/>
      <c r="N304" s="296" t="s">
        <v>1672</v>
      </c>
    </row>
    <row r="305" spans="2:14">
      <c r="B305" s="636" t="s">
        <v>1693</v>
      </c>
      <c r="C305" s="296"/>
      <c r="D305" s="296"/>
      <c r="E305" s="296"/>
      <c r="F305" s="296"/>
      <c r="G305" s="296"/>
      <c r="H305" s="296"/>
      <c r="I305" s="296"/>
      <c r="J305" s="423" t="s">
        <v>1678</v>
      </c>
      <c r="K305" s="296"/>
      <c r="L305" s="296"/>
      <c r="M305" s="296"/>
      <c r="N305" s="423" t="s">
        <v>1678</v>
      </c>
    </row>
    <row r="306" spans="2:14">
      <c r="B306" s="636" t="s">
        <v>1694</v>
      </c>
      <c r="C306" s="296"/>
      <c r="D306" s="296"/>
      <c r="E306" s="296"/>
      <c r="F306" s="296"/>
      <c r="G306" s="296"/>
      <c r="H306" s="296"/>
      <c r="I306" s="296"/>
      <c r="J306" s="296" t="s">
        <v>1672</v>
      </c>
      <c r="K306" s="296"/>
      <c r="L306" s="296"/>
      <c r="M306" s="296"/>
      <c r="N306" s="296" t="s">
        <v>1672</v>
      </c>
    </row>
    <row r="307" spans="2:14">
      <c r="B307" s="636" t="s">
        <v>1695</v>
      </c>
      <c r="C307" s="296"/>
      <c r="D307" s="296"/>
      <c r="E307" s="296"/>
      <c r="F307" s="296"/>
      <c r="G307" s="296"/>
      <c r="H307" s="296"/>
      <c r="I307" s="296"/>
      <c r="J307" s="296"/>
      <c r="K307" s="296"/>
      <c r="L307" s="296"/>
      <c r="M307" s="296"/>
      <c r="N307" s="423" t="s">
        <v>1678</v>
      </c>
    </row>
    <row r="308" spans="2:14">
      <c r="B308" s="636" t="s">
        <v>1696</v>
      </c>
      <c r="C308" s="296"/>
      <c r="D308" s="296"/>
      <c r="E308" s="296"/>
      <c r="F308" s="296"/>
      <c r="G308" s="296"/>
      <c r="H308" s="296"/>
      <c r="I308" s="296"/>
      <c r="J308" s="296"/>
      <c r="K308" s="296"/>
      <c r="L308" s="296"/>
      <c r="M308" s="296"/>
      <c r="N308" s="296" t="s">
        <v>1672</v>
      </c>
    </row>
    <row r="309" spans="2:14">
      <c r="B309" s="422"/>
      <c r="C309" s="422"/>
      <c r="D309" s="422"/>
      <c r="E309" s="422"/>
      <c r="F309" s="422"/>
      <c r="G309" s="422"/>
      <c r="H309" s="422"/>
      <c r="I309" s="422"/>
      <c r="J309" s="422"/>
      <c r="K309" s="422"/>
      <c r="L309" s="422"/>
      <c r="M309" s="422"/>
      <c r="N309" s="422"/>
    </row>
    <row r="310" spans="2:14">
      <c r="B310" s="634" t="s">
        <v>148</v>
      </c>
      <c r="C310" s="635" t="s">
        <v>1</v>
      </c>
      <c r="D310" s="635" t="s">
        <v>2</v>
      </c>
      <c r="E310" s="635" t="s">
        <v>3</v>
      </c>
      <c r="F310" s="635" t="s">
        <v>4</v>
      </c>
      <c r="G310" s="635" t="s">
        <v>5</v>
      </c>
      <c r="H310" s="635" t="s">
        <v>6</v>
      </c>
      <c r="I310" s="635" t="s">
        <v>7</v>
      </c>
      <c r="J310" s="635" t="s">
        <v>8</v>
      </c>
      <c r="K310" s="635" t="s">
        <v>9</v>
      </c>
      <c r="L310" s="635" t="s">
        <v>10</v>
      </c>
      <c r="M310" s="635" t="s">
        <v>36</v>
      </c>
      <c r="N310" s="635" t="s">
        <v>37</v>
      </c>
    </row>
    <row r="311" spans="2:14" ht="63">
      <c r="B311" s="636" t="s">
        <v>1688</v>
      </c>
      <c r="C311" s="296" t="s">
        <v>1674</v>
      </c>
      <c r="D311" s="296" t="s">
        <v>1705</v>
      </c>
      <c r="E311" s="296" t="s">
        <v>1738</v>
      </c>
      <c r="F311" s="296" t="s">
        <v>1702</v>
      </c>
      <c r="G311" s="296" t="s">
        <v>1807</v>
      </c>
      <c r="H311" s="296" t="s">
        <v>1804</v>
      </c>
      <c r="I311" s="296" t="s">
        <v>1738</v>
      </c>
      <c r="J311" s="423" t="s">
        <v>1718</v>
      </c>
      <c r="K311" s="296" t="s">
        <v>1738</v>
      </c>
      <c r="L311" s="423" t="s">
        <v>1678</v>
      </c>
      <c r="M311" s="296" t="s">
        <v>1738</v>
      </c>
      <c r="N311" s="296" t="s">
        <v>1702</v>
      </c>
    </row>
    <row r="312" spans="2:14" ht="47.25">
      <c r="B312" s="636" t="s">
        <v>1689</v>
      </c>
      <c r="C312" s="296" t="s">
        <v>1793</v>
      </c>
      <c r="D312" s="296" t="s">
        <v>1672</v>
      </c>
      <c r="E312" s="423" t="s">
        <v>1774</v>
      </c>
      <c r="F312" s="296" t="s">
        <v>1701</v>
      </c>
      <c r="G312" s="296" t="s">
        <v>1672</v>
      </c>
      <c r="H312" s="296" t="s">
        <v>1672</v>
      </c>
      <c r="I312" s="296" t="s">
        <v>1672</v>
      </c>
      <c r="J312" s="296" t="s">
        <v>1675</v>
      </c>
      <c r="K312" s="423" t="s">
        <v>1678</v>
      </c>
      <c r="L312" s="296" t="s">
        <v>1672</v>
      </c>
      <c r="M312" s="296" t="s">
        <v>1672</v>
      </c>
      <c r="N312" s="296" t="s">
        <v>1780</v>
      </c>
    </row>
    <row r="313" spans="2:14" ht="31.5">
      <c r="B313" s="636" t="s">
        <v>1690</v>
      </c>
      <c r="C313" s="296" t="s">
        <v>1672</v>
      </c>
      <c r="D313" s="296" t="s">
        <v>1679</v>
      </c>
      <c r="E313" s="296" t="s">
        <v>1672</v>
      </c>
      <c r="F313" s="423" t="s">
        <v>1678</v>
      </c>
      <c r="G313" s="423" t="s">
        <v>1774</v>
      </c>
      <c r="H313" s="296" t="s">
        <v>1705</v>
      </c>
      <c r="I313" s="296" t="s">
        <v>1701</v>
      </c>
      <c r="J313" s="296" t="s">
        <v>1715</v>
      </c>
      <c r="K313" s="296" t="s">
        <v>1677</v>
      </c>
      <c r="L313" s="296" t="s">
        <v>1672</v>
      </c>
      <c r="M313" s="423" t="s">
        <v>1678</v>
      </c>
      <c r="N313" s="296" t="s">
        <v>1701</v>
      </c>
    </row>
    <row r="314" spans="2:14" ht="31.5">
      <c r="B314" s="636" t="s">
        <v>1691</v>
      </c>
      <c r="C314" s="296" t="s">
        <v>1674</v>
      </c>
      <c r="D314" s="296" t="s">
        <v>1672</v>
      </c>
      <c r="E314" s="296" t="s">
        <v>1672</v>
      </c>
      <c r="F314" s="296" t="s">
        <v>1675</v>
      </c>
      <c r="G314" s="296" t="s">
        <v>1672</v>
      </c>
      <c r="H314" s="296" t="s">
        <v>1674</v>
      </c>
      <c r="I314" s="296" t="s">
        <v>1675</v>
      </c>
      <c r="J314" s="423" t="s">
        <v>1774</v>
      </c>
      <c r="K314" s="296" t="s">
        <v>1672</v>
      </c>
      <c r="L314" s="296"/>
      <c r="M314" s="296" t="s">
        <v>1674</v>
      </c>
      <c r="N314" s="296" t="s">
        <v>1673</v>
      </c>
    </row>
    <row r="315" spans="2:14">
      <c r="B315" s="636" t="s">
        <v>1692</v>
      </c>
      <c r="C315" s="296"/>
      <c r="D315" s="296"/>
      <c r="E315" s="296"/>
      <c r="F315" s="296"/>
      <c r="G315" s="296" t="s">
        <v>1672</v>
      </c>
      <c r="H315" s="296"/>
      <c r="I315" s="296"/>
      <c r="J315" s="296" t="s">
        <v>1675</v>
      </c>
      <c r="K315" s="296" t="s">
        <v>1672</v>
      </c>
      <c r="L315" s="296"/>
      <c r="M315" s="296"/>
      <c r="N315" s="423" t="s">
        <v>1678</v>
      </c>
    </row>
    <row r="316" spans="2:14">
      <c r="B316" s="636" t="s">
        <v>1693</v>
      </c>
      <c r="C316" s="296"/>
      <c r="D316" s="296"/>
      <c r="E316" s="296"/>
      <c r="F316" s="296"/>
      <c r="G316" s="296"/>
      <c r="H316" s="296"/>
      <c r="I316" s="296"/>
      <c r="J316" s="296"/>
      <c r="K316" s="296"/>
      <c r="L316" s="296"/>
      <c r="M316" s="296"/>
      <c r="N316" s="296" t="s">
        <v>1674</v>
      </c>
    </row>
    <row r="317" spans="2:14">
      <c r="B317" s="422"/>
      <c r="C317" s="422"/>
      <c r="D317" s="422"/>
      <c r="E317" s="422"/>
      <c r="F317" s="422"/>
      <c r="G317" s="422"/>
      <c r="H317" s="422"/>
      <c r="I317" s="422"/>
      <c r="J317" s="422"/>
      <c r="K317" s="422"/>
      <c r="L317" s="422"/>
      <c r="M317" s="422"/>
      <c r="N317" s="422"/>
    </row>
    <row r="318" spans="2:14">
      <c r="B318" s="634" t="s">
        <v>125</v>
      </c>
      <c r="C318" s="635" t="s">
        <v>1</v>
      </c>
      <c r="D318" s="635" t="s">
        <v>2</v>
      </c>
      <c r="E318" s="635" t="s">
        <v>3</v>
      </c>
      <c r="F318" s="635" t="s">
        <v>4</v>
      </c>
      <c r="G318" s="635" t="s">
        <v>5</v>
      </c>
      <c r="H318" s="635" t="s">
        <v>6</v>
      </c>
      <c r="I318" s="635" t="s">
        <v>7</v>
      </c>
      <c r="J318" s="635" t="s">
        <v>8</v>
      </c>
      <c r="K318" s="635" t="s">
        <v>9</v>
      </c>
      <c r="L318" s="635" t="s">
        <v>10</v>
      </c>
      <c r="M318" s="635" t="s">
        <v>36</v>
      </c>
      <c r="N318" s="635" t="s">
        <v>37</v>
      </c>
    </row>
    <row r="319" spans="2:14" ht="78.75">
      <c r="B319" s="636" t="s">
        <v>1688</v>
      </c>
      <c r="C319" s="423" t="s">
        <v>1718</v>
      </c>
      <c r="D319" s="296" t="s">
        <v>1672</v>
      </c>
      <c r="E319" s="296" t="s">
        <v>1809</v>
      </c>
      <c r="F319" s="296" t="s">
        <v>1672</v>
      </c>
      <c r="G319" s="296" t="s">
        <v>1738</v>
      </c>
      <c r="H319" s="296" t="s">
        <v>1672</v>
      </c>
      <c r="I319" s="423" t="s">
        <v>1805</v>
      </c>
      <c r="J319" s="296" t="s">
        <v>1675</v>
      </c>
      <c r="K319" s="296" t="s">
        <v>1707</v>
      </c>
      <c r="L319" s="296" t="s">
        <v>1738</v>
      </c>
      <c r="M319" s="296" t="s">
        <v>1811</v>
      </c>
      <c r="N319" s="296" t="s">
        <v>1804</v>
      </c>
    </row>
    <row r="320" spans="2:14" ht="63">
      <c r="B320" s="636" t="s">
        <v>1689</v>
      </c>
      <c r="C320" s="296" t="s">
        <v>1808</v>
      </c>
      <c r="D320" s="296" t="s">
        <v>1672</v>
      </c>
      <c r="E320" s="296" t="s">
        <v>1672</v>
      </c>
      <c r="F320" s="296" t="s">
        <v>1810</v>
      </c>
      <c r="G320" s="296" t="s">
        <v>1677</v>
      </c>
      <c r="H320" s="296" t="s">
        <v>1677</v>
      </c>
      <c r="I320" s="423" t="s">
        <v>1774</v>
      </c>
      <c r="J320" s="296" t="s">
        <v>1674</v>
      </c>
      <c r="K320" s="296" t="s">
        <v>1675</v>
      </c>
      <c r="L320" s="296" t="s">
        <v>1672</v>
      </c>
      <c r="M320" s="296" t="s">
        <v>1672</v>
      </c>
      <c r="N320" s="423" t="s">
        <v>1774</v>
      </c>
    </row>
    <row r="321" spans="2:14" ht="31.5">
      <c r="B321" s="636" t="s">
        <v>1690</v>
      </c>
      <c r="C321" s="296" t="s">
        <v>1673</v>
      </c>
      <c r="D321" s="423" t="s">
        <v>1774</v>
      </c>
      <c r="E321" s="296" t="s">
        <v>1672</v>
      </c>
      <c r="F321" s="296" t="s">
        <v>1672</v>
      </c>
      <c r="G321" s="296" t="s">
        <v>1672</v>
      </c>
      <c r="H321" s="296" t="s">
        <v>1722</v>
      </c>
      <c r="I321" s="423" t="s">
        <v>1774</v>
      </c>
      <c r="J321" s="296" t="s">
        <v>1675</v>
      </c>
      <c r="K321" s="423" t="s">
        <v>1678</v>
      </c>
      <c r="L321" s="423" t="s">
        <v>1710</v>
      </c>
      <c r="M321" s="296" t="s">
        <v>1672</v>
      </c>
      <c r="N321" s="423" t="s">
        <v>1774</v>
      </c>
    </row>
    <row r="322" spans="2:14" ht="31.5">
      <c r="B322" s="636" t="s">
        <v>1691</v>
      </c>
      <c r="C322" s="423" t="s">
        <v>1678</v>
      </c>
      <c r="D322" s="296" t="s">
        <v>1672</v>
      </c>
      <c r="E322" s="296"/>
      <c r="F322" s="296"/>
      <c r="G322" s="296" t="s">
        <v>1672</v>
      </c>
      <c r="H322" s="296" t="s">
        <v>1705</v>
      </c>
      <c r="I322" s="296"/>
      <c r="J322" s="296" t="s">
        <v>1675</v>
      </c>
      <c r="K322" s="296" t="s">
        <v>1715</v>
      </c>
      <c r="L322" s="423" t="s">
        <v>1779</v>
      </c>
      <c r="M322" s="296" t="s">
        <v>1672</v>
      </c>
      <c r="N322" s="423" t="s">
        <v>1678</v>
      </c>
    </row>
    <row r="323" spans="2:14" ht="31.5">
      <c r="B323" s="636" t="s">
        <v>1692</v>
      </c>
      <c r="C323" s="296" t="s">
        <v>1674</v>
      </c>
      <c r="D323" s="296"/>
      <c r="E323" s="296"/>
      <c r="F323" s="296"/>
      <c r="G323" s="296"/>
      <c r="H323" s="296" t="s">
        <v>1672</v>
      </c>
      <c r="I323" s="296"/>
      <c r="J323" s="296"/>
      <c r="K323" s="423" t="s">
        <v>1820</v>
      </c>
      <c r="L323" s="296" t="s">
        <v>1672</v>
      </c>
      <c r="M323" s="296"/>
      <c r="N323" s="296" t="s">
        <v>1672</v>
      </c>
    </row>
    <row r="324" spans="2:14">
      <c r="B324" s="636" t="s">
        <v>1693</v>
      </c>
      <c r="C324" s="296"/>
      <c r="D324" s="296"/>
      <c r="E324" s="296"/>
      <c r="F324" s="296"/>
      <c r="G324" s="296"/>
      <c r="H324" s="296"/>
      <c r="I324" s="296"/>
      <c r="J324" s="296"/>
      <c r="K324" s="423" t="s">
        <v>1678</v>
      </c>
      <c r="L324" s="296"/>
      <c r="M324" s="296"/>
      <c r="N324" s="296" t="s">
        <v>1673</v>
      </c>
    </row>
    <row r="325" spans="2:14">
      <c r="B325" s="636" t="s">
        <v>1694</v>
      </c>
      <c r="C325" s="296"/>
      <c r="D325" s="296"/>
      <c r="E325" s="296"/>
      <c r="F325" s="296"/>
      <c r="G325" s="296"/>
      <c r="H325" s="296"/>
      <c r="I325" s="296"/>
      <c r="J325" s="296"/>
      <c r="K325" s="296" t="s">
        <v>1675</v>
      </c>
      <c r="L325" s="296"/>
      <c r="M325" s="296"/>
      <c r="N325" s="296"/>
    </row>
    <row r="326" spans="2:14">
      <c r="B326" s="636" t="s">
        <v>1695</v>
      </c>
      <c r="C326" s="296"/>
      <c r="D326" s="296"/>
      <c r="E326" s="296"/>
      <c r="F326" s="296"/>
      <c r="G326" s="296"/>
      <c r="H326" s="296"/>
      <c r="I326" s="296"/>
      <c r="J326" s="296"/>
      <c r="K326" s="296" t="s">
        <v>1675</v>
      </c>
      <c r="L326" s="296"/>
      <c r="M326" s="296"/>
      <c r="N326" s="296"/>
    </row>
    <row r="327" spans="2:14">
      <c r="B327" s="422"/>
      <c r="C327" s="422"/>
      <c r="D327" s="422"/>
      <c r="E327" s="422"/>
      <c r="F327" s="422"/>
      <c r="G327" s="422"/>
      <c r="H327" s="422"/>
      <c r="I327" s="422"/>
      <c r="J327" s="422"/>
      <c r="K327" s="422"/>
      <c r="L327" s="422"/>
      <c r="M327" s="422"/>
      <c r="N327" s="422"/>
    </row>
    <row r="328" spans="2:14">
      <c r="B328" s="634" t="s">
        <v>116</v>
      </c>
      <c r="C328" s="635" t="s">
        <v>1</v>
      </c>
      <c r="D328" s="635" t="s">
        <v>2</v>
      </c>
      <c r="E328" s="635" t="s">
        <v>3</v>
      </c>
      <c r="F328" s="635" t="s">
        <v>4</v>
      </c>
      <c r="G328" s="635" t="s">
        <v>5</v>
      </c>
      <c r="H328" s="635" t="s">
        <v>6</v>
      </c>
      <c r="I328" s="635" t="s">
        <v>7</v>
      </c>
      <c r="J328" s="635" t="s">
        <v>8</v>
      </c>
      <c r="K328" s="635" t="s">
        <v>9</v>
      </c>
      <c r="L328" s="635" t="s">
        <v>10</v>
      </c>
      <c r="M328" s="635" t="s">
        <v>36</v>
      </c>
      <c r="N328" s="635" t="s">
        <v>37</v>
      </c>
    </row>
    <row r="329" spans="2:14" ht="63">
      <c r="B329" s="636" t="s">
        <v>1688</v>
      </c>
      <c r="C329" s="296" t="s">
        <v>1672</v>
      </c>
      <c r="D329" s="296" t="s">
        <v>1738</v>
      </c>
      <c r="E329" s="296" t="s">
        <v>1813</v>
      </c>
      <c r="F329" s="296" t="s">
        <v>1673</v>
      </c>
      <c r="G329" s="296" t="s">
        <v>1804</v>
      </c>
      <c r="H329" s="423" t="s">
        <v>1814</v>
      </c>
      <c r="I329" s="296" t="s">
        <v>1738</v>
      </c>
      <c r="J329" s="296" t="s">
        <v>1705</v>
      </c>
      <c r="K329" s="296" t="s">
        <v>1816</v>
      </c>
      <c r="L329" s="296" t="s">
        <v>1738</v>
      </c>
      <c r="M329" s="296" t="s">
        <v>1673</v>
      </c>
      <c r="N329" s="296" t="s">
        <v>1773</v>
      </c>
    </row>
    <row r="330" spans="2:14" ht="63">
      <c r="B330" s="636" t="s">
        <v>1689</v>
      </c>
      <c r="C330" s="296" t="s">
        <v>1812</v>
      </c>
      <c r="D330" s="296" t="s">
        <v>1722</v>
      </c>
      <c r="E330" s="296" t="s">
        <v>1715</v>
      </c>
      <c r="F330" s="296" t="s">
        <v>1715</v>
      </c>
      <c r="G330" s="423" t="s">
        <v>1678</v>
      </c>
      <c r="H330" s="296" t="s">
        <v>1815</v>
      </c>
      <c r="I330" s="296" t="s">
        <v>1749</v>
      </c>
      <c r="J330" s="296" t="s">
        <v>1705</v>
      </c>
      <c r="K330" s="296" t="s">
        <v>1672</v>
      </c>
      <c r="L330" s="296" t="s">
        <v>1817</v>
      </c>
      <c r="M330" s="296" t="s">
        <v>1672</v>
      </c>
      <c r="N330" s="296" t="s">
        <v>1715</v>
      </c>
    </row>
    <row r="331" spans="2:14" ht="31.5">
      <c r="B331" s="636" t="s">
        <v>1690</v>
      </c>
      <c r="C331" s="423" t="s">
        <v>1678</v>
      </c>
      <c r="D331" s="296" t="s">
        <v>1701</v>
      </c>
      <c r="E331" s="296" t="s">
        <v>1675</v>
      </c>
      <c r="F331" s="296" t="s">
        <v>1675</v>
      </c>
      <c r="G331" s="296" t="s">
        <v>1674</v>
      </c>
      <c r="H331" s="296" t="s">
        <v>1675</v>
      </c>
      <c r="I331" s="296" t="s">
        <v>1672</v>
      </c>
      <c r="J331" s="296" t="s">
        <v>1672</v>
      </c>
      <c r="K331" s="423" t="s">
        <v>1774</v>
      </c>
      <c r="L331" s="296" t="s">
        <v>1672</v>
      </c>
      <c r="M331" s="296" t="s">
        <v>1672</v>
      </c>
      <c r="N331" s="296" t="s">
        <v>1715</v>
      </c>
    </row>
    <row r="332" spans="2:14" ht="31.5">
      <c r="B332" s="636" t="s">
        <v>1691</v>
      </c>
      <c r="C332" s="423" t="s">
        <v>1678</v>
      </c>
      <c r="D332" s="296" t="s">
        <v>1749</v>
      </c>
      <c r="E332" s="423" t="s">
        <v>1678</v>
      </c>
      <c r="F332" s="296" t="s">
        <v>1672</v>
      </c>
      <c r="G332" s="296" t="s">
        <v>1674</v>
      </c>
      <c r="H332" s="296" t="s">
        <v>1672</v>
      </c>
      <c r="I332" s="296"/>
      <c r="J332" s="296" t="s">
        <v>1672</v>
      </c>
      <c r="K332" s="423" t="s">
        <v>1678</v>
      </c>
      <c r="L332" s="423" t="s">
        <v>1678</v>
      </c>
      <c r="M332" s="296"/>
      <c r="N332" s="296" t="s">
        <v>1674</v>
      </c>
    </row>
    <row r="333" spans="2:14">
      <c r="B333" s="636" t="s">
        <v>1692</v>
      </c>
      <c r="C333" s="296" t="s">
        <v>1672</v>
      </c>
      <c r="D333" s="296" t="s">
        <v>1672</v>
      </c>
      <c r="E333" s="296" t="s">
        <v>1675</v>
      </c>
      <c r="F333" s="296"/>
      <c r="G333" s="296" t="s">
        <v>1674</v>
      </c>
      <c r="H333" s="296"/>
      <c r="I333" s="296"/>
      <c r="J333" s="296"/>
      <c r="K333" s="296" t="s">
        <v>1672</v>
      </c>
      <c r="L333" s="296" t="s">
        <v>1674</v>
      </c>
      <c r="M333" s="296"/>
      <c r="N333" s="423" t="s">
        <v>1678</v>
      </c>
    </row>
    <row r="334" spans="2:14">
      <c r="B334" s="636" t="s">
        <v>1693</v>
      </c>
      <c r="C334" s="296"/>
      <c r="D334" s="296"/>
      <c r="E334" s="296"/>
      <c r="F334" s="296"/>
      <c r="G334" s="296" t="s">
        <v>1674</v>
      </c>
      <c r="H334" s="296"/>
      <c r="I334" s="296"/>
      <c r="J334" s="296"/>
      <c r="K334" s="296"/>
      <c r="L334" s="296"/>
      <c r="M334" s="296"/>
      <c r="N334" s="296" t="s">
        <v>1672</v>
      </c>
    </row>
    <row r="335" spans="2:14">
      <c r="B335" s="636" t="s">
        <v>1694</v>
      </c>
      <c r="C335" s="296"/>
      <c r="D335" s="296"/>
      <c r="E335" s="296"/>
      <c r="F335" s="296"/>
      <c r="G335" s="296"/>
      <c r="H335" s="296"/>
      <c r="I335" s="296"/>
      <c r="J335" s="296"/>
      <c r="K335" s="296"/>
      <c r="L335" s="296"/>
      <c r="M335" s="296"/>
      <c r="N335" s="296" t="s">
        <v>1672</v>
      </c>
    </row>
    <row r="336" spans="2:14">
      <c r="B336" s="422"/>
      <c r="C336" s="422"/>
      <c r="D336" s="422"/>
      <c r="E336" s="422"/>
      <c r="F336" s="422"/>
      <c r="G336" s="422"/>
      <c r="H336" s="422"/>
      <c r="I336" s="422"/>
      <c r="J336" s="422"/>
      <c r="K336" s="422"/>
      <c r="L336" s="422"/>
      <c r="M336" s="422"/>
      <c r="N336" s="422"/>
    </row>
    <row r="337" spans="2:14">
      <c r="B337" s="634" t="s">
        <v>104</v>
      </c>
      <c r="C337" s="635" t="s">
        <v>1</v>
      </c>
      <c r="D337" s="635" t="s">
        <v>2</v>
      </c>
      <c r="E337" s="635" t="s">
        <v>3</v>
      </c>
      <c r="F337" s="635" t="s">
        <v>4</v>
      </c>
      <c r="G337" s="635" t="s">
        <v>5</v>
      </c>
      <c r="H337" s="635" t="s">
        <v>6</v>
      </c>
      <c r="I337" s="635" t="s">
        <v>7</v>
      </c>
      <c r="J337" s="635" t="s">
        <v>8</v>
      </c>
      <c r="K337" s="635" t="s">
        <v>9</v>
      </c>
      <c r="L337" s="635" t="s">
        <v>10</v>
      </c>
      <c r="M337" s="635" t="s">
        <v>36</v>
      </c>
      <c r="N337" s="635" t="s">
        <v>37</v>
      </c>
    </row>
    <row r="338" spans="2:14" ht="63">
      <c r="B338" s="636" t="s">
        <v>1688</v>
      </c>
      <c r="C338" s="423" t="s">
        <v>1818</v>
      </c>
      <c r="D338" s="296" t="s">
        <v>1677</v>
      </c>
      <c r="E338" s="296" t="s">
        <v>1804</v>
      </c>
      <c r="F338" s="296" t="s">
        <v>1738</v>
      </c>
      <c r="G338" s="296" t="s">
        <v>1738</v>
      </c>
      <c r="H338" s="296" t="s">
        <v>1767</v>
      </c>
      <c r="I338" s="296" t="s">
        <v>1739</v>
      </c>
      <c r="J338" s="296" t="s">
        <v>1819</v>
      </c>
      <c r="K338" s="296" t="s">
        <v>1738</v>
      </c>
      <c r="L338" s="296" t="s">
        <v>1804</v>
      </c>
      <c r="M338" s="296" t="s">
        <v>1672</v>
      </c>
      <c r="N338" s="296" t="s">
        <v>1738</v>
      </c>
    </row>
    <row r="339" spans="2:14" ht="31.5">
      <c r="B339" s="636" t="s">
        <v>1689</v>
      </c>
      <c r="C339" s="296" t="s">
        <v>1672</v>
      </c>
      <c r="D339" s="296" t="s">
        <v>1672</v>
      </c>
      <c r="E339" s="296" t="s">
        <v>1672</v>
      </c>
      <c r="F339" s="296" t="s">
        <v>1672</v>
      </c>
      <c r="G339" s="423" t="s">
        <v>1718</v>
      </c>
      <c r="H339" s="296" t="s">
        <v>1672</v>
      </c>
      <c r="I339" s="296" t="s">
        <v>1715</v>
      </c>
      <c r="J339" s="296" t="s">
        <v>1675</v>
      </c>
      <c r="K339" s="296" t="s">
        <v>1719</v>
      </c>
      <c r="L339" s="423" t="s">
        <v>1710</v>
      </c>
      <c r="M339" s="296" t="s">
        <v>1672</v>
      </c>
      <c r="N339" s="296" t="s">
        <v>1672</v>
      </c>
    </row>
    <row r="340" spans="2:14" ht="31.5">
      <c r="B340" s="636" t="s">
        <v>1690</v>
      </c>
      <c r="C340" s="423" t="s">
        <v>1820</v>
      </c>
      <c r="D340" s="296" t="s">
        <v>1672</v>
      </c>
      <c r="E340" s="296" t="s">
        <v>1672</v>
      </c>
      <c r="F340" s="296" t="s">
        <v>1672</v>
      </c>
      <c r="G340" s="423" t="s">
        <v>1678</v>
      </c>
      <c r="H340" s="296" t="s">
        <v>1672</v>
      </c>
      <c r="I340" s="296" t="s">
        <v>1715</v>
      </c>
      <c r="J340" s="296" t="s">
        <v>1674</v>
      </c>
      <c r="K340" s="296" t="s">
        <v>1672</v>
      </c>
      <c r="L340" s="296" t="s">
        <v>1672</v>
      </c>
      <c r="M340" s="296" t="s">
        <v>1674</v>
      </c>
      <c r="N340" s="296" t="s">
        <v>1672</v>
      </c>
    </row>
    <row r="341" spans="2:14" ht="31.5">
      <c r="B341" s="636" t="s">
        <v>1691</v>
      </c>
      <c r="C341" s="296"/>
      <c r="D341" s="296"/>
      <c r="E341" s="296" t="s">
        <v>1672</v>
      </c>
      <c r="F341" s="296"/>
      <c r="G341" s="296" t="s">
        <v>1708</v>
      </c>
      <c r="H341" s="296"/>
      <c r="I341" s="296" t="s">
        <v>1672</v>
      </c>
      <c r="J341" s="423" t="s">
        <v>1678</v>
      </c>
      <c r="K341" s="296"/>
      <c r="L341" s="296" t="s">
        <v>1672</v>
      </c>
      <c r="M341" s="296"/>
      <c r="N341" s="423" t="s">
        <v>1678</v>
      </c>
    </row>
    <row r="342" spans="2:14">
      <c r="B342" s="636" t="s">
        <v>1692</v>
      </c>
      <c r="C342" s="296"/>
      <c r="D342" s="296"/>
      <c r="E342" s="296"/>
      <c r="F342" s="296"/>
      <c r="G342" s="296" t="s">
        <v>1675</v>
      </c>
      <c r="H342" s="296"/>
      <c r="I342" s="296"/>
      <c r="J342" s="296"/>
      <c r="K342" s="296"/>
      <c r="L342" s="423" t="s">
        <v>1678</v>
      </c>
      <c r="M342" s="296"/>
      <c r="N342" s="296" t="s">
        <v>1672</v>
      </c>
    </row>
    <row r="343" spans="2:14">
      <c r="B343" s="636" t="s">
        <v>1693</v>
      </c>
      <c r="C343" s="296"/>
      <c r="D343" s="296"/>
      <c r="E343" s="296"/>
      <c r="F343" s="296"/>
      <c r="G343" s="296"/>
      <c r="H343" s="296"/>
      <c r="I343" s="296"/>
      <c r="J343" s="296"/>
      <c r="K343" s="296"/>
      <c r="L343" s="296" t="s">
        <v>1674</v>
      </c>
      <c r="M343" s="296"/>
      <c r="N343" s="296"/>
    </row>
    <row r="344" spans="2:14">
      <c r="B344" s="422"/>
      <c r="C344" s="422"/>
      <c r="D344" s="422"/>
      <c r="E344" s="422"/>
      <c r="F344" s="422"/>
      <c r="G344" s="422"/>
      <c r="H344" s="422"/>
      <c r="I344" s="422"/>
      <c r="J344" s="422"/>
      <c r="K344" s="422"/>
      <c r="L344" s="422"/>
      <c r="M344" s="422"/>
      <c r="N344" s="422"/>
    </row>
    <row r="345" spans="2:14">
      <c r="B345" s="634" t="s">
        <v>95</v>
      </c>
      <c r="C345" s="635" t="s">
        <v>1</v>
      </c>
      <c r="D345" s="635" t="s">
        <v>2</v>
      </c>
      <c r="E345" s="635" t="s">
        <v>3</v>
      </c>
      <c r="F345" s="635" t="s">
        <v>4</v>
      </c>
      <c r="G345" s="635" t="s">
        <v>5</v>
      </c>
      <c r="H345" s="635" t="s">
        <v>6</v>
      </c>
      <c r="I345" s="635" t="s">
        <v>7</v>
      </c>
      <c r="J345" s="635" t="s">
        <v>8</v>
      </c>
      <c r="K345" s="635" t="s">
        <v>9</v>
      </c>
      <c r="L345" s="635" t="s">
        <v>10</v>
      </c>
      <c r="M345" s="635" t="s">
        <v>36</v>
      </c>
      <c r="N345" s="635" t="s">
        <v>37</v>
      </c>
    </row>
    <row r="346" spans="2:14" ht="63">
      <c r="B346" s="636" t="s">
        <v>1688</v>
      </c>
      <c r="C346" s="296" t="s">
        <v>1701</v>
      </c>
      <c r="D346" s="296" t="s">
        <v>1738</v>
      </c>
      <c r="E346" s="296" t="s">
        <v>1712</v>
      </c>
      <c r="F346" s="296" t="s">
        <v>1804</v>
      </c>
      <c r="G346" s="296" t="s">
        <v>1672</v>
      </c>
      <c r="H346" s="296" t="s">
        <v>1738</v>
      </c>
      <c r="I346" s="296" t="s">
        <v>1728</v>
      </c>
      <c r="J346" s="296" t="s">
        <v>1738</v>
      </c>
      <c r="K346" s="296" t="s">
        <v>1727</v>
      </c>
      <c r="L346" s="296" t="s">
        <v>1672</v>
      </c>
      <c r="M346" s="296" t="s">
        <v>1727</v>
      </c>
      <c r="N346" s="296" t="s">
        <v>1727</v>
      </c>
    </row>
    <row r="347" spans="2:14" ht="47.25">
      <c r="B347" s="636" t="s">
        <v>1689</v>
      </c>
      <c r="C347" s="296" t="s">
        <v>1738</v>
      </c>
      <c r="D347" s="296" t="s">
        <v>1672</v>
      </c>
      <c r="E347" s="423" t="s">
        <v>1710</v>
      </c>
      <c r="F347" s="296" t="s">
        <v>1672</v>
      </c>
      <c r="G347" s="423" t="s">
        <v>1678</v>
      </c>
      <c r="H347" s="296" t="s">
        <v>1672</v>
      </c>
      <c r="I347" s="296" t="s">
        <v>1672</v>
      </c>
      <c r="J347" s="296" t="s">
        <v>1672</v>
      </c>
      <c r="K347" s="296" t="s">
        <v>1672</v>
      </c>
      <c r="L347" s="296" t="s">
        <v>1672</v>
      </c>
      <c r="M347" s="296" t="s">
        <v>1701</v>
      </c>
      <c r="N347" s="296" t="s">
        <v>1672</v>
      </c>
    </row>
    <row r="348" spans="2:14" ht="31.5">
      <c r="B348" s="636" t="s">
        <v>1690</v>
      </c>
      <c r="C348" s="296" t="s">
        <v>1780</v>
      </c>
      <c r="D348" s="296" t="s">
        <v>1672</v>
      </c>
      <c r="E348" s="296" t="s">
        <v>1674</v>
      </c>
      <c r="F348" s="296" t="s">
        <v>1672</v>
      </c>
      <c r="G348" s="423" t="s">
        <v>1820</v>
      </c>
      <c r="H348" s="296" t="s">
        <v>1672</v>
      </c>
      <c r="I348" s="423" t="s">
        <v>1713</v>
      </c>
      <c r="J348" s="296" t="s">
        <v>1672</v>
      </c>
      <c r="K348" s="296" t="s">
        <v>1672</v>
      </c>
      <c r="L348" s="423" t="s">
        <v>1710</v>
      </c>
      <c r="M348" s="296" t="s">
        <v>1672</v>
      </c>
      <c r="N348" s="296" t="s">
        <v>1673</v>
      </c>
    </row>
    <row r="349" spans="2:14">
      <c r="B349" s="636" t="s">
        <v>1691</v>
      </c>
      <c r="C349" s="296" t="s">
        <v>1672</v>
      </c>
      <c r="D349" s="296"/>
      <c r="E349" s="296"/>
      <c r="F349" s="296" t="s">
        <v>1672</v>
      </c>
      <c r="G349" s="296"/>
      <c r="H349" s="296"/>
      <c r="I349" s="296" t="s">
        <v>1672</v>
      </c>
      <c r="J349" s="296" t="s">
        <v>1672</v>
      </c>
      <c r="K349" s="296" t="s">
        <v>1672</v>
      </c>
      <c r="L349" s="296"/>
      <c r="M349" s="296"/>
      <c r="N349" s="423" t="s">
        <v>1678</v>
      </c>
    </row>
    <row r="350" spans="2:14">
      <c r="B350" s="636" t="s">
        <v>1692</v>
      </c>
      <c r="C350" s="296"/>
      <c r="D350" s="296"/>
      <c r="E350" s="296"/>
      <c r="F350" s="296"/>
      <c r="G350" s="296"/>
      <c r="H350" s="296"/>
      <c r="I350" s="296"/>
      <c r="J350" s="296"/>
      <c r="K350" s="296"/>
      <c r="L350" s="296"/>
      <c r="M350" s="296"/>
      <c r="N350" s="423" t="s">
        <v>1678</v>
      </c>
    </row>
    <row r="351" spans="2:14">
      <c r="B351" s="636" t="s">
        <v>1693</v>
      </c>
      <c r="C351" s="296"/>
      <c r="D351" s="296"/>
      <c r="E351" s="296"/>
      <c r="F351" s="296"/>
      <c r="G351" s="296"/>
      <c r="H351" s="296"/>
      <c r="I351" s="296"/>
      <c r="J351" s="296"/>
      <c r="K351" s="296"/>
      <c r="L351" s="296"/>
      <c r="M351" s="296"/>
      <c r="N351" s="296" t="s">
        <v>1675</v>
      </c>
    </row>
    <row r="352" spans="2:14">
      <c r="B352" s="636" t="s">
        <v>1694</v>
      </c>
      <c r="C352" s="296"/>
      <c r="D352" s="296"/>
      <c r="E352" s="296"/>
      <c r="F352" s="296"/>
      <c r="G352" s="296"/>
      <c r="H352" s="296"/>
      <c r="I352" s="296"/>
      <c r="J352" s="296"/>
      <c r="K352" s="296"/>
      <c r="L352" s="296"/>
      <c r="M352" s="296"/>
      <c r="N352" s="423" t="s">
        <v>1678</v>
      </c>
    </row>
    <row r="353" spans="2:14">
      <c r="B353" s="636"/>
      <c r="C353" s="296"/>
      <c r="D353" s="296"/>
      <c r="E353" s="296"/>
      <c r="F353" s="296"/>
      <c r="G353" s="296"/>
      <c r="H353" s="296"/>
      <c r="I353" s="296"/>
      <c r="J353" s="296"/>
      <c r="K353" s="296"/>
      <c r="L353" s="296"/>
      <c r="M353" s="296"/>
      <c r="N353" s="296" t="s">
        <v>1674</v>
      </c>
    </row>
    <row r="354" spans="2:14">
      <c r="B354" s="422"/>
      <c r="C354" s="422"/>
      <c r="D354" s="422"/>
      <c r="E354" s="422"/>
      <c r="F354" s="422"/>
      <c r="G354" s="422"/>
      <c r="H354" s="422"/>
      <c r="I354" s="422"/>
      <c r="J354" s="422"/>
      <c r="K354" s="422"/>
      <c r="L354" s="422"/>
      <c r="M354" s="422"/>
      <c r="N354" s="422"/>
    </row>
    <row r="355" spans="2:14">
      <c r="B355" s="634" t="s">
        <v>85</v>
      </c>
      <c r="C355" s="635" t="s">
        <v>1</v>
      </c>
      <c r="D355" s="635" t="s">
        <v>2</v>
      </c>
      <c r="E355" s="635" t="s">
        <v>3</v>
      </c>
      <c r="F355" s="635" t="s">
        <v>4</v>
      </c>
      <c r="G355" s="635" t="s">
        <v>5</v>
      </c>
      <c r="H355" s="635" t="s">
        <v>6</v>
      </c>
      <c r="I355" s="635" t="s">
        <v>7</v>
      </c>
      <c r="J355" s="635" t="s">
        <v>8</v>
      </c>
      <c r="K355" s="635" t="s">
        <v>9</v>
      </c>
      <c r="L355" s="635" t="s">
        <v>10</v>
      </c>
      <c r="M355" s="635" t="s">
        <v>36</v>
      </c>
      <c r="N355" s="635" t="s">
        <v>37</v>
      </c>
    </row>
    <row r="356" spans="2:14" ht="63">
      <c r="B356" s="636" t="s">
        <v>1688</v>
      </c>
      <c r="C356" s="296" t="s">
        <v>1738</v>
      </c>
      <c r="D356" s="296" t="s">
        <v>1738</v>
      </c>
      <c r="E356" s="296" t="s">
        <v>1674</v>
      </c>
      <c r="F356" s="296" t="s">
        <v>1738</v>
      </c>
      <c r="G356" s="296" t="s">
        <v>1675</v>
      </c>
      <c r="H356" s="296" t="s">
        <v>1738</v>
      </c>
      <c r="I356" s="296" t="s">
        <v>1728</v>
      </c>
      <c r="J356" s="296" t="s">
        <v>1822</v>
      </c>
      <c r="K356" s="296" t="s">
        <v>1738</v>
      </c>
      <c r="L356" s="296" t="s">
        <v>1672</v>
      </c>
      <c r="M356" s="296" t="s">
        <v>1738</v>
      </c>
      <c r="N356" s="296" t="s">
        <v>1738</v>
      </c>
    </row>
    <row r="357" spans="2:14" ht="31.5">
      <c r="B357" s="636" t="s">
        <v>1689</v>
      </c>
      <c r="C357" s="296" t="s">
        <v>1672</v>
      </c>
      <c r="D357" s="296" t="s">
        <v>1672</v>
      </c>
      <c r="E357" s="423" t="s">
        <v>1710</v>
      </c>
      <c r="F357" s="296" t="s">
        <v>1674</v>
      </c>
      <c r="G357" s="296" t="s">
        <v>1821</v>
      </c>
      <c r="H357" s="423" t="s">
        <v>1678</v>
      </c>
      <c r="I357" s="296" t="s">
        <v>1672</v>
      </c>
      <c r="J357" s="296" t="s">
        <v>1675</v>
      </c>
      <c r="K357" s="423" t="s">
        <v>1678</v>
      </c>
      <c r="L357" s="296" t="s">
        <v>1672</v>
      </c>
      <c r="M357" s="296" t="s">
        <v>1672</v>
      </c>
      <c r="N357" s="296" t="s">
        <v>1780</v>
      </c>
    </row>
    <row r="358" spans="2:14">
      <c r="B358" s="636" t="s">
        <v>1690</v>
      </c>
      <c r="C358" s="296" t="s">
        <v>1672</v>
      </c>
      <c r="D358" s="296" t="s">
        <v>1672</v>
      </c>
      <c r="E358" s="296" t="s">
        <v>1672</v>
      </c>
      <c r="F358" s="296" t="s">
        <v>1672</v>
      </c>
      <c r="G358" s="296" t="s">
        <v>1672</v>
      </c>
      <c r="H358" s="296" t="s">
        <v>1674</v>
      </c>
      <c r="I358" s="296" t="s">
        <v>1672</v>
      </c>
      <c r="J358" s="423" t="s">
        <v>1678</v>
      </c>
      <c r="K358" s="423" t="s">
        <v>1678</v>
      </c>
      <c r="L358" s="296" t="s">
        <v>1672</v>
      </c>
      <c r="M358" s="296" t="s">
        <v>1672</v>
      </c>
      <c r="N358" s="296" t="s">
        <v>1672</v>
      </c>
    </row>
    <row r="359" spans="2:14">
      <c r="B359" s="636" t="s">
        <v>1691</v>
      </c>
      <c r="C359" s="296"/>
      <c r="D359" s="296"/>
      <c r="E359" s="296" t="s">
        <v>1672</v>
      </c>
      <c r="F359" s="296" t="s">
        <v>1674</v>
      </c>
      <c r="G359" s="296" t="s">
        <v>1672</v>
      </c>
      <c r="H359" s="296" t="s">
        <v>1672</v>
      </c>
      <c r="I359" s="296" t="s">
        <v>1672</v>
      </c>
      <c r="J359" s="296" t="s">
        <v>1672</v>
      </c>
      <c r="K359" s="296" t="s">
        <v>1672</v>
      </c>
      <c r="L359" s="296" t="s">
        <v>1672</v>
      </c>
      <c r="M359" s="296" t="s">
        <v>1672</v>
      </c>
      <c r="N359" s="423" t="s">
        <v>1678</v>
      </c>
    </row>
    <row r="360" spans="2:14">
      <c r="B360" s="636" t="s">
        <v>1692</v>
      </c>
      <c r="C360" s="296"/>
      <c r="D360" s="296"/>
      <c r="E360" s="296"/>
      <c r="F360" s="296"/>
      <c r="G360" s="296"/>
      <c r="H360" s="296" t="s">
        <v>1672</v>
      </c>
      <c r="I360" s="296"/>
      <c r="J360" s="296"/>
      <c r="K360" s="296" t="s">
        <v>1672</v>
      </c>
      <c r="L360" s="296" t="s">
        <v>1672</v>
      </c>
      <c r="M360" s="296"/>
      <c r="N360" s="296" t="s">
        <v>1672</v>
      </c>
    </row>
    <row r="361" spans="2:14">
      <c r="B361" s="636" t="s">
        <v>1693</v>
      </c>
      <c r="C361" s="296"/>
      <c r="D361" s="296"/>
      <c r="E361" s="296"/>
      <c r="F361" s="296"/>
      <c r="G361" s="296"/>
      <c r="H361" s="296"/>
      <c r="I361" s="296"/>
      <c r="J361" s="296"/>
      <c r="K361" s="296" t="s">
        <v>1672</v>
      </c>
      <c r="L361" s="296"/>
      <c r="M361" s="296"/>
      <c r="N361" s="296" t="s">
        <v>1672</v>
      </c>
    </row>
    <row r="362" spans="2:14">
      <c r="B362" s="422"/>
      <c r="C362" s="422"/>
      <c r="D362" s="422"/>
      <c r="E362" s="422"/>
      <c r="F362" s="422"/>
      <c r="G362" s="422"/>
      <c r="H362" s="422"/>
      <c r="I362" s="422"/>
      <c r="J362" s="422"/>
      <c r="K362" s="422"/>
      <c r="L362" s="422"/>
      <c r="M362" s="422"/>
      <c r="N362" s="422"/>
    </row>
    <row r="363" spans="2:14">
      <c r="B363" s="634" t="s">
        <v>66</v>
      </c>
      <c r="C363" s="635" t="s">
        <v>1</v>
      </c>
      <c r="D363" s="635" t="s">
        <v>2</v>
      </c>
      <c r="E363" s="635" t="s">
        <v>3</v>
      </c>
      <c r="F363" s="635" t="s">
        <v>4</v>
      </c>
      <c r="G363" s="635" t="s">
        <v>5</v>
      </c>
      <c r="H363" s="635" t="s">
        <v>6</v>
      </c>
      <c r="I363" s="635" t="s">
        <v>7</v>
      </c>
      <c r="J363" s="635" t="s">
        <v>8</v>
      </c>
      <c r="K363" s="635" t="s">
        <v>9</v>
      </c>
      <c r="L363" s="635" t="s">
        <v>10</v>
      </c>
      <c r="M363" s="635" t="s">
        <v>36</v>
      </c>
      <c r="N363" s="635" t="s">
        <v>37</v>
      </c>
    </row>
    <row r="364" spans="2:14" ht="63">
      <c r="B364" s="636" t="s">
        <v>1688</v>
      </c>
      <c r="C364" s="423" t="s">
        <v>1678</v>
      </c>
      <c r="D364" s="296" t="s">
        <v>1823</v>
      </c>
      <c r="E364" s="296" t="s">
        <v>1804</v>
      </c>
      <c r="F364" s="296" t="s">
        <v>1749</v>
      </c>
      <c r="G364" s="296" t="s">
        <v>1822</v>
      </c>
      <c r="H364" s="296" t="s">
        <v>1804</v>
      </c>
      <c r="I364" s="296" t="s">
        <v>1705</v>
      </c>
      <c r="J364" s="296" t="s">
        <v>1806</v>
      </c>
      <c r="K364" s="296" t="s">
        <v>1672</v>
      </c>
      <c r="L364" s="296" t="s">
        <v>1711</v>
      </c>
      <c r="M364" s="296" t="s">
        <v>1804</v>
      </c>
      <c r="N364" s="296" t="s">
        <v>1738</v>
      </c>
    </row>
    <row r="365" spans="2:14" ht="63">
      <c r="B365" s="636" t="s">
        <v>1689</v>
      </c>
      <c r="C365" s="296" t="s">
        <v>1707</v>
      </c>
      <c r="D365" s="296" t="s">
        <v>1672</v>
      </c>
      <c r="E365" s="296" t="s">
        <v>1723</v>
      </c>
      <c r="F365" s="296" t="s">
        <v>1672</v>
      </c>
      <c r="G365" s="296" t="s">
        <v>1675</v>
      </c>
      <c r="H365" s="296" t="s">
        <v>1701</v>
      </c>
      <c r="I365" s="296" t="s">
        <v>1701</v>
      </c>
      <c r="J365" s="296" t="s">
        <v>1675</v>
      </c>
      <c r="K365" s="296" t="s">
        <v>1804</v>
      </c>
      <c r="L365" s="296" t="s">
        <v>1824</v>
      </c>
      <c r="M365" s="296" t="s">
        <v>1749</v>
      </c>
      <c r="N365" s="423" t="s">
        <v>1678</v>
      </c>
    </row>
    <row r="366" spans="2:14" ht="31.5">
      <c r="B366" s="636" t="s">
        <v>1690</v>
      </c>
      <c r="C366" s="296" t="s">
        <v>1715</v>
      </c>
      <c r="D366" s="296" t="s">
        <v>1672</v>
      </c>
      <c r="E366" s="296" t="s">
        <v>1749</v>
      </c>
      <c r="F366" s="296" t="s">
        <v>1672</v>
      </c>
      <c r="G366" s="296" t="s">
        <v>1675</v>
      </c>
      <c r="H366" s="296" t="s">
        <v>1672</v>
      </c>
      <c r="I366" s="296" t="s">
        <v>1672</v>
      </c>
      <c r="J366" s="423" t="s">
        <v>1678</v>
      </c>
      <c r="K366" s="296" t="s">
        <v>1672</v>
      </c>
      <c r="L366" s="296" t="s">
        <v>1719</v>
      </c>
      <c r="M366" s="296" t="s">
        <v>1672</v>
      </c>
      <c r="N366" s="296" t="s">
        <v>1705</v>
      </c>
    </row>
    <row r="367" spans="2:14" ht="31.5">
      <c r="B367" s="636" t="s">
        <v>1691</v>
      </c>
      <c r="C367" s="296" t="s">
        <v>1675</v>
      </c>
      <c r="D367" s="296"/>
      <c r="E367" s="296" t="s">
        <v>1672</v>
      </c>
      <c r="F367" s="296"/>
      <c r="G367" s="296"/>
      <c r="H367" s="296" t="s">
        <v>1701</v>
      </c>
      <c r="I367" s="296"/>
      <c r="J367" s="296" t="s">
        <v>1674</v>
      </c>
      <c r="K367" s="296" t="s">
        <v>1672</v>
      </c>
      <c r="L367" s="296" t="s">
        <v>1672</v>
      </c>
      <c r="M367" s="423" t="s">
        <v>1678</v>
      </c>
      <c r="N367" s="423" t="s">
        <v>1710</v>
      </c>
    </row>
    <row r="368" spans="2:14" ht="31.5">
      <c r="B368" s="636" t="s">
        <v>1692</v>
      </c>
      <c r="C368" s="296"/>
      <c r="D368" s="296"/>
      <c r="E368" s="296"/>
      <c r="F368" s="296"/>
      <c r="G368" s="296"/>
      <c r="H368" s="296"/>
      <c r="I368" s="296"/>
      <c r="J368" s="296" t="s">
        <v>1672</v>
      </c>
      <c r="K368" s="296"/>
      <c r="L368" s="296" t="s">
        <v>1753</v>
      </c>
      <c r="M368" s="296" t="s">
        <v>1672</v>
      </c>
      <c r="N368" s="296" t="s">
        <v>1705</v>
      </c>
    </row>
    <row r="369" spans="2:14" ht="31.5">
      <c r="B369" s="636" t="s">
        <v>1693</v>
      </c>
      <c r="C369" s="296"/>
      <c r="D369" s="296"/>
      <c r="E369" s="296"/>
      <c r="F369" s="296"/>
      <c r="G369" s="296"/>
      <c r="H369" s="296"/>
      <c r="I369" s="296"/>
      <c r="J369" s="296"/>
      <c r="K369" s="296"/>
      <c r="L369" s="296" t="s">
        <v>1672</v>
      </c>
      <c r="M369" s="296" t="s">
        <v>1672</v>
      </c>
      <c r="N369" s="296" t="s">
        <v>1705</v>
      </c>
    </row>
    <row r="370" spans="2:14">
      <c r="B370" s="636" t="s">
        <v>1694</v>
      </c>
      <c r="C370" s="296"/>
      <c r="D370" s="296"/>
      <c r="E370" s="296"/>
      <c r="F370" s="296"/>
      <c r="G370" s="296"/>
      <c r="H370" s="296"/>
      <c r="I370" s="296"/>
      <c r="J370" s="296"/>
      <c r="K370" s="296"/>
      <c r="L370" s="296"/>
      <c r="M370" s="296"/>
      <c r="N370" s="423" t="s">
        <v>1678</v>
      </c>
    </row>
    <row r="371" spans="2:14">
      <c r="B371" s="636" t="s">
        <v>1695</v>
      </c>
      <c r="C371" s="296"/>
      <c r="D371" s="296"/>
      <c r="E371" s="296"/>
      <c r="F371" s="296"/>
      <c r="G371" s="296"/>
      <c r="H371" s="296"/>
      <c r="I371" s="296"/>
      <c r="J371" s="296"/>
      <c r="K371" s="296"/>
      <c r="L371" s="296"/>
      <c r="M371" s="296"/>
      <c r="N371" s="423" t="s">
        <v>1678</v>
      </c>
    </row>
    <row r="372" spans="2:14">
      <c r="B372" s="636" t="s">
        <v>1696</v>
      </c>
      <c r="C372" s="296"/>
      <c r="D372" s="296"/>
      <c r="E372" s="296"/>
      <c r="F372" s="296"/>
      <c r="G372" s="296"/>
      <c r="H372" s="296"/>
      <c r="I372" s="296"/>
      <c r="J372" s="296"/>
      <c r="K372" s="296"/>
      <c r="L372" s="296"/>
      <c r="M372" s="296"/>
      <c r="N372" s="296" t="s">
        <v>1672</v>
      </c>
    </row>
    <row r="373" spans="2:14">
      <c r="B373" s="422"/>
      <c r="C373" s="422"/>
      <c r="D373" s="422"/>
      <c r="E373" s="422"/>
      <c r="F373" s="422"/>
      <c r="G373" s="422"/>
      <c r="H373" s="422"/>
      <c r="I373" s="422"/>
      <c r="J373" s="422"/>
      <c r="K373" s="422"/>
      <c r="L373" s="422"/>
      <c r="M373" s="422"/>
      <c r="N373" s="422"/>
    </row>
    <row r="374" spans="2:14">
      <c r="B374" s="634" t="s">
        <v>65</v>
      </c>
      <c r="C374" s="635" t="s">
        <v>1</v>
      </c>
      <c r="D374" s="635" t="s">
        <v>2</v>
      </c>
      <c r="E374" s="635" t="s">
        <v>3</v>
      </c>
      <c r="F374" s="635" t="s">
        <v>4</v>
      </c>
      <c r="G374" s="635" t="s">
        <v>5</v>
      </c>
      <c r="H374" s="635" t="s">
        <v>6</v>
      </c>
      <c r="I374" s="635" t="s">
        <v>7</v>
      </c>
      <c r="J374" s="635" t="s">
        <v>8</v>
      </c>
      <c r="K374" s="635" t="s">
        <v>9</v>
      </c>
      <c r="L374" s="635" t="s">
        <v>10</v>
      </c>
      <c r="M374" s="635" t="s">
        <v>36</v>
      </c>
      <c r="N374" s="635" t="s">
        <v>37</v>
      </c>
    </row>
    <row r="375" spans="2:14" ht="63">
      <c r="B375" s="636" t="s">
        <v>1688</v>
      </c>
      <c r="C375" s="296" t="s">
        <v>1707</v>
      </c>
      <c r="D375" s="296" t="s">
        <v>1738</v>
      </c>
      <c r="E375" s="296" t="s">
        <v>1804</v>
      </c>
      <c r="F375" s="296" t="s">
        <v>1707</v>
      </c>
      <c r="G375" s="296" t="s">
        <v>1675</v>
      </c>
      <c r="H375" s="296" t="s">
        <v>1738</v>
      </c>
      <c r="I375" s="296" t="s">
        <v>1727</v>
      </c>
      <c r="J375" s="296" t="s">
        <v>1672</v>
      </c>
      <c r="K375" s="296" t="s">
        <v>1738</v>
      </c>
      <c r="L375" s="296" t="s">
        <v>1804</v>
      </c>
      <c r="M375" s="296" t="s">
        <v>1804</v>
      </c>
      <c r="N375" s="296" t="s">
        <v>1705</v>
      </c>
    </row>
    <row r="376" spans="2:14" ht="31.5">
      <c r="B376" s="636" t="s">
        <v>1689</v>
      </c>
      <c r="C376" s="423" t="s">
        <v>1678</v>
      </c>
      <c r="D376" s="423" t="s">
        <v>1678</v>
      </c>
      <c r="E376" s="296" t="s">
        <v>1732</v>
      </c>
      <c r="F376" s="423" t="s">
        <v>1710</v>
      </c>
      <c r="G376" s="296" t="s">
        <v>1675</v>
      </c>
      <c r="H376" s="296" t="s">
        <v>1672</v>
      </c>
      <c r="I376" s="423" t="s">
        <v>1678</v>
      </c>
      <c r="J376" s="296" t="s">
        <v>1705</v>
      </c>
      <c r="K376" s="296" t="s">
        <v>1715</v>
      </c>
      <c r="L376" s="296" t="s">
        <v>1672</v>
      </c>
      <c r="M376" s="296" t="s">
        <v>1672</v>
      </c>
      <c r="N376" s="423" t="s">
        <v>1678</v>
      </c>
    </row>
    <row r="377" spans="2:14" ht="31.5">
      <c r="B377" s="636" t="s">
        <v>1690</v>
      </c>
      <c r="C377" s="296" t="s">
        <v>1675</v>
      </c>
      <c r="D377" s="296"/>
      <c r="E377" s="296" t="s">
        <v>1672</v>
      </c>
      <c r="F377" s="296"/>
      <c r="G377" s="296" t="s">
        <v>1672</v>
      </c>
      <c r="H377" s="296" t="s">
        <v>1672</v>
      </c>
      <c r="I377" s="296" t="s">
        <v>1753</v>
      </c>
      <c r="J377" s="423" t="s">
        <v>1678</v>
      </c>
      <c r="K377" s="423" t="s">
        <v>1678</v>
      </c>
      <c r="L377" s="296" t="s">
        <v>1672</v>
      </c>
      <c r="M377" s="296" t="s">
        <v>1672</v>
      </c>
      <c r="N377" s="423" t="s">
        <v>1678</v>
      </c>
    </row>
    <row r="378" spans="2:14" ht="31.5">
      <c r="B378" s="636" t="s">
        <v>1691</v>
      </c>
      <c r="C378" s="423" t="s">
        <v>1678</v>
      </c>
      <c r="D378" s="296"/>
      <c r="E378" s="296"/>
      <c r="F378" s="296"/>
      <c r="G378" s="296"/>
      <c r="H378" s="296"/>
      <c r="I378" s="296" t="s">
        <v>1672</v>
      </c>
      <c r="J378" s="296" t="s">
        <v>1672</v>
      </c>
      <c r="K378" s="296" t="s">
        <v>1715</v>
      </c>
      <c r="L378" s="296"/>
      <c r="M378" s="423" t="s">
        <v>1678</v>
      </c>
      <c r="N378" s="423" t="s">
        <v>1678</v>
      </c>
    </row>
    <row r="379" spans="2:14" ht="31.5">
      <c r="B379" s="636" t="s">
        <v>1692</v>
      </c>
      <c r="C379" s="296" t="s">
        <v>1674</v>
      </c>
      <c r="D379" s="296"/>
      <c r="E379" s="296"/>
      <c r="F379" s="296"/>
      <c r="G379" s="296"/>
      <c r="H379" s="296"/>
      <c r="I379" s="296"/>
      <c r="J379" s="296"/>
      <c r="K379" s="296" t="s">
        <v>1715</v>
      </c>
      <c r="L379" s="296"/>
      <c r="M379" s="296" t="s">
        <v>1672</v>
      </c>
      <c r="N379" s="296" t="s">
        <v>1672</v>
      </c>
    </row>
    <row r="380" spans="2:14">
      <c r="B380" s="636" t="s">
        <v>1693</v>
      </c>
      <c r="C380" s="296"/>
      <c r="D380" s="296"/>
      <c r="E380" s="296"/>
      <c r="F380" s="296"/>
      <c r="G380" s="296"/>
      <c r="H380" s="296"/>
      <c r="I380" s="296"/>
      <c r="J380" s="296"/>
      <c r="K380" s="423" t="s">
        <v>1678</v>
      </c>
      <c r="L380" s="296"/>
      <c r="M380" s="296"/>
      <c r="N380" s="423" t="s">
        <v>1678</v>
      </c>
    </row>
    <row r="381" spans="2:14">
      <c r="B381" s="636" t="s">
        <v>1694</v>
      </c>
      <c r="C381" s="296"/>
      <c r="D381" s="296"/>
      <c r="E381" s="296"/>
      <c r="F381" s="296"/>
      <c r="G381" s="296"/>
      <c r="H381" s="296"/>
      <c r="I381" s="296"/>
      <c r="J381" s="296"/>
      <c r="K381" s="296" t="s">
        <v>1675</v>
      </c>
      <c r="L381" s="296"/>
      <c r="M381" s="296"/>
      <c r="N381" s="296"/>
    </row>
    <row r="382" spans="2:14">
      <c r="B382" s="636" t="s">
        <v>1695</v>
      </c>
      <c r="C382" s="296"/>
      <c r="D382" s="296"/>
      <c r="E382" s="296"/>
      <c r="F382" s="296"/>
      <c r="G382" s="296"/>
      <c r="H382" s="296"/>
      <c r="I382" s="296"/>
      <c r="J382" s="296"/>
      <c r="K382" s="423" t="s">
        <v>1678</v>
      </c>
      <c r="L382" s="296"/>
      <c r="M382" s="296"/>
      <c r="N382" s="296"/>
    </row>
    <row r="383" spans="2:14">
      <c r="B383" s="636" t="s">
        <v>1696</v>
      </c>
      <c r="C383" s="296"/>
      <c r="D383" s="296"/>
      <c r="E383" s="296"/>
      <c r="F383" s="296"/>
      <c r="G383" s="296"/>
      <c r="H383" s="296"/>
      <c r="I383" s="296"/>
      <c r="J383" s="296"/>
      <c r="K383" s="296" t="s">
        <v>1675</v>
      </c>
      <c r="L383" s="296"/>
      <c r="M383" s="296"/>
      <c r="N383" s="296"/>
    </row>
    <row r="384" spans="2:14">
      <c r="B384" s="422"/>
      <c r="C384" s="422"/>
      <c r="D384" s="422"/>
      <c r="E384" s="422"/>
      <c r="F384" s="422"/>
      <c r="G384" s="422"/>
      <c r="H384" s="422"/>
      <c r="I384" s="422"/>
      <c r="J384" s="422"/>
      <c r="K384" s="422"/>
      <c r="L384" s="422"/>
      <c r="M384" s="422"/>
      <c r="N384" s="422"/>
    </row>
    <row r="385" spans="2:14">
      <c r="B385" s="634" t="s">
        <v>60</v>
      </c>
      <c r="C385" s="635" t="s">
        <v>1</v>
      </c>
      <c r="D385" s="635" t="s">
        <v>2</v>
      </c>
      <c r="E385" s="635" t="s">
        <v>3</v>
      </c>
      <c r="F385" s="635" t="s">
        <v>4</v>
      </c>
      <c r="G385" s="635" t="s">
        <v>5</v>
      </c>
      <c r="H385" s="635" t="s">
        <v>6</v>
      </c>
      <c r="I385" s="635" t="s">
        <v>7</v>
      </c>
      <c r="J385" s="635" t="s">
        <v>8</v>
      </c>
      <c r="K385" s="635" t="s">
        <v>9</v>
      </c>
      <c r="L385" s="635" t="s">
        <v>10</v>
      </c>
      <c r="M385" s="635" t="s">
        <v>36</v>
      </c>
      <c r="N385" s="635" t="s">
        <v>37</v>
      </c>
    </row>
    <row r="386" spans="2:14" ht="63">
      <c r="B386" s="636" t="s">
        <v>1688</v>
      </c>
      <c r="C386" s="423" t="s">
        <v>1678</v>
      </c>
      <c r="D386" s="296" t="s">
        <v>1738</v>
      </c>
      <c r="E386" s="296" t="s">
        <v>1804</v>
      </c>
      <c r="F386" s="296" t="s">
        <v>1672</v>
      </c>
      <c r="G386" s="296" t="s">
        <v>1804</v>
      </c>
      <c r="H386" s="296" t="s">
        <v>1738</v>
      </c>
      <c r="I386" s="296" t="s">
        <v>1727</v>
      </c>
      <c r="J386" s="296" t="s">
        <v>1675</v>
      </c>
      <c r="K386" s="296" t="s">
        <v>1804</v>
      </c>
      <c r="L386" s="296" t="s">
        <v>1727</v>
      </c>
      <c r="M386" s="296" t="s">
        <v>1738</v>
      </c>
      <c r="N386" s="296" t="s">
        <v>1738</v>
      </c>
    </row>
    <row r="387" spans="2:14" ht="47.25">
      <c r="B387" s="636" t="s">
        <v>1689</v>
      </c>
      <c r="C387" s="296" t="s">
        <v>1738</v>
      </c>
      <c r="D387" s="423" t="s">
        <v>1678</v>
      </c>
      <c r="E387" s="296" t="s">
        <v>1672</v>
      </c>
      <c r="F387" s="296" t="s">
        <v>1672</v>
      </c>
      <c r="G387" s="296" t="s">
        <v>1672</v>
      </c>
      <c r="H387" s="423" t="s">
        <v>1678</v>
      </c>
      <c r="I387" s="296" t="s">
        <v>1673</v>
      </c>
      <c r="J387" s="296" t="s">
        <v>1675</v>
      </c>
      <c r="K387" s="423" t="s">
        <v>1678</v>
      </c>
      <c r="L387" s="296" t="s">
        <v>1719</v>
      </c>
      <c r="M387" s="296" t="s">
        <v>1673</v>
      </c>
      <c r="N387" s="423" t="s">
        <v>1678</v>
      </c>
    </row>
    <row r="388" spans="2:14" ht="31.5">
      <c r="B388" s="636" t="s">
        <v>1690</v>
      </c>
      <c r="C388" s="423" t="s">
        <v>1678</v>
      </c>
      <c r="D388" s="296" t="s">
        <v>1672</v>
      </c>
      <c r="E388" s="296"/>
      <c r="F388" s="296" t="s">
        <v>1672</v>
      </c>
      <c r="G388" s="296" t="s">
        <v>1672</v>
      </c>
      <c r="H388" s="423" t="s">
        <v>1710</v>
      </c>
      <c r="I388" s="296" t="s">
        <v>1675</v>
      </c>
      <c r="J388" s="296" t="s">
        <v>1708</v>
      </c>
      <c r="K388" s="423" t="s">
        <v>1678</v>
      </c>
      <c r="L388" s="296" t="s">
        <v>1719</v>
      </c>
      <c r="M388" s="296" t="s">
        <v>1780</v>
      </c>
      <c r="N388" s="423" t="s">
        <v>1678</v>
      </c>
    </row>
    <row r="389" spans="2:14" ht="31.5">
      <c r="B389" s="636" t="s">
        <v>1691</v>
      </c>
      <c r="C389" s="296" t="s">
        <v>1672</v>
      </c>
      <c r="D389" s="296" t="s">
        <v>1672</v>
      </c>
      <c r="E389" s="296"/>
      <c r="F389" s="296" t="s">
        <v>1674</v>
      </c>
      <c r="G389" s="296" t="s">
        <v>1673</v>
      </c>
      <c r="H389" s="296" t="s">
        <v>1672</v>
      </c>
      <c r="I389" s="296"/>
      <c r="J389" s="296"/>
      <c r="K389" s="296" t="s">
        <v>1672</v>
      </c>
      <c r="L389" s="423" t="s">
        <v>1735</v>
      </c>
      <c r="M389" s="296" t="s">
        <v>1780</v>
      </c>
      <c r="N389" s="296" t="s">
        <v>1672</v>
      </c>
    </row>
    <row r="390" spans="2:14" ht="31.5">
      <c r="B390" s="636" t="s">
        <v>1692</v>
      </c>
      <c r="C390" s="296" t="s">
        <v>1672</v>
      </c>
      <c r="D390" s="296" t="s">
        <v>1672</v>
      </c>
      <c r="E390" s="296"/>
      <c r="F390" s="296"/>
      <c r="G390" s="296"/>
      <c r="H390" s="296" t="s">
        <v>1673</v>
      </c>
      <c r="I390" s="296"/>
      <c r="J390" s="296"/>
      <c r="K390" s="296" t="s">
        <v>1701</v>
      </c>
      <c r="L390" s="296"/>
      <c r="M390" s="296" t="s">
        <v>1749</v>
      </c>
      <c r="N390" s="423" t="s">
        <v>1678</v>
      </c>
    </row>
    <row r="391" spans="2:14">
      <c r="B391" s="636" t="s">
        <v>1693</v>
      </c>
      <c r="C391" s="296" t="s">
        <v>1672</v>
      </c>
      <c r="D391" s="296"/>
      <c r="E391" s="296"/>
      <c r="F391" s="296"/>
      <c r="G391" s="296"/>
      <c r="H391" s="296"/>
      <c r="I391" s="296"/>
      <c r="J391" s="296"/>
      <c r="K391" s="296"/>
      <c r="L391" s="296"/>
      <c r="M391" s="296"/>
      <c r="N391" s="296" t="s">
        <v>1672</v>
      </c>
    </row>
    <row r="392" spans="2:14">
      <c r="B392" s="422"/>
      <c r="C392" s="422"/>
      <c r="D392" s="422"/>
      <c r="E392" s="422"/>
      <c r="F392" s="422"/>
      <c r="G392" s="422"/>
      <c r="H392" s="422"/>
      <c r="I392" s="422"/>
      <c r="J392" s="422"/>
      <c r="K392" s="422"/>
      <c r="L392" s="422"/>
      <c r="M392" s="422"/>
      <c r="N392" s="422"/>
    </row>
    <row r="393" spans="2:14">
      <c r="B393" s="634" t="s">
        <v>35</v>
      </c>
      <c r="C393" s="635" t="s">
        <v>1</v>
      </c>
      <c r="D393" s="635" t="s">
        <v>2</v>
      </c>
      <c r="E393" s="635" t="s">
        <v>3</v>
      </c>
      <c r="F393" s="635" t="s">
        <v>4</v>
      </c>
      <c r="G393" s="635" t="s">
        <v>5</v>
      </c>
      <c r="H393" s="635" t="s">
        <v>6</v>
      </c>
      <c r="I393" s="635" t="s">
        <v>7</v>
      </c>
      <c r="J393" s="635" t="s">
        <v>8</v>
      </c>
      <c r="K393" s="635" t="s">
        <v>9</v>
      </c>
      <c r="L393" s="635" t="s">
        <v>10</v>
      </c>
      <c r="M393" s="635" t="s">
        <v>36</v>
      </c>
      <c r="N393" s="639"/>
    </row>
    <row r="394" spans="2:14" ht="63">
      <c r="B394" s="636" t="s">
        <v>1688</v>
      </c>
      <c r="C394" s="296" t="s">
        <v>1738</v>
      </c>
      <c r="D394" s="296" t="s">
        <v>1705</v>
      </c>
      <c r="E394" s="296" t="s">
        <v>1738</v>
      </c>
      <c r="F394" s="296" t="s">
        <v>1738</v>
      </c>
      <c r="G394" s="296" t="s">
        <v>1738</v>
      </c>
      <c r="H394" s="296" t="s">
        <v>2759</v>
      </c>
      <c r="I394" s="296" t="s">
        <v>1738</v>
      </c>
      <c r="J394" s="296" t="s">
        <v>1804</v>
      </c>
      <c r="K394" s="296" t="s">
        <v>1804</v>
      </c>
      <c r="L394" s="296" t="s">
        <v>1738</v>
      </c>
      <c r="M394" s="296" t="s">
        <v>1738</v>
      </c>
      <c r="N394" s="296"/>
    </row>
    <row r="395" spans="2:14" ht="31.5">
      <c r="B395" s="636" t="s">
        <v>1689</v>
      </c>
      <c r="C395" s="423" t="s">
        <v>1678</v>
      </c>
      <c r="D395" s="296" t="s">
        <v>1755</v>
      </c>
      <c r="E395" s="423" t="s">
        <v>1678</v>
      </c>
      <c r="F395" s="296" t="s">
        <v>1705</v>
      </c>
      <c r="G395" s="296" t="s">
        <v>1755</v>
      </c>
      <c r="H395" s="296" t="s">
        <v>1709</v>
      </c>
      <c r="I395" s="296" t="s">
        <v>1672</v>
      </c>
      <c r="J395" s="423" t="s">
        <v>1678</v>
      </c>
      <c r="K395" s="423" t="s">
        <v>1713</v>
      </c>
      <c r="L395" s="423"/>
      <c r="M395" s="423" t="s">
        <v>1678</v>
      </c>
      <c r="N395" s="296"/>
    </row>
    <row r="396" spans="2:14" ht="31.5">
      <c r="B396" s="636" t="s">
        <v>1690</v>
      </c>
      <c r="C396" s="423" t="s">
        <v>2758</v>
      </c>
      <c r="D396" s="296" t="s">
        <v>1672</v>
      </c>
      <c r="E396" s="296" t="s">
        <v>1753</v>
      </c>
      <c r="F396" s="296" t="s">
        <v>1672</v>
      </c>
      <c r="G396" s="296" t="s">
        <v>1672</v>
      </c>
      <c r="H396" s="296" t="s">
        <v>1675</v>
      </c>
      <c r="I396" s="423" t="s">
        <v>1678</v>
      </c>
      <c r="J396" s="296" t="s">
        <v>1705</v>
      </c>
      <c r="K396" s="296" t="s">
        <v>1701</v>
      </c>
      <c r="L396" s="296"/>
      <c r="M396" s="296" t="s">
        <v>1705</v>
      </c>
      <c r="N396" s="296"/>
    </row>
    <row r="397" spans="2:14" ht="31.5">
      <c r="B397" s="636" t="s">
        <v>1691</v>
      </c>
      <c r="C397" s="423" t="s">
        <v>1678</v>
      </c>
      <c r="D397" s="296" t="s">
        <v>1705</v>
      </c>
      <c r="E397" s="296" t="s">
        <v>1674</v>
      </c>
      <c r="F397" s="423" t="s">
        <v>1678</v>
      </c>
      <c r="G397" s="296" t="s">
        <v>1672</v>
      </c>
      <c r="H397" s="296" t="s">
        <v>1672</v>
      </c>
      <c r="I397" s="296" t="s">
        <v>1705</v>
      </c>
      <c r="J397" s="296" t="s">
        <v>1672</v>
      </c>
      <c r="K397" s="296" t="s">
        <v>1672</v>
      </c>
      <c r="L397" s="296"/>
      <c r="M397" s="423" t="s">
        <v>1678</v>
      </c>
      <c r="N397" s="296"/>
    </row>
    <row r="398" spans="2:14" ht="31.5">
      <c r="B398" s="636" t="s">
        <v>1692</v>
      </c>
      <c r="C398" s="296" t="s">
        <v>1701</v>
      </c>
      <c r="D398" s="423" t="s">
        <v>1678</v>
      </c>
      <c r="E398" s="296" t="s">
        <v>1701</v>
      </c>
      <c r="F398" s="296" t="s">
        <v>1672</v>
      </c>
      <c r="G398" s="296"/>
      <c r="H398" s="296"/>
      <c r="I398" s="296" t="s">
        <v>1672</v>
      </c>
      <c r="J398" s="296" t="s">
        <v>1705</v>
      </c>
      <c r="K398" s="296" t="s">
        <v>1672</v>
      </c>
      <c r="L398" s="423"/>
      <c r="M398" s="423" t="s">
        <v>1678</v>
      </c>
      <c r="N398" s="296"/>
    </row>
    <row r="399" spans="2:14" ht="31.5">
      <c r="B399" s="636" t="s">
        <v>1693</v>
      </c>
      <c r="C399" s="296" t="s">
        <v>1732</v>
      </c>
      <c r="D399" s="296" t="s">
        <v>1672</v>
      </c>
      <c r="E399" s="296"/>
      <c r="F399" s="296"/>
      <c r="G399" s="296"/>
      <c r="H399" s="296"/>
      <c r="I399" s="296"/>
      <c r="J399" s="296" t="s">
        <v>1673</v>
      </c>
      <c r="K399" s="296" t="s">
        <v>1672</v>
      </c>
      <c r="L399" s="423"/>
      <c r="M399" s="296" t="s">
        <v>1672</v>
      </c>
      <c r="N399" s="296"/>
    </row>
    <row r="400" spans="2:14">
      <c r="B400" s="636" t="s">
        <v>1694</v>
      </c>
      <c r="C400" s="296"/>
      <c r="D400" s="296"/>
      <c r="E400" s="296"/>
      <c r="F400" s="296"/>
      <c r="G400" s="296"/>
      <c r="H400" s="296"/>
      <c r="I400" s="296"/>
      <c r="J400" s="296" t="s">
        <v>1672</v>
      </c>
      <c r="K400" s="296"/>
      <c r="L400" s="423"/>
      <c r="M400" s="296"/>
      <c r="N400" s="296"/>
    </row>
    <row r="401" spans="2:14">
      <c r="B401" s="638"/>
      <c r="C401" s="296"/>
      <c r="D401" s="296"/>
      <c r="E401" s="296"/>
      <c r="F401" s="296"/>
      <c r="G401" s="296"/>
      <c r="H401" s="296"/>
      <c r="I401" s="296"/>
      <c r="J401" s="296"/>
      <c r="K401" s="296"/>
      <c r="L401" s="296"/>
      <c r="M401" s="296"/>
      <c r="N401" s="296"/>
    </row>
    <row r="402" spans="2:14" ht="15.95" customHeight="1">
      <c r="B402" s="1713" t="s">
        <v>1825</v>
      </c>
      <c r="C402" s="1713"/>
      <c r="D402" s="1713"/>
      <c r="E402" s="422"/>
      <c r="F402" s="422"/>
      <c r="G402" s="422"/>
      <c r="H402" s="422"/>
      <c r="I402" s="422"/>
      <c r="J402" s="422"/>
      <c r="K402" s="422"/>
      <c r="L402" s="422"/>
      <c r="M402" s="422"/>
      <c r="N402" s="422"/>
    </row>
    <row r="403" spans="2:14">
      <c r="B403" s="634" t="s">
        <v>11</v>
      </c>
      <c r="C403" s="635" t="s">
        <v>1</v>
      </c>
      <c r="D403" s="635" t="s">
        <v>2</v>
      </c>
      <c r="E403" s="635" t="s">
        <v>3</v>
      </c>
      <c r="F403" s="635" t="s">
        <v>4</v>
      </c>
      <c r="G403" s="635" t="s">
        <v>5</v>
      </c>
      <c r="H403" s="635" t="s">
        <v>6</v>
      </c>
      <c r="I403" s="635" t="s">
        <v>7</v>
      </c>
      <c r="J403" s="635" t="s">
        <v>8</v>
      </c>
      <c r="K403" s="635" t="s">
        <v>9</v>
      </c>
      <c r="L403" s="635" t="s">
        <v>10</v>
      </c>
      <c r="M403" s="635" t="s">
        <v>36</v>
      </c>
      <c r="N403" s="639"/>
    </row>
    <row r="404" spans="2:14" ht="63">
      <c r="B404" s="636" t="s">
        <v>1688</v>
      </c>
      <c r="C404" s="296" t="s">
        <v>1804</v>
      </c>
      <c r="D404" s="296" t="s">
        <v>1672</v>
      </c>
      <c r="E404" s="296" t="s">
        <v>1722</v>
      </c>
      <c r="F404" s="296" t="s">
        <v>1674</v>
      </c>
      <c r="G404" s="296" t="s">
        <v>1675</v>
      </c>
      <c r="H404" s="296" t="s">
        <v>1705</v>
      </c>
      <c r="I404" s="296" t="s">
        <v>1715</v>
      </c>
      <c r="J404" s="296" t="s">
        <v>1715</v>
      </c>
      <c r="K404" s="296" t="s">
        <v>1675</v>
      </c>
      <c r="L404" s="296" t="s">
        <v>1715</v>
      </c>
      <c r="M404" s="423" t="s">
        <v>1678</v>
      </c>
      <c r="N404" s="296"/>
    </row>
    <row r="405" spans="2:14" ht="31.5">
      <c r="B405" s="636" t="s">
        <v>1689</v>
      </c>
      <c r="C405" s="296" t="s">
        <v>1674</v>
      </c>
      <c r="D405" s="296" t="s">
        <v>1672</v>
      </c>
      <c r="E405" s="296" t="s">
        <v>1675</v>
      </c>
      <c r="F405" s="296" t="s">
        <v>1679</v>
      </c>
      <c r="G405" s="423" t="s">
        <v>1713</v>
      </c>
      <c r="H405" s="296" t="s">
        <v>1672</v>
      </c>
      <c r="I405" s="296" t="s">
        <v>1675</v>
      </c>
      <c r="J405" s="296" t="s">
        <v>1675</v>
      </c>
      <c r="K405" s="296" t="s">
        <v>1715</v>
      </c>
      <c r="L405" s="296" t="s">
        <v>1674</v>
      </c>
      <c r="M405" s="296" t="s">
        <v>1715</v>
      </c>
      <c r="N405" s="296"/>
    </row>
    <row r="406" spans="2:14" ht="31.5">
      <c r="B406" s="636" t="s">
        <v>1690</v>
      </c>
      <c r="C406" s="423" t="s">
        <v>1678</v>
      </c>
      <c r="D406" s="296" t="s">
        <v>1672</v>
      </c>
      <c r="E406" s="296" t="s">
        <v>1675</v>
      </c>
      <c r="F406" s="296" t="s">
        <v>1674</v>
      </c>
      <c r="G406" s="296"/>
      <c r="H406" s="296" t="s">
        <v>1701</v>
      </c>
      <c r="I406" s="296" t="s">
        <v>1674</v>
      </c>
      <c r="J406" s="296" t="s">
        <v>1715</v>
      </c>
      <c r="K406" s="296" t="s">
        <v>1672</v>
      </c>
      <c r="L406" s="423" t="s">
        <v>1678</v>
      </c>
      <c r="M406" s="423" t="s">
        <v>1678</v>
      </c>
      <c r="N406" s="296"/>
    </row>
    <row r="407" spans="2:14">
      <c r="B407" s="636" t="s">
        <v>1691</v>
      </c>
      <c r="C407" s="296" t="s">
        <v>1672</v>
      </c>
      <c r="D407" s="296"/>
      <c r="E407" s="296" t="s">
        <v>1675</v>
      </c>
      <c r="F407" s="296" t="s">
        <v>1675</v>
      </c>
      <c r="G407" s="296"/>
      <c r="H407" s="296"/>
      <c r="I407" s="296"/>
      <c r="J407" s="296" t="s">
        <v>1675</v>
      </c>
      <c r="K407" s="296"/>
      <c r="L407" s="296" t="s">
        <v>1675</v>
      </c>
      <c r="M407" s="296" t="s">
        <v>1675</v>
      </c>
      <c r="N407" s="296"/>
    </row>
    <row r="408" spans="2:14">
      <c r="B408" s="636" t="s">
        <v>1692</v>
      </c>
      <c r="C408" s="296"/>
      <c r="D408" s="296"/>
      <c r="E408" s="296"/>
      <c r="F408" s="296"/>
      <c r="G408" s="296"/>
      <c r="H408" s="296"/>
      <c r="I408" s="296"/>
      <c r="J408" s="296"/>
      <c r="K408" s="296"/>
      <c r="L408" s="296" t="s">
        <v>1675</v>
      </c>
      <c r="M408" s="423" t="s">
        <v>1678</v>
      </c>
      <c r="N408" s="296"/>
    </row>
    <row r="409" spans="2:14">
      <c r="B409" s="636" t="s">
        <v>1693</v>
      </c>
      <c r="C409" s="296"/>
      <c r="D409" s="296"/>
      <c r="E409" s="296"/>
      <c r="F409" s="296"/>
      <c r="G409" s="296"/>
      <c r="H409" s="296"/>
      <c r="I409" s="296"/>
      <c r="J409" s="296"/>
      <c r="K409" s="296"/>
      <c r="L409" s="296"/>
      <c r="M409" s="296" t="s">
        <v>1675</v>
      </c>
      <c r="N409" s="296"/>
    </row>
    <row r="410" spans="2:14">
      <c r="B410" s="636" t="s">
        <v>1694</v>
      </c>
      <c r="C410" s="296"/>
      <c r="D410" s="296"/>
      <c r="E410" s="296"/>
      <c r="F410" s="296"/>
      <c r="G410" s="296"/>
      <c r="H410" s="296"/>
      <c r="I410" s="296"/>
      <c r="J410" s="296"/>
      <c r="K410" s="296"/>
      <c r="L410" s="296"/>
      <c r="M410" s="423" t="s">
        <v>1678</v>
      </c>
      <c r="N410" s="296"/>
    </row>
    <row r="411" spans="2:14">
      <c r="B411" s="636" t="s">
        <v>1695</v>
      </c>
      <c r="C411" s="296"/>
      <c r="D411" s="296"/>
      <c r="E411" s="296"/>
      <c r="F411" s="296"/>
      <c r="G411" s="296"/>
      <c r="H411" s="296"/>
      <c r="I411" s="296"/>
      <c r="J411" s="296"/>
      <c r="K411" s="296"/>
      <c r="L411" s="296"/>
      <c r="M411" s="296" t="s">
        <v>1674</v>
      </c>
      <c r="N411" s="296"/>
    </row>
    <row r="412" spans="2:14">
      <c r="B412" s="638"/>
      <c r="C412" s="296"/>
      <c r="D412" s="296"/>
      <c r="E412" s="296"/>
      <c r="F412" s="296"/>
      <c r="G412" s="296"/>
      <c r="H412" s="296"/>
      <c r="I412" s="296"/>
      <c r="J412" s="296"/>
      <c r="K412" s="296"/>
      <c r="L412" s="296"/>
      <c r="M412" s="296"/>
      <c r="N412" s="296"/>
    </row>
    <row r="413" spans="2:14" ht="15.95" customHeight="1">
      <c r="B413" s="1713" t="s">
        <v>1825</v>
      </c>
      <c r="C413" s="1713"/>
      <c r="D413" s="1713"/>
      <c r="E413" s="422"/>
      <c r="F413" s="422"/>
      <c r="G413" s="422"/>
      <c r="H413" s="422"/>
      <c r="I413" s="422"/>
      <c r="J413" s="422"/>
      <c r="K413" s="422"/>
      <c r="L413" s="422"/>
      <c r="M413" s="422"/>
      <c r="N413" s="422"/>
    </row>
    <row r="414" spans="2:14">
      <c r="B414" s="634" t="s">
        <v>198</v>
      </c>
      <c r="C414" s="635" t="s">
        <v>1</v>
      </c>
      <c r="D414" s="635" t="s">
        <v>2</v>
      </c>
      <c r="E414" s="635" t="s">
        <v>3</v>
      </c>
      <c r="F414" s="635" t="s">
        <v>4</v>
      </c>
      <c r="G414" s="635" t="s">
        <v>5</v>
      </c>
      <c r="H414" s="635" t="s">
        <v>6</v>
      </c>
      <c r="I414" s="635" t="s">
        <v>7</v>
      </c>
      <c r="J414" s="635" t="s">
        <v>8</v>
      </c>
      <c r="K414" s="635" t="s">
        <v>9</v>
      </c>
      <c r="L414" s="635" t="s">
        <v>10</v>
      </c>
      <c r="M414" s="639"/>
      <c r="N414" s="639"/>
    </row>
    <row r="415" spans="2:14">
      <c r="B415" s="636" t="s">
        <v>1688</v>
      </c>
      <c r="C415" s="296" t="s">
        <v>1675</v>
      </c>
      <c r="D415" s="296" t="s">
        <v>1675</v>
      </c>
      <c r="E415" s="296" t="s">
        <v>1675</v>
      </c>
      <c r="F415" s="296" t="s">
        <v>1672</v>
      </c>
      <c r="G415" s="296" t="s">
        <v>1674</v>
      </c>
      <c r="H415" s="296" t="s">
        <v>1675</v>
      </c>
      <c r="I415" s="296" t="s">
        <v>1675</v>
      </c>
      <c r="J415" s="296" t="s">
        <v>1674</v>
      </c>
      <c r="K415" s="296" t="s">
        <v>1674</v>
      </c>
      <c r="L415" s="423" t="s">
        <v>1678</v>
      </c>
      <c r="M415" s="296"/>
      <c r="N415" s="296"/>
    </row>
    <row r="416" spans="2:14" ht="31.5">
      <c r="B416" s="636" t="s">
        <v>1689</v>
      </c>
      <c r="C416" s="423" t="s">
        <v>1678</v>
      </c>
      <c r="D416" s="296" t="s">
        <v>1675</v>
      </c>
      <c r="E416" s="296" t="s">
        <v>1675</v>
      </c>
      <c r="F416" s="296" t="s">
        <v>1672</v>
      </c>
      <c r="G416" s="423" t="s">
        <v>1678</v>
      </c>
      <c r="H416" s="296" t="s">
        <v>1675</v>
      </c>
      <c r="I416" s="296" t="s">
        <v>1715</v>
      </c>
      <c r="J416" s="296" t="s">
        <v>1719</v>
      </c>
      <c r="K416" s="296" t="s">
        <v>1675</v>
      </c>
      <c r="L416" s="296" t="s">
        <v>1675</v>
      </c>
      <c r="M416" s="296"/>
      <c r="N416" s="296"/>
    </row>
    <row r="417" spans="2:14" ht="31.5">
      <c r="B417" s="636" t="s">
        <v>1690</v>
      </c>
      <c r="C417" s="423" t="s">
        <v>1678</v>
      </c>
      <c r="D417" s="296" t="s">
        <v>1674</v>
      </c>
      <c r="E417" s="296" t="s">
        <v>1675</v>
      </c>
      <c r="F417" s="296" t="s">
        <v>1674</v>
      </c>
      <c r="G417" s="296"/>
      <c r="H417" s="296" t="s">
        <v>1675</v>
      </c>
      <c r="I417" s="296" t="s">
        <v>1672</v>
      </c>
      <c r="J417" s="423" t="s">
        <v>1794</v>
      </c>
      <c r="K417" s="296" t="s">
        <v>1675</v>
      </c>
      <c r="L417" s="423" t="s">
        <v>1794</v>
      </c>
      <c r="M417" s="296"/>
      <c r="N417" s="296"/>
    </row>
    <row r="418" spans="2:14">
      <c r="B418" s="636" t="s">
        <v>1691</v>
      </c>
      <c r="C418" s="296" t="s">
        <v>1675</v>
      </c>
      <c r="D418" s="296"/>
      <c r="E418" s="296" t="s">
        <v>1674</v>
      </c>
      <c r="F418" s="296"/>
      <c r="G418" s="296"/>
      <c r="H418" s="296"/>
      <c r="I418" s="296"/>
      <c r="J418" s="296" t="s">
        <v>1674</v>
      </c>
      <c r="K418" s="423" t="s">
        <v>1678</v>
      </c>
      <c r="L418" s="423" t="s">
        <v>1678</v>
      </c>
      <c r="M418" s="296"/>
      <c r="N418" s="296"/>
    </row>
    <row r="419" spans="2:14">
      <c r="B419" s="636" t="s">
        <v>1692</v>
      </c>
      <c r="C419" s="296"/>
      <c r="D419" s="296"/>
      <c r="E419" s="296"/>
      <c r="F419" s="296"/>
      <c r="G419" s="296"/>
      <c r="H419" s="296"/>
      <c r="I419" s="296"/>
      <c r="J419" s="296" t="s">
        <v>1674</v>
      </c>
      <c r="K419" s="296" t="s">
        <v>1675</v>
      </c>
      <c r="L419" s="296" t="s">
        <v>1674</v>
      </c>
      <c r="M419" s="296"/>
      <c r="N419" s="296"/>
    </row>
    <row r="420" spans="2:14">
      <c r="B420" s="636" t="s">
        <v>1693</v>
      </c>
      <c r="C420" s="296"/>
      <c r="D420" s="296"/>
      <c r="E420" s="296"/>
      <c r="F420" s="296"/>
      <c r="G420" s="296"/>
      <c r="H420" s="296"/>
      <c r="I420" s="296"/>
      <c r="J420" s="296"/>
      <c r="K420" s="296"/>
      <c r="L420" s="423" t="s">
        <v>1678</v>
      </c>
      <c r="M420" s="296"/>
      <c r="N420" s="296"/>
    </row>
    <row r="421" spans="2:14">
      <c r="B421" s="636" t="s">
        <v>1694</v>
      </c>
      <c r="C421" s="296"/>
      <c r="D421" s="296"/>
      <c r="E421" s="296"/>
      <c r="F421" s="296"/>
      <c r="G421" s="296"/>
      <c r="H421" s="296"/>
      <c r="I421" s="296"/>
      <c r="J421" s="296"/>
      <c r="K421" s="296"/>
      <c r="L421" s="296" t="s">
        <v>1674</v>
      </c>
      <c r="M421" s="296"/>
      <c r="N421" s="296"/>
    </row>
    <row r="422" spans="2:14">
      <c r="B422" s="422"/>
      <c r="C422" s="422"/>
      <c r="D422" s="422"/>
      <c r="E422" s="422"/>
      <c r="F422" s="422"/>
      <c r="G422" s="422"/>
      <c r="H422" s="422"/>
      <c r="I422" s="422"/>
      <c r="J422" s="422"/>
      <c r="K422" s="422"/>
      <c r="L422" s="422"/>
      <c r="M422" s="422"/>
      <c r="N422" s="422"/>
    </row>
    <row r="423" spans="2:14">
      <c r="B423" s="634" t="s">
        <v>184</v>
      </c>
      <c r="C423" s="635" t="s">
        <v>1</v>
      </c>
      <c r="D423" s="635" t="s">
        <v>2</v>
      </c>
      <c r="E423" s="635" t="s">
        <v>3</v>
      </c>
      <c r="F423" s="635" t="s">
        <v>4</v>
      </c>
      <c r="G423" s="635" t="s">
        <v>5</v>
      </c>
      <c r="H423" s="635" t="s">
        <v>6</v>
      </c>
      <c r="I423" s="635" t="s">
        <v>7</v>
      </c>
      <c r="J423" s="635" t="s">
        <v>8</v>
      </c>
      <c r="K423" s="635" t="s">
        <v>9</v>
      </c>
      <c r="L423" s="635" t="s">
        <v>10</v>
      </c>
      <c r="M423" s="635" t="s">
        <v>36</v>
      </c>
      <c r="N423" s="635" t="s">
        <v>37</v>
      </c>
    </row>
    <row r="424" spans="2:14" ht="78.75">
      <c r="B424" s="636" t="s">
        <v>1688</v>
      </c>
      <c r="C424" s="296" t="s">
        <v>1675</v>
      </c>
      <c r="D424" s="296" t="s">
        <v>1672</v>
      </c>
      <c r="E424" s="296" t="s">
        <v>1760</v>
      </c>
      <c r="F424" s="296" t="s">
        <v>1672</v>
      </c>
      <c r="G424" s="296" t="s">
        <v>1804</v>
      </c>
      <c r="H424" s="296" t="s">
        <v>1672</v>
      </c>
      <c r="I424" s="296" t="s">
        <v>1826</v>
      </c>
      <c r="J424" s="296" t="s">
        <v>1827</v>
      </c>
      <c r="K424" s="296" t="s">
        <v>1674</v>
      </c>
      <c r="L424" s="296" t="s">
        <v>1738</v>
      </c>
      <c r="M424" s="296" t="s">
        <v>1829</v>
      </c>
      <c r="N424" s="296" t="s">
        <v>1707</v>
      </c>
    </row>
    <row r="425" spans="2:14" ht="47.25">
      <c r="B425" s="636" t="s">
        <v>1689</v>
      </c>
      <c r="C425" s="296" t="s">
        <v>1793</v>
      </c>
      <c r="D425" s="296" t="s">
        <v>1749</v>
      </c>
      <c r="E425" s="296" t="s">
        <v>1748</v>
      </c>
      <c r="F425" s="296" t="s">
        <v>1749</v>
      </c>
      <c r="G425" s="296" t="s">
        <v>1672</v>
      </c>
      <c r="H425" s="423" t="s">
        <v>1703</v>
      </c>
      <c r="I425" s="296" t="s">
        <v>1675</v>
      </c>
      <c r="J425" s="296" t="s">
        <v>1675</v>
      </c>
      <c r="K425" s="296" t="s">
        <v>1715</v>
      </c>
      <c r="L425" s="423" t="s">
        <v>1678</v>
      </c>
      <c r="M425" s="296" t="s">
        <v>1675</v>
      </c>
      <c r="N425" s="423" t="s">
        <v>1678</v>
      </c>
    </row>
    <row r="426" spans="2:14" ht="31.5">
      <c r="B426" s="636" t="s">
        <v>1690</v>
      </c>
      <c r="C426" s="296" t="s">
        <v>1723</v>
      </c>
      <c r="D426" s="296" t="s">
        <v>1672</v>
      </c>
      <c r="E426" s="423" t="s">
        <v>1774</v>
      </c>
      <c r="F426" s="296" t="s">
        <v>1672</v>
      </c>
      <c r="G426" s="296" t="s">
        <v>1672</v>
      </c>
      <c r="H426" s="423" t="s">
        <v>1774</v>
      </c>
      <c r="I426" s="423" t="s">
        <v>1678</v>
      </c>
      <c r="J426" s="296" t="s">
        <v>1674</v>
      </c>
      <c r="K426" s="423" t="s">
        <v>1678</v>
      </c>
      <c r="L426" s="296" t="s">
        <v>1788</v>
      </c>
      <c r="M426" s="296" t="s">
        <v>1675</v>
      </c>
      <c r="N426" s="296" t="s">
        <v>1709</v>
      </c>
    </row>
    <row r="427" spans="2:14" ht="47.25">
      <c r="B427" s="636" t="s">
        <v>1691</v>
      </c>
      <c r="C427" s="296" t="s">
        <v>1672</v>
      </c>
      <c r="D427" s="296"/>
      <c r="E427" s="296" t="s">
        <v>1672</v>
      </c>
      <c r="F427" s="296"/>
      <c r="G427" s="296"/>
      <c r="H427" s="296" t="s">
        <v>1672</v>
      </c>
      <c r="I427" s="296" t="s">
        <v>1672</v>
      </c>
      <c r="J427" s="296" t="s">
        <v>1704</v>
      </c>
      <c r="K427" s="296" t="s">
        <v>1675</v>
      </c>
      <c r="L427" s="296" t="s">
        <v>1828</v>
      </c>
      <c r="M427" s="296" t="s">
        <v>1715</v>
      </c>
      <c r="N427" s="296" t="s">
        <v>1675</v>
      </c>
    </row>
    <row r="428" spans="2:14">
      <c r="B428" s="636" t="s">
        <v>1692</v>
      </c>
      <c r="C428" s="296"/>
      <c r="D428" s="296"/>
      <c r="E428" s="296"/>
      <c r="F428" s="296"/>
      <c r="G428" s="296"/>
      <c r="H428" s="296" t="s">
        <v>1672</v>
      </c>
      <c r="I428" s="296" t="s">
        <v>1672</v>
      </c>
      <c r="J428" s="296" t="s">
        <v>1674</v>
      </c>
      <c r="K428" s="296" t="s">
        <v>1675</v>
      </c>
      <c r="L428" s="296" t="s">
        <v>1673</v>
      </c>
      <c r="M428" s="296" t="s">
        <v>1675</v>
      </c>
      <c r="N428" s="423" t="s">
        <v>1678</v>
      </c>
    </row>
    <row r="429" spans="2:14">
      <c r="B429" s="636" t="s">
        <v>1693</v>
      </c>
      <c r="C429" s="296"/>
      <c r="D429" s="296"/>
      <c r="E429" s="296"/>
      <c r="F429" s="296"/>
      <c r="G429" s="296"/>
      <c r="H429" s="296"/>
      <c r="I429" s="296"/>
      <c r="J429" s="296"/>
      <c r="K429" s="296"/>
      <c r="L429" s="296" t="s">
        <v>1672</v>
      </c>
      <c r="M429" s="296"/>
      <c r="N429" s="296" t="s">
        <v>1675</v>
      </c>
    </row>
    <row r="430" spans="2:14">
      <c r="B430" s="636" t="s">
        <v>1694</v>
      </c>
      <c r="C430" s="296"/>
      <c r="D430" s="296"/>
      <c r="E430" s="296"/>
      <c r="F430" s="296"/>
      <c r="G430" s="296"/>
      <c r="H430" s="296"/>
      <c r="I430" s="296"/>
      <c r="J430" s="296"/>
      <c r="K430" s="296"/>
      <c r="L430" s="296" t="s">
        <v>1673</v>
      </c>
      <c r="M430" s="296"/>
      <c r="N430" s="296"/>
    </row>
    <row r="431" spans="2:14">
      <c r="B431" s="638"/>
      <c r="C431" s="296"/>
      <c r="D431" s="296"/>
      <c r="E431" s="296"/>
      <c r="F431" s="296"/>
      <c r="G431" s="296"/>
      <c r="H431" s="296"/>
      <c r="I431" s="296"/>
      <c r="J431" s="296"/>
      <c r="K431" s="296"/>
      <c r="L431" s="296"/>
      <c r="M431" s="296"/>
      <c r="N431" s="296"/>
    </row>
    <row r="432" spans="2:14" ht="15.95" customHeight="1">
      <c r="B432" s="1713" t="s">
        <v>1825</v>
      </c>
      <c r="C432" s="1713"/>
      <c r="D432" s="1713"/>
      <c r="E432" s="422"/>
      <c r="F432" s="422"/>
      <c r="G432" s="422"/>
      <c r="H432" s="422"/>
      <c r="I432" s="422"/>
      <c r="J432" s="422"/>
      <c r="K432" s="422"/>
      <c r="L432" s="422"/>
      <c r="M432" s="422"/>
      <c r="N432" s="422"/>
    </row>
    <row r="433" spans="2:14">
      <c r="B433" s="634" t="s">
        <v>563</v>
      </c>
      <c r="C433" s="635" t="s">
        <v>1</v>
      </c>
      <c r="D433" s="635" t="s">
        <v>2</v>
      </c>
      <c r="E433" s="635" t="s">
        <v>3</v>
      </c>
      <c r="F433" s="635" t="s">
        <v>4</v>
      </c>
      <c r="G433" s="635" t="s">
        <v>5</v>
      </c>
      <c r="H433" s="635" t="s">
        <v>6</v>
      </c>
      <c r="I433" s="635" t="s">
        <v>7</v>
      </c>
      <c r="J433" s="635" t="s">
        <v>8</v>
      </c>
      <c r="K433" s="635" t="s">
        <v>9</v>
      </c>
      <c r="L433" s="635" t="s">
        <v>10</v>
      </c>
      <c r="M433" s="635" t="s">
        <v>36</v>
      </c>
      <c r="N433" s="639"/>
    </row>
    <row r="434" spans="2:14">
      <c r="B434" s="636" t="s">
        <v>1688</v>
      </c>
      <c r="C434" s="296" t="s">
        <v>1675</v>
      </c>
      <c r="D434" s="296" t="s">
        <v>1674</v>
      </c>
      <c r="E434" s="296" t="s">
        <v>1674</v>
      </c>
      <c r="F434" s="296" t="s">
        <v>1672</v>
      </c>
      <c r="G434" s="296" t="s">
        <v>1675</v>
      </c>
      <c r="H434" s="296" t="s">
        <v>1675</v>
      </c>
      <c r="I434" s="296" t="s">
        <v>1675</v>
      </c>
      <c r="J434" s="296" t="s">
        <v>1675</v>
      </c>
      <c r="K434" s="296" t="s">
        <v>1674</v>
      </c>
      <c r="L434" s="296" t="s">
        <v>1672</v>
      </c>
      <c r="M434" s="296" t="s">
        <v>1675</v>
      </c>
      <c r="N434" s="296"/>
    </row>
    <row r="435" spans="2:14" ht="31.5">
      <c r="B435" s="636" t="s">
        <v>1689</v>
      </c>
      <c r="C435" s="296" t="s">
        <v>1675</v>
      </c>
      <c r="D435" s="296" t="s">
        <v>1674</v>
      </c>
      <c r="E435" s="296" t="s">
        <v>1717</v>
      </c>
      <c r="F435" s="296" t="s">
        <v>1672</v>
      </c>
      <c r="G435" s="296" t="s">
        <v>1675</v>
      </c>
      <c r="H435" s="296" t="s">
        <v>1675</v>
      </c>
      <c r="I435" s="296" t="s">
        <v>1675</v>
      </c>
      <c r="J435" s="296" t="s">
        <v>1675</v>
      </c>
      <c r="K435" s="296" t="s">
        <v>1672</v>
      </c>
      <c r="L435" s="296" t="s">
        <v>1672</v>
      </c>
      <c r="M435" s="296" t="s">
        <v>1672</v>
      </c>
      <c r="N435" s="296"/>
    </row>
    <row r="436" spans="2:14" ht="31.5">
      <c r="B436" s="636" t="s">
        <v>1690</v>
      </c>
      <c r="C436" s="296" t="s">
        <v>1675</v>
      </c>
      <c r="D436" s="296" t="s">
        <v>1674</v>
      </c>
      <c r="E436" s="296" t="s">
        <v>1674</v>
      </c>
      <c r="F436" s="296" t="s">
        <v>1674</v>
      </c>
      <c r="G436" s="296" t="s">
        <v>1672</v>
      </c>
      <c r="H436" s="296" t="s">
        <v>1675</v>
      </c>
      <c r="I436" s="296" t="s">
        <v>1675</v>
      </c>
      <c r="J436" s="296" t="s">
        <v>1675</v>
      </c>
      <c r="K436" s="423" t="s">
        <v>1678</v>
      </c>
      <c r="L436" s="296" t="s">
        <v>1708</v>
      </c>
      <c r="M436" s="296" t="s">
        <v>1675</v>
      </c>
      <c r="N436" s="296"/>
    </row>
    <row r="437" spans="2:14">
      <c r="B437" s="636" t="s">
        <v>1691</v>
      </c>
      <c r="C437" s="296"/>
      <c r="D437" s="296"/>
      <c r="E437" s="296"/>
      <c r="F437" s="296"/>
      <c r="G437" s="296"/>
      <c r="H437" s="296" t="s">
        <v>1675</v>
      </c>
      <c r="I437" s="296"/>
      <c r="J437" s="296" t="s">
        <v>1672</v>
      </c>
      <c r="K437" s="296" t="s">
        <v>1672</v>
      </c>
      <c r="L437" s="296"/>
      <c r="M437" s="423" t="s">
        <v>1678</v>
      </c>
      <c r="N437" s="296"/>
    </row>
    <row r="438" spans="2:14">
      <c r="B438" s="636" t="s">
        <v>1692</v>
      </c>
      <c r="C438" s="296"/>
      <c r="D438" s="296"/>
      <c r="E438" s="296"/>
      <c r="F438" s="296"/>
      <c r="G438" s="296"/>
      <c r="H438" s="296" t="s">
        <v>1675</v>
      </c>
      <c r="I438" s="296"/>
      <c r="J438" s="296"/>
      <c r="K438" s="296" t="s">
        <v>1672</v>
      </c>
      <c r="L438" s="296"/>
      <c r="M438" s="296" t="s">
        <v>1675</v>
      </c>
      <c r="N438" s="296"/>
    </row>
    <row r="439" spans="2:14">
      <c r="B439" s="636" t="s">
        <v>1693</v>
      </c>
      <c r="C439" s="296"/>
      <c r="D439" s="296"/>
      <c r="E439" s="296"/>
      <c r="F439" s="296"/>
      <c r="G439" s="296"/>
      <c r="H439" s="296"/>
      <c r="I439" s="296"/>
      <c r="J439" s="296"/>
      <c r="K439" s="296" t="s">
        <v>1672</v>
      </c>
      <c r="L439" s="296"/>
      <c r="M439" s="296" t="s">
        <v>1674</v>
      </c>
      <c r="N439" s="296"/>
    </row>
    <row r="440" spans="2:14">
      <c r="B440" s="636" t="s">
        <v>1694</v>
      </c>
      <c r="C440" s="296"/>
      <c r="D440" s="296"/>
      <c r="E440" s="296"/>
      <c r="F440" s="296"/>
      <c r="G440" s="296"/>
      <c r="H440" s="296"/>
      <c r="I440" s="296"/>
      <c r="J440" s="296"/>
      <c r="K440" s="296"/>
      <c r="L440" s="296"/>
      <c r="M440" s="423" t="s">
        <v>1678</v>
      </c>
      <c r="N440" s="296"/>
    </row>
    <row r="441" spans="2:14">
      <c r="B441" s="636" t="s">
        <v>1695</v>
      </c>
      <c r="C441" s="296"/>
      <c r="D441" s="296"/>
      <c r="E441" s="296"/>
      <c r="F441" s="296"/>
      <c r="G441" s="296"/>
      <c r="H441" s="296"/>
      <c r="I441" s="296"/>
      <c r="J441" s="296"/>
      <c r="K441" s="296"/>
      <c r="L441" s="296"/>
      <c r="M441" s="296" t="s">
        <v>1675</v>
      </c>
      <c r="N441" s="296"/>
    </row>
    <row r="442" spans="2:14">
      <c r="B442" s="422"/>
      <c r="C442" s="422"/>
      <c r="D442" s="422"/>
      <c r="E442" s="422"/>
      <c r="F442" s="422"/>
      <c r="G442" s="422"/>
      <c r="H442" s="422"/>
      <c r="I442" s="422"/>
      <c r="J442" s="422"/>
      <c r="K442" s="422"/>
      <c r="L442" s="422"/>
      <c r="M442" s="422"/>
      <c r="N442" s="422"/>
    </row>
    <row r="443" spans="2:14">
      <c r="B443" s="634" t="s">
        <v>1742</v>
      </c>
      <c r="C443" s="635" t="s">
        <v>1</v>
      </c>
      <c r="D443" s="635" t="s">
        <v>2</v>
      </c>
      <c r="E443" s="635" t="s">
        <v>3</v>
      </c>
      <c r="F443" s="635" t="s">
        <v>4</v>
      </c>
      <c r="G443" s="635" t="s">
        <v>5</v>
      </c>
      <c r="H443" s="635" t="s">
        <v>6</v>
      </c>
      <c r="I443" s="635" t="s">
        <v>7</v>
      </c>
      <c r="J443" s="635" t="s">
        <v>8</v>
      </c>
      <c r="K443" s="635" t="s">
        <v>9</v>
      </c>
      <c r="L443" s="635" t="s">
        <v>10</v>
      </c>
      <c r="M443" s="635" t="s">
        <v>36</v>
      </c>
      <c r="N443" s="635" t="s">
        <v>37</v>
      </c>
    </row>
    <row r="444" spans="2:14" ht="78.75">
      <c r="B444" s="636" t="s">
        <v>1688</v>
      </c>
      <c r="C444" s="296" t="s">
        <v>1977</v>
      </c>
      <c r="D444" s="296" t="s">
        <v>1738</v>
      </c>
      <c r="E444" s="296" t="s">
        <v>1978</v>
      </c>
      <c r="F444" s="296" t="s">
        <v>1738</v>
      </c>
      <c r="G444" s="296" t="s">
        <v>1672</v>
      </c>
      <c r="H444" s="296" t="s">
        <v>1738</v>
      </c>
      <c r="I444" s="296" t="s">
        <v>1680</v>
      </c>
      <c r="J444" s="296" t="s">
        <v>1675</v>
      </c>
      <c r="K444" s="296" t="s">
        <v>2017</v>
      </c>
      <c r="L444" s="296" t="s">
        <v>1811</v>
      </c>
      <c r="M444" s="296" t="s">
        <v>1680</v>
      </c>
      <c r="N444" s="296" t="s">
        <v>2020</v>
      </c>
    </row>
    <row r="445" spans="2:14" ht="47.25">
      <c r="B445" s="636" t="s">
        <v>1689</v>
      </c>
      <c r="C445" s="296" t="s">
        <v>1682</v>
      </c>
      <c r="D445" s="296" t="s">
        <v>1672</v>
      </c>
      <c r="E445" s="423" t="s">
        <v>1713</v>
      </c>
      <c r="F445" s="296" t="s">
        <v>1675</v>
      </c>
      <c r="G445" s="296" t="s">
        <v>1672</v>
      </c>
      <c r="H445" s="296" t="s">
        <v>1672</v>
      </c>
      <c r="I445" s="296" t="s">
        <v>1675</v>
      </c>
      <c r="J445" s="423" t="s">
        <v>1678</v>
      </c>
      <c r="K445" s="296" t="s">
        <v>2018</v>
      </c>
      <c r="L445" s="296" t="s">
        <v>1675</v>
      </c>
      <c r="M445" s="296" t="s">
        <v>1675</v>
      </c>
      <c r="N445" s="423" t="s">
        <v>1678</v>
      </c>
    </row>
    <row r="446" spans="2:14" ht="31.5">
      <c r="B446" s="636" t="s">
        <v>1690</v>
      </c>
      <c r="C446" s="296" t="s">
        <v>1723</v>
      </c>
      <c r="D446" s="296" t="s">
        <v>1674</v>
      </c>
      <c r="E446" s="296" t="s">
        <v>1672</v>
      </c>
      <c r="F446" s="296" t="s">
        <v>1672</v>
      </c>
      <c r="G446" s="296" t="s">
        <v>1672</v>
      </c>
      <c r="H446" s="423" t="s">
        <v>1678</v>
      </c>
      <c r="I446" s="423" t="s">
        <v>1678</v>
      </c>
      <c r="J446" s="296" t="s">
        <v>2016</v>
      </c>
      <c r="K446" s="296" t="s">
        <v>1674</v>
      </c>
      <c r="L446" s="296" t="s">
        <v>1674</v>
      </c>
      <c r="M446" s="423" t="s">
        <v>1678</v>
      </c>
      <c r="N446" s="423" t="s">
        <v>1678</v>
      </c>
    </row>
    <row r="447" spans="2:14" ht="31.5">
      <c r="B447" s="636" t="s">
        <v>1691</v>
      </c>
      <c r="C447" s="296" t="s">
        <v>1672</v>
      </c>
      <c r="D447" s="296" t="s">
        <v>1672</v>
      </c>
      <c r="E447" s="296" t="s">
        <v>1672</v>
      </c>
      <c r="F447" s="296" t="s">
        <v>1672</v>
      </c>
      <c r="G447" s="296" t="s">
        <v>1674</v>
      </c>
      <c r="H447" s="296" t="s">
        <v>1672</v>
      </c>
      <c r="I447" s="296" t="s">
        <v>1715</v>
      </c>
      <c r="J447" s="296" t="s">
        <v>2016</v>
      </c>
      <c r="K447" s="423" t="s">
        <v>1678</v>
      </c>
      <c r="L447" s="423" t="s">
        <v>1678</v>
      </c>
      <c r="M447" s="296" t="s">
        <v>1806</v>
      </c>
      <c r="N447" s="423" t="s">
        <v>1718</v>
      </c>
    </row>
    <row r="448" spans="2:14" ht="47.25">
      <c r="B448" s="636" t="s">
        <v>1692</v>
      </c>
      <c r="C448" s="296"/>
      <c r="D448" s="296"/>
      <c r="E448" s="296"/>
      <c r="F448" s="296" t="s">
        <v>1672</v>
      </c>
      <c r="G448" s="296"/>
      <c r="H448" s="296" t="s">
        <v>1672</v>
      </c>
      <c r="I448" s="296" t="s">
        <v>1674</v>
      </c>
      <c r="J448" s="423" t="s">
        <v>1678</v>
      </c>
      <c r="K448" s="296" t="s">
        <v>1672</v>
      </c>
      <c r="L448" s="296" t="s">
        <v>1674</v>
      </c>
      <c r="M448" s="296" t="s">
        <v>2019</v>
      </c>
      <c r="N448" s="296" t="s">
        <v>1675</v>
      </c>
    </row>
    <row r="449" spans="2:17" ht="31.5">
      <c r="B449" s="636" t="s">
        <v>1693</v>
      </c>
      <c r="C449" s="296"/>
      <c r="D449" s="296"/>
      <c r="E449" s="296"/>
      <c r="F449" s="296"/>
      <c r="G449" s="296"/>
      <c r="H449" s="296"/>
      <c r="I449" s="296" t="s">
        <v>1675</v>
      </c>
      <c r="J449" s="296" t="s">
        <v>2016</v>
      </c>
      <c r="K449" s="296" t="s">
        <v>1674</v>
      </c>
      <c r="L449" s="296" t="s">
        <v>1675</v>
      </c>
      <c r="M449" s="423" t="s">
        <v>1678</v>
      </c>
      <c r="N449" s="423" t="s">
        <v>1678</v>
      </c>
    </row>
    <row r="450" spans="2:17" ht="31.5">
      <c r="B450" s="636" t="s">
        <v>1694</v>
      </c>
      <c r="C450" s="296"/>
      <c r="D450" s="296"/>
      <c r="E450" s="296"/>
      <c r="F450" s="296"/>
      <c r="G450" s="296"/>
      <c r="H450" s="296"/>
      <c r="I450" s="296" t="s">
        <v>1675</v>
      </c>
      <c r="J450" s="296" t="s">
        <v>2016</v>
      </c>
      <c r="K450" s="296"/>
      <c r="L450" s="296"/>
      <c r="M450" s="296" t="s">
        <v>1675</v>
      </c>
      <c r="N450" s="296" t="s">
        <v>1675</v>
      </c>
    </row>
    <row r="451" spans="2:17">
      <c r="B451" s="636" t="s">
        <v>1695</v>
      </c>
      <c r="C451" s="296"/>
      <c r="D451" s="296"/>
      <c r="E451" s="296"/>
      <c r="F451" s="296"/>
      <c r="G451" s="296"/>
      <c r="H451" s="296"/>
      <c r="I451" s="296"/>
      <c r="J451" s="296" t="s">
        <v>1674</v>
      </c>
      <c r="K451" s="296"/>
      <c r="L451" s="296"/>
      <c r="M451" s="296"/>
      <c r="N451" s="296"/>
    </row>
    <row r="452" spans="2:17">
      <c r="B452" s="640"/>
      <c r="C452" s="296"/>
      <c r="D452" s="296"/>
      <c r="E452" s="296"/>
      <c r="F452" s="296"/>
      <c r="G452" s="296"/>
      <c r="H452" s="296"/>
      <c r="I452" s="296"/>
      <c r="J452" s="296"/>
      <c r="K452" s="296"/>
      <c r="L452" s="296"/>
      <c r="M452" s="296"/>
      <c r="N452" s="296"/>
    </row>
    <row r="453" spans="2:17">
      <c r="B453" s="634" t="s">
        <v>2056</v>
      </c>
      <c r="C453" s="635" t="s">
        <v>1</v>
      </c>
      <c r="D453" s="635" t="s">
        <v>2</v>
      </c>
      <c r="E453" s="635" t="s">
        <v>3</v>
      </c>
      <c r="F453" s="635" t="s">
        <v>4</v>
      </c>
      <c r="G453" s="635" t="s">
        <v>5</v>
      </c>
      <c r="H453" s="635" t="s">
        <v>6</v>
      </c>
      <c r="I453" s="635" t="s">
        <v>7</v>
      </c>
      <c r="J453" s="635" t="s">
        <v>8</v>
      </c>
      <c r="K453" s="635" t="s">
        <v>9</v>
      </c>
      <c r="L453" s="635" t="s">
        <v>10</v>
      </c>
      <c r="M453" s="635" t="s">
        <v>36</v>
      </c>
      <c r="N453" s="635" t="s">
        <v>37</v>
      </c>
    </row>
    <row r="454" spans="2:17" ht="47.25">
      <c r="B454" s="636" t="s">
        <v>1688</v>
      </c>
      <c r="C454" s="296" t="s">
        <v>1672</v>
      </c>
      <c r="D454" s="296" t="s">
        <v>2073</v>
      </c>
      <c r="E454" s="296" t="s">
        <v>1675</v>
      </c>
      <c r="F454" s="296" t="s">
        <v>2075</v>
      </c>
      <c r="G454" s="296" t="s">
        <v>1738</v>
      </c>
      <c r="H454" s="296" t="s">
        <v>1675</v>
      </c>
      <c r="I454" s="296" t="s">
        <v>1738</v>
      </c>
      <c r="J454" s="296" t="s">
        <v>2016</v>
      </c>
      <c r="K454" s="296" t="s">
        <v>1738</v>
      </c>
      <c r="L454" s="296" t="s">
        <v>1680</v>
      </c>
      <c r="M454" s="296" t="s">
        <v>1738</v>
      </c>
      <c r="N454" s="296" t="s">
        <v>1738</v>
      </c>
    </row>
    <row r="455" spans="2:17" ht="47.25">
      <c r="B455" s="636" t="s">
        <v>1689</v>
      </c>
      <c r="C455" s="423" t="s">
        <v>1678</v>
      </c>
      <c r="D455" s="423" t="s">
        <v>2074</v>
      </c>
      <c r="E455" s="296" t="s">
        <v>1675</v>
      </c>
      <c r="F455" s="423" t="s">
        <v>1678</v>
      </c>
      <c r="G455" s="296" t="s">
        <v>1674</v>
      </c>
      <c r="H455" s="296" t="s">
        <v>1675</v>
      </c>
      <c r="I455" s="296" t="s">
        <v>1674</v>
      </c>
      <c r="J455" s="423" t="s">
        <v>2076</v>
      </c>
      <c r="K455" s="423" t="s">
        <v>1820</v>
      </c>
      <c r="L455" s="296" t="s">
        <v>1675</v>
      </c>
      <c r="M455" s="423" t="s">
        <v>1678</v>
      </c>
      <c r="N455" s="423" t="s">
        <v>1678</v>
      </c>
    </row>
    <row r="456" spans="2:17" ht="31.5">
      <c r="B456" s="636" t="s">
        <v>1690</v>
      </c>
      <c r="C456" s="296" t="s">
        <v>1700</v>
      </c>
      <c r="D456" s="296" t="s">
        <v>1674</v>
      </c>
      <c r="E456" s="423" t="s">
        <v>1678</v>
      </c>
      <c r="F456" s="296" t="s">
        <v>1674</v>
      </c>
      <c r="G456" s="296" t="s">
        <v>1674</v>
      </c>
      <c r="H456" s="296" t="s">
        <v>1675</v>
      </c>
      <c r="I456" s="423" t="s">
        <v>1678</v>
      </c>
      <c r="J456" s="425" t="s">
        <v>2016</v>
      </c>
      <c r="K456" s="296" t="s">
        <v>1705</v>
      </c>
      <c r="L456" s="296" t="s">
        <v>1675</v>
      </c>
      <c r="M456" s="296" t="s">
        <v>1672</v>
      </c>
      <c r="N456" s="296" t="s">
        <v>1705</v>
      </c>
    </row>
    <row r="457" spans="2:17" ht="31.5">
      <c r="B457" s="636" t="s">
        <v>1691</v>
      </c>
      <c r="C457" s="296" t="s">
        <v>1675</v>
      </c>
      <c r="D457" s="296" t="s">
        <v>1674</v>
      </c>
      <c r="E457" s="296" t="s">
        <v>1675</v>
      </c>
      <c r="F457" s="296" t="s">
        <v>1672</v>
      </c>
      <c r="G457" s="296" t="s">
        <v>1674</v>
      </c>
      <c r="H457" s="296"/>
      <c r="I457" s="296" t="s">
        <v>1715</v>
      </c>
      <c r="J457" s="423" t="s">
        <v>1678</v>
      </c>
      <c r="K457" s="296" t="s">
        <v>1674</v>
      </c>
      <c r="L457" s="296" t="s">
        <v>1675</v>
      </c>
      <c r="M457" s="296" t="s">
        <v>1672</v>
      </c>
      <c r="N457" s="296" t="s">
        <v>1672</v>
      </c>
    </row>
    <row r="458" spans="2:17" ht="31.5">
      <c r="B458" s="636" t="s">
        <v>1692</v>
      </c>
      <c r="C458" s="296" t="s">
        <v>1719</v>
      </c>
      <c r="D458" s="296"/>
      <c r="E458" s="423" t="s">
        <v>1718</v>
      </c>
      <c r="F458" s="296" t="s">
        <v>1749</v>
      </c>
      <c r="G458" s="296"/>
      <c r="H458" s="296"/>
      <c r="I458" s="296" t="s">
        <v>1675</v>
      </c>
      <c r="J458" s="296" t="s">
        <v>1672</v>
      </c>
      <c r="K458" s="296" t="s">
        <v>1672</v>
      </c>
      <c r="L458" s="423" t="s">
        <v>1678</v>
      </c>
      <c r="M458" s="296" t="s">
        <v>1705</v>
      </c>
      <c r="N458" s="423" t="s">
        <v>1678</v>
      </c>
    </row>
    <row r="459" spans="2:17">
      <c r="B459" s="636" t="s">
        <v>1693</v>
      </c>
      <c r="C459" s="423" t="s">
        <v>1678</v>
      </c>
      <c r="D459" s="296"/>
      <c r="E459" s="296"/>
      <c r="F459" s="296" t="s">
        <v>1672</v>
      </c>
      <c r="G459" s="296"/>
      <c r="H459" s="296"/>
      <c r="I459" s="296"/>
      <c r="J459" s="296"/>
      <c r="K459" s="296"/>
      <c r="L459" s="296" t="s">
        <v>1675</v>
      </c>
      <c r="M459" s="423"/>
      <c r="N459" s="296" t="s">
        <v>1672</v>
      </c>
    </row>
    <row r="460" spans="2:17" ht="31.5">
      <c r="B460" s="636" t="s">
        <v>1694</v>
      </c>
      <c r="C460" s="296" t="s">
        <v>2072</v>
      </c>
      <c r="D460" s="296"/>
      <c r="E460" s="296"/>
      <c r="F460" s="296"/>
      <c r="G460" s="296"/>
      <c r="H460" s="296"/>
      <c r="I460" s="296"/>
      <c r="J460" s="296"/>
      <c r="K460" s="296"/>
      <c r="L460" s="296"/>
      <c r="M460" s="296"/>
      <c r="N460" s="423" t="s">
        <v>1678</v>
      </c>
    </row>
    <row r="461" spans="2:17">
      <c r="B461" s="636" t="s">
        <v>1695</v>
      </c>
      <c r="C461" s="296" t="s">
        <v>1672</v>
      </c>
      <c r="D461" s="296"/>
      <c r="E461" s="296"/>
      <c r="F461" s="296"/>
      <c r="G461" s="296"/>
      <c r="H461" s="296"/>
      <c r="I461" s="296"/>
      <c r="J461" s="296"/>
      <c r="K461" s="296"/>
      <c r="L461" s="296"/>
      <c r="M461" s="296"/>
      <c r="N461" s="296" t="s">
        <v>1672</v>
      </c>
    </row>
    <row r="462" spans="2:17">
      <c r="B462" s="422"/>
      <c r="C462" s="422"/>
      <c r="D462" s="422"/>
      <c r="E462" s="422"/>
      <c r="F462" s="422"/>
      <c r="G462" s="422"/>
      <c r="H462" s="422"/>
      <c r="I462" s="422"/>
      <c r="J462" s="422"/>
      <c r="K462" s="422"/>
      <c r="L462" s="422"/>
      <c r="M462" s="422"/>
      <c r="N462" s="422"/>
    </row>
    <row r="463" spans="2:17">
      <c r="B463" s="422"/>
      <c r="C463" s="422"/>
      <c r="D463" s="422"/>
      <c r="E463" s="422"/>
      <c r="F463" s="422"/>
      <c r="G463" s="422"/>
      <c r="H463" s="422"/>
      <c r="I463" s="422"/>
      <c r="J463" s="422"/>
      <c r="K463" s="422"/>
      <c r="L463" s="422"/>
      <c r="M463" s="422"/>
      <c r="N463" s="422"/>
    </row>
    <row r="464" spans="2:17" ht="18.75">
      <c r="B464" s="40" t="s">
        <v>2750</v>
      </c>
      <c r="Q464" s="69" t="s">
        <v>2760</v>
      </c>
    </row>
    <row r="465" spans="2:30">
      <c r="B465" t="s">
        <v>2751</v>
      </c>
      <c r="Q465" s="1406" t="s">
        <v>1635</v>
      </c>
      <c r="R465" s="1407" t="s">
        <v>1</v>
      </c>
      <c r="S465" s="1407" t="s">
        <v>2</v>
      </c>
      <c r="T465" s="1407" t="s">
        <v>3</v>
      </c>
      <c r="U465" s="1407" t="s">
        <v>4</v>
      </c>
      <c r="V465" s="1407" t="s">
        <v>5</v>
      </c>
      <c r="W465" s="1407" t="s">
        <v>6</v>
      </c>
      <c r="X465" s="1407" t="s">
        <v>7</v>
      </c>
      <c r="Y465" s="1407" t="s">
        <v>8</v>
      </c>
      <c r="Z465" s="1407" t="s">
        <v>9</v>
      </c>
      <c r="AA465" s="1407" t="s">
        <v>10</v>
      </c>
      <c r="AB465" s="1407" t="s">
        <v>36</v>
      </c>
      <c r="AC465" s="1407" t="s">
        <v>37</v>
      </c>
      <c r="AD465" s="1407" t="s">
        <v>344</v>
      </c>
    </row>
    <row r="466" spans="2:30">
      <c r="B466" t="s">
        <v>2786</v>
      </c>
      <c r="Q466" s="858" t="s">
        <v>185</v>
      </c>
      <c r="R466" s="560">
        <f t="shared" ref="R466:R478" si="7">IF(COUNTIF(C$469:C$650,$Q466)/COUNTIF(C$469:C$650, "*Challenge*")&gt;0, COUNTIF(C$469:C$650,$Q466)/COUNTIF(C$469:C$650, "*Challenge*"), "")</f>
        <v>0.23076923076923078</v>
      </c>
      <c r="S466" s="560" t="str">
        <f t="shared" ref="S466:S478" si="8">IF(COUNTIF(D$469:D$650,$Q466)/COUNTIF(D$469:D$650, "*Challenge*")&gt;0, COUNTIF(D$469:D$650,$Q466)/COUNTIF(D$469:D$650, "*Challenge*"), "")</f>
        <v/>
      </c>
      <c r="T466" s="560" t="str">
        <f t="shared" ref="T466:T478" si="9">IF(COUNTIF(E$469:E$650,$Q466)/COUNTIF(E$469:E$650, "*Challenge*")&gt;0, COUNTIF(E$469:E$650,$Q466)/COUNTIF(E$469:E$650, "*Challenge*"), "")</f>
        <v/>
      </c>
      <c r="U466" s="560" t="str">
        <f t="shared" ref="U466:U478" si="10">IF(COUNTIF(F$469:F$650,$Q466)/COUNTIF(F$469:F$650, "*Challenge*")&gt;0, COUNTIF(F$469:F$650,$Q466)/COUNTIF(F$469:F$650, "*Challenge*"), "")</f>
        <v/>
      </c>
      <c r="V466" s="560" t="str">
        <f t="shared" ref="V466:V478" si="11">IF(COUNTIF(G$469:G$650,$Q466)/COUNTIF(G$469:G$650, "*Challenge*")&gt;0, COUNTIF(G$469:G$650,$Q466)/COUNTIF(G$469:G$650, "*Challenge*"), "")</f>
        <v/>
      </c>
      <c r="W466" s="560">
        <f t="shared" ref="W466:W478" si="12">IF(COUNTIF(H$469:H$650,$Q466)/COUNTIF(H$469:H$650, "*Challenge*")&gt;0, COUNTIF(H$469:H$650,$Q466)/COUNTIF(H$469:H$650, "*Challenge*"), "")</f>
        <v>0.16666666666666666</v>
      </c>
      <c r="X466" s="560" t="str">
        <f t="shared" ref="X466:X478" si="13">IF(COUNTIF(I$469:I$650,$Q466)/COUNTIF(I$469:I$650, "*Challenge*")&gt;0, COUNTIF(I$469:I$650,$Q466)/COUNTIF(I$469:I$650, "*Challenge*"), "")</f>
        <v/>
      </c>
      <c r="Y466" s="560" t="str">
        <f t="shared" ref="Y466:Y478" si="14">IF(COUNTIF(J$469:J$650,$Q466)/COUNTIF(J$469:J$650, "*Challenge*")&gt;0, COUNTIF(J$469:J$650,$Q466)/COUNTIF(J$469:J$650, "*Challenge*"), "")</f>
        <v/>
      </c>
      <c r="Z466" s="560" t="str">
        <f t="shared" ref="Z466:Z478" si="15">IF(COUNTIF(K$469:K$650,$Q466)/COUNTIF(K$469:K$650, "*Challenge*")&gt;0, COUNTIF(K$469:K$650,$Q466)/COUNTIF(K$469:K$650, "*Challenge*"), "")</f>
        <v/>
      </c>
      <c r="AA466" s="560">
        <f t="shared" ref="AA466:AA478" si="16">IF(COUNTIF(L$469:L$650,$Q466)/COUNTIF(L$469:L$650, "*Challenge*")&gt;0, COUNTIF(L$469:L$650,$Q466)/COUNTIF(L$469:L$650, "*Challenge*"), "")</f>
        <v>0.16666666666666666</v>
      </c>
      <c r="AB466" s="560">
        <f t="shared" ref="AB466:AB478" si="17">IF(COUNTIF(M$469:M$650,$Q466)/COUNTIF(M$469:M$650, "*Challenge*")&gt;0, COUNTIF(M$469:M$650,$Q466)/COUNTIF(M$469:M$650, "*Challenge*"), "")</f>
        <v>9.5238095238095233E-2</v>
      </c>
      <c r="AC466" s="560">
        <f t="shared" ref="AC466:AC478" si="18">IF(COUNTIF(N$469:N$650,$Q466)/COUNTIF(N$469:N$650, "*Challenge*")&gt;0, COUNTIF(N$469:N$650,$Q466)/COUNTIF(N$469:N$650, "*Challenge*"), "")</f>
        <v>2.4390243902439025E-2</v>
      </c>
      <c r="AD466" s="560" t="str">
        <f t="shared" ref="AD466:AD478" si="19">IF(COUNTIF(O$469:O$650,$Q466)/COUNTIF(O$469:O$650, "*Challenge*")&gt;0, COUNTIF(O$469:O$650,$Q466)/COUNTIF(O$469:O$650, "*Challenge*"), "")</f>
        <v/>
      </c>
    </row>
    <row r="467" spans="2:30">
      <c r="B467" s="35" t="s">
        <v>2752</v>
      </c>
      <c r="Q467" s="858" t="s">
        <v>186</v>
      </c>
      <c r="R467" s="560">
        <f t="shared" si="7"/>
        <v>0.23076923076923078</v>
      </c>
      <c r="S467" s="560">
        <f t="shared" si="8"/>
        <v>0.2</v>
      </c>
      <c r="T467" s="560">
        <f t="shared" si="9"/>
        <v>0.375</v>
      </c>
      <c r="U467" s="560">
        <f t="shared" si="10"/>
        <v>0.33333333333333331</v>
      </c>
      <c r="V467" s="560">
        <f t="shared" si="11"/>
        <v>0.14285714285714285</v>
      </c>
      <c r="W467" s="560">
        <f t="shared" si="12"/>
        <v>0.5</v>
      </c>
      <c r="X467" s="560">
        <f t="shared" si="13"/>
        <v>0.33333333333333331</v>
      </c>
      <c r="Y467" s="560">
        <f t="shared" si="14"/>
        <v>0.15384615384615385</v>
      </c>
      <c r="Z467" s="560">
        <f t="shared" si="15"/>
        <v>0.27272727272727271</v>
      </c>
      <c r="AA467" s="560">
        <f t="shared" si="16"/>
        <v>8.3333333333333329E-2</v>
      </c>
      <c r="AB467" s="560">
        <f t="shared" si="17"/>
        <v>0.14285714285714285</v>
      </c>
      <c r="AC467" s="560">
        <f t="shared" si="18"/>
        <v>0.14634146341463414</v>
      </c>
      <c r="AD467" s="560">
        <f t="shared" si="19"/>
        <v>0.2</v>
      </c>
    </row>
    <row r="468" spans="2:30">
      <c r="B468" s="35" t="s">
        <v>183</v>
      </c>
      <c r="C468" s="35" t="s">
        <v>1</v>
      </c>
      <c r="D468" s="35" t="s">
        <v>2</v>
      </c>
      <c r="E468" s="35" t="s">
        <v>3</v>
      </c>
      <c r="F468" s="35" t="s">
        <v>4</v>
      </c>
      <c r="G468" s="35" t="s">
        <v>5</v>
      </c>
      <c r="H468" s="35" t="s">
        <v>6</v>
      </c>
      <c r="I468" s="35" t="s">
        <v>7</v>
      </c>
      <c r="J468" s="35" t="s">
        <v>8</v>
      </c>
      <c r="K468" s="35" t="s">
        <v>9</v>
      </c>
      <c r="L468" s="35" t="s">
        <v>10</v>
      </c>
      <c r="M468" s="35" t="s">
        <v>36</v>
      </c>
      <c r="N468" s="35" t="s">
        <v>37</v>
      </c>
      <c r="O468" s="35" t="s">
        <v>344</v>
      </c>
      <c r="Q468" s="858" t="s">
        <v>187</v>
      </c>
      <c r="R468" s="560">
        <f t="shared" si="7"/>
        <v>0.11538461538461539</v>
      </c>
      <c r="S468" s="560">
        <f t="shared" si="8"/>
        <v>0.2</v>
      </c>
      <c r="T468" s="560" t="str">
        <f t="shared" si="9"/>
        <v/>
      </c>
      <c r="U468" s="560">
        <f t="shared" si="10"/>
        <v>0.1111111111111111</v>
      </c>
      <c r="V468" s="560">
        <f t="shared" si="11"/>
        <v>0.2857142857142857</v>
      </c>
      <c r="W468" s="560" t="str">
        <f t="shared" si="12"/>
        <v/>
      </c>
      <c r="X468" s="560">
        <f t="shared" si="13"/>
        <v>0.16666666666666666</v>
      </c>
      <c r="Y468" s="560">
        <f t="shared" si="14"/>
        <v>0.15384615384615385</v>
      </c>
      <c r="Z468" s="560">
        <f t="shared" si="15"/>
        <v>0.18181818181818182</v>
      </c>
      <c r="AA468" s="560" t="str">
        <f t="shared" si="16"/>
        <v/>
      </c>
      <c r="AB468" s="560">
        <f t="shared" si="17"/>
        <v>9.5238095238095233E-2</v>
      </c>
      <c r="AC468" s="560">
        <f t="shared" si="18"/>
        <v>4.878048780487805E-2</v>
      </c>
      <c r="AD468" s="560" t="str">
        <f t="shared" si="19"/>
        <v/>
      </c>
    </row>
    <row r="469" spans="2:30">
      <c r="B469" s="1712" t="s">
        <v>126</v>
      </c>
      <c r="C469" s="105"/>
      <c r="D469" s="1381"/>
      <c r="E469" s="1381"/>
      <c r="F469" s="1381"/>
      <c r="G469" s="1382"/>
      <c r="H469" s="1382"/>
      <c r="I469" s="1381"/>
      <c r="J469" s="1381"/>
      <c r="K469" s="1382"/>
      <c r="L469" s="1381"/>
      <c r="M469" s="1383" t="s">
        <v>44</v>
      </c>
      <c r="N469" s="1383" t="s">
        <v>44</v>
      </c>
      <c r="O469" s="1381"/>
      <c r="Q469" s="858" t="s">
        <v>188</v>
      </c>
      <c r="R469" s="560">
        <f t="shared" si="7"/>
        <v>0.26923076923076922</v>
      </c>
      <c r="S469" s="560">
        <f t="shared" si="8"/>
        <v>0.2</v>
      </c>
      <c r="T469" s="560">
        <f t="shared" si="9"/>
        <v>0.375</v>
      </c>
      <c r="U469" s="560" t="str">
        <f t="shared" si="10"/>
        <v/>
      </c>
      <c r="V469" s="560">
        <f t="shared" si="11"/>
        <v>0.42857142857142855</v>
      </c>
      <c r="W469" s="560" t="str">
        <f t="shared" si="12"/>
        <v/>
      </c>
      <c r="X469" s="560">
        <f t="shared" si="13"/>
        <v>0.33333333333333331</v>
      </c>
      <c r="Y469" s="560">
        <f t="shared" si="14"/>
        <v>0.15384615384615385</v>
      </c>
      <c r="Z469" s="560">
        <f t="shared" si="15"/>
        <v>0.13636363636363635</v>
      </c>
      <c r="AA469" s="560">
        <f t="shared" si="16"/>
        <v>0.16666666666666666</v>
      </c>
      <c r="AB469" s="560">
        <f t="shared" si="17"/>
        <v>9.5238095238095233E-2</v>
      </c>
      <c r="AC469" s="560">
        <f t="shared" si="18"/>
        <v>0.12195121951219512</v>
      </c>
      <c r="AD469" s="560" t="str">
        <f t="shared" si="19"/>
        <v/>
      </c>
    </row>
    <row r="470" spans="2:30">
      <c r="B470" s="1710"/>
      <c r="D470" s="58"/>
      <c r="H470" s="990"/>
      <c r="I470" s="422"/>
      <c r="L470" s="990"/>
      <c r="M470" s="956" t="s">
        <v>109</v>
      </c>
      <c r="Q470" s="858" t="s">
        <v>189</v>
      </c>
      <c r="R470" s="560">
        <f t="shared" si="7"/>
        <v>0.11538461538461539</v>
      </c>
      <c r="S470" s="560" t="str">
        <f t="shared" si="8"/>
        <v/>
      </c>
      <c r="T470" s="560">
        <f t="shared" si="9"/>
        <v>0.25</v>
      </c>
      <c r="U470" s="560">
        <f t="shared" si="10"/>
        <v>0.33333333333333331</v>
      </c>
      <c r="V470" s="560" t="str">
        <f t="shared" si="11"/>
        <v/>
      </c>
      <c r="W470" s="560">
        <f t="shared" si="12"/>
        <v>0.16666666666666666</v>
      </c>
      <c r="X470" s="560">
        <f t="shared" si="13"/>
        <v>0.16666666666666666</v>
      </c>
      <c r="Y470" s="560">
        <f t="shared" si="14"/>
        <v>0.23076923076923078</v>
      </c>
      <c r="Z470" s="560">
        <f t="shared" si="15"/>
        <v>0.13636363636363635</v>
      </c>
      <c r="AA470" s="560">
        <f t="shared" si="16"/>
        <v>0.25</v>
      </c>
      <c r="AB470" s="560">
        <f t="shared" si="17"/>
        <v>0.19047619047619047</v>
      </c>
      <c r="AC470" s="560">
        <f t="shared" si="18"/>
        <v>0.24390243902439024</v>
      </c>
      <c r="AD470" s="560">
        <f t="shared" si="19"/>
        <v>0.2</v>
      </c>
    </row>
    <row r="471" spans="2:30" ht="16.5" thickBot="1">
      <c r="B471" s="1711"/>
      <c r="C471" s="985"/>
      <c r="D471" s="985"/>
      <c r="E471" s="985"/>
      <c r="F471" s="985"/>
      <c r="G471" s="985"/>
      <c r="H471" s="985"/>
      <c r="I471" s="985"/>
      <c r="J471" s="985"/>
      <c r="K471" s="985"/>
      <c r="L471" s="985"/>
      <c r="M471" s="986" t="s">
        <v>188</v>
      </c>
      <c r="N471" s="985" t="s">
        <v>189</v>
      </c>
      <c r="O471" s="985"/>
      <c r="Q471" s="858" t="s">
        <v>190</v>
      </c>
      <c r="R471" s="560" t="str">
        <f t="shared" si="7"/>
        <v/>
      </c>
      <c r="S471" s="560">
        <f t="shared" si="8"/>
        <v>0.4</v>
      </c>
      <c r="T471" s="560" t="str">
        <f t="shared" si="9"/>
        <v/>
      </c>
      <c r="U471" s="560">
        <f t="shared" si="10"/>
        <v>0.22222222222222221</v>
      </c>
      <c r="V471" s="560">
        <f t="shared" si="11"/>
        <v>0.14285714285714285</v>
      </c>
      <c r="W471" s="560">
        <f t="shared" si="12"/>
        <v>0.16666666666666666</v>
      </c>
      <c r="X471" s="560" t="str">
        <f t="shared" si="13"/>
        <v/>
      </c>
      <c r="Y471" s="560">
        <f t="shared" si="14"/>
        <v>0.23076923076923078</v>
      </c>
      <c r="Z471" s="560">
        <f t="shared" si="15"/>
        <v>9.0909090909090912E-2</v>
      </c>
      <c r="AA471" s="560">
        <f t="shared" si="16"/>
        <v>0.16666666666666666</v>
      </c>
      <c r="AB471" s="560">
        <f t="shared" si="17"/>
        <v>0.14285714285714285</v>
      </c>
      <c r="AC471" s="560">
        <f t="shared" si="18"/>
        <v>0.12195121951219512</v>
      </c>
      <c r="AD471" s="560">
        <f t="shared" si="19"/>
        <v>0.4</v>
      </c>
    </row>
    <row r="472" spans="2:30" ht="17.25" thickTop="1" thickBot="1">
      <c r="B472" s="1384" t="s">
        <v>127</v>
      </c>
      <c r="C472" s="1385"/>
      <c r="D472" s="1385"/>
      <c r="E472" s="1385"/>
      <c r="F472" s="1385"/>
      <c r="G472" s="1385"/>
      <c r="H472" s="1385"/>
      <c r="I472" s="1385"/>
      <c r="J472" s="1385"/>
      <c r="K472" s="1385"/>
      <c r="L472" s="1386"/>
      <c r="M472" s="1385"/>
      <c r="N472" s="1385"/>
      <c r="O472" s="1385"/>
      <c r="Q472" s="858" t="s">
        <v>191</v>
      </c>
      <c r="R472" s="560">
        <f t="shared" si="7"/>
        <v>3.8461538461538464E-2</v>
      </c>
      <c r="S472" s="560" t="str">
        <f t="shared" si="8"/>
        <v/>
      </c>
      <c r="T472" s="560" t="str">
        <f t="shared" si="9"/>
        <v/>
      </c>
      <c r="U472" s="560" t="str">
        <f t="shared" si="10"/>
        <v/>
      </c>
      <c r="V472" s="560" t="str">
        <f t="shared" si="11"/>
        <v/>
      </c>
      <c r="W472" s="560" t="str">
        <f t="shared" si="12"/>
        <v/>
      </c>
      <c r="X472" s="560" t="str">
        <f t="shared" si="13"/>
        <v/>
      </c>
      <c r="Y472" s="560">
        <f t="shared" si="14"/>
        <v>7.6923076923076927E-2</v>
      </c>
      <c r="Z472" s="560">
        <f t="shared" si="15"/>
        <v>0.13636363636363635</v>
      </c>
      <c r="AA472" s="560">
        <f t="shared" si="16"/>
        <v>0.16666666666666666</v>
      </c>
      <c r="AB472" s="560">
        <f t="shared" si="17"/>
        <v>0.19047619047619047</v>
      </c>
      <c r="AC472" s="560">
        <f t="shared" si="18"/>
        <v>0.17073170731707318</v>
      </c>
      <c r="AD472" s="560" t="str">
        <f t="shared" si="19"/>
        <v/>
      </c>
    </row>
    <row r="473" spans="2:30" ht="17.25" thickTop="1" thickBot="1">
      <c r="B473" s="1387" t="s">
        <v>128</v>
      </c>
      <c r="C473" s="1385"/>
      <c r="D473" s="1385"/>
      <c r="E473" s="1385"/>
      <c r="F473" s="1385"/>
      <c r="G473" s="1385"/>
      <c r="H473" s="1388"/>
      <c r="I473" s="1385"/>
      <c r="J473" s="1385"/>
      <c r="K473" s="1385"/>
      <c r="L473" s="1386"/>
      <c r="M473" s="1385"/>
      <c r="N473" s="1385"/>
      <c r="O473" s="1385"/>
      <c r="Q473" s="858" t="s">
        <v>192</v>
      </c>
      <c r="R473" s="560" t="str">
        <f t="shared" si="7"/>
        <v/>
      </c>
      <c r="S473" s="560" t="str">
        <f t="shared" si="8"/>
        <v/>
      </c>
      <c r="T473" s="560" t="str">
        <f t="shared" si="9"/>
        <v/>
      </c>
      <c r="U473" s="560" t="str">
        <f t="shared" si="10"/>
        <v/>
      </c>
      <c r="V473" s="560" t="str">
        <f t="shared" si="11"/>
        <v/>
      </c>
      <c r="W473" s="560" t="str">
        <f t="shared" si="12"/>
        <v/>
      </c>
      <c r="X473" s="560" t="str">
        <f t="shared" si="13"/>
        <v/>
      </c>
      <c r="Y473" s="560" t="str">
        <f t="shared" si="14"/>
        <v/>
      </c>
      <c r="Z473" s="560">
        <f t="shared" si="15"/>
        <v>4.5454545454545456E-2</v>
      </c>
      <c r="AA473" s="560" t="str">
        <f t="shared" si="16"/>
        <v/>
      </c>
      <c r="AB473" s="560" t="str">
        <f t="shared" si="17"/>
        <v/>
      </c>
      <c r="AC473" s="560">
        <f t="shared" si="18"/>
        <v>9.7560975609756101E-2</v>
      </c>
      <c r="AD473" s="560" t="str">
        <f t="shared" si="19"/>
        <v/>
      </c>
    </row>
    <row r="474" spans="2:30" ht="16.5" thickTop="1">
      <c r="B474" s="1709" t="s">
        <v>129</v>
      </c>
      <c r="C474" s="1016"/>
      <c r="D474" s="1016"/>
      <c r="E474" s="1016"/>
      <c r="F474" s="1016"/>
      <c r="G474" s="1016"/>
      <c r="H474" s="1016"/>
      <c r="I474" s="1016"/>
      <c r="J474" s="1016"/>
      <c r="K474" s="1016"/>
      <c r="L474" s="1016"/>
      <c r="M474" s="1016"/>
      <c r="N474" s="1016"/>
      <c r="O474" s="1389" t="s">
        <v>20</v>
      </c>
      <c r="Q474" s="858" t="s">
        <v>193</v>
      </c>
      <c r="R474" s="560" t="str">
        <f t="shared" si="7"/>
        <v/>
      </c>
      <c r="S474" s="560" t="str">
        <f t="shared" si="8"/>
        <v/>
      </c>
      <c r="T474" s="560" t="str">
        <f t="shared" si="9"/>
        <v/>
      </c>
      <c r="U474" s="560" t="str">
        <f t="shared" si="10"/>
        <v/>
      </c>
      <c r="V474" s="560" t="str">
        <f t="shared" si="11"/>
        <v/>
      </c>
      <c r="W474" s="560" t="str">
        <f t="shared" si="12"/>
        <v/>
      </c>
      <c r="X474" s="560" t="str">
        <f t="shared" si="13"/>
        <v/>
      </c>
      <c r="Y474" s="560" t="str">
        <f t="shared" si="14"/>
        <v/>
      </c>
      <c r="Z474" s="560" t="str">
        <f t="shared" si="15"/>
        <v/>
      </c>
      <c r="AA474" s="560" t="str">
        <f t="shared" si="16"/>
        <v/>
      </c>
      <c r="AB474" s="560">
        <f t="shared" si="17"/>
        <v>4.7619047619047616E-2</v>
      </c>
      <c r="AC474" s="560">
        <f t="shared" si="18"/>
        <v>2.4390243902439025E-2</v>
      </c>
      <c r="AD474" s="560">
        <f t="shared" si="19"/>
        <v>0.2</v>
      </c>
    </row>
    <row r="475" spans="2:30" ht="16.5" thickBot="1">
      <c r="B475" s="1711"/>
      <c r="C475" s="985"/>
      <c r="D475" s="986"/>
      <c r="E475" s="985"/>
      <c r="F475" s="986"/>
      <c r="G475" s="985"/>
      <c r="H475" s="986"/>
      <c r="I475" s="985"/>
      <c r="J475" s="985"/>
      <c r="K475" s="985"/>
      <c r="L475" s="985"/>
      <c r="M475" s="985"/>
      <c r="N475" s="985"/>
      <c r="O475" s="985" t="s">
        <v>193</v>
      </c>
      <c r="Q475" s="858" t="s">
        <v>194</v>
      </c>
      <c r="R475" s="560" t="str">
        <f t="shared" si="7"/>
        <v/>
      </c>
      <c r="S475" s="560" t="str">
        <f t="shared" si="8"/>
        <v/>
      </c>
      <c r="T475" s="560" t="str">
        <f t="shared" si="9"/>
        <v/>
      </c>
      <c r="U475" s="560" t="str">
        <f t="shared" si="10"/>
        <v/>
      </c>
      <c r="V475" s="560" t="str">
        <f t="shared" si="11"/>
        <v/>
      </c>
      <c r="W475" s="560" t="str">
        <f t="shared" si="12"/>
        <v/>
      </c>
      <c r="X475" s="560" t="str">
        <f t="shared" si="13"/>
        <v/>
      </c>
      <c r="Y475" s="560" t="str">
        <f t="shared" si="14"/>
        <v/>
      </c>
      <c r="Z475" s="560" t="str">
        <f t="shared" si="15"/>
        <v/>
      </c>
      <c r="AA475" s="560" t="str">
        <f t="shared" si="16"/>
        <v/>
      </c>
      <c r="AB475" s="560" t="str">
        <f t="shared" si="17"/>
        <v/>
      </c>
      <c r="AC475" s="560" t="str">
        <f t="shared" si="18"/>
        <v/>
      </c>
      <c r="AD475" s="560" t="str">
        <f t="shared" si="19"/>
        <v/>
      </c>
    </row>
    <row r="476" spans="2:30" ht="16.5" thickTop="1">
      <c r="B476" s="1709" t="s">
        <v>130</v>
      </c>
      <c r="C476" s="1012" t="s">
        <v>1271</v>
      </c>
      <c r="D476" s="1016"/>
      <c r="E476" s="1016"/>
      <c r="F476" s="1390"/>
      <c r="G476" s="1389" t="s">
        <v>20</v>
      </c>
      <c r="H476" s="1012" t="s">
        <v>1271</v>
      </c>
      <c r="I476" s="1016"/>
      <c r="J476" s="1391" t="s">
        <v>234</v>
      </c>
      <c r="K476" s="1010" t="s">
        <v>26</v>
      </c>
      <c r="L476" s="1016"/>
      <c r="M476" s="1016"/>
      <c r="N476" s="1392" t="s">
        <v>44</v>
      </c>
      <c r="O476" s="1392" t="s">
        <v>44</v>
      </c>
      <c r="Q476" s="858" t="s">
        <v>1637</v>
      </c>
      <c r="R476" s="560" t="str">
        <f t="shared" si="7"/>
        <v/>
      </c>
      <c r="S476" s="560" t="str">
        <f t="shared" si="8"/>
        <v/>
      </c>
      <c r="T476" s="560" t="str">
        <f t="shared" si="9"/>
        <v/>
      </c>
      <c r="U476" s="560" t="str">
        <f t="shared" si="10"/>
        <v/>
      </c>
      <c r="V476" s="560" t="str">
        <f t="shared" si="11"/>
        <v/>
      </c>
      <c r="W476" s="560" t="str">
        <f t="shared" si="12"/>
        <v/>
      </c>
      <c r="X476" s="560" t="str">
        <f t="shared" si="13"/>
        <v/>
      </c>
      <c r="Y476" s="560" t="str">
        <f t="shared" si="14"/>
        <v/>
      </c>
      <c r="Z476" s="560" t="str">
        <f t="shared" si="15"/>
        <v/>
      </c>
      <c r="AA476" s="560" t="str">
        <f t="shared" si="16"/>
        <v/>
      </c>
      <c r="AB476" s="560" t="str">
        <f t="shared" si="17"/>
        <v/>
      </c>
      <c r="AC476" s="560" t="str">
        <f t="shared" si="18"/>
        <v/>
      </c>
      <c r="AD476" s="560" t="str">
        <f t="shared" si="19"/>
        <v/>
      </c>
    </row>
    <row r="477" spans="2:30">
      <c r="B477" s="1710"/>
      <c r="J477" s="967" t="s">
        <v>27</v>
      </c>
      <c r="Q477" s="858" t="s">
        <v>1638</v>
      </c>
      <c r="R477" s="560" t="str">
        <f t="shared" si="7"/>
        <v/>
      </c>
      <c r="S477" s="560" t="str">
        <f t="shared" si="8"/>
        <v/>
      </c>
      <c r="T477" s="560" t="str">
        <f t="shared" si="9"/>
        <v/>
      </c>
      <c r="U477" s="560" t="str">
        <f t="shared" si="10"/>
        <v/>
      </c>
      <c r="V477" s="560" t="str">
        <f t="shared" si="11"/>
        <v/>
      </c>
      <c r="W477" s="560" t="str">
        <f t="shared" si="12"/>
        <v/>
      </c>
      <c r="X477" s="560" t="str">
        <f t="shared" si="13"/>
        <v/>
      </c>
      <c r="Y477" s="560" t="str">
        <f t="shared" si="14"/>
        <v/>
      </c>
      <c r="Z477" s="560" t="str">
        <f t="shared" si="15"/>
        <v/>
      </c>
      <c r="AA477" s="560" t="str">
        <f t="shared" si="16"/>
        <v/>
      </c>
      <c r="AB477" s="560" t="str">
        <f t="shared" si="17"/>
        <v/>
      </c>
      <c r="AC477" s="560" t="str">
        <f t="shared" si="18"/>
        <v/>
      </c>
      <c r="AD477" s="560" t="str">
        <f t="shared" si="19"/>
        <v/>
      </c>
    </row>
    <row r="478" spans="2:30" ht="16.5" thickBot="1">
      <c r="B478" s="1711"/>
      <c r="C478" s="985" t="s">
        <v>189</v>
      </c>
      <c r="D478" s="985"/>
      <c r="E478" s="985"/>
      <c r="F478" s="985"/>
      <c r="G478" s="985" t="s">
        <v>190</v>
      </c>
      <c r="H478" s="985" t="s">
        <v>185</v>
      </c>
      <c r="I478" s="985"/>
      <c r="J478" s="985" t="s">
        <v>189</v>
      </c>
      <c r="K478" s="985" t="s">
        <v>186</v>
      </c>
      <c r="L478" s="985"/>
      <c r="M478" s="985"/>
      <c r="N478" s="985" t="s">
        <v>187</v>
      </c>
      <c r="O478" s="985" t="s">
        <v>189</v>
      </c>
      <c r="Q478" s="858" t="s">
        <v>1639</v>
      </c>
      <c r="R478" s="560" t="str">
        <f t="shared" si="7"/>
        <v/>
      </c>
      <c r="S478" s="560" t="str">
        <f t="shared" si="8"/>
        <v/>
      </c>
      <c r="T478" s="560" t="str">
        <f t="shared" si="9"/>
        <v/>
      </c>
      <c r="U478" s="560" t="str">
        <f t="shared" si="10"/>
        <v/>
      </c>
      <c r="V478" s="560" t="str">
        <f t="shared" si="11"/>
        <v/>
      </c>
      <c r="W478" s="560" t="str">
        <f t="shared" si="12"/>
        <v/>
      </c>
      <c r="X478" s="560" t="str">
        <f t="shared" si="13"/>
        <v/>
      </c>
      <c r="Y478" s="560" t="str">
        <f t="shared" si="14"/>
        <v/>
      </c>
      <c r="Z478" s="560" t="str">
        <f t="shared" si="15"/>
        <v/>
      </c>
      <c r="AA478" s="560" t="str">
        <f t="shared" si="16"/>
        <v/>
      </c>
      <c r="AB478" s="560" t="str">
        <f t="shared" si="17"/>
        <v/>
      </c>
      <c r="AC478" s="560" t="str">
        <f t="shared" si="18"/>
        <v/>
      </c>
      <c r="AD478" s="560" t="str">
        <f t="shared" si="19"/>
        <v/>
      </c>
    </row>
    <row r="479" spans="2:30" ht="16.5" thickTop="1">
      <c r="B479" s="1709" t="s">
        <v>131</v>
      </c>
      <c r="C479" s="1016"/>
      <c r="D479" s="1016"/>
      <c r="E479" s="1393" t="s">
        <v>1269</v>
      </c>
      <c r="F479" s="1016"/>
      <c r="G479" s="1016"/>
      <c r="H479" s="1016"/>
      <c r="I479" s="1016"/>
      <c r="J479" s="1394" t="s">
        <v>27</v>
      </c>
      <c r="K479" s="1012" t="s">
        <v>1271</v>
      </c>
      <c r="L479" s="1391" t="s">
        <v>234</v>
      </c>
      <c r="M479" s="1016"/>
      <c r="N479" s="1016"/>
      <c r="O479" s="1016"/>
    </row>
    <row r="480" spans="2:30" ht="19.5" thickBot="1">
      <c r="B480" s="1711"/>
      <c r="C480" s="985"/>
      <c r="D480" s="985"/>
      <c r="E480" s="985" t="s">
        <v>186</v>
      </c>
      <c r="F480" s="985"/>
      <c r="G480" s="985"/>
      <c r="H480" s="985"/>
      <c r="I480" s="985"/>
      <c r="J480" s="985" t="s">
        <v>189</v>
      </c>
      <c r="K480" s="985" t="s">
        <v>186</v>
      </c>
      <c r="L480" s="985" t="s">
        <v>189</v>
      </c>
      <c r="M480" s="985"/>
      <c r="N480" s="985"/>
      <c r="O480" s="985"/>
      <c r="Q480" s="69" t="s">
        <v>2780</v>
      </c>
    </row>
    <row r="481" spans="2:31" ht="16.5" thickTop="1">
      <c r="B481" s="1709" t="s">
        <v>132</v>
      </c>
      <c r="C481" s="1016"/>
      <c r="D481" s="1016"/>
      <c r="E481" s="1016"/>
      <c r="F481" s="1016"/>
      <c r="G481" s="1016"/>
      <c r="H481" s="1016"/>
      <c r="I481" s="1016"/>
      <c r="J481" s="1016"/>
      <c r="K481" s="1392" t="s">
        <v>44</v>
      </c>
      <c r="L481" s="1016"/>
      <c r="M481" s="1016"/>
      <c r="N481" s="1016"/>
      <c r="O481" s="1016"/>
      <c r="Q481" s="1416" t="s">
        <v>183</v>
      </c>
      <c r="R481" s="1416" t="s">
        <v>185</v>
      </c>
      <c r="S481" s="1416" t="s">
        <v>186</v>
      </c>
      <c r="T481" s="1416" t="s">
        <v>187</v>
      </c>
      <c r="U481" s="1416" t="s">
        <v>188</v>
      </c>
      <c r="V481" s="1416" t="s">
        <v>189</v>
      </c>
      <c r="W481" s="1416" t="s">
        <v>190</v>
      </c>
      <c r="X481" s="1416" t="s">
        <v>191</v>
      </c>
      <c r="Y481" s="1416" t="s">
        <v>192</v>
      </c>
      <c r="Z481" s="1416" t="s">
        <v>193</v>
      </c>
      <c r="AA481" s="1416" t="s">
        <v>194</v>
      </c>
      <c r="AB481" s="1416" t="s">
        <v>1637</v>
      </c>
      <c r="AC481" s="1416" t="s">
        <v>1638</v>
      </c>
      <c r="AD481" s="1416" t="s">
        <v>1639</v>
      </c>
      <c r="AE481" s="1416" t="s">
        <v>2781</v>
      </c>
    </row>
    <row r="482" spans="2:31" ht="16.5" thickBot="1">
      <c r="B482" s="1711"/>
      <c r="C482" s="985"/>
      <c r="D482" s="985"/>
      <c r="E482" s="985"/>
      <c r="F482" s="985"/>
      <c r="G482" s="985"/>
      <c r="H482" s="985"/>
      <c r="I482" s="985"/>
      <c r="J482" s="985"/>
      <c r="K482" s="985" t="s">
        <v>186</v>
      </c>
      <c r="L482" s="985"/>
      <c r="M482" s="985"/>
      <c r="N482" s="985"/>
      <c r="O482" s="985"/>
      <c r="Q482" t="s">
        <v>126</v>
      </c>
      <c r="R482">
        <f>COUNTIF($C469:$O471, R$481)</f>
        <v>0</v>
      </c>
      <c r="S482">
        <f t="shared" ref="S482:AD482" si="20">COUNTIF($C469:$O471, S$481)</f>
        <v>0</v>
      </c>
      <c r="T482">
        <f t="shared" si="20"/>
        <v>0</v>
      </c>
      <c r="U482">
        <f t="shared" si="20"/>
        <v>1</v>
      </c>
      <c r="V482">
        <f t="shared" si="20"/>
        <v>1</v>
      </c>
      <c r="W482">
        <f t="shared" si="20"/>
        <v>0</v>
      </c>
      <c r="X482">
        <f t="shared" si="20"/>
        <v>0</v>
      </c>
      <c r="Y482">
        <f t="shared" si="20"/>
        <v>0</v>
      </c>
      <c r="Z482">
        <f t="shared" si="20"/>
        <v>0</v>
      </c>
      <c r="AA482">
        <f t="shared" si="20"/>
        <v>0</v>
      </c>
      <c r="AB482">
        <f t="shared" si="20"/>
        <v>0</v>
      </c>
      <c r="AC482">
        <f t="shared" si="20"/>
        <v>0</v>
      </c>
      <c r="AD482">
        <f t="shared" si="20"/>
        <v>0</v>
      </c>
      <c r="AE482">
        <f>SUM(Table4168[[#This Row],[Challenge 1]:[Challenge 13]])</f>
        <v>2</v>
      </c>
    </row>
    <row r="483" spans="2:31" ht="16.5" thickTop="1">
      <c r="B483" s="1709" t="s">
        <v>133</v>
      </c>
      <c r="C483" s="1016"/>
      <c r="D483" s="1392" t="s">
        <v>44</v>
      </c>
      <c r="E483" s="1016"/>
      <c r="F483" s="1022" t="s">
        <v>120</v>
      </c>
      <c r="G483" s="1016"/>
      <c r="H483" s="1016"/>
      <c r="I483" s="1016"/>
      <c r="J483" s="1016"/>
      <c r="K483" s="1016"/>
      <c r="L483" s="1016"/>
      <c r="M483" s="1016"/>
      <c r="N483" s="1392" t="s">
        <v>44</v>
      </c>
      <c r="O483" s="1016"/>
      <c r="Q483" t="s">
        <v>127</v>
      </c>
      <c r="R483">
        <f>COUNTIF($C472:$O472, R$481)</f>
        <v>0</v>
      </c>
      <c r="S483">
        <f t="shared" ref="S483:AD483" si="21">COUNTIF($C472:$O472, S$481)</f>
        <v>0</v>
      </c>
      <c r="T483">
        <f t="shared" si="21"/>
        <v>0</v>
      </c>
      <c r="U483">
        <f t="shared" si="21"/>
        <v>0</v>
      </c>
      <c r="V483">
        <f t="shared" si="21"/>
        <v>0</v>
      </c>
      <c r="W483">
        <f t="shared" si="21"/>
        <v>0</v>
      </c>
      <c r="X483">
        <f t="shared" si="21"/>
        <v>0</v>
      </c>
      <c r="Y483">
        <f t="shared" si="21"/>
        <v>0</v>
      </c>
      <c r="Z483">
        <f t="shared" si="21"/>
        <v>0</v>
      </c>
      <c r="AA483">
        <f t="shared" si="21"/>
        <v>0</v>
      </c>
      <c r="AB483">
        <f t="shared" si="21"/>
        <v>0</v>
      </c>
      <c r="AC483">
        <f t="shared" si="21"/>
        <v>0</v>
      </c>
      <c r="AD483">
        <f t="shared" si="21"/>
        <v>0</v>
      </c>
      <c r="AE483">
        <f>SUM(Table4168[[#This Row],[Challenge 1]:[Challenge 13]])</f>
        <v>0</v>
      </c>
    </row>
    <row r="484" spans="2:31">
      <c r="B484" s="1710"/>
      <c r="C484" s="989"/>
      <c r="D484" s="989" t="s">
        <v>187</v>
      </c>
      <c r="E484" s="989"/>
      <c r="F484" s="989" t="s">
        <v>187</v>
      </c>
      <c r="G484" s="989"/>
      <c r="H484" s="989"/>
      <c r="I484" s="989"/>
      <c r="J484" s="989"/>
      <c r="K484" s="989"/>
      <c r="L484" s="989"/>
      <c r="M484" s="989"/>
      <c r="N484" s="989" t="s">
        <v>191</v>
      </c>
      <c r="O484" s="989"/>
      <c r="Q484" t="s">
        <v>128</v>
      </c>
      <c r="R484">
        <f>COUNTIF($C473:$O473, R$481)</f>
        <v>0</v>
      </c>
      <c r="S484">
        <f t="shared" ref="S484:AD484" si="22">COUNTIF($C473:$O473, S$481)</f>
        <v>0</v>
      </c>
      <c r="T484">
        <f t="shared" si="22"/>
        <v>0</v>
      </c>
      <c r="U484">
        <f t="shared" si="22"/>
        <v>0</v>
      </c>
      <c r="V484">
        <f t="shared" si="22"/>
        <v>0</v>
      </c>
      <c r="W484">
        <f t="shared" si="22"/>
        <v>0</v>
      </c>
      <c r="X484">
        <f t="shared" si="22"/>
        <v>0</v>
      </c>
      <c r="Y484">
        <f t="shared" si="22"/>
        <v>0</v>
      </c>
      <c r="Z484">
        <f t="shared" si="22"/>
        <v>0</v>
      </c>
      <c r="AA484">
        <f t="shared" si="22"/>
        <v>0</v>
      </c>
      <c r="AB484">
        <f t="shared" si="22"/>
        <v>0</v>
      </c>
      <c r="AC484">
        <f t="shared" si="22"/>
        <v>0</v>
      </c>
      <c r="AD484">
        <f t="shared" si="22"/>
        <v>0</v>
      </c>
      <c r="AE484">
        <f>SUM(Table4168[[#This Row],[Challenge 1]:[Challenge 13]])</f>
        <v>0</v>
      </c>
    </row>
    <row r="485" spans="2:31">
      <c r="B485" s="1710"/>
      <c r="F485" s="964" t="s">
        <v>44</v>
      </c>
      <c r="Q485" t="s">
        <v>129</v>
      </c>
      <c r="R485">
        <f>COUNTIF($C474:$O475, R$481)</f>
        <v>0</v>
      </c>
      <c r="S485">
        <f t="shared" ref="S485:AD485" si="23">COUNTIF($C474:$O475, S$481)</f>
        <v>0</v>
      </c>
      <c r="T485">
        <f t="shared" si="23"/>
        <v>0</v>
      </c>
      <c r="U485">
        <f t="shared" si="23"/>
        <v>0</v>
      </c>
      <c r="V485">
        <f t="shared" si="23"/>
        <v>0</v>
      </c>
      <c r="W485">
        <f t="shared" si="23"/>
        <v>0</v>
      </c>
      <c r="X485">
        <f t="shared" si="23"/>
        <v>0</v>
      </c>
      <c r="Y485">
        <f t="shared" si="23"/>
        <v>0</v>
      </c>
      <c r="Z485">
        <f t="shared" si="23"/>
        <v>1</v>
      </c>
      <c r="AA485">
        <f t="shared" si="23"/>
        <v>0</v>
      </c>
      <c r="AB485">
        <f t="shared" si="23"/>
        <v>0</v>
      </c>
      <c r="AC485">
        <f t="shared" si="23"/>
        <v>0</v>
      </c>
      <c r="AD485">
        <f t="shared" si="23"/>
        <v>0</v>
      </c>
      <c r="AE485">
        <f>SUM(Table4168[[#This Row],[Challenge 1]:[Challenge 13]])</f>
        <v>1</v>
      </c>
    </row>
    <row r="486" spans="2:31" ht="16.5" thickBot="1">
      <c r="B486" s="1711"/>
      <c r="C486" s="985"/>
      <c r="D486" s="985"/>
      <c r="E486" s="985"/>
      <c r="F486" s="985" t="s">
        <v>189</v>
      </c>
      <c r="G486" s="985"/>
      <c r="H486" s="985"/>
      <c r="I486" s="985"/>
      <c r="J486" s="985"/>
      <c r="K486" s="985"/>
      <c r="L486" s="985"/>
      <c r="M486" s="985"/>
      <c r="N486" s="985"/>
      <c r="O486" s="985"/>
      <c r="Q486" t="s">
        <v>130</v>
      </c>
      <c r="R486">
        <f>COUNTIF($C476:$O478, R$481)</f>
        <v>1</v>
      </c>
      <c r="S486">
        <f t="shared" ref="S486:AD486" si="24">COUNTIF($C476:$O478, S$481)</f>
        <v>1</v>
      </c>
      <c r="T486">
        <f t="shared" si="24"/>
        <v>1</v>
      </c>
      <c r="U486">
        <f t="shared" si="24"/>
        <v>0</v>
      </c>
      <c r="V486">
        <f t="shared" si="24"/>
        <v>3</v>
      </c>
      <c r="W486">
        <f t="shared" si="24"/>
        <v>1</v>
      </c>
      <c r="X486">
        <f t="shared" si="24"/>
        <v>0</v>
      </c>
      <c r="Y486">
        <f t="shared" si="24"/>
        <v>0</v>
      </c>
      <c r="Z486">
        <f t="shared" si="24"/>
        <v>0</v>
      </c>
      <c r="AA486">
        <f t="shared" si="24"/>
        <v>0</v>
      </c>
      <c r="AB486">
        <f t="shared" si="24"/>
        <v>0</v>
      </c>
      <c r="AC486">
        <f t="shared" si="24"/>
        <v>0</v>
      </c>
      <c r="AD486">
        <f t="shared" si="24"/>
        <v>0</v>
      </c>
      <c r="AE486">
        <f>SUM(Table4168[[#This Row],[Challenge 1]:[Challenge 13]])</f>
        <v>7</v>
      </c>
    </row>
    <row r="487" spans="2:31" ht="16.5" thickTop="1">
      <c r="B487" s="1709" t="s">
        <v>134</v>
      </c>
      <c r="C487" s="1016"/>
      <c r="D487" s="1016"/>
      <c r="E487" s="1016"/>
      <c r="F487" s="1016"/>
      <c r="G487" s="1016"/>
      <c r="H487" s="1395" t="s">
        <v>397</v>
      </c>
      <c r="I487" s="1016"/>
      <c r="J487" s="1016"/>
      <c r="K487" s="1016"/>
      <c r="L487" s="1016"/>
      <c r="M487" s="1016"/>
      <c r="N487" s="1016"/>
      <c r="O487" s="1016"/>
      <c r="Q487" t="s">
        <v>131</v>
      </c>
      <c r="R487">
        <f>COUNTIF($C479:$O480, R$481)</f>
        <v>0</v>
      </c>
      <c r="S487">
        <f t="shared" ref="S487:AD487" si="25">COUNTIF($C479:$O480, S$481)</f>
        <v>2</v>
      </c>
      <c r="T487">
        <f t="shared" si="25"/>
        <v>0</v>
      </c>
      <c r="U487">
        <f t="shared" si="25"/>
        <v>0</v>
      </c>
      <c r="V487">
        <f t="shared" si="25"/>
        <v>2</v>
      </c>
      <c r="W487">
        <f t="shared" si="25"/>
        <v>0</v>
      </c>
      <c r="X487">
        <f t="shared" si="25"/>
        <v>0</v>
      </c>
      <c r="Y487">
        <f t="shared" si="25"/>
        <v>0</v>
      </c>
      <c r="Z487">
        <f t="shared" si="25"/>
        <v>0</v>
      </c>
      <c r="AA487">
        <f t="shared" si="25"/>
        <v>0</v>
      </c>
      <c r="AB487">
        <f t="shared" si="25"/>
        <v>0</v>
      </c>
      <c r="AC487">
        <f t="shared" si="25"/>
        <v>0</v>
      </c>
      <c r="AD487">
        <f t="shared" si="25"/>
        <v>0</v>
      </c>
      <c r="AE487">
        <f>SUM(Table4168[[#This Row],[Challenge 1]:[Challenge 13]])</f>
        <v>4</v>
      </c>
    </row>
    <row r="488" spans="2:31" ht="16.5" thickBot="1">
      <c r="B488" s="1711"/>
      <c r="C488" s="985"/>
      <c r="D488" s="985"/>
      <c r="E488" s="985"/>
      <c r="F488" s="985"/>
      <c r="G488" s="985"/>
      <c r="H488" s="985" t="s">
        <v>186</v>
      </c>
      <c r="I488" s="985"/>
      <c r="J488" s="985"/>
      <c r="K488" s="985"/>
      <c r="L488" s="985"/>
      <c r="M488" s="985"/>
      <c r="N488" s="985"/>
      <c r="O488" s="985"/>
      <c r="Q488" t="s">
        <v>132</v>
      </c>
      <c r="R488">
        <f>COUNTIF($C481:$O482, R$481)</f>
        <v>0</v>
      </c>
      <c r="S488">
        <f t="shared" ref="S488:AD488" si="26">COUNTIF($C481:$O482, S$481)</f>
        <v>1</v>
      </c>
      <c r="T488">
        <f t="shared" si="26"/>
        <v>0</v>
      </c>
      <c r="U488">
        <f t="shared" si="26"/>
        <v>0</v>
      </c>
      <c r="V488">
        <f t="shared" si="26"/>
        <v>0</v>
      </c>
      <c r="W488">
        <f t="shared" si="26"/>
        <v>0</v>
      </c>
      <c r="X488">
        <f t="shared" si="26"/>
        <v>0</v>
      </c>
      <c r="Y488">
        <f t="shared" si="26"/>
        <v>0</v>
      </c>
      <c r="Z488">
        <f t="shared" si="26"/>
        <v>0</v>
      </c>
      <c r="AA488">
        <f t="shared" si="26"/>
        <v>0</v>
      </c>
      <c r="AB488">
        <f t="shared" si="26"/>
        <v>0</v>
      </c>
      <c r="AC488">
        <f t="shared" si="26"/>
        <v>0</v>
      </c>
      <c r="AD488">
        <f t="shared" si="26"/>
        <v>0</v>
      </c>
      <c r="AE488">
        <f>SUM(Table4168[[#This Row],[Challenge 1]:[Challenge 13]])</f>
        <v>1</v>
      </c>
    </row>
    <row r="489" spans="2:31" ht="16.5" thickTop="1">
      <c r="B489" s="1709" t="s">
        <v>135</v>
      </c>
      <c r="C489" s="1016"/>
      <c r="D489" s="1016"/>
      <c r="E489" s="1392" t="s">
        <v>44</v>
      </c>
      <c r="F489" s="1016"/>
      <c r="G489" s="1016"/>
      <c r="H489" s="1016"/>
      <c r="I489" s="1016"/>
      <c r="J489" s="1016"/>
      <c r="K489" s="1010" t="s">
        <v>26</v>
      </c>
      <c r="L489" s="1016"/>
      <c r="M489" s="1016"/>
      <c r="N489" s="1016"/>
      <c r="O489" s="1016"/>
      <c r="Q489" t="s">
        <v>133</v>
      </c>
      <c r="R489">
        <f>COUNTIF($C483:$O486, R$481)</f>
        <v>0</v>
      </c>
      <c r="S489">
        <f t="shared" ref="S489:AD489" si="27">COUNTIF($C483:$O486, S$481)</f>
        <v>0</v>
      </c>
      <c r="T489">
        <f t="shared" si="27"/>
        <v>2</v>
      </c>
      <c r="U489">
        <f t="shared" si="27"/>
        <v>0</v>
      </c>
      <c r="V489">
        <f t="shared" si="27"/>
        <v>1</v>
      </c>
      <c r="W489">
        <f t="shared" si="27"/>
        <v>0</v>
      </c>
      <c r="X489">
        <f t="shared" si="27"/>
        <v>1</v>
      </c>
      <c r="Y489">
        <f t="shared" si="27"/>
        <v>0</v>
      </c>
      <c r="Z489">
        <f t="shared" si="27"/>
        <v>0</v>
      </c>
      <c r="AA489">
        <f t="shared" si="27"/>
        <v>0</v>
      </c>
      <c r="AB489">
        <f t="shared" si="27"/>
        <v>0</v>
      </c>
      <c r="AC489">
        <f t="shared" si="27"/>
        <v>0</v>
      </c>
      <c r="AD489">
        <f t="shared" si="27"/>
        <v>0</v>
      </c>
      <c r="AE489">
        <f>SUM(Table4168[[#This Row],[Challenge 1]:[Challenge 13]])</f>
        <v>4</v>
      </c>
    </row>
    <row r="490" spans="2:31" ht="16.5" thickBot="1">
      <c r="B490" s="1711"/>
      <c r="C490" s="985"/>
      <c r="D490" s="985"/>
      <c r="E490" s="985" t="s">
        <v>186</v>
      </c>
      <c r="F490" s="985"/>
      <c r="G490" s="985"/>
      <c r="H490" s="985"/>
      <c r="I490" s="985"/>
      <c r="J490" s="985"/>
      <c r="K490" s="985" t="s">
        <v>191</v>
      </c>
      <c r="L490" s="985"/>
      <c r="M490" s="985"/>
      <c r="N490" s="985"/>
      <c r="O490" s="985"/>
      <c r="Q490" t="s">
        <v>134</v>
      </c>
      <c r="R490">
        <f>COUNTIF($C487:$O488, R$481)</f>
        <v>0</v>
      </c>
      <c r="S490">
        <f t="shared" ref="S490:AD490" si="28">COUNTIF($C487:$O488, S$481)</f>
        <v>1</v>
      </c>
      <c r="T490">
        <f t="shared" si="28"/>
        <v>0</v>
      </c>
      <c r="U490">
        <f t="shared" si="28"/>
        <v>0</v>
      </c>
      <c r="V490">
        <f t="shared" si="28"/>
        <v>0</v>
      </c>
      <c r="W490">
        <f t="shared" si="28"/>
        <v>0</v>
      </c>
      <c r="X490">
        <f t="shared" si="28"/>
        <v>0</v>
      </c>
      <c r="Y490">
        <f t="shared" si="28"/>
        <v>0</v>
      </c>
      <c r="Z490">
        <f t="shared" si="28"/>
        <v>0</v>
      </c>
      <c r="AA490">
        <f t="shared" si="28"/>
        <v>0</v>
      </c>
      <c r="AB490">
        <f t="shared" si="28"/>
        <v>0</v>
      </c>
      <c r="AC490">
        <f t="shared" si="28"/>
        <v>0</v>
      </c>
      <c r="AD490">
        <f t="shared" si="28"/>
        <v>0</v>
      </c>
      <c r="AE490">
        <f>SUM(Table4168[[#This Row],[Challenge 1]:[Challenge 13]])</f>
        <v>1</v>
      </c>
    </row>
    <row r="491" spans="2:31" ht="16.5" thickTop="1">
      <c r="B491" s="1709" t="s">
        <v>136</v>
      </c>
      <c r="C491" s="1016"/>
      <c r="D491" s="1016"/>
      <c r="E491" s="1016"/>
      <c r="F491" s="1016"/>
      <c r="G491" s="1016"/>
      <c r="H491" s="1016"/>
      <c r="I491" s="1016"/>
      <c r="J491" s="1016"/>
      <c r="K491" s="1016"/>
      <c r="L491" s="1016"/>
      <c r="M491" s="1016"/>
      <c r="N491" s="1016"/>
      <c r="O491" s="1019" t="s">
        <v>1272</v>
      </c>
      <c r="Q491" t="s">
        <v>135</v>
      </c>
      <c r="R491">
        <f>COUNTIF($C489:$O490, R$481)</f>
        <v>0</v>
      </c>
      <c r="S491">
        <f t="shared" ref="S491:AD491" si="29">COUNTIF($C489:$O490, S$481)</f>
        <v>1</v>
      </c>
      <c r="T491">
        <f t="shared" si="29"/>
        <v>0</v>
      </c>
      <c r="U491">
        <f t="shared" si="29"/>
        <v>0</v>
      </c>
      <c r="V491">
        <f t="shared" si="29"/>
        <v>0</v>
      </c>
      <c r="W491">
        <f t="shared" si="29"/>
        <v>0</v>
      </c>
      <c r="X491">
        <f t="shared" si="29"/>
        <v>1</v>
      </c>
      <c r="Y491">
        <f t="shared" si="29"/>
        <v>0</v>
      </c>
      <c r="Z491">
        <f t="shared" si="29"/>
        <v>0</v>
      </c>
      <c r="AA491">
        <f t="shared" si="29"/>
        <v>0</v>
      </c>
      <c r="AB491">
        <f t="shared" si="29"/>
        <v>0</v>
      </c>
      <c r="AC491">
        <f t="shared" si="29"/>
        <v>0</v>
      </c>
      <c r="AD491">
        <f t="shared" si="29"/>
        <v>0</v>
      </c>
      <c r="AE491">
        <f>SUM(Table4168[[#This Row],[Challenge 1]:[Challenge 13]])</f>
        <v>2</v>
      </c>
    </row>
    <row r="492" spans="2:31" ht="16.5" thickBot="1">
      <c r="B492" s="1711"/>
      <c r="C492" s="985"/>
      <c r="D492" s="985"/>
      <c r="E492" s="985"/>
      <c r="F492" s="985"/>
      <c r="G492" s="985"/>
      <c r="H492" s="985"/>
      <c r="I492" s="985"/>
      <c r="J492" s="985"/>
      <c r="K492" s="985"/>
      <c r="L492" s="985"/>
      <c r="M492" s="985"/>
      <c r="N492" s="985"/>
      <c r="O492" s="985" t="s">
        <v>190</v>
      </c>
      <c r="Q492" t="s">
        <v>136</v>
      </c>
      <c r="R492">
        <f>COUNTIF($C491:$O492, R$481)</f>
        <v>0</v>
      </c>
      <c r="S492">
        <f t="shared" ref="S492:AD492" si="30">COUNTIF($C491:$O492, S$481)</f>
        <v>0</v>
      </c>
      <c r="T492">
        <f t="shared" si="30"/>
        <v>0</v>
      </c>
      <c r="U492">
        <f t="shared" si="30"/>
        <v>0</v>
      </c>
      <c r="V492">
        <f t="shared" si="30"/>
        <v>0</v>
      </c>
      <c r="W492">
        <f t="shared" si="30"/>
        <v>1</v>
      </c>
      <c r="X492">
        <f t="shared" si="30"/>
        <v>0</v>
      </c>
      <c r="Y492">
        <f t="shared" si="30"/>
        <v>0</v>
      </c>
      <c r="Z492">
        <f t="shared" si="30"/>
        <v>0</v>
      </c>
      <c r="AA492">
        <f t="shared" si="30"/>
        <v>0</v>
      </c>
      <c r="AB492">
        <f t="shared" si="30"/>
        <v>0</v>
      </c>
      <c r="AC492">
        <f t="shared" si="30"/>
        <v>0</v>
      </c>
      <c r="AD492">
        <f t="shared" si="30"/>
        <v>0</v>
      </c>
      <c r="AE492">
        <f>SUM(Table4168[[#This Row],[Challenge 1]:[Challenge 13]])</f>
        <v>1</v>
      </c>
    </row>
    <row r="493" spans="2:31" ht="16.5" thickTop="1">
      <c r="B493" s="1709" t="s">
        <v>137</v>
      </c>
      <c r="C493" s="1394" t="s">
        <v>27</v>
      </c>
      <c r="D493" s="1016"/>
      <c r="E493" s="1394" t="s">
        <v>27</v>
      </c>
      <c r="F493" s="1016"/>
      <c r="G493" s="1392" t="s">
        <v>44</v>
      </c>
      <c r="H493" s="1016"/>
      <c r="I493" s="1016"/>
      <c r="J493" s="1016"/>
      <c r="K493" s="1016"/>
      <c r="L493" s="1016"/>
      <c r="M493" s="1016"/>
      <c r="N493" s="1016"/>
      <c r="O493" s="1016"/>
      <c r="Q493" t="s">
        <v>137</v>
      </c>
      <c r="R493">
        <f>COUNTIF($C493:$O494, R$481)</f>
        <v>0</v>
      </c>
      <c r="S493">
        <f t="shared" ref="S493:AD493" si="31">COUNTIF($C493:$O494, S$481)</f>
        <v>0</v>
      </c>
      <c r="T493">
        <f t="shared" si="31"/>
        <v>0</v>
      </c>
      <c r="U493">
        <f t="shared" si="31"/>
        <v>3</v>
      </c>
      <c r="V493">
        <f t="shared" si="31"/>
        <v>0</v>
      </c>
      <c r="W493">
        <f t="shared" si="31"/>
        <v>0</v>
      </c>
      <c r="X493">
        <f t="shared" si="31"/>
        <v>0</v>
      </c>
      <c r="Y493">
        <f t="shared" si="31"/>
        <v>0</v>
      </c>
      <c r="Z493">
        <f t="shared" si="31"/>
        <v>0</v>
      </c>
      <c r="AA493">
        <f t="shared" si="31"/>
        <v>0</v>
      </c>
      <c r="AB493">
        <f t="shared" si="31"/>
        <v>0</v>
      </c>
      <c r="AC493">
        <f t="shared" si="31"/>
        <v>0</v>
      </c>
      <c r="AD493">
        <f t="shared" si="31"/>
        <v>0</v>
      </c>
      <c r="AE493">
        <f>SUM(Table4168[[#This Row],[Challenge 1]:[Challenge 13]])</f>
        <v>3</v>
      </c>
    </row>
    <row r="494" spans="2:31" ht="16.5" thickBot="1">
      <c r="B494" s="1711"/>
      <c r="C494" s="985" t="s">
        <v>188</v>
      </c>
      <c r="D494" s="985"/>
      <c r="E494" s="985" t="s">
        <v>188</v>
      </c>
      <c r="F494" s="985"/>
      <c r="G494" s="985" t="s">
        <v>188</v>
      </c>
      <c r="H494" s="985"/>
      <c r="I494" s="985"/>
      <c r="J494" s="985"/>
      <c r="K494" s="985"/>
      <c r="L494" s="985"/>
      <c r="M494" s="985"/>
      <c r="N494" s="985"/>
      <c r="O494" s="985"/>
      <c r="Q494" t="s">
        <v>138</v>
      </c>
      <c r="R494">
        <f>COUNTIF($C495:$O496, R$481)</f>
        <v>0</v>
      </c>
      <c r="S494">
        <f t="shared" ref="S494:AD494" si="32">COUNTIF($C495:$O496, S$481)</f>
        <v>2</v>
      </c>
      <c r="T494">
        <f t="shared" si="32"/>
        <v>0</v>
      </c>
      <c r="U494">
        <f t="shared" si="32"/>
        <v>1</v>
      </c>
      <c r="V494">
        <f t="shared" si="32"/>
        <v>0</v>
      </c>
      <c r="W494">
        <f t="shared" si="32"/>
        <v>1</v>
      </c>
      <c r="X494">
        <f t="shared" si="32"/>
        <v>0</v>
      </c>
      <c r="Y494">
        <f t="shared" si="32"/>
        <v>0</v>
      </c>
      <c r="Z494">
        <f t="shared" si="32"/>
        <v>0</v>
      </c>
      <c r="AA494">
        <f t="shared" si="32"/>
        <v>0</v>
      </c>
      <c r="AB494">
        <f t="shared" si="32"/>
        <v>0</v>
      </c>
      <c r="AC494">
        <f t="shared" si="32"/>
        <v>0</v>
      </c>
      <c r="AD494">
        <f t="shared" si="32"/>
        <v>0</v>
      </c>
      <c r="AE494">
        <f>SUM(Table4168[[#This Row],[Challenge 1]:[Challenge 13]])</f>
        <v>4</v>
      </c>
    </row>
    <row r="495" spans="2:31" ht="16.5" thickTop="1">
      <c r="B495" s="1709" t="s">
        <v>138</v>
      </c>
      <c r="C495" s="1012" t="s">
        <v>1271</v>
      </c>
      <c r="D495" s="1016"/>
      <c r="E495" s="1016"/>
      <c r="F495" s="1392" t="s">
        <v>44</v>
      </c>
      <c r="G495" s="1393" t="s">
        <v>1269</v>
      </c>
      <c r="H495" s="1016"/>
      <c r="I495" s="1016"/>
      <c r="J495" s="1016"/>
      <c r="K495" s="1016"/>
      <c r="L495" s="1016"/>
      <c r="M495" s="1019" t="s">
        <v>1272</v>
      </c>
      <c r="N495" s="1016"/>
      <c r="O495" s="1016"/>
      <c r="Q495" t="s">
        <v>139</v>
      </c>
      <c r="R495">
        <f>COUNTIF($C497:$O498, R$481)</f>
        <v>0</v>
      </c>
      <c r="S495">
        <f t="shared" ref="S495:AD495" si="33">COUNTIF($C497:$O498, S$481)</f>
        <v>2</v>
      </c>
      <c r="T495">
        <f t="shared" si="33"/>
        <v>0</v>
      </c>
      <c r="U495">
        <f t="shared" si="33"/>
        <v>0</v>
      </c>
      <c r="V495">
        <f t="shared" si="33"/>
        <v>1</v>
      </c>
      <c r="W495">
        <f t="shared" si="33"/>
        <v>0</v>
      </c>
      <c r="X495">
        <f t="shared" si="33"/>
        <v>0</v>
      </c>
      <c r="Y495">
        <f t="shared" si="33"/>
        <v>0</v>
      </c>
      <c r="Z495">
        <f t="shared" si="33"/>
        <v>0</v>
      </c>
      <c r="AA495">
        <f t="shared" si="33"/>
        <v>0</v>
      </c>
      <c r="AB495">
        <f t="shared" si="33"/>
        <v>0</v>
      </c>
      <c r="AC495">
        <f t="shared" si="33"/>
        <v>0</v>
      </c>
      <c r="AD495">
        <f t="shared" si="33"/>
        <v>0</v>
      </c>
      <c r="AE495">
        <f>SUM(Table4168[[#This Row],[Challenge 1]:[Challenge 13]])</f>
        <v>3</v>
      </c>
    </row>
    <row r="496" spans="2:31" ht="16.5" thickBot="1">
      <c r="B496" s="1711"/>
      <c r="C496" s="985" t="s">
        <v>186</v>
      </c>
      <c r="D496" s="985"/>
      <c r="E496" s="985"/>
      <c r="F496" s="985" t="s">
        <v>190</v>
      </c>
      <c r="G496" s="985" t="s">
        <v>186</v>
      </c>
      <c r="H496" s="985"/>
      <c r="I496" s="985"/>
      <c r="J496" s="985"/>
      <c r="K496" s="985"/>
      <c r="L496" s="985"/>
      <c r="M496" s="985" t="s">
        <v>188</v>
      </c>
      <c r="N496" s="985"/>
      <c r="O496" s="985"/>
      <c r="Q496" t="s">
        <v>140</v>
      </c>
      <c r="R496">
        <f>COUNTIF($C499:$O504, R$481)</f>
        <v>0</v>
      </c>
      <c r="S496">
        <f t="shared" ref="S496:AD496" si="34">COUNTIF($C499:$O504, S$481)</f>
        <v>2</v>
      </c>
      <c r="T496">
        <f t="shared" si="34"/>
        <v>2</v>
      </c>
      <c r="U496">
        <f t="shared" si="34"/>
        <v>0</v>
      </c>
      <c r="V496">
        <f t="shared" si="34"/>
        <v>1</v>
      </c>
      <c r="W496">
        <f t="shared" si="34"/>
        <v>1</v>
      </c>
      <c r="X496">
        <f t="shared" si="34"/>
        <v>1</v>
      </c>
      <c r="Y496">
        <f t="shared" si="34"/>
        <v>0</v>
      </c>
      <c r="Z496">
        <f t="shared" si="34"/>
        <v>0</v>
      </c>
      <c r="AA496">
        <f t="shared" si="34"/>
        <v>0</v>
      </c>
      <c r="AB496">
        <f t="shared" si="34"/>
        <v>0</v>
      </c>
      <c r="AC496">
        <f t="shared" si="34"/>
        <v>0</v>
      </c>
      <c r="AD496">
        <f t="shared" si="34"/>
        <v>0</v>
      </c>
      <c r="AE496">
        <f>SUM(Table4168[[#This Row],[Challenge 1]:[Challenge 13]])</f>
        <v>7</v>
      </c>
    </row>
    <row r="497" spans="2:31" ht="16.5" thickTop="1">
      <c r="B497" s="1709" t="s">
        <v>139</v>
      </c>
      <c r="C497" s="1012" t="s">
        <v>1271</v>
      </c>
      <c r="D497" s="1016"/>
      <c r="E497" s="1016"/>
      <c r="F497" s="1016"/>
      <c r="G497" s="1016"/>
      <c r="H497" s="1016"/>
      <c r="I497" s="1394" t="s">
        <v>27</v>
      </c>
      <c r="J497" s="1016"/>
      <c r="K497" s="1016"/>
      <c r="L497" s="1016"/>
      <c r="M497" s="1392" t="s">
        <v>44</v>
      </c>
      <c r="N497" s="1016"/>
      <c r="O497" s="1016"/>
      <c r="Q497" t="s">
        <v>141</v>
      </c>
      <c r="R497">
        <f>COUNTIF($C505:$O509, R$481)</f>
        <v>0</v>
      </c>
      <c r="S497">
        <f t="shared" ref="S497:AD497" si="35">COUNTIF($C505:$O509, S$481)</f>
        <v>0</v>
      </c>
      <c r="T497">
        <f t="shared" si="35"/>
        <v>0</v>
      </c>
      <c r="U497">
        <f t="shared" si="35"/>
        <v>2</v>
      </c>
      <c r="V497">
        <f t="shared" si="35"/>
        <v>1</v>
      </c>
      <c r="W497">
        <f t="shared" si="35"/>
        <v>0</v>
      </c>
      <c r="X497">
        <f t="shared" si="35"/>
        <v>0</v>
      </c>
      <c r="Y497">
        <f t="shared" si="35"/>
        <v>1</v>
      </c>
      <c r="Z497">
        <f t="shared" si="35"/>
        <v>0</v>
      </c>
      <c r="AA497">
        <f t="shared" si="35"/>
        <v>0</v>
      </c>
      <c r="AB497">
        <f t="shared" si="35"/>
        <v>0</v>
      </c>
      <c r="AC497">
        <f t="shared" si="35"/>
        <v>0</v>
      </c>
      <c r="AD497">
        <f t="shared" si="35"/>
        <v>0</v>
      </c>
      <c r="AE497">
        <f>SUM(Table4168[[#This Row],[Challenge 1]:[Challenge 13]])</f>
        <v>4</v>
      </c>
    </row>
    <row r="498" spans="2:31" ht="16.5" thickBot="1">
      <c r="B498" s="1711"/>
      <c r="C498" s="985" t="s">
        <v>189</v>
      </c>
      <c r="D498" s="985"/>
      <c r="E498" s="985"/>
      <c r="F498" s="985"/>
      <c r="G498" s="985"/>
      <c r="H498" s="985"/>
      <c r="I498" s="985" t="s">
        <v>186</v>
      </c>
      <c r="J498" s="985"/>
      <c r="K498" s="985"/>
      <c r="L498" s="985"/>
      <c r="M498" s="985" t="s">
        <v>186</v>
      </c>
      <c r="N498" s="985"/>
      <c r="O498" s="985"/>
      <c r="Q498" t="s">
        <v>142</v>
      </c>
      <c r="R498">
        <f>COUNTIF($C510:$O513, R$481)</f>
        <v>0</v>
      </c>
      <c r="S498">
        <f t="shared" ref="S498:AD498" si="36">COUNTIF($C510:$O513, S$481)</f>
        <v>1</v>
      </c>
      <c r="T498">
        <f t="shared" si="36"/>
        <v>0</v>
      </c>
      <c r="U498">
        <f t="shared" si="36"/>
        <v>1</v>
      </c>
      <c r="V498">
        <f t="shared" si="36"/>
        <v>1</v>
      </c>
      <c r="W498">
        <f t="shared" si="36"/>
        <v>1</v>
      </c>
      <c r="X498">
        <f t="shared" si="36"/>
        <v>0</v>
      </c>
      <c r="Y498">
        <f t="shared" si="36"/>
        <v>0</v>
      </c>
      <c r="Z498">
        <f t="shared" si="36"/>
        <v>0</v>
      </c>
      <c r="AA498">
        <f t="shared" si="36"/>
        <v>0</v>
      </c>
      <c r="AB498">
        <f t="shared" si="36"/>
        <v>0</v>
      </c>
      <c r="AC498">
        <f t="shared" si="36"/>
        <v>0</v>
      </c>
      <c r="AD498">
        <f t="shared" si="36"/>
        <v>0</v>
      </c>
      <c r="AE498">
        <f>SUM(Table4168[[#This Row],[Challenge 1]:[Challenge 13]])</f>
        <v>4</v>
      </c>
    </row>
    <row r="499" spans="2:31" ht="17.25" thickTop="1" thickBot="1">
      <c r="B499" s="1709" t="s">
        <v>140</v>
      </c>
      <c r="C499" s="1396" t="s">
        <v>339</v>
      </c>
      <c r="D499" s="1016"/>
      <c r="E499" s="1016"/>
      <c r="F499" s="1389" t="s">
        <v>20</v>
      </c>
      <c r="G499" s="1016"/>
      <c r="H499" s="1016"/>
      <c r="I499" s="1016"/>
      <c r="J499" s="1392" t="s">
        <v>44</v>
      </c>
      <c r="K499" s="1016"/>
      <c r="L499" s="1016"/>
      <c r="M499" s="1397" t="s">
        <v>124</v>
      </c>
      <c r="N499" s="1010" t="s">
        <v>26</v>
      </c>
      <c r="O499" s="1016"/>
      <c r="Q499" t="s">
        <v>143</v>
      </c>
      <c r="R499">
        <f>COUNTIF($C514:$O518, R$481)</f>
        <v>1</v>
      </c>
      <c r="S499">
        <f t="shared" ref="S499:AD499" si="37">COUNTIF($C514:$O518, S$481)</f>
        <v>1</v>
      </c>
      <c r="T499">
        <f t="shared" si="37"/>
        <v>0</v>
      </c>
      <c r="U499">
        <f t="shared" si="37"/>
        <v>1</v>
      </c>
      <c r="V499">
        <f t="shared" si="37"/>
        <v>1</v>
      </c>
      <c r="W499">
        <f t="shared" si="37"/>
        <v>2</v>
      </c>
      <c r="X499">
        <f t="shared" si="37"/>
        <v>0</v>
      </c>
      <c r="Y499">
        <f t="shared" si="37"/>
        <v>1</v>
      </c>
      <c r="Z499">
        <f t="shared" si="37"/>
        <v>0</v>
      </c>
      <c r="AA499">
        <f t="shared" si="37"/>
        <v>0</v>
      </c>
      <c r="AB499">
        <f t="shared" si="37"/>
        <v>0</v>
      </c>
      <c r="AC499">
        <f t="shared" si="37"/>
        <v>0</v>
      </c>
      <c r="AD499">
        <f t="shared" si="37"/>
        <v>0</v>
      </c>
      <c r="AE499">
        <f>SUM(Table4168[[#This Row],[Challenge 1]:[Challenge 13]])</f>
        <v>7</v>
      </c>
    </row>
    <row r="500" spans="2:31" ht="16.5" thickTop="1">
      <c r="B500" s="1710"/>
      <c r="J500" s="968" t="s">
        <v>26</v>
      </c>
      <c r="N500" s="1393" t="s">
        <v>1269</v>
      </c>
      <c r="Q500" t="s">
        <v>144</v>
      </c>
      <c r="R500">
        <f>COUNTIF($C519:$O524, R$481)</f>
        <v>2</v>
      </c>
      <c r="S500">
        <f t="shared" ref="S500:AD500" si="38">COUNTIF($C519:$O524, S$481)</f>
        <v>1</v>
      </c>
      <c r="T500">
        <f t="shared" si="38"/>
        <v>0</v>
      </c>
      <c r="U500">
        <f t="shared" si="38"/>
        <v>1</v>
      </c>
      <c r="V500">
        <f t="shared" si="38"/>
        <v>0</v>
      </c>
      <c r="W500">
        <f t="shared" si="38"/>
        <v>2</v>
      </c>
      <c r="X500">
        <f t="shared" si="38"/>
        <v>1</v>
      </c>
      <c r="Y500">
        <f t="shared" si="38"/>
        <v>0</v>
      </c>
      <c r="Z500">
        <f t="shared" si="38"/>
        <v>0</v>
      </c>
      <c r="AA500">
        <f t="shared" si="38"/>
        <v>0</v>
      </c>
      <c r="AB500">
        <f t="shared" si="38"/>
        <v>0</v>
      </c>
      <c r="AC500">
        <f t="shared" si="38"/>
        <v>0</v>
      </c>
      <c r="AD500">
        <f t="shared" si="38"/>
        <v>0</v>
      </c>
      <c r="AE500">
        <f>SUM(Table4168[[#This Row],[Challenge 1]:[Challenge 13]])</f>
        <v>7</v>
      </c>
    </row>
    <row r="501" spans="2:31">
      <c r="B501" s="1710"/>
      <c r="C501" s="989" t="s">
        <v>187</v>
      </c>
      <c r="D501" s="989"/>
      <c r="E501" s="989"/>
      <c r="F501" s="989" t="s">
        <v>186</v>
      </c>
      <c r="G501" s="989"/>
      <c r="H501" s="989"/>
      <c r="I501" s="989"/>
      <c r="J501" s="989" t="s">
        <v>186</v>
      </c>
      <c r="K501" s="989"/>
      <c r="L501" s="989"/>
      <c r="M501" s="989" t="s">
        <v>190</v>
      </c>
      <c r="N501" s="989" t="s">
        <v>189</v>
      </c>
      <c r="O501" s="989"/>
      <c r="Q501" t="s">
        <v>145</v>
      </c>
      <c r="R501">
        <f>COUNTIF($C525:$O529, R$481)</f>
        <v>1</v>
      </c>
      <c r="S501">
        <f t="shared" ref="S501:AD501" si="39">COUNTIF($C525:$O529, S$481)</f>
        <v>1</v>
      </c>
      <c r="T501">
        <f t="shared" si="39"/>
        <v>0</v>
      </c>
      <c r="U501">
        <f t="shared" si="39"/>
        <v>0</v>
      </c>
      <c r="V501">
        <f t="shared" si="39"/>
        <v>1</v>
      </c>
      <c r="W501">
        <f t="shared" si="39"/>
        <v>0</v>
      </c>
      <c r="X501">
        <f t="shared" si="39"/>
        <v>0</v>
      </c>
      <c r="Y501">
        <f t="shared" si="39"/>
        <v>0</v>
      </c>
      <c r="Z501">
        <f t="shared" si="39"/>
        <v>0</v>
      </c>
      <c r="AA501">
        <f t="shared" si="39"/>
        <v>0</v>
      </c>
      <c r="AB501">
        <f t="shared" si="39"/>
        <v>0</v>
      </c>
      <c r="AC501">
        <f t="shared" si="39"/>
        <v>0</v>
      </c>
      <c r="AD501">
        <f t="shared" si="39"/>
        <v>0</v>
      </c>
      <c r="AE501">
        <f>SUM(Table4168[[#This Row],[Challenge 1]:[Challenge 13]])</f>
        <v>3</v>
      </c>
    </row>
    <row r="502" spans="2:31">
      <c r="B502" s="1710"/>
      <c r="J502" s="974" t="s">
        <v>1269</v>
      </c>
      <c r="N502" s="275" t="s">
        <v>397</v>
      </c>
      <c r="Q502" t="s">
        <v>146</v>
      </c>
      <c r="R502">
        <f>COUNTIF($C530:$O531, R$481)</f>
        <v>1</v>
      </c>
      <c r="S502">
        <f t="shared" ref="S502:AD502" si="40">COUNTIF($C530:$O531, S$481)</f>
        <v>0</v>
      </c>
      <c r="T502">
        <f t="shared" si="40"/>
        <v>0</v>
      </c>
      <c r="U502">
        <f t="shared" si="40"/>
        <v>1</v>
      </c>
      <c r="V502">
        <f t="shared" si="40"/>
        <v>1</v>
      </c>
      <c r="W502">
        <f t="shared" si="40"/>
        <v>0</v>
      </c>
      <c r="X502">
        <f t="shared" si="40"/>
        <v>0</v>
      </c>
      <c r="Y502">
        <f t="shared" si="40"/>
        <v>0</v>
      </c>
      <c r="Z502">
        <f t="shared" si="40"/>
        <v>0</v>
      </c>
      <c r="AA502">
        <f t="shared" si="40"/>
        <v>0</v>
      </c>
      <c r="AB502">
        <f t="shared" si="40"/>
        <v>0</v>
      </c>
      <c r="AC502">
        <f t="shared" si="40"/>
        <v>0</v>
      </c>
      <c r="AD502">
        <f t="shared" si="40"/>
        <v>0</v>
      </c>
      <c r="AE502">
        <f>SUM(Table4168[[#This Row],[Challenge 1]:[Challenge 13]])</f>
        <v>3</v>
      </c>
    </row>
    <row r="503" spans="2:31">
      <c r="B503" s="1710"/>
      <c r="N503" s="1009" t="s">
        <v>114</v>
      </c>
      <c r="Q503" t="s">
        <v>147</v>
      </c>
      <c r="R503">
        <f>COUNTIF($C532:$O537, R$481)</f>
        <v>0</v>
      </c>
      <c r="S503">
        <f t="shared" ref="S503:AD503" si="41">COUNTIF($C532:$O537, S$481)</f>
        <v>0</v>
      </c>
      <c r="T503">
        <f t="shared" si="41"/>
        <v>0</v>
      </c>
      <c r="U503">
        <f t="shared" si="41"/>
        <v>0</v>
      </c>
      <c r="V503">
        <f t="shared" si="41"/>
        <v>0</v>
      </c>
      <c r="W503">
        <f t="shared" si="41"/>
        <v>0</v>
      </c>
      <c r="X503">
        <f t="shared" si="41"/>
        <v>2</v>
      </c>
      <c r="Y503">
        <f t="shared" si="41"/>
        <v>0</v>
      </c>
      <c r="Z503">
        <f t="shared" si="41"/>
        <v>1</v>
      </c>
      <c r="AA503">
        <f t="shared" si="41"/>
        <v>0</v>
      </c>
      <c r="AB503">
        <f t="shared" si="41"/>
        <v>0</v>
      </c>
      <c r="AC503">
        <f t="shared" si="41"/>
        <v>0</v>
      </c>
      <c r="AD503">
        <f t="shared" si="41"/>
        <v>0</v>
      </c>
      <c r="AE503">
        <f>SUM(Table4168[[#This Row],[Challenge 1]:[Challenge 13]])</f>
        <v>3</v>
      </c>
    </row>
    <row r="504" spans="2:31" ht="16.5" thickBot="1">
      <c r="B504" s="1711"/>
      <c r="C504" s="985"/>
      <c r="D504" s="985"/>
      <c r="E504" s="985"/>
      <c r="F504" s="985"/>
      <c r="G504" s="985"/>
      <c r="H504" s="985"/>
      <c r="I504" s="985"/>
      <c r="J504" s="985" t="s">
        <v>187</v>
      </c>
      <c r="K504" s="985"/>
      <c r="L504" s="985"/>
      <c r="M504" s="985"/>
      <c r="N504" s="985" t="s">
        <v>191</v>
      </c>
      <c r="O504" s="985"/>
      <c r="Q504" t="s">
        <v>148</v>
      </c>
      <c r="R504">
        <f>COUNTIF($C538:$O539, R$481)</f>
        <v>1</v>
      </c>
      <c r="S504">
        <f t="shared" ref="S504:AD504" si="42">COUNTIF($C538:$O539, S$481)</f>
        <v>1</v>
      </c>
      <c r="T504">
        <f t="shared" si="42"/>
        <v>0</v>
      </c>
      <c r="U504">
        <f t="shared" si="42"/>
        <v>0</v>
      </c>
      <c r="V504">
        <f t="shared" si="42"/>
        <v>1</v>
      </c>
      <c r="W504">
        <f t="shared" si="42"/>
        <v>2</v>
      </c>
      <c r="X504">
        <f t="shared" si="42"/>
        <v>0</v>
      </c>
      <c r="Y504">
        <f t="shared" si="42"/>
        <v>0</v>
      </c>
      <c r="Z504">
        <f t="shared" si="42"/>
        <v>0</v>
      </c>
      <c r="AA504">
        <f t="shared" si="42"/>
        <v>0</v>
      </c>
      <c r="AB504">
        <f t="shared" si="42"/>
        <v>0</v>
      </c>
      <c r="AC504">
        <f t="shared" si="42"/>
        <v>0</v>
      </c>
      <c r="AD504">
        <f t="shared" si="42"/>
        <v>0</v>
      </c>
      <c r="AE504">
        <f>SUM(Table4168[[#This Row],[Challenge 1]:[Challenge 13]])</f>
        <v>5</v>
      </c>
    </row>
    <row r="505" spans="2:31" ht="16.5" thickTop="1">
      <c r="B505" s="1709" t="s">
        <v>141</v>
      </c>
      <c r="C505" s="1398" t="s">
        <v>74</v>
      </c>
      <c r="D505" s="1016"/>
      <c r="E505" s="1016"/>
      <c r="F505" s="1016"/>
      <c r="G505" s="1016"/>
      <c r="H505" s="1016"/>
      <c r="I505" s="1016"/>
      <c r="J505" s="1016"/>
      <c r="K505" s="1016"/>
      <c r="L505" s="1018" t="s">
        <v>1270</v>
      </c>
      <c r="M505" s="1016"/>
      <c r="N505" s="1392" t="s">
        <v>44</v>
      </c>
      <c r="O505" s="1016"/>
      <c r="Q505" t="s">
        <v>125</v>
      </c>
      <c r="R505">
        <f>COUNTIF($C540:$O543, R$481)</f>
        <v>0</v>
      </c>
      <c r="S505">
        <f t="shared" ref="S505:AD505" si="43">COUNTIF($C540:$O543, S$481)</f>
        <v>0</v>
      </c>
      <c r="T505">
        <f t="shared" si="43"/>
        <v>1</v>
      </c>
      <c r="U505">
        <f t="shared" si="43"/>
        <v>1</v>
      </c>
      <c r="V505">
        <f t="shared" si="43"/>
        <v>1</v>
      </c>
      <c r="W505">
        <f t="shared" si="43"/>
        <v>1</v>
      </c>
      <c r="X505">
        <f t="shared" si="43"/>
        <v>0</v>
      </c>
      <c r="Y505">
        <f t="shared" si="43"/>
        <v>0</v>
      </c>
      <c r="Z505">
        <f t="shared" si="43"/>
        <v>0</v>
      </c>
      <c r="AA505">
        <f t="shared" si="43"/>
        <v>0</v>
      </c>
      <c r="AB505">
        <f t="shared" si="43"/>
        <v>0</v>
      </c>
      <c r="AC505">
        <f t="shared" si="43"/>
        <v>0</v>
      </c>
      <c r="AD505">
        <f t="shared" si="43"/>
        <v>0</v>
      </c>
      <c r="AE505">
        <f>SUM(Table4168[[#This Row],[Challenge 1]:[Challenge 13]])</f>
        <v>4</v>
      </c>
    </row>
    <row r="506" spans="2:31">
      <c r="B506" s="1710"/>
      <c r="L506" s="964" t="s">
        <v>44</v>
      </c>
      <c r="Q506" t="s">
        <v>116</v>
      </c>
      <c r="R506">
        <f>COUNTIF($C544:$O547, R$481)</f>
        <v>0</v>
      </c>
      <c r="S506">
        <f t="shared" ref="S506:AD506" si="44">COUNTIF($C544:$O547, S$481)</f>
        <v>0</v>
      </c>
      <c r="T506">
        <f t="shared" si="44"/>
        <v>2</v>
      </c>
      <c r="U506">
        <f t="shared" si="44"/>
        <v>1</v>
      </c>
      <c r="V506">
        <f t="shared" si="44"/>
        <v>1</v>
      </c>
      <c r="W506">
        <f t="shared" si="44"/>
        <v>2</v>
      </c>
      <c r="X506">
        <f t="shared" si="44"/>
        <v>1</v>
      </c>
      <c r="Y506">
        <f t="shared" si="44"/>
        <v>0</v>
      </c>
      <c r="Z506">
        <f t="shared" si="44"/>
        <v>0</v>
      </c>
      <c r="AA506">
        <f t="shared" si="44"/>
        <v>0</v>
      </c>
      <c r="AB506">
        <f t="shared" si="44"/>
        <v>0</v>
      </c>
      <c r="AC506">
        <f t="shared" si="44"/>
        <v>0</v>
      </c>
      <c r="AD506">
        <f t="shared" si="44"/>
        <v>0</v>
      </c>
      <c r="AE506">
        <f>SUM(Table4168[[#This Row],[Challenge 1]:[Challenge 13]])</f>
        <v>7</v>
      </c>
    </row>
    <row r="507" spans="2:31">
      <c r="B507" s="1710"/>
      <c r="C507" s="989" t="s">
        <v>188</v>
      </c>
      <c r="D507" s="989"/>
      <c r="E507" s="989"/>
      <c r="F507" s="989"/>
      <c r="G507" s="989"/>
      <c r="H507" s="989"/>
      <c r="I507" s="989"/>
      <c r="J507" s="989"/>
      <c r="K507" s="989"/>
      <c r="L507" s="989" t="s">
        <v>188</v>
      </c>
      <c r="M507" s="989"/>
      <c r="N507" s="989" t="s">
        <v>189</v>
      </c>
      <c r="O507" s="989"/>
      <c r="Q507" t="s">
        <v>104</v>
      </c>
      <c r="R507">
        <f>COUNTIF($C548:$O550, R$481)</f>
        <v>0</v>
      </c>
      <c r="S507">
        <f t="shared" ref="S507:AD507" si="45">COUNTIF($C548:$O550, S$481)</f>
        <v>0</v>
      </c>
      <c r="T507">
        <f t="shared" si="45"/>
        <v>1</v>
      </c>
      <c r="U507">
        <f t="shared" si="45"/>
        <v>1</v>
      </c>
      <c r="V507">
        <f t="shared" si="45"/>
        <v>0</v>
      </c>
      <c r="W507">
        <f t="shared" si="45"/>
        <v>2</v>
      </c>
      <c r="X507">
        <f t="shared" si="45"/>
        <v>0</v>
      </c>
      <c r="Y507">
        <f t="shared" si="45"/>
        <v>0</v>
      </c>
      <c r="Z507">
        <f t="shared" si="45"/>
        <v>0</v>
      </c>
      <c r="AA507">
        <f t="shared" si="45"/>
        <v>0</v>
      </c>
      <c r="AB507">
        <f t="shared" si="45"/>
        <v>0</v>
      </c>
      <c r="AC507">
        <f t="shared" si="45"/>
        <v>0</v>
      </c>
      <c r="AD507">
        <f t="shared" si="45"/>
        <v>0</v>
      </c>
      <c r="AE507">
        <f>SUM(Table4168[[#This Row],[Challenge 1]:[Challenge 13]])</f>
        <v>4</v>
      </c>
    </row>
    <row r="508" spans="2:31">
      <c r="B508" s="1710"/>
      <c r="N508" s="980" t="s">
        <v>1272</v>
      </c>
      <c r="Q508" t="s">
        <v>95</v>
      </c>
      <c r="R508">
        <f>COUNTIF($C551:$O559, R$481)</f>
        <v>0</v>
      </c>
      <c r="S508">
        <f t="shared" ref="S508:AD508" si="46">COUNTIF($C551:$O559, S$481)</f>
        <v>0</v>
      </c>
      <c r="T508">
        <f t="shared" si="46"/>
        <v>0</v>
      </c>
      <c r="U508">
        <f t="shared" si="46"/>
        <v>1</v>
      </c>
      <c r="V508">
        <f t="shared" si="46"/>
        <v>1</v>
      </c>
      <c r="W508">
        <f t="shared" si="46"/>
        <v>1</v>
      </c>
      <c r="X508">
        <f t="shared" si="46"/>
        <v>0</v>
      </c>
      <c r="Y508">
        <f t="shared" si="46"/>
        <v>1</v>
      </c>
      <c r="Z508">
        <f t="shared" si="46"/>
        <v>0</v>
      </c>
      <c r="AA508">
        <f t="shared" si="46"/>
        <v>0</v>
      </c>
      <c r="AB508">
        <f t="shared" si="46"/>
        <v>0</v>
      </c>
      <c r="AC508">
        <f t="shared" si="46"/>
        <v>0</v>
      </c>
      <c r="AD508">
        <f t="shared" si="46"/>
        <v>0</v>
      </c>
      <c r="AE508">
        <f>SUM(Table4168[[#This Row],[Challenge 1]:[Challenge 13]])</f>
        <v>4</v>
      </c>
    </row>
    <row r="509" spans="2:31" ht="16.5" thickBot="1">
      <c r="B509" s="1711"/>
      <c r="C509" s="985"/>
      <c r="D509" s="985"/>
      <c r="E509" s="985"/>
      <c r="F509" s="985"/>
      <c r="G509" s="985"/>
      <c r="H509" s="985"/>
      <c r="I509" s="985"/>
      <c r="J509" s="985"/>
      <c r="K509" s="985"/>
      <c r="L509" s="985"/>
      <c r="M509" s="985"/>
      <c r="N509" s="985" t="s">
        <v>192</v>
      </c>
      <c r="O509" s="985"/>
      <c r="Q509" t="s">
        <v>85</v>
      </c>
      <c r="R509">
        <f>COUNTIF($C560:$O565, R$481)</f>
        <v>0</v>
      </c>
      <c r="S509">
        <f t="shared" ref="S509:AD509" si="47">COUNTIF($C560:$O565, S$481)</f>
        <v>2</v>
      </c>
      <c r="T509">
        <f t="shared" si="47"/>
        <v>1</v>
      </c>
      <c r="U509">
        <f t="shared" si="47"/>
        <v>0</v>
      </c>
      <c r="V509">
        <f t="shared" si="47"/>
        <v>2</v>
      </c>
      <c r="W509">
        <f t="shared" si="47"/>
        <v>0</v>
      </c>
      <c r="X509">
        <f t="shared" si="47"/>
        <v>0</v>
      </c>
      <c r="Y509">
        <f t="shared" si="47"/>
        <v>0</v>
      </c>
      <c r="Z509">
        <f t="shared" si="47"/>
        <v>0</v>
      </c>
      <c r="AA509">
        <f t="shared" si="47"/>
        <v>0</v>
      </c>
      <c r="AB509">
        <f t="shared" si="47"/>
        <v>0</v>
      </c>
      <c r="AC509">
        <f t="shared" si="47"/>
        <v>0</v>
      </c>
      <c r="AD509">
        <f t="shared" si="47"/>
        <v>0</v>
      </c>
      <c r="AE509">
        <f>SUM(Table4168[[#This Row],[Challenge 1]:[Challenge 13]])</f>
        <v>5</v>
      </c>
    </row>
    <row r="510" spans="2:31" ht="16.5" thickTop="1">
      <c r="B510" s="1709" t="s">
        <v>142</v>
      </c>
      <c r="C510" s="1016"/>
      <c r="D510" s="1016"/>
      <c r="E510" s="1012" t="s">
        <v>1271</v>
      </c>
      <c r="F510" s="1016"/>
      <c r="G510" s="1016"/>
      <c r="H510" s="1016"/>
      <c r="I510" s="1016"/>
      <c r="J510" s="1016"/>
      <c r="K510" s="1016"/>
      <c r="L510" s="1016"/>
      <c r="M510" s="1016"/>
      <c r="N510" s="1016"/>
      <c r="O510" s="1010" t="s">
        <v>26</v>
      </c>
      <c r="Q510" t="s">
        <v>66</v>
      </c>
      <c r="R510">
        <f>COUNTIF($C566:$O573, R$481)</f>
        <v>1</v>
      </c>
      <c r="S510">
        <f t="shared" ref="S510:AD510" si="48">COUNTIF($C566:$O573, S$481)</f>
        <v>1</v>
      </c>
      <c r="T510">
        <f t="shared" si="48"/>
        <v>0</v>
      </c>
      <c r="U510">
        <f t="shared" si="48"/>
        <v>1</v>
      </c>
      <c r="V510">
        <f t="shared" si="48"/>
        <v>1</v>
      </c>
      <c r="W510">
        <f t="shared" si="48"/>
        <v>0</v>
      </c>
      <c r="X510">
        <f t="shared" si="48"/>
        <v>1</v>
      </c>
      <c r="Y510">
        <f t="shared" si="48"/>
        <v>1</v>
      </c>
      <c r="Z510">
        <f t="shared" si="48"/>
        <v>0</v>
      </c>
      <c r="AA510">
        <f t="shared" si="48"/>
        <v>0</v>
      </c>
      <c r="AB510">
        <f t="shared" si="48"/>
        <v>0</v>
      </c>
      <c r="AC510">
        <f t="shared" si="48"/>
        <v>0</v>
      </c>
      <c r="AD510">
        <f t="shared" si="48"/>
        <v>0</v>
      </c>
      <c r="AE510">
        <f>SUM(Table4168[[#This Row],[Challenge 1]:[Challenge 13]])</f>
        <v>6</v>
      </c>
    </row>
    <row r="511" spans="2:31">
      <c r="B511" s="1710"/>
      <c r="C511" s="989"/>
      <c r="D511" s="989"/>
      <c r="E511" s="989" t="s">
        <v>188</v>
      </c>
      <c r="F511" s="989"/>
      <c r="G511" s="989"/>
      <c r="H511" s="989"/>
      <c r="I511" s="989"/>
      <c r="J511" s="989"/>
      <c r="K511" s="989"/>
      <c r="L511" s="989"/>
      <c r="M511" s="989"/>
      <c r="N511" s="989"/>
      <c r="O511" s="989" t="s">
        <v>186</v>
      </c>
      <c r="Q511" t="s">
        <v>65</v>
      </c>
      <c r="R511">
        <f>COUNTIF($C574:$O584, R$481)</f>
        <v>0</v>
      </c>
      <c r="S511">
        <f t="shared" ref="S511:AD511" si="49">COUNTIF($C574:$O584, S$481)</f>
        <v>3</v>
      </c>
      <c r="T511">
        <f t="shared" si="49"/>
        <v>1</v>
      </c>
      <c r="U511">
        <f t="shared" si="49"/>
        <v>3</v>
      </c>
      <c r="V511">
        <f t="shared" si="49"/>
        <v>2</v>
      </c>
      <c r="W511">
        <f t="shared" si="49"/>
        <v>1</v>
      </c>
      <c r="X511">
        <f t="shared" si="49"/>
        <v>2</v>
      </c>
      <c r="Y511">
        <f t="shared" si="49"/>
        <v>1</v>
      </c>
      <c r="Z511">
        <f t="shared" si="49"/>
        <v>0</v>
      </c>
      <c r="AA511">
        <f t="shared" si="49"/>
        <v>0</v>
      </c>
      <c r="AB511">
        <f t="shared" si="49"/>
        <v>0</v>
      </c>
      <c r="AC511">
        <f t="shared" si="49"/>
        <v>0</v>
      </c>
      <c r="AD511">
        <f t="shared" si="49"/>
        <v>0</v>
      </c>
      <c r="AE511">
        <f>SUM(Table4168[[#This Row],[Challenge 1]:[Challenge 13]])</f>
        <v>13</v>
      </c>
    </row>
    <row r="512" spans="2:31">
      <c r="B512" s="1710"/>
      <c r="E512" s="991" t="s">
        <v>93</v>
      </c>
      <c r="O512" s="980" t="s">
        <v>1272</v>
      </c>
      <c r="Q512" t="s">
        <v>60</v>
      </c>
      <c r="R512">
        <f>COUNTIF($C585:$O591, R$481)</f>
        <v>1</v>
      </c>
      <c r="S512">
        <f t="shared" ref="S512:AD512" si="50">COUNTIF($C585:$O591, S$481)</f>
        <v>4</v>
      </c>
      <c r="T512">
        <f t="shared" si="50"/>
        <v>2</v>
      </c>
      <c r="U512">
        <f t="shared" si="50"/>
        <v>1</v>
      </c>
      <c r="V512">
        <f t="shared" si="50"/>
        <v>0</v>
      </c>
      <c r="W512">
        <f t="shared" si="50"/>
        <v>1</v>
      </c>
      <c r="X512">
        <f t="shared" si="50"/>
        <v>0</v>
      </c>
      <c r="Y512">
        <f t="shared" si="50"/>
        <v>0</v>
      </c>
      <c r="Z512">
        <f t="shared" si="50"/>
        <v>0</v>
      </c>
      <c r="AA512">
        <f t="shared" si="50"/>
        <v>0</v>
      </c>
      <c r="AB512">
        <f t="shared" si="50"/>
        <v>0</v>
      </c>
      <c r="AC512">
        <f t="shared" si="50"/>
        <v>0</v>
      </c>
      <c r="AD512">
        <f t="shared" si="50"/>
        <v>0</v>
      </c>
      <c r="AE512">
        <f>SUM(Table4168[[#This Row],[Challenge 1]:[Challenge 13]])</f>
        <v>9</v>
      </c>
    </row>
    <row r="513" spans="2:31" ht="16.5" thickBot="1">
      <c r="B513" s="1711"/>
      <c r="C513" s="985"/>
      <c r="D513" s="985"/>
      <c r="E513" s="985" t="s">
        <v>189</v>
      </c>
      <c r="F513" s="985"/>
      <c r="G513" s="985"/>
      <c r="H513" s="985"/>
      <c r="I513" s="985"/>
      <c r="J513" s="985"/>
      <c r="K513" s="985"/>
      <c r="L513" s="985"/>
      <c r="M513" s="985"/>
      <c r="N513" s="985"/>
      <c r="O513" s="985" t="s">
        <v>190</v>
      </c>
      <c r="Q513" t="s">
        <v>35</v>
      </c>
      <c r="R513">
        <f>COUNTIF($C592:$O602, R$481)</f>
        <v>0</v>
      </c>
      <c r="S513">
        <f t="shared" ref="S513:AD513" si="51">COUNTIF($C592:$O602, S$481)</f>
        <v>4</v>
      </c>
      <c r="T513">
        <f t="shared" si="51"/>
        <v>0</v>
      </c>
      <c r="U513">
        <f t="shared" si="51"/>
        <v>1</v>
      </c>
      <c r="V513">
        <f t="shared" si="51"/>
        <v>2</v>
      </c>
      <c r="W513">
        <f t="shared" si="51"/>
        <v>2</v>
      </c>
      <c r="X513">
        <f t="shared" si="51"/>
        <v>1</v>
      </c>
      <c r="Y513">
        <f t="shared" si="51"/>
        <v>0</v>
      </c>
      <c r="Z513">
        <f t="shared" si="51"/>
        <v>0</v>
      </c>
      <c r="AA513">
        <f t="shared" si="51"/>
        <v>0</v>
      </c>
      <c r="AB513">
        <f t="shared" si="51"/>
        <v>0</v>
      </c>
      <c r="AC513">
        <f t="shared" si="51"/>
        <v>0</v>
      </c>
      <c r="AD513">
        <f t="shared" si="51"/>
        <v>0</v>
      </c>
      <c r="AE513">
        <f>SUM(Table4168[[#This Row],[Challenge 1]:[Challenge 13]])</f>
        <v>10</v>
      </c>
    </row>
    <row r="514" spans="2:31" ht="16.5" thickTop="1">
      <c r="B514" s="1706" t="s">
        <v>143</v>
      </c>
      <c r="C514" s="1392" t="s">
        <v>44</v>
      </c>
      <c r="D514" s="1392" t="s">
        <v>44</v>
      </c>
      <c r="E514" s="1016"/>
      <c r="F514" s="977" t="s">
        <v>1270</v>
      </c>
      <c r="G514" s="1016"/>
      <c r="H514" s="1016"/>
      <c r="I514" s="1016"/>
      <c r="J514" s="1016"/>
      <c r="K514" s="1016"/>
      <c r="L514" s="1016"/>
      <c r="M514" s="1397" t="s">
        <v>124</v>
      </c>
      <c r="N514" s="1018" t="s">
        <v>1270</v>
      </c>
      <c r="O514" s="1016"/>
      <c r="Q514" t="s">
        <v>11</v>
      </c>
      <c r="R514">
        <f>COUNTIF($C603:$O612, R$481)</f>
        <v>1</v>
      </c>
      <c r="S514">
        <f t="shared" ref="S514:AD514" si="52">COUNTIF($C603:$O612, S$481)</f>
        <v>0</v>
      </c>
      <c r="T514">
        <f t="shared" si="52"/>
        <v>1</v>
      </c>
      <c r="U514">
        <f t="shared" si="52"/>
        <v>2</v>
      </c>
      <c r="V514">
        <f t="shared" si="52"/>
        <v>1</v>
      </c>
      <c r="W514">
        <f t="shared" si="52"/>
        <v>0</v>
      </c>
      <c r="X514">
        <f t="shared" si="52"/>
        <v>1</v>
      </c>
      <c r="Y514">
        <f t="shared" si="52"/>
        <v>0</v>
      </c>
      <c r="Z514">
        <f t="shared" si="52"/>
        <v>0</v>
      </c>
      <c r="AA514">
        <f t="shared" si="52"/>
        <v>0</v>
      </c>
      <c r="AB514">
        <f t="shared" si="52"/>
        <v>0</v>
      </c>
      <c r="AC514">
        <f t="shared" si="52"/>
        <v>0</v>
      </c>
      <c r="AD514">
        <f t="shared" si="52"/>
        <v>0</v>
      </c>
      <c r="AE514">
        <f>SUM(Table4168[[#This Row],[Challenge 1]:[Challenge 13]])</f>
        <v>6</v>
      </c>
    </row>
    <row r="515" spans="2:31">
      <c r="B515" s="1707"/>
      <c r="C515" s="503" t="s">
        <v>1270</v>
      </c>
      <c r="D515" s="993" t="s">
        <v>20</v>
      </c>
      <c r="F515" s="502" t="s">
        <v>27</v>
      </c>
      <c r="N515" s="189" t="s">
        <v>47</v>
      </c>
      <c r="Q515" t="s">
        <v>198</v>
      </c>
      <c r="R515">
        <f>COUNTIF($C613:$O619, R$481)</f>
        <v>1</v>
      </c>
      <c r="S515">
        <f t="shared" ref="S515:AD515" si="53">COUNTIF($C613:$O619, S$481)</f>
        <v>1</v>
      </c>
      <c r="T515">
        <f t="shared" si="53"/>
        <v>1</v>
      </c>
      <c r="U515">
        <f t="shared" si="53"/>
        <v>1</v>
      </c>
      <c r="V515">
        <f t="shared" si="53"/>
        <v>2</v>
      </c>
      <c r="W515">
        <f t="shared" si="53"/>
        <v>0</v>
      </c>
      <c r="X515">
        <f t="shared" si="53"/>
        <v>1</v>
      </c>
      <c r="Y515">
        <f t="shared" si="53"/>
        <v>0</v>
      </c>
      <c r="Z515">
        <f t="shared" si="53"/>
        <v>0</v>
      </c>
      <c r="AA515">
        <f t="shared" si="53"/>
        <v>0</v>
      </c>
      <c r="AB515">
        <f t="shared" si="53"/>
        <v>0</v>
      </c>
      <c r="AC515">
        <f t="shared" si="53"/>
        <v>0</v>
      </c>
      <c r="AD515">
        <f t="shared" si="53"/>
        <v>0</v>
      </c>
      <c r="AE515">
        <f>SUM(Table4168[[#This Row],[Challenge 1]:[Challenge 13]])</f>
        <v>7</v>
      </c>
    </row>
    <row r="516" spans="2:31">
      <c r="B516" s="1707"/>
      <c r="C516" t="s">
        <v>185</v>
      </c>
      <c r="D516" s="989" t="s">
        <v>190</v>
      </c>
      <c r="E516" s="989"/>
      <c r="F516" s="20" t="s">
        <v>186</v>
      </c>
      <c r="G516" s="989"/>
      <c r="H516" s="989"/>
      <c r="I516" s="989"/>
      <c r="J516" s="989"/>
      <c r="K516" s="989"/>
      <c r="L516" s="989"/>
      <c r="M516" s="989" t="s">
        <v>189</v>
      </c>
      <c r="N516" s="989" t="s">
        <v>192</v>
      </c>
      <c r="O516" s="989"/>
      <c r="Q516" t="s">
        <v>184</v>
      </c>
      <c r="R516">
        <f>COUNTIF($C620:$O625, R$481)</f>
        <v>0</v>
      </c>
      <c r="S516">
        <f t="shared" ref="S516:AD516" si="54">COUNTIF($C620:$O625, S$481)</f>
        <v>2</v>
      </c>
      <c r="T516">
        <f t="shared" si="54"/>
        <v>0</v>
      </c>
      <c r="U516">
        <f t="shared" si="54"/>
        <v>2</v>
      </c>
      <c r="V516">
        <f t="shared" si="54"/>
        <v>1</v>
      </c>
      <c r="W516">
        <f t="shared" si="54"/>
        <v>0</v>
      </c>
      <c r="X516">
        <f t="shared" si="54"/>
        <v>0</v>
      </c>
      <c r="Y516">
        <f t="shared" si="54"/>
        <v>0</v>
      </c>
      <c r="Z516">
        <f t="shared" si="54"/>
        <v>0</v>
      </c>
      <c r="AA516">
        <f t="shared" si="54"/>
        <v>0</v>
      </c>
      <c r="AB516">
        <f t="shared" si="54"/>
        <v>0</v>
      </c>
      <c r="AC516">
        <f t="shared" si="54"/>
        <v>0</v>
      </c>
      <c r="AD516">
        <f t="shared" si="54"/>
        <v>0</v>
      </c>
      <c r="AE516">
        <f>SUM(Table4168[[#This Row],[Challenge 1]:[Challenge 13]])</f>
        <v>5</v>
      </c>
    </row>
    <row r="517" spans="2:31">
      <c r="B517" s="1707"/>
      <c r="C517" s="1418" t="s">
        <v>24</v>
      </c>
      <c r="D517" s="1417"/>
      <c r="F517" s="977" t="s">
        <v>1270</v>
      </c>
      <c r="N517" s="12"/>
      <c r="Q517" t="s">
        <v>563</v>
      </c>
      <c r="R517">
        <f>COUNTIF($C626:$O629, R$481)</f>
        <v>0</v>
      </c>
      <c r="S517">
        <f t="shared" ref="S517:AD517" si="55">COUNTIF($C626:$O629, S$481)</f>
        <v>0</v>
      </c>
      <c r="T517">
        <f t="shared" si="55"/>
        <v>0</v>
      </c>
      <c r="U517">
        <f t="shared" si="55"/>
        <v>1</v>
      </c>
      <c r="V517">
        <f t="shared" si="55"/>
        <v>1</v>
      </c>
      <c r="W517">
        <f t="shared" si="55"/>
        <v>0</v>
      </c>
      <c r="X517">
        <f t="shared" si="55"/>
        <v>0</v>
      </c>
      <c r="Y517">
        <f t="shared" si="55"/>
        <v>0</v>
      </c>
      <c r="Z517">
        <f t="shared" si="55"/>
        <v>1</v>
      </c>
      <c r="AA517">
        <f t="shared" si="55"/>
        <v>0</v>
      </c>
      <c r="AB517">
        <f t="shared" si="55"/>
        <v>0</v>
      </c>
      <c r="AC517">
        <f t="shared" si="55"/>
        <v>0</v>
      </c>
      <c r="AD517">
        <f t="shared" si="55"/>
        <v>0</v>
      </c>
      <c r="AE517">
        <f>SUM(Table4168[[#This Row],[Challenge 1]:[Challenge 13]])</f>
        <v>3</v>
      </c>
    </row>
    <row r="518" spans="2:31" ht="16.5" thickBot="1">
      <c r="B518" s="1708"/>
      <c r="C518" s="996" t="s">
        <v>188</v>
      </c>
      <c r="D518" s="1417"/>
      <c r="F518" t="s">
        <v>190</v>
      </c>
      <c r="N518" s="12"/>
      <c r="Q518" t="s">
        <v>1742</v>
      </c>
      <c r="R518">
        <f>COUNTIF($C630:$O639, R$481)</f>
        <v>1</v>
      </c>
      <c r="S518">
        <f t="shared" ref="S518:AD518" si="56">COUNTIF($C630:$O639, S$481)</f>
        <v>0</v>
      </c>
      <c r="T518">
        <f t="shared" si="56"/>
        <v>3</v>
      </c>
      <c r="U518">
        <f t="shared" si="56"/>
        <v>1</v>
      </c>
      <c r="V518">
        <f t="shared" si="56"/>
        <v>3</v>
      </c>
      <c r="W518">
        <f t="shared" si="56"/>
        <v>1</v>
      </c>
      <c r="X518">
        <f t="shared" si="56"/>
        <v>2</v>
      </c>
      <c r="Y518">
        <f t="shared" si="56"/>
        <v>0</v>
      </c>
      <c r="Z518">
        <f t="shared" si="56"/>
        <v>0</v>
      </c>
      <c r="AA518">
        <f t="shared" si="56"/>
        <v>0</v>
      </c>
      <c r="AB518">
        <f t="shared" si="56"/>
        <v>0</v>
      </c>
      <c r="AC518">
        <f t="shared" si="56"/>
        <v>0</v>
      </c>
      <c r="AD518">
        <f t="shared" si="56"/>
        <v>0</v>
      </c>
      <c r="AE518">
        <f>SUM(Table4168[[#This Row],[Challenge 1]:[Challenge 13]])</f>
        <v>11</v>
      </c>
    </row>
    <row r="519" spans="2:31" ht="16.5" thickTop="1">
      <c r="B519" s="1709" t="s">
        <v>144</v>
      </c>
      <c r="C519" s="1389" t="s">
        <v>20</v>
      </c>
      <c r="D519" s="1016"/>
      <c r="E519" s="1016"/>
      <c r="F519" s="1016"/>
      <c r="G519" s="1016"/>
      <c r="H519" s="1012" t="s">
        <v>1271</v>
      </c>
      <c r="I519" s="1016"/>
      <c r="J519" s="1016"/>
      <c r="K519" s="976" t="s">
        <v>47</v>
      </c>
      <c r="L519" s="1016"/>
      <c r="M519" s="1389" t="s">
        <v>20</v>
      </c>
      <c r="N519" s="1399" t="s">
        <v>24</v>
      </c>
      <c r="O519" s="1016"/>
      <c r="Q519" t="s">
        <v>2056</v>
      </c>
      <c r="R519">
        <f>COUNTIF($C640:$O650, R$481)</f>
        <v>0</v>
      </c>
      <c r="S519">
        <f t="shared" ref="S519:AD519" si="57">COUNTIF($C640:$O650, S$481)</f>
        <v>4</v>
      </c>
      <c r="T519">
        <f t="shared" si="57"/>
        <v>0</v>
      </c>
      <c r="U519">
        <f t="shared" si="57"/>
        <v>2</v>
      </c>
      <c r="V519">
        <f t="shared" si="57"/>
        <v>1</v>
      </c>
      <c r="W519">
        <f t="shared" si="57"/>
        <v>1</v>
      </c>
      <c r="X519">
        <f t="shared" si="57"/>
        <v>3</v>
      </c>
      <c r="Y519">
        <f t="shared" si="57"/>
        <v>0</v>
      </c>
      <c r="Z519">
        <f t="shared" si="57"/>
        <v>0</v>
      </c>
      <c r="AA519">
        <f t="shared" si="57"/>
        <v>0</v>
      </c>
      <c r="AB519">
        <f t="shared" si="57"/>
        <v>0</v>
      </c>
      <c r="AC519">
        <f t="shared" si="57"/>
        <v>0</v>
      </c>
      <c r="AD519">
        <f t="shared" si="57"/>
        <v>0</v>
      </c>
      <c r="AE519">
        <f>SUM(Table4168[[#This Row],[Challenge 1]:[Challenge 13]])</f>
        <v>11</v>
      </c>
    </row>
    <row r="520" spans="2:31">
      <c r="B520" s="1710"/>
      <c r="M520" s="964" t="s">
        <v>44</v>
      </c>
      <c r="Q520" s="287" t="s">
        <v>200</v>
      </c>
      <c r="R520" s="35">
        <f t="shared" ref="R520:AD520" si="58">SUM(R482:R519)</f>
        <v>12</v>
      </c>
      <c r="S520" s="35">
        <f t="shared" si="58"/>
        <v>38</v>
      </c>
      <c r="T520" s="35">
        <f t="shared" si="58"/>
        <v>18</v>
      </c>
      <c r="U520" s="35">
        <f t="shared" si="58"/>
        <v>30</v>
      </c>
      <c r="V520" s="35">
        <f t="shared" si="58"/>
        <v>34</v>
      </c>
      <c r="W520" s="35">
        <f t="shared" si="58"/>
        <v>23</v>
      </c>
      <c r="X520" s="35">
        <f t="shared" si="58"/>
        <v>18</v>
      </c>
      <c r="Y520" s="35">
        <f t="shared" si="58"/>
        <v>5</v>
      </c>
      <c r="Z520" s="35">
        <f t="shared" si="58"/>
        <v>3</v>
      </c>
      <c r="AA520" s="35">
        <f t="shared" si="58"/>
        <v>0</v>
      </c>
      <c r="AB520" s="35">
        <f t="shared" si="58"/>
        <v>0</v>
      </c>
      <c r="AC520" s="35">
        <f t="shared" si="58"/>
        <v>0</v>
      </c>
      <c r="AD520" s="35">
        <f t="shared" si="58"/>
        <v>0</v>
      </c>
      <c r="AE520">
        <f>SUM(Table4168[[#This Row],[Challenge 1]:[Challenge 13]])</f>
        <v>181</v>
      </c>
    </row>
    <row r="521" spans="2:31">
      <c r="B521" s="1710"/>
      <c r="C521" s="989" t="s">
        <v>185</v>
      </c>
      <c r="D521" s="989"/>
      <c r="E521" s="989"/>
      <c r="F521" s="989"/>
      <c r="G521" s="989"/>
      <c r="H521" s="989" t="s">
        <v>190</v>
      </c>
      <c r="I521" s="989"/>
      <c r="J521" s="989"/>
      <c r="K521" s="989" t="s">
        <v>188</v>
      </c>
      <c r="L521" s="989"/>
      <c r="M521" s="989" t="s">
        <v>185</v>
      </c>
      <c r="N521" s="989" t="s">
        <v>186</v>
      </c>
      <c r="O521" s="989"/>
    </row>
    <row r="522" spans="2:31" ht="18.75">
      <c r="B522" s="1710"/>
      <c r="K522" s="983" t="s">
        <v>124</v>
      </c>
      <c r="N522" s="980" t="s">
        <v>1272</v>
      </c>
      <c r="Q522" s="69" t="s">
        <v>2782</v>
      </c>
    </row>
    <row r="523" spans="2:31">
      <c r="B523" s="1710"/>
      <c r="N523" s="991" t="s">
        <v>93</v>
      </c>
      <c r="Q523" s="1416" t="s">
        <v>19</v>
      </c>
      <c r="R523" s="1416" t="s">
        <v>1</v>
      </c>
      <c r="S523" s="1416" t="s">
        <v>2</v>
      </c>
      <c r="T523" s="1416" t="s">
        <v>3</v>
      </c>
      <c r="U523" s="1416" t="s">
        <v>4</v>
      </c>
      <c r="V523" s="1416" t="s">
        <v>5</v>
      </c>
      <c r="W523" s="1416" t="s">
        <v>6</v>
      </c>
      <c r="X523" s="1416" t="s">
        <v>7</v>
      </c>
      <c r="Y523" s="1416" t="s">
        <v>8</v>
      </c>
      <c r="Z523" s="1416" t="s">
        <v>9</v>
      </c>
      <c r="AA523" s="1416" t="s">
        <v>10</v>
      </c>
      <c r="AB523" s="1416" t="s">
        <v>36</v>
      </c>
      <c r="AC523" s="1416" t="s">
        <v>37</v>
      </c>
      <c r="AD523" s="1416" t="s">
        <v>344</v>
      </c>
      <c r="AE523" s="1421" t="s">
        <v>200</v>
      </c>
    </row>
    <row r="524" spans="2:31" ht="16.5" thickBot="1">
      <c r="B524" s="1711"/>
      <c r="C524" s="985"/>
      <c r="D524" s="985"/>
      <c r="E524" s="985"/>
      <c r="F524" s="985"/>
      <c r="G524" s="985"/>
      <c r="H524" s="985"/>
      <c r="I524" s="985"/>
      <c r="J524" s="985"/>
      <c r="K524" s="985" t="s">
        <v>191</v>
      </c>
      <c r="L524" s="985"/>
      <c r="M524" s="985"/>
      <c r="N524" s="985" t="s">
        <v>190</v>
      </c>
      <c r="O524" s="985"/>
      <c r="Q524" s="903" t="s">
        <v>27</v>
      </c>
      <c r="R524" s="1419">
        <f t="shared" ref="R524:R551" si="59">IF(COUNTIF(C$469:C$650,$Q524)&gt;0, COUNTIF(C$469:C$650,$Q524), "")</f>
        <v>1</v>
      </c>
      <c r="S524" s="1419" t="str">
        <f t="shared" ref="S524:S551" si="60">IF(COUNTIF(D$469:D$650,$Q524)&gt;0, COUNTIF(D$469:D$650,$Q524), "")</f>
        <v/>
      </c>
      <c r="T524" s="1419">
        <f t="shared" ref="T524:T551" si="61">IF(COUNTIF(E$469:E$650,$Q524)&gt;0, COUNTIF(E$469:E$650,$Q524), "")</f>
        <v>2</v>
      </c>
      <c r="U524" s="1419">
        <f t="shared" ref="U524:U551" si="62">IF(COUNTIF(F$469:F$650,$Q524)&gt;0, COUNTIF(F$469:F$650,$Q524), "")</f>
        <v>1</v>
      </c>
      <c r="V524" s="1419">
        <f t="shared" ref="V524:V551" si="63">IF(COUNTIF(G$469:G$650,$Q524)&gt;0, COUNTIF(G$469:G$650,$Q524), "")</f>
        <v>1</v>
      </c>
      <c r="W524" s="1419" t="str">
        <f t="shared" ref="W524:W551" si="64">IF(COUNTIF(H$469:H$650,$Q524)&gt;0, COUNTIF(H$469:H$650,$Q524), "")</f>
        <v/>
      </c>
      <c r="X524" s="1419">
        <f t="shared" ref="X524:X551" si="65">IF(COUNTIF(I$469:I$650,$Q524)&gt;0, COUNTIF(I$469:I$650,$Q524), "")</f>
        <v>3</v>
      </c>
      <c r="Y524" s="1419">
        <f t="shared" ref="Y524:Y551" si="66">IF(COUNTIF(J$469:J$650,$Q524)&gt;0, COUNTIF(J$469:J$650,$Q524), "")</f>
        <v>3</v>
      </c>
      <c r="Z524" s="1419">
        <f t="shared" ref="Z524:Z551" si="67">IF(COUNTIF(K$469:K$650,$Q524)&gt;0, COUNTIF(K$469:K$650,$Q524), "")</f>
        <v>3</v>
      </c>
      <c r="AA524" s="1419">
        <f t="shared" ref="AA524:AA551" si="68">IF(COUNTIF(L$469:L$650,$Q524)&gt;0, COUNTIF(L$469:L$650,$Q524), "")</f>
        <v>1</v>
      </c>
      <c r="AB524" s="1419" t="str">
        <f t="shared" ref="AB524:AB551" si="69">IF(COUNTIF(M$469:M$650,$Q524)&gt;0, COUNTIF(M$469:M$650,$Q524), "")</f>
        <v/>
      </c>
      <c r="AC524" s="1419">
        <f t="shared" ref="AC524:AC551" si="70">IF(COUNTIF(N$469:N$650,$Q524)&gt;0, COUNTIF(N$469:N$650,$Q524), "")</f>
        <v>1</v>
      </c>
      <c r="AD524" s="1419" t="str">
        <f t="shared" ref="AD524:AD551" si="71">IF(COUNTIF(O$469:O$650,$Q524)&gt;0, COUNTIF(O$469:O$650,$Q524), "")</f>
        <v/>
      </c>
      <c r="AE524" s="929">
        <f>SUM(R524:AD524)</f>
        <v>16</v>
      </c>
    </row>
    <row r="525" spans="2:31" ht="16.5" thickTop="1">
      <c r="B525" s="1706" t="s">
        <v>145</v>
      </c>
      <c r="C525" s="1392" t="s">
        <v>44</v>
      </c>
      <c r="D525" s="1016"/>
      <c r="E525" s="1016"/>
      <c r="F525" s="1016"/>
      <c r="G525" s="1016"/>
      <c r="H525" s="1016"/>
      <c r="I525" s="1016"/>
      <c r="J525" s="1016"/>
      <c r="K525" s="1016"/>
      <c r="L525" s="1016"/>
      <c r="M525" s="1016"/>
      <c r="N525" s="1010" t="s">
        <v>26</v>
      </c>
      <c r="O525" s="1016"/>
      <c r="Q525" s="904" t="s">
        <v>1270</v>
      </c>
      <c r="R525" s="33">
        <f t="shared" si="59"/>
        <v>2</v>
      </c>
      <c r="S525" s="33">
        <f t="shared" si="60"/>
        <v>1</v>
      </c>
      <c r="T525" s="33" t="str">
        <f t="shared" si="61"/>
        <v/>
      </c>
      <c r="U525" s="33">
        <f t="shared" si="62"/>
        <v>2</v>
      </c>
      <c r="V525" s="33">
        <f t="shared" si="63"/>
        <v>1</v>
      </c>
      <c r="W525" s="33">
        <f t="shared" si="64"/>
        <v>1</v>
      </c>
      <c r="X525" s="33">
        <f t="shared" si="65"/>
        <v>2</v>
      </c>
      <c r="Y525" s="33">
        <f t="shared" si="66"/>
        <v>1</v>
      </c>
      <c r="Z525" s="33">
        <f t="shared" si="67"/>
        <v>2</v>
      </c>
      <c r="AA525" s="33">
        <f t="shared" si="68"/>
        <v>3</v>
      </c>
      <c r="AB525" s="33">
        <f t="shared" si="69"/>
        <v>2</v>
      </c>
      <c r="AC525" s="33">
        <f t="shared" si="70"/>
        <v>4</v>
      </c>
      <c r="AD525" s="33" t="str">
        <f t="shared" si="71"/>
        <v/>
      </c>
      <c r="AE525" s="929">
        <f t="shared" ref="AE525:AE551" si="72">SUM(R525:AD525)</f>
        <v>21</v>
      </c>
    </row>
    <row r="526" spans="2:31">
      <c r="B526" s="1707"/>
      <c r="N526" s="964" t="s">
        <v>44</v>
      </c>
      <c r="Q526" s="896" t="s">
        <v>43</v>
      </c>
      <c r="R526" s="587">
        <f t="shared" si="59"/>
        <v>1</v>
      </c>
      <c r="S526" s="587" t="str">
        <f t="shared" si="60"/>
        <v/>
      </c>
      <c r="T526" s="587" t="str">
        <f t="shared" si="61"/>
        <v/>
      </c>
      <c r="U526" s="587" t="str">
        <f t="shared" si="62"/>
        <v/>
      </c>
      <c r="V526" s="587" t="str">
        <f t="shared" si="63"/>
        <v/>
      </c>
      <c r="W526" s="587" t="str">
        <f t="shared" si="64"/>
        <v/>
      </c>
      <c r="X526" s="587" t="str">
        <f t="shared" si="65"/>
        <v/>
      </c>
      <c r="Y526" s="587" t="str">
        <f t="shared" si="66"/>
        <v/>
      </c>
      <c r="Z526" s="587" t="str">
        <f t="shared" si="67"/>
        <v/>
      </c>
      <c r="AA526" s="587" t="str">
        <f t="shared" si="68"/>
        <v/>
      </c>
      <c r="AB526" s="587" t="str">
        <f t="shared" si="69"/>
        <v/>
      </c>
      <c r="AC526" s="587" t="str">
        <f t="shared" si="70"/>
        <v/>
      </c>
      <c r="AD526" s="587" t="str">
        <f t="shared" si="71"/>
        <v/>
      </c>
      <c r="AE526" s="929">
        <f t="shared" si="72"/>
        <v>1</v>
      </c>
    </row>
    <row r="527" spans="2:31">
      <c r="B527" s="1707"/>
      <c r="C527" s="989" t="s">
        <v>185</v>
      </c>
      <c r="D527" s="989"/>
      <c r="E527" s="989"/>
      <c r="F527" s="989"/>
      <c r="G527" s="989"/>
      <c r="H527" s="989"/>
      <c r="I527" s="989"/>
      <c r="J527" s="989"/>
      <c r="K527" s="989"/>
      <c r="L527" s="989"/>
      <c r="M527" s="989"/>
      <c r="N527" s="989" t="s">
        <v>186</v>
      </c>
      <c r="O527" s="989"/>
      <c r="Q527" s="905" t="s">
        <v>120</v>
      </c>
      <c r="R527" s="66" t="str">
        <f t="shared" si="59"/>
        <v/>
      </c>
      <c r="S527" s="66" t="str">
        <f t="shared" si="60"/>
        <v/>
      </c>
      <c r="T527" s="66" t="str">
        <f t="shared" si="61"/>
        <v/>
      </c>
      <c r="U527" s="66">
        <f t="shared" si="62"/>
        <v>1</v>
      </c>
      <c r="V527" s="66" t="str">
        <f t="shared" si="63"/>
        <v/>
      </c>
      <c r="W527" s="66" t="str">
        <f t="shared" si="64"/>
        <v/>
      </c>
      <c r="X527" s="66">
        <f t="shared" si="65"/>
        <v>1</v>
      </c>
      <c r="Y527" s="66" t="str">
        <f t="shared" si="66"/>
        <v/>
      </c>
      <c r="Z527" s="66" t="str">
        <f t="shared" si="67"/>
        <v/>
      </c>
      <c r="AA527" s="66" t="str">
        <f t="shared" si="68"/>
        <v/>
      </c>
      <c r="AB527" s="66" t="str">
        <f t="shared" si="69"/>
        <v/>
      </c>
      <c r="AC527" s="66" t="str">
        <f t="shared" si="70"/>
        <v/>
      </c>
      <c r="AD527" s="66" t="str">
        <f t="shared" si="71"/>
        <v/>
      </c>
      <c r="AE527" s="929">
        <f t="shared" si="72"/>
        <v>2</v>
      </c>
    </row>
    <row r="528" spans="2:31" ht="16.5" thickBot="1">
      <c r="B528" s="1707"/>
      <c r="N528" s="984" t="s">
        <v>24</v>
      </c>
      <c r="Q528" s="906" t="s">
        <v>47</v>
      </c>
      <c r="R528" s="642" t="str">
        <f t="shared" si="59"/>
        <v/>
      </c>
      <c r="S528" s="642" t="str">
        <f t="shared" si="60"/>
        <v/>
      </c>
      <c r="T528" s="642" t="str">
        <f t="shared" si="61"/>
        <v/>
      </c>
      <c r="U528" s="642" t="str">
        <f t="shared" si="62"/>
        <v/>
      </c>
      <c r="V528" s="642" t="str">
        <f t="shared" si="63"/>
        <v/>
      </c>
      <c r="W528" s="642" t="str">
        <f t="shared" si="64"/>
        <v/>
      </c>
      <c r="X528" s="642">
        <f t="shared" si="65"/>
        <v>1</v>
      </c>
      <c r="Y528" s="642" t="str">
        <f t="shared" si="66"/>
        <v/>
      </c>
      <c r="Z528" s="642">
        <f t="shared" si="67"/>
        <v>2</v>
      </c>
      <c r="AA528" s="642">
        <f t="shared" si="68"/>
        <v>1</v>
      </c>
      <c r="AB528" s="642" t="str">
        <f t="shared" si="69"/>
        <v/>
      </c>
      <c r="AC528" s="642">
        <f t="shared" si="70"/>
        <v>5</v>
      </c>
      <c r="AD528" s="642" t="str">
        <f t="shared" si="71"/>
        <v/>
      </c>
      <c r="AE528" s="929">
        <f t="shared" si="72"/>
        <v>9</v>
      </c>
    </row>
    <row r="529" spans="2:31" ht="16.5" thickBot="1">
      <c r="B529" s="1708"/>
      <c r="C529" s="985"/>
      <c r="D529" s="985"/>
      <c r="E529" s="985"/>
      <c r="F529" s="985"/>
      <c r="G529" s="985"/>
      <c r="H529" s="985"/>
      <c r="I529" s="985"/>
      <c r="J529" s="985"/>
      <c r="K529" s="985"/>
      <c r="L529" s="985"/>
      <c r="M529" s="985"/>
      <c r="N529" s="985" t="s">
        <v>189</v>
      </c>
      <c r="O529" s="985"/>
      <c r="Q529" s="907" t="s">
        <v>46</v>
      </c>
      <c r="R529" t="str">
        <f t="shared" si="59"/>
        <v/>
      </c>
      <c r="S529" t="str">
        <f t="shared" si="60"/>
        <v/>
      </c>
      <c r="T529" t="str">
        <f t="shared" si="61"/>
        <v/>
      </c>
      <c r="U529">
        <f t="shared" si="62"/>
        <v>1</v>
      </c>
      <c r="V529" t="str">
        <f t="shared" si="63"/>
        <v/>
      </c>
      <c r="W529" t="str">
        <f t="shared" si="64"/>
        <v/>
      </c>
      <c r="X529" t="str">
        <f t="shared" si="65"/>
        <v/>
      </c>
      <c r="Y529">
        <f t="shared" si="66"/>
        <v>1</v>
      </c>
      <c r="Z529" t="str">
        <f t="shared" si="67"/>
        <v/>
      </c>
      <c r="AA529" t="str">
        <f t="shared" si="68"/>
        <v/>
      </c>
      <c r="AB529">
        <f t="shared" si="69"/>
        <v>1</v>
      </c>
      <c r="AC529">
        <f t="shared" si="70"/>
        <v>2</v>
      </c>
      <c r="AD529" t="str">
        <f t="shared" si="71"/>
        <v/>
      </c>
      <c r="AE529" s="929">
        <f t="shared" si="72"/>
        <v>5</v>
      </c>
    </row>
    <row r="530" spans="2:31" ht="16.5" thickTop="1">
      <c r="B530" s="1709" t="s">
        <v>146</v>
      </c>
      <c r="C530" s="1010" t="s">
        <v>26</v>
      </c>
      <c r="D530" s="1016"/>
      <c r="E530" s="1016"/>
      <c r="F530" s="1016"/>
      <c r="G530" s="1016"/>
      <c r="H530" s="1016"/>
      <c r="I530" s="1016"/>
      <c r="J530" s="1016"/>
      <c r="K530" s="1392" t="s">
        <v>44</v>
      </c>
      <c r="L530" s="1016"/>
      <c r="M530" s="1016"/>
      <c r="N530" s="1012" t="s">
        <v>1271</v>
      </c>
      <c r="O530" s="1016"/>
      <c r="Q530" s="908" t="s">
        <v>397</v>
      </c>
      <c r="R530" s="588" t="str">
        <f t="shared" si="59"/>
        <v/>
      </c>
      <c r="S530" s="588" t="str">
        <f t="shared" si="60"/>
        <v/>
      </c>
      <c r="T530" s="588" t="str">
        <f t="shared" si="61"/>
        <v/>
      </c>
      <c r="U530" s="588" t="str">
        <f t="shared" si="62"/>
        <v/>
      </c>
      <c r="V530" s="588" t="str">
        <f t="shared" si="63"/>
        <v/>
      </c>
      <c r="W530" s="588">
        <f t="shared" si="64"/>
        <v>2</v>
      </c>
      <c r="X530" s="588" t="str">
        <f t="shared" si="65"/>
        <v/>
      </c>
      <c r="Y530" s="588" t="str">
        <f t="shared" si="66"/>
        <v/>
      </c>
      <c r="Z530" s="588" t="str">
        <f t="shared" si="67"/>
        <v/>
      </c>
      <c r="AA530" s="588" t="str">
        <f t="shared" si="68"/>
        <v/>
      </c>
      <c r="AB530" s="588" t="str">
        <f t="shared" si="69"/>
        <v/>
      </c>
      <c r="AC530" s="588">
        <f t="shared" si="70"/>
        <v>1</v>
      </c>
      <c r="AD530" s="588" t="str">
        <f t="shared" si="71"/>
        <v/>
      </c>
      <c r="AE530" s="929">
        <f t="shared" si="72"/>
        <v>3</v>
      </c>
    </row>
    <row r="531" spans="2:31" ht="16.5" thickBot="1">
      <c r="B531" s="1711"/>
      <c r="C531" s="985" t="s">
        <v>185</v>
      </c>
      <c r="D531" s="985"/>
      <c r="E531" s="985"/>
      <c r="F531" s="985"/>
      <c r="G531" s="985"/>
      <c r="H531" s="985"/>
      <c r="I531" s="985"/>
      <c r="J531" s="985"/>
      <c r="K531" s="985" t="s">
        <v>189</v>
      </c>
      <c r="L531" s="985"/>
      <c r="M531" s="985"/>
      <c r="N531" s="985" t="s">
        <v>188</v>
      </c>
      <c r="O531" s="985"/>
      <c r="Q531" s="909" t="s">
        <v>155</v>
      </c>
      <c r="R531" s="233" t="str">
        <f t="shared" si="59"/>
        <v/>
      </c>
      <c r="S531" s="233" t="str">
        <f t="shared" si="60"/>
        <v/>
      </c>
      <c r="T531" s="233" t="str">
        <f t="shared" si="61"/>
        <v/>
      </c>
      <c r="U531" s="233" t="str">
        <f t="shared" si="62"/>
        <v/>
      </c>
      <c r="V531" s="233" t="str">
        <f t="shared" si="63"/>
        <v/>
      </c>
      <c r="W531" s="233" t="str">
        <f t="shared" si="64"/>
        <v/>
      </c>
      <c r="X531" s="233" t="str">
        <f t="shared" si="65"/>
        <v/>
      </c>
      <c r="Y531" s="233" t="str">
        <f t="shared" si="66"/>
        <v/>
      </c>
      <c r="Z531" s="233" t="str">
        <f t="shared" si="67"/>
        <v/>
      </c>
      <c r="AA531" s="233" t="str">
        <f t="shared" si="68"/>
        <v/>
      </c>
      <c r="AB531" s="233">
        <f t="shared" si="69"/>
        <v>1</v>
      </c>
      <c r="AC531" s="233" t="str">
        <f t="shared" si="70"/>
        <v/>
      </c>
      <c r="AD531" s="233" t="str">
        <f t="shared" si="71"/>
        <v/>
      </c>
      <c r="AE531" s="929">
        <f t="shared" si="72"/>
        <v>1</v>
      </c>
    </row>
    <row r="532" spans="2:31" ht="16.5" thickTop="1">
      <c r="B532" s="1706" t="s">
        <v>147</v>
      </c>
      <c r="C532" s="1016"/>
      <c r="D532" s="1016"/>
      <c r="E532" s="1016"/>
      <c r="F532" s="1016"/>
      <c r="G532" s="1016"/>
      <c r="H532" s="1016"/>
      <c r="I532" s="1016"/>
      <c r="J532" s="1012" t="s">
        <v>1271</v>
      </c>
      <c r="K532" s="1016"/>
      <c r="L532" s="1016"/>
      <c r="M532" s="1016"/>
      <c r="N532" s="1010" t="s">
        <v>26</v>
      </c>
      <c r="O532" s="1016"/>
      <c r="Q532" s="897" t="s">
        <v>24</v>
      </c>
      <c r="R532" s="36">
        <f t="shared" si="59"/>
        <v>1</v>
      </c>
      <c r="S532" s="36" t="str">
        <f t="shared" si="60"/>
        <v/>
      </c>
      <c r="T532" s="36" t="str">
        <f t="shared" si="61"/>
        <v/>
      </c>
      <c r="U532" s="36">
        <f t="shared" si="62"/>
        <v>1</v>
      </c>
      <c r="V532" s="36">
        <f t="shared" si="63"/>
        <v>1</v>
      </c>
      <c r="W532" s="36" t="str">
        <f t="shared" si="64"/>
        <v/>
      </c>
      <c r="X532" s="36" t="str">
        <f t="shared" si="65"/>
        <v/>
      </c>
      <c r="Y532" s="36" t="str">
        <f t="shared" si="66"/>
        <v/>
      </c>
      <c r="Z532" s="36" t="str">
        <f t="shared" si="67"/>
        <v/>
      </c>
      <c r="AA532" s="36" t="str">
        <f t="shared" si="68"/>
        <v/>
      </c>
      <c r="AB532" s="36" t="str">
        <f t="shared" si="69"/>
        <v/>
      </c>
      <c r="AC532" s="36">
        <f t="shared" si="70"/>
        <v>5</v>
      </c>
      <c r="AD532" s="36" t="str">
        <f t="shared" si="71"/>
        <v/>
      </c>
      <c r="AE532" s="929">
        <f t="shared" si="72"/>
        <v>8</v>
      </c>
    </row>
    <row r="533" spans="2:31">
      <c r="B533" s="1707"/>
      <c r="N533" s="974" t="s">
        <v>1269</v>
      </c>
      <c r="Q533" s="910" t="s">
        <v>23</v>
      </c>
      <c r="R533" s="577">
        <f t="shared" si="59"/>
        <v>1</v>
      </c>
      <c r="S533" s="577" t="str">
        <f t="shared" si="60"/>
        <v/>
      </c>
      <c r="T533" s="577" t="str">
        <f t="shared" si="61"/>
        <v/>
      </c>
      <c r="U533" s="577" t="str">
        <f t="shared" si="62"/>
        <v/>
      </c>
      <c r="V533" s="577" t="str">
        <f t="shared" si="63"/>
        <v/>
      </c>
      <c r="W533" s="577" t="str">
        <f t="shared" si="64"/>
        <v/>
      </c>
      <c r="X533" s="577" t="str">
        <f t="shared" si="65"/>
        <v/>
      </c>
      <c r="Y533" s="577" t="str">
        <f t="shared" si="66"/>
        <v/>
      </c>
      <c r="Z533" s="577" t="str">
        <f t="shared" si="67"/>
        <v/>
      </c>
      <c r="AA533" s="577" t="str">
        <f t="shared" si="68"/>
        <v/>
      </c>
      <c r="AB533" s="577" t="str">
        <f t="shared" si="69"/>
        <v/>
      </c>
      <c r="AC533" s="577">
        <f t="shared" si="70"/>
        <v>1</v>
      </c>
      <c r="AD533" s="577" t="str">
        <f t="shared" si="71"/>
        <v/>
      </c>
      <c r="AE533" s="929">
        <f t="shared" si="72"/>
        <v>2</v>
      </c>
    </row>
    <row r="534" spans="2:31">
      <c r="B534" s="1707"/>
      <c r="C534" s="989"/>
      <c r="D534" s="989"/>
      <c r="E534" s="989"/>
      <c r="F534" s="989"/>
      <c r="G534" s="989"/>
      <c r="H534" s="989"/>
      <c r="I534" s="989"/>
      <c r="J534" s="989" t="s">
        <v>191</v>
      </c>
      <c r="K534" s="989"/>
      <c r="L534" s="989"/>
      <c r="M534" s="989"/>
      <c r="N534" s="989" t="s">
        <v>191</v>
      </c>
      <c r="O534" s="989"/>
      <c r="Q534" s="895" t="s">
        <v>29</v>
      </c>
      <c r="R534">
        <f t="shared" si="59"/>
        <v>1</v>
      </c>
      <c r="S534" t="str">
        <f t="shared" si="60"/>
        <v/>
      </c>
      <c r="T534" t="str">
        <f t="shared" si="61"/>
        <v/>
      </c>
      <c r="U534" t="str">
        <f t="shared" si="62"/>
        <v/>
      </c>
      <c r="V534" t="str">
        <f t="shared" si="63"/>
        <v/>
      </c>
      <c r="W534" t="str">
        <f t="shared" si="64"/>
        <v/>
      </c>
      <c r="X534" t="str">
        <f t="shared" si="65"/>
        <v/>
      </c>
      <c r="Y534">
        <f t="shared" si="66"/>
        <v>1</v>
      </c>
      <c r="Z534" t="str">
        <f t="shared" si="67"/>
        <v/>
      </c>
      <c r="AA534">
        <f t="shared" si="68"/>
        <v>3</v>
      </c>
      <c r="AB534" t="str">
        <f t="shared" si="69"/>
        <v/>
      </c>
      <c r="AC534" t="str">
        <f t="shared" si="70"/>
        <v/>
      </c>
      <c r="AD534" t="str">
        <f t="shared" si="71"/>
        <v/>
      </c>
      <c r="AE534" s="929">
        <f t="shared" si="72"/>
        <v>5</v>
      </c>
    </row>
    <row r="535" spans="2:31">
      <c r="B535" s="1707"/>
      <c r="N535" s="964" t="s">
        <v>44</v>
      </c>
      <c r="Q535" s="911" t="s">
        <v>93</v>
      </c>
      <c r="R535" t="str">
        <f t="shared" si="59"/>
        <v/>
      </c>
      <c r="S535" t="str">
        <f t="shared" si="60"/>
        <v/>
      </c>
      <c r="T535">
        <f t="shared" si="61"/>
        <v>1</v>
      </c>
      <c r="U535" t="str">
        <f t="shared" si="62"/>
        <v/>
      </c>
      <c r="V535" t="str">
        <f t="shared" si="63"/>
        <v/>
      </c>
      <c r="W535" t="str">
        <f t="shared" si="64"/>
        <v/>
      </c>
      <c r="X535" t="str">
        <f t="shared" si="65"/>
        <v/>
      </c>
      <c r="Y535" t="str">
        <f t="shared" si="66"/>
        <v/>
      </c>
      <c r="Z535" t="str">
        <f t="shared" si="67"/>
        <v/>
      </c>
      <c r="AA535" t="str">
        <f t="shared" si="68"/>
        <v/>
      </c>
      <c r="AB535">
        <f t="shared" si="69"/>
        <v>1</v>
      </c>
      <c r="AC535">
        <f t="shared" si="70"/>
        <v>1</v>
      </c>
      <c r="AD535" t="str">
        <f t="shared" si="71"/>
        <v/>
      </c>
      <c r="AE535" s="929">
        <f t="shared" si="72"/>
        <v>3</v>
      </c>
    </row>
    <row r="536" spans="2:31">
      <c r="B536" s="1707"/>
      <c r="N536" s="980" t="s">
        <v>1272</v>
      </c>
      <c r="Q536" s="912" t="s">
        <v>1269</v>
      </c>
      <c r="R536" s="242">
        <f t="shared" si="59"/>
        <v>1</v>
      </c>
      <c r="S536" s="242" t="str">
        <f t="shared" si="60"/>
        <v/>
      </c>
      <c r="T536" s="242">
        <f t="shared" si="61"/>
        <v>1</v>
      </c>
      <c r="U536" s="242" t="str">
        <f t="shared" si="62"/>
        <v/>
      </c>
      <c r="V536" s="242">
        <f t="shared" si="63"/>
        <v>1</v>
      </c>
      <c r="W536" s="242" t="str">
        <f t="shared" si="64"/>
        <v/>
      </c>
      <c r="X536" s="242" t="str">
        <f t="shared" si="65"/>
        <v/>
      </c>
      <c r="Y536" s="242">
        <f t="shared" si="66"/>
        <v>1</v>
      </c>
      <c r="Z536" s="242" t="str">
        <f t="shared" si="67"/>
        <v/>
      </c>
      <c r="AA536" s="242" t="str">
        <f t="shared" si="68"/>
        <v/>
      </c>
      <c r="AB536" s="242">
        <f t="shared" si="69"/>
        <v>1</v>
      </c>
      <c r="AC536" s="242">
        <f t="shared" si="70"/>
        <v>3</v>
      </c>
      <c r="AD536" s="242" t="str">
        <f t="shared" si="71"/>
        <v/>
      </c>
      <c r="AE536" s="929">
        <f t="shared" si="72"/>
        <v>8</v>
      </c>
    </row>
    <row r="537" spans="2:31" ht="16.5" thickBot="1">
      <c r="B537" s="1708"/>
      <c r="C537" s="985"/>
      <c r="D537" s="985"/>
      <c r="E537" s="985"/>
      <c r="F537" s="985"/>
      <c r="G537" s="985"/>
      <c r="H537" s="985"/>
      <c r="I537" s="985"/>
      <c r="J537" s="985"/>
      <c r="K537" s="985"/>
      <c r="L537" s="985"/>
      <c r="M537" s="985"/>
      <c r="N537" s="985" t="s">
        <v>193</v>
      </c>
      <c r="O537" s="985"/>
      <c r="Q537" s="913" t="s">
        <v>26</v>
      </c>
      <c r="R537" s="8">
        <f t="shared" si="59"/>
        <v>3</v>
      </c>
      <c r="S537" s="8" t="str">
        <f t="shared" si="60"/>
        <v/>
      </c>
      <c r="T537" s="8" t="str">
        <f t="shared" si="61"/>
        <v/>
      </c>
      <c r="U537" s="8" t="str">
        <f t="shared" si="62"/>
        <v/>
      </c>
      <c r="V537" s="8" t="str">
        <f t="shared" si="63"/>
        <v/>
      </c>
      <c r="W537" s="8" t="str">
        <f t="shared" si="64"/>
        <v/>
      </c>
      <c r="X537" s="8" t="str">
        <f t="shared" si="65"/>
        <v/>
      </c>
      <c r="Y537" s="8">
        <f t="shared" si="66"/>
        <v>2</v>
      </c>
      <c r="Z537" s="8">
        <f t="shared" si="67"/>
        <v>3</v>
      </c>
      <c r="AA537" s="8">
        <f t="shared" si="68"/>
        <v>1</v>
      </c>
      <c r="AB537" s="8">
        <f t="shared" si="69"/>
        <v>1</v>
      </c>
      <c r="AC537" s="8">
        <f t="shared" si="70"/>
        <v>6</v>
      </c>
      <c r="AD537" s="8">
        <f t="shared" si="71"/>
        <v>1</v>
      </c>
      <c r="AE537" s="929">
        <f t="shared" si="72"/>
        <v>17</v>
      </c>
    </row>
    <row r="538" spans="2:31" ht="16.5" thickTop="1">
      <c r="B538" s="1709" t="s">
        <v>148</v>
      </c>
      <c r="C538" s="1016"/>
      <c r="D538" s="1016"/>
      <c r="E538" s="1016"/>
      <c r="F538" s="1399" t="s">
        <v>24</v>
      </c>
      <c r="G538" s="1390"/>
      <c r="H538" s="1016"/>
      <c r="I538" s="1016"/>
      <c r="J538" s="1016"/>
      <c r="K538" s="1394" t="s">
        <v>27</v>
      </c>
      <c r="L538" s="1025" t="s">
        <v>29</v>
      </c>
      <c r="M538" s="1392" t="s">
        <v>44</v>
      </c>
      <c r="N538" s="1019" t="s">
        <v>1272</v>
      </c>
      <c r="O538" s="1016"/>
      <c r="Q538" s="914" t="s">
        <v>109</v>
      </c>
      <c r="R538" s="576" t="str">
        <f t="shared" si="59"/>
        <v/>
      </c>
      <c r="S538" s="576" t="str">
        <f t="shared" si="60"/>
        <v/>
      </c>
      <c r="T538" s="576">
        <f t="shared" si="61"/>
        <v>1</v>
      </c>
      <c r="U538" s="576" t="str">
        <f t="shared" si="62"/>
        <v/>
      </c>
      <c r="V538" s="576" t="str">
        <f t="shared" si="63"/>
        <v/>
      </c>
      <c r="W538" s="576" t="str">
        <f t="shared" si="64"/>
        <v/>
      </c>
      <c r="X538" s="576" t="str">
        <f t="shared" si="65"/>
        <v/>
      </c>
      <c r="Y538" s="576">
        <f t="shared" si="66"/>
        <v>1</v>
      </c>
      <c r="Z538" s="576">
        <f t="shared" si="67"/>
        <v>1</v>
      </c>
      <c r="AA538" s="576">
        <f t="shared" si="68"/>
        <v>1</v>
      </c>
      <c r="AB538" s="576">
        <f t="shared" si="69"/>
        <v>1</v>
      </c>
      <c r="AC538" s="576" t="str">
        <f t="shared" si="70"/>
        <v/>
      </c>
      <c r="AD538" s="576" t="str">
        <f t="shared" si="71"/>
        <v/>
      </c>
      <c r="AE538" s="929">
        <f t="shared" si="72"/>
        <v>5</v>
      </c>
    </row>
    <row r="539" spans="2:31" ht="16.5" thickBot="1">
      <c r="B539" s="1711"/>
      <c r="C539" s="985"/>
      <c r="D539" s="985"/>
      <c r="E539" s="985"/>
      <c r="F539" s="985" t="s">
        <v>189</v>
      </c>
      <c r="G539" s="985"/>
      <c r="H539" s="985"/>
      <c r="I539" s="985"/>
      <c r="J539" s="985"/>
      <c r="K539" s="985" t="s">
        <v>186</v>
      </c>
      <c r="L539" s="985" t="s">
        <v>185</v>
      </c>
      <c r="M539" s="985" t="s">
        <v>190</v>
      </c>
      <c r="N539" s="985" t="s">
        <v>190</v>
      </c>
      <c r="O539" s="985"/>
      <c r="Q539" s="915" t="s">
        <v>114</v>
      </c>
      <c r="R539" s="498" t="str">
        <f t="shared" si="59"/>
        <v/>
      </c>
      <c r="S539" s="498" t="str">
        <f t="shared" si="60"/>
        <v/>
      </c>
      <c r="T539" s="498" t="str">
        <f t="shared" si="61"/>
        <v/>
      </c>
      <c r="U539" s="498" t="str">
        <f t="shared" si="62"/>
        <v/>
      </c>
      <c r="V539" s="498" t="str">
        <f t="shared" si="63"/>
        <v/>
      </c>
      <c r="W539" s="498" t="str">
        <f t="shared" si="64"/>
        <v/>
      </c>
      <c r="X539" s="498" t="str">
        <f t="shared" si="65"/>
        <v/>
      </c>
      <c r="Y539" s="498" t="str">
        <f t="shared" si="66"/>
        <v/>
      </c>
      <c r="Z539" s="498">
        <f t="shared" si="67"/>
        <v>1</v>
      </c>
      <c r="AA539" s="498">
        <f t="shared" si="68"/>
        <v>1</v>
      </c>
      <c r="AB539" s="498" t="str">
        <f t="shared" si="69"/>
        <v/>
      </c>
      <c r="AC539" s="498">
        <f t="shared" si="70"/>
        <v>1</v>
      </c>
      <c r="AD539" s="498" t="str">
        <f t="shared" si="71"/>
        <v/>
      </c>
      <c r="AE539" s="929">
        <f t="shared" si="72"/>
        <v>3</v>
      </c>
    </row>
    <row r="540" spans="2:31" ht="16.5" thickTop="1">
      <c r="B540" s="1709" t="s">
        <v>125</v>
      </c>
      <c r="C540" s="1392" t="s">
        <v>44</v>
      </c>
      <c r="D540" s="1016"/>
      <c r="E540" s="1016"/>
      <c r="F540" s="1016"/>
      <c r="G540" s="1016"/>
      <c r="H540" s="1016"/>
      <c r="I540" s="1016"/>
      <c r="J540" s="1016"/>
      <c r="K540" s="1018" t="s">
        <v>1270</v>
      </c>
      <c r="L540" s="1016"/>
      <c r="M540" s="1016"/>
      <c r="N540" s="1010" t="s">
        <v>26</v>
      </c>
      <c r="O540" s="1016"/>
      <c r="Q540" s="916" t="s">
        <v>1272</v>
      </c>
      <c r="R540" s="142">
        <f t="shared" si="59"/>
        <v>1</v>
      </c>
      <c r="S540" s="142" t="str">
        <f t="shared" si="60"/>
        <v/>
      </c>
      <c r="T540" s="142" t="str">
        <f t="shared" si="61"/>
        <v/>
      </c>
      <c r="U540" s="142" t="str">
        <f t="shared" si="62"/>
        <v/>
      </c>
      <c r="V540" s="142" t="str">
        <f t="shared" si="63"/>
        <v/>
      </c>
      <c r="W540" s="142" t="str">
        <f t="shared" si="64"/>
        <v/>
      </c>
      <c r="X540" s="142" t="str">
        <f t="shared" si="65"/>
        <v/>
      </c>
      <c r="Y540" s="142" t="str">
        <f t="shared" si="66"/>
        <v/>
      </c>
      <c r="Z540" s="142">
        <f t="shared" si="67"/>
        <v>2</v>
      </c>
      <c r="AA540" s="142">
        <f t="shared" si="68"/>
        <v>2</v>
      </c>
      <c r="AB540" s="142">
        <f t="shared" si="69"/>
        <v>4</v>
      </c>
      <c r="AC540" s="142">
        <f t="shared" si="70"/>
        <v>10</v>
      </c>
      <c r="AD540" s="142">
        <f t="shared" si="71"/>
        <v>2</v>
      </c>
      <c r="AE540" s="929">
        <f t="shared" si="72"/>
        <v>21</v>
      </c>
    </row>
    <row r="541" spans="2:31">
      <c r="B541" s="1710"/>
      <c r="C541" s="989" t="s">
        <v>188</v>
      </c>
      <c r="D541" s="989"/>
      <c r="E541" s="989"/>
      <c r="F541" s="989"/>
      <c r="G541" s="989"/>
      <c r="H541" s="989"/>
      <c r="I541" s="989"/>
      <c r="J541" s="989"/>
      <c r="K541" s="989" t="s">
        <v>187</v>
      </c>
      <c r="L541" s="989"/>
      <c r="M541" s="989"/>
      <c r="N541" s="989" t="s">
        <v>189</v>
      </c>
      <c r="O541" s="989"/>
      <c r="Q541" s="917" t="s">
        <v>68</v>
      </c>
      <c r="R541" s="329" t="str">
        <f t="shared" si="59"/>
        <v/>
      </c>
      <c r="S541" s="329" t="str">
        <f t="shared" si="60"/>
        <v/>
      </c>
      <c r="T541" s="329" t="str">
        <f t="shared" si="61"/>
        <v/>
      </c>
      <c r="U541" s="329" t="str">
        <f t="shared" si="62"/>
        <v/>
      </c>
      <c r="V541" s="329" t="str">
        <f t="shared" si="63"/>
        <v/>
      </c>
      <c r="W541" s="329" t="str">
        <f t="shared" si="64"/>
        <v/>
      </c>
      <c r="X541" s="329" t="str">
        <f t="shared" si="65"/>
        <v/>
      </c>
      <c r="Y541" s="329" t="str">
        <f t="shared" si="66"/>
        <v/>
      </c>
      <c r="Z541" s="329" t="str">
        <f t="shared" si="67"/>
        <v/>
      </c>
      <c r="AA541" s="329" t="str">
        <f t="shared" si="68"/>
        <v/>
      </c>
      <c r="AB541" s="329" t="str">
        <f t="shared" si="69"/>
        <v/>
      </c>
      <c r="AC541" s="329" t="str">
        <f t="shared" si="70"/>
        <v/>
      </c>
      <c r="AD541" s="329" t="str">
        <f t="shared" si="71"/>
        <v/>
      </c>
      <c r="AE541" s="929">
        <f t="shared" si="72"/>
        <v>0</v>
      </c>
    </row>
    <row r="542" spans="2:31">
      <c r="B542" s="1710"/>
      <c r="K542" s="1009" t="s">
        <v>114</v>
      </c>
      <c r="Q542" s="918" t="s">
        <v>234</v>
      </c>
      <c r="R542" s="33" t="str">
        <f t="shared" si="59"/>
        <v/>
      </c>
      <c r="S542" s="33" t="str">
        <f t="shared" si="60"/>
        <v/>
      </c>
      <c r="T542" s="33" t="str">
        <f t="shared" si="61"/>
        <v/>
      </c>
      <c r="U542" s="33" t="str">
        <f t="shared" si="62"/>
        <v/>
      </c>
      <c r="V542" s="33" t="str">
        <f t="shared" si="63"/>
        <v/>
      </c>
      <c r="W542" s="33" t="str">
        <f t="shared" si="64"/>
        <v/>
      </c>
      <c r="X542" s="33" t="str">
        <f t="shared" si="65"/>
        <v/>
      </c>
      <c r="Y542" s="33">
        <f t="shared" si="66"/>
        <v>1</v>
      </c>
      <c r="Z542" s="33" t="str">
        <f t="shared" si="67"/>
        <v/>
      </c>
      <c r="AA542" s="33">
        <f t="shared" si="68"/>
        <v>1</v>
      </c>
      <c r="AB542" s="33" t="str">
        <f t="shared" si="69"/>
        <v/>
      </c>
      <c r="AC542" s="33">
        <f t="shared" si="70"/>
        <v>1</v>
      </c>
      <c r="AD542" s="33" t="str">
        <f t="shared" si="71"/>
        <v/>
      </c>
      <c r="AE542" s="929">
        <f t="shared" si="72"/>
        <v>3</v>
      </c>
    </row>
    <row r="543" spans="2:31" ht="16.5" thickBot="1">
      <c r="B543" s="1711"/>
      <c r="C543" s="985"/>
      <c r="D543" s="985"/>
      <c r="E543" s="985"/>
      <c r="F543" s="985"/>
      <c r="G543" s="985"/>
      <c r="H543" s="985"/>
      <c r="I543" s="985"/>
      <c r="J543" s="985"/>
      <c r="K543" s="985" t="s">
        <v>190</v>
      </c>
      <c r="L543" s="985"/>
      <c r="M543" s="985"/>
      <c r="N543" s="985"/>
      <c r="O543" s="985"/>
      <c r="Q543" s="919" t="s">
        <v>124</v>
      </c>
      <c r="R543" s="501">
        <f t="shared" si="59"/>
        <v>1</v>
      </c>
      <c r="S543" s="501" t="str">
        <f t="shared" si="60"/>
        <v/>
      </c>
      <c r="T543" s="501" t="str">
        <f t="shared" si="61"/>
        <v/>
      </c>
      <c r="U543" s="501" t="str">
        <f t="shared" si="62"/>
        <v/>
      </c>
      <c r="V543" s="501" t="str">
        <f t="shared" si="63"/>
        <v/>
      </c>
      <c r="W543" s="501" t="str">
        <f t="shared" si="64"/>
        <v/>
      </c>
      <c r="X543" s="501" t="str">
        <f t="shared" si="65"/>
        <v/>
      </c>
      <c r="Y543" s="501" t="str">
        <f t="shared" si="66"/>
        <v/>
      </c>
      <c r="Z543" s="501">
        <f t="shared" si="67"/>
        <v>1</v>
      </c>
      <c r="AA543" s="501" t="str">
        <f t="shared" si="68"/>
        <v/>
      </c>
      <c r="AB543" s="501">
        <f t="shared" si="69"/>
        <v>2</v>
      </c>
      <c r="AC543" s="501" t="str">
        <f t="shared" si="70"/>
        <v/>
      </c>
      <c r="AD543" s="501" t="str">
        <f t="shared" si="71"/>
        <v/>
      </c>
      <c r="AE543" s="929">
        <f t="shared" si="72"/>
        <v>4</v>
      </c>
    </row>
    <row r="544" spans="2:31" ht="16.5" thickTop="1">
      <c r="B544" s="1706" t="s">
        <v>116</v>
      </c>
      <c r="C544" s="1010" t="s">
        <v>26</v>
      </c>
      <c r="D544" s="1016"/>
      <c r="E544" s="1394" t="s">
        <v>27</v>
      </c>
      <c r="F544" s="1016"/>
      <c r="G544" s="1018" t="s">
        <v>1270</v>
      </c>
      <c r="H544" s="1016"/>
      <c r="I544" s="1016"/>
      <c r="J544" s="1016"/>
      <c r="K544" s="1392" t="s">
        <v>44</v>
      </c>
      <c r="L544" s="1394" t="s">
        <v>27</v>
      </c>
      <c r="M544" s="1016"/>
      <c r="N544" s="1400" t="s">
        <v>216</v>
      </c>
      <c r="O544" s="1016"/>
      <c r="Q544" s="920" t="s">
        <v>74</v>
      </c>
      <c r="R544" s="276">
        <f t="shared" si="59"/>
        <v>1</v>
      </c>
      <c r="S544" s="276" t="str">
        <f t="shared" si="60"/>
        <v/>
      </c>
      <c r="T544" s="276" t="str">
        <f t="shared" si="61"/>
        <v/>
      </c>
      <c r="U544" s="276" t="str">
        <f t="shared" si="62"/>
        <v/>
      </c>
      <c r="V544" s="276" t="str">
        <f t="shared" si="63"/>
        <v/>
      </c>
      <c r="W544" s="276" t="str">
        <f t="shared" si="64"/>
        <v/>
      </c>
      <c r="X544" s="276" t="str">
        <f t="shared" si="65"/>
        <v/>
      </c>
      <c r="Y544" s="276" t="str">
        <f t="shared" si="66"/>
        <v/>
      </c>
      <c r="Z544" s="276" t="str">
        <f t="shared" si="67"/>
        <v/>
      </c>
      <c r="AA544" s="276">
        <f t="shared" si="68"/>
        <v>1</v>
      </c>
      <c r="AB544" s="276" t="str">
        <f t="shared" si="69"/>
        <v/>
      </c>
      <c r="AC544" s="276" t="str">
        <f t="shared" si="70"/>
        <v/>
      </c>
      <c r="AD544" s="276" t="str">
        <f t="shared" si="71"/>
        <v/>
      </c>
      <c r="AE544" s="929">
        <f t="shared" si="72"/>
        <v>2</v>
      </c>
    </row>
    <row r="545" spans="2:33">
      <c r="B545" s="1707"/>
      <c r="C545" s="989" t="s">
        <v>187</v>
      </c>
      <c r="D545" s="989"/>
      <c r="E545" s="989" t="s">
        <v>189</v>
      </c>
      <c r="F545" s="989"/>
      <c r="G545" s="989" t="s">
        <v>187</v>
      </c>
      <c r="H545" s="989"/>
      <c r="I545" s="989"/>
      <c r="J545" s="989"/>
      <c r="K545" s="989" t="s">
        <v>191</v>
      </c>
      <c r="L545" s="989" t="s">
        <v>190</v>
      </c>
      <c r="M545" s="989"/>
      <c r="N545" s="989" t="s">
        <v>190</v>
      </c>
      <c r="O545" s="989"/>
      <c r="Q545" s="921" t="s">
        <v>1271</v>
      </c>
      <c r="R545" s="927">
        <f t="shared" si="59"/>
        <v>10</v>
      </c>
      <c r="S545" s="927">
        <f t="shared" si="60"/>
        <v>1</v>
      </c>
      <c r="T545" s="927">
        <f t="shared" si="61"/>
        <v>2</v>
      </c>
      <c r="U545" s="927" t="str">
        <f t="shared" si="62"/>
        <v/>
      </c>
      <c r="V545" s="927">
        <f t="shared" si="63"/>
        <v>1</v>
      </c>
      <c r="W545" s="927">
        <f t="shared" si="64"/>
        <v>2</v>
      </c>
      <c r="X545" s="927">
        <f t="shared" si="65"/>
        <v>1</v>
      </c>
      <c r="Y545" s="927">
        <f t="shared" si="66"/>
        <v>2</v>
      </c>
      <c r="Z545" s="927">
        <f t="shared" si="67"/>
        <v>6</v>
      </c>
      <c r="AA545" s="927">
        <f t="shared" si="68"/>
        <v>1</v>
      </c>
      <c r="AB545" s="927">
        <f t="shared" si="69"/>
        <v>3</v>
      </c>
      <c r="AC545" s="927">
        <f t="shared" si="70"/>
        <v>6</v>
      </c>
      <c r="AD545" s="927" t="str">
        <f t="shared" si="71"/>
        <v/>
      </c>
      <c r="AE545" s="929">
        <f t="shared" si="72"/>
        <v>35</v>
      </c>
    </row>
    <row r="546" spans="2:33">
      <c r="B546" s="1707"/>
      <c r="C546" s="981" t="s">
        <v>1271</v>
      </c>
      <c r="Q546" s="922" t="s">
        <v>20</v>
      </c>
      <c r="R546" s="10">
        <f t="shared" si="59"/>
        <v>2</v>
      </c>
      <c r="S546" s="10">
        <f t="shared" si="60"/>
        <v>1</v>
      </c>
      <c r="T546" s="10" t="str">
        <f t="shared" si="61"/>
        <v/>
      </c>
      <c r="U546" s="10">
        <f t="shared" si="62"/>
        <v>2</v>
      </c>
      <c r="V546" s="10">
        <f t="shared" si="63"/>
        <v>1</v>
      </c>
      <c r="W546" s="10" t="str">
        <f t="shared" si="64"/>
        <v/>
      </c>
      <c r="X546" s="10" t="str">
        <f t="shared" si="65"/>
        <v/>
      </c>
      <c r="Y546" s="10">
        <f t="shared" si="66"/>
        <v>1</v>
      </c>
      <c r="Z546" s="10" t="str">
        <f t="shared" si="67"/>
        <v/>
      </c>
      <c r="AA546" s="10">
        <f t="shared" si="68"/>
        <v>1</v>
      </c>
      <c r="AB546" s="10">
        <f t="shared" si="69"/>
        <v>5</v>
      </c>
      <c r="AC546" s="10">
        <f t="shared" si="70"/>
        <v>3</v>
      </c>
      <c r="AD546" s="10">
        <f t="shared" si="71"/>
        <v>1</v>
      </c>
      <c r="AE546" s="929">
        <f t="shared" si="72"/>
        <v>17</v>
      </c>
    </row>
    <row r="547" spans="2:33" ht="16.5" thickBot="1">
      <c r="B547" s="1708"/>
      <c r="C547" s="985" t="s">
        <v>188</v>
      </c>
      <c r="D547" s="985"/>
      <c r="E547" s="985"/>
      <c r="F547" s="985"/>
      <c r="G547" s="985"/>
      <c r="H547" s="985"/>
      <c r="I547" s="985"/>
      <c r="J547" s="985"/>
      <c r="K547" s="985"/>
      <c r="L547" s="985"/>
      <c r="M547" s="985"/>
      <c r="N547" s="985"/>
      <c r="O547" s="985"/>
      <c r="Q547" s="894" t="s">
        <v>44</v>
      </c>
      <c r="R547" s="39">
        <f t="shared" si="59"/>
        <v>8</v>
      </c>
      <c r="S547" s="39">
        <f t="shared" si="60"/>
        <v>2</v>
      </c>
      <c r="T547" s="39">
        <f t="shared" si="61"/>
        <v>3</v>
      </c>
      <c r="U547" s="39">
        <f t="shared" si="62"/>
        <v>2</v>
      </c>
      <c r="V547" s="39">
        <f t="shared" si="63"/>
        <v>1</v>
      </c>
      <c r="W547" s="39">
        <f t="shared" si="64"/>
        <v>1</v>
      </c>
      <c r="X547" s="39">
        <f t="shared" si="65"/>
        <v>1</v>
      </c>
      <c r="Y547" s="39">
        <f t="shared" si="66"/>
        <v>2</v>
      </c>
      <c r="Z547" s="39">
        <f t="shared" si="67"/>
        <v>6</v>
      </c>
      <c r="AA547" s="39">
        <f t="shared" si="68"/>
        <v>1</v>
      </c>
      <c r="AB547" s="39">
        <f t="shared" si="69"/>
        <v>8</v>
      </c>
      <c r="AC547" s="39">
        <f t="shared" si="70"/>
        <v>9</v>
      </c>
      <c r="AD547" s="39">
        <f t="shared" si="71"/>
        <v>1</v>
      </c>
      <c r="AE547" s="929">
        <f t="shared" si="72"/>
        <v>45</v>
      </c>
    </row>
    <row r="548" spans="2:33" ht="16.5" thickTop="1">
      <c r="B548" s="1709" t="s">
        <v>104</v>
      </c>
      <c r="C548" s="1016"/>
      <c r="D548" s="1016"/>
      <c r="E548" s="1016"/>
      <c r="F548" s="1016"/>
      <c r="G548" s="1399" t="s">
        <v>24</v>
      </c>
      <c r="H548" s="1016"/>
      <c r="I548" s="1016"/>
      <c r="J548" s="1394" t="s">
        <v>27</v>
      </c>
      <c r="K548" s="1016"/>
      <c r="L548" s="1401" t="s">
        <v>114</v>
      </c>
      <c r="M548" s="1016"/>
      <c r="N548" s="1394" t="s">
        <v>27</v>
      </c>
      <c r="O548" s="1016"/>
      <c r="Q548" s="923" t="s">
        <v>339</v>
      </c>
      <c r="R548" s="277">
        <f t="shared" si="59"/>
        <v>1</v>
      </c>
      <c r="S548" s="277" t="str">
        <f t="shared" si="60"/>
        <v/>
      </c>
      <c r="T548" s="277" t="str">
        <f t="shared" si="61"/>
        <v/>
      </c>
      <c r="U548" s="277" t="str">
        <f t="shared" si="62"/>
        <v/>
      </c>
      <c r="V548" s="277" t="str">
        <f t="shared" si="63"/>
        <v/>
      </c>
      <c r="W548" s="277" t="str">
        <f t="shared" si="64"/>
        <v/>
      </c>
      <c r="X548" s="277" t="str">
        <f t="shared" si="65"/>
        <v/>
      </c>
      <c r="Y548" s="277" t="str">
        <f t="shared" si="66"/>
        <v/>
      </c>
      <c r="Z548" s="277" t="str">
        <f t="shared" si="67"/>
        <v/>
      </c>
      <c r="AA548" s="277" t="str">
        <f t="shared" si="68"/>
        <v/>
      </c>
      <c r="AB548" s="277" t="str">
        <f t="shared" si="69"/>
        <v/>
      </c>
      <c r="AC548" s="277" t="str">
        <f t="shared" si="70"/>
        <v/>
      </c>
      <c r="AD548" s="277" t="str">
        <f t="shared" si="71"/>
        <v/>
      </c>
      <c r="AE548" s="929">
        <f t="shared" si="72"/>
        <v>1</v>
      </c>
    </row>
    <row r="549" spans="2:33">
      <c r="B549" s="1710"/>
      <c r="L549" s="982" t="s">
        <v>29</v>
      </c>
      <c r="Q549" s="924" t="s">
        <v>73</v>
      </c>
      <c r="R549" t="str">
        <f t="shared" si="59"/>
        <v/>
      </c>
      <c r="S549" t="str">
        <f t="shared" si="60"/>
        <v/>
      </c>
      <c r="T549" t="str">
        <f t="shared" si="61"/>
        <v/>
      </c>
      <c r="U549" t="str">
        <f t="shared" si="62"/>
        <v/>
      </c>
      <c r="V549" t="str">
        <f t="shared" si="63"/>
        <v/>
      </c>
      <c r="W549" t="str">
        <f t="shared" si="64"/>
        <v/>
      </c>
      <c r="X549" t="str">
        <f t="shared" si="65"/>
        <v/>
      </c>
      <c r="Y549">
        <f t="shared" si="66"/>
        <v>1</v>
      </c>
      <c r="Z549" t="str">
        <f t="shared" si="67"/>
        <v/>
      </c>
      <c r="AA549" t="str">
        <f t="shared" si="68"/>
        <v/>
      </c>
      <c r="AB549" t="str">
        <f t="shared" si="69"/>
        <v/>
      </c>
      <c r="AC549" t="str">
        <f t="shared" si="70"/>
        <v/>
      </c>
      <c r="AD549" t="str">
        <f t="shared" si="71"/>
        <v/>
      </c>
      <c r="AE549" s="929">
        <f t="shared" si="72"/>
        <v>1</v>
      </c>
    </row>
    <row r="550" spans="2:33" ht="16.5" thickBot="1">
      <c r="B550" s="1711"/>
      <c r="C550" s="985"/>
      <c r="D550" s="985"/>
      <c r="E550" s="985"/>
      <c r="F550" s="985"/>
      <c r="G550" s="985" t="s">
        <v>187</v>
      </c>
      <c r="H550" s="985"/>
      <c r="I550" s="985"/>
      <c r="J550" s="985" t="s">
        <v>190</v>
      </c>
      <c r="K550" s="985"/>
      <c r="L550" s="985" t="s">
        <v>190</v>
      </c>
      <c r="M550" s="985"/>
      <c r="N550" s="985" t="s">
        <v>188</v>
      </c>
      <c r="O550" s="985"/>
      <c r="Q550" s="925" t="s">
        <v>216</v>
      </c>
      <c r="R550" s="279" t="str">
        <f t="shared" si="59"/>
        <v/>
      </c>
      <c r="S550" s="279" t="str">
        <f t="shared" si="60"/>
        <v/>
      </c>
      <c r="T550" s="279" t="str">
        <f t="shared" si="61"/>
        <v/>
      </c>
      <c r="U550" s="279" t="str">
        <f t="shared" si="62"/>
        <v/>
      </c>
      <c r="V550" s="279" t="str">
        <f t="shared" si="63"/>
        <v/>
      </c>
      <c r="W550" s="279" t="str">
        <f t="shared" si="64"/>
        <v/>
      </c>
      <c r="X550" s="279" t="str">
        <f t="shared" si="65"/>
        <v/>
      </c>
      <c r="Y550" s="279" t="str">
        <f t="shared" si="66"/>
        <v/>
      </c>
      <c r="Z550" s="279">
        <f t="shared" si="67"/>
        <v>1</v>
      </c>
      <c r="AA550" s="279" t="str">
        <f t="shared" si="68"/>
        <v/>
      </c>
      <c r="AB550" s="279" t="str">
        <f t="shared" si="69"/>
        <v/>
      </c>
      <c r="AC550" s="279">
        <f t="shared" si="70"/>
        <v>1</v>
      </c>
      <c r="AD550" s="279" t="str">
        <f t="shared" si="71"/>
        <v/>
      </c>
      <c r="AE550" s="929">
        <f t="shared" si="72"/>
        <v>2</v>
      </c>
    </row>
    <row r="551" spans="2:33" ht="16.5" thickTop="1">
      <c r="B551" s="1706" t="s">
        <v>95</v>
      </c>
      <c r="C551" s="1016"/>
      <c r="D551" s="1016"/>
      <c r="E551" s="1016"/>
      <c r="F551" s="1016"/>
      <c r="G551" s="1394" t="s">
        <v>27</v>
      </c>
      <c r="H551" s="1016"/>
      <c r="I551" s="1016"/>
      <c r="J551" s="1016"/>
      <c r="K551" s="1016"/>
      <c r="L551" s="1016"/>
      <c r="M551" s="1016"/>
      <c r="N551" s="1399" t="s">
        <v>24</v>
      </c>
      <c r="O551" s="1016"/>
      <c r="Q551" s="926" t="s">
        <v>21</v>
      </c>
      <c r="R551" t="str">
        <f t="shared" si="59"/>
        <v/>
      </c>
      <c r="S551" t="str">
        <f t="shared" si="60"/>
        <v/>
      </c>
      <c r="T551" t="str">
        <f t="shared" si="61"/>
        <v/>
      </c>
      <c r="U551" t="str">
        <f t="shared" si="62"/>
        <v/>
      </c>
      <c r="V551" t="str">
        <f t="shared" si="63"/>
        <v/>
      </c>
      <c r="W551" t="str">
        <f t="shared" si="64"/>
        <v/>
      </c>
      <c r="X551" t="str">
        <f t="shared" si="65"/>
        <v/>
      </c>
      <c r="Y551" t="str">
        <f t="shared" si="66"/>
        <v/>
      </c>
      <c r="Z551" t="str">
        <f t="shared" si="67"/>
        <v/>
      </c>
      <c r="AA551" t="str">
        <f t="shared" si="68"/>
        <v/>
      </c>
      <c r="AB551" t="str">
        <f t="shared" si="69"/>
        <v/>
      </c>
      <c r="AC551" t="str">
        <f t="shared" si="70"/>
        <v/>
      </c>
      <c r="AD551" t="str">
        <f t="shared" si="71"/>
        <v/>
      </c>
      <c r="AE551" s="929">
        <f t="shared" si="72"/>
        <v>0</v>
      </c>
    </row>
    <row r="552" spans="2:33">
      <c r="B552" s="1707"/>
      <c r="N552" s="955" t="s">
        <v>234</v>
      </c>
    </row>
    <row r="553" spans="2:33" ht="18.75">
      <c r="B553" s="1707"/>
      <c r="C553" s="989"/>
      <c r="D553" s="989"/>
      <c r="E553" s="989"/>
      <c r="F553" s="989"/>
      <c r="G553" s="989" t="s">
        <v>188</v>
      </c>
      <c r="H553" s="989"/>
      <c r="I553" s="989"/>
      <c r="J553" s="989"/>
      <c r="K553" s="989"/>
      <c r="L553" s="989"/>
      <c r="M553" s="989"/>
      <c r="N553" s="989" t="s">
        <v>189</v>
      </c>
      <c r="O553" s="989"/>
      <c r="Q553" s="69" t="s">
        <v>2783</v>
      </c>
    </row>
    <row r="554" spans="2:33" ht="18.75">
      <c r="B554" s="1707"/>
      <c r="N554" s="980" t="s">
        <v>1272</v>
      </c>
      <c r="Q554" s="1416" t="s">
        <v>19</v>
      </c>
      <c r="R554" s="1416" t="s">
        <v>1</v>
      </c>
      <c r="S554" s="1416" t="s">
        <v>2</v>
      </c>
      <c r="T554" s="1416" t="s">
        <v>3</v>
      </c>
      <c r="U554" s="1416" t="s">
        <v>4</v>
      </c>
      <c r="V554" s="1416" t="s">
        <v>5</v>
      </c>
      <c r="W554" s="1416" t="s">
        <v>6</v>
      </c>
      <c r="X554" s="1416" t="s">
        <v>7</v>
      </c>
      <c r="Y554" s="1416" t="s">
        <v>8</v>
      </c>
      <c r="Z554" s="1416" t="s">
        <v>9</v>
      </c>
      <c r="AA554" s="1416" t="s">
        <v>10</v>
      </c>
      <c r="AB554" s="1416" t="s">
        <v>36</v>
      </c>
      <c r="AC554" s="1416" t="s">
        <v>37</v>
      </c>
      <c r="AD554" s="1416" t="s">
        <v>344</v>
      </c>
      <c r="AF554" s="69" t="s">
        <v>2784</v>
      </c>
    </row>
    <row r="555" spans="2:33">
      <c r="B555" s="1707"/>
      <c r="N555" s="992" t="s">
        <v>23</v>
      </c>
      <c r="Q555" s="903" t="s">
        <v>27</v>
      </c>
      <c r="R555" s="930">
        <f t="shared" ref="R555:R582" si="73">IF(COUNTIF(C$469:C$650, $Q555)&gt;0, COUNTIF(C$469:C$650, $Q555)/COUNTIF(C$469:C$650, "*Challenge*"), "")</f>
        <v>3.8461538461538464E-2</v>
      </c>
      <c r="S555" s="930" t="str">
        <f t="shared" ref="S555:S582" si="74">IF(COUNTIF(D$469:D$650, $Q555)&gt;0, COUNTIF(D$469:D$650, $Q555)/COUNTIF(D$469:D$650, "*Challenge*"), "")</f>
        <v/>
      </c>
      <c r="T555" s="930">
        <f t="shared" ref="T555:T582" si="75">IF(COUNTIF(E$469:E$650, $Q555)&gt;0, COUNTIF(E$469:E$650, $Q555)/COUNTIF(E$469:E$650, "*Challenge*"), "")</f>
        <v>0.25</v>
      </c>
      <c r="U555" s="930">
        <f t="shared" ref="U555:U582" si="76">IF(COUNTIF(F$469:F$650, $Q555)&gt;0, COUNTIF(F$469:F$650, $Q555)/COUNTIF(F$469:F$650, "*Challenge*"), "")</f>
        <v>0.1111111111111111</v>
      </c>
      <c r="V555" s="930">
        <f t="shared" ref="V555:V582" si="77">IF(COUNTIF(G$469:G$650, $Q555)&gt;0, COUNTIF(G$469:G$650, $Q555)/COUNTIF(G$469:G$650, "*Challenge*"), "")</f>
        <v>0.14285714285714285</v>
      </c>
      <c r="W555" s="930" t="str">
        <f t="shared" ref="W555:W582" si="78">IF(COUNTIF(H$469:H$650, $Q555)&gt;0, COUNTIF(H$469:H$650, $Q555)/COUNTIF(H$469:H$650, "*Challenge*"), "")</f>
        <v/>
      </c>
      <c r="X555" s="930">
        <f t="shared" ref="X555:X582" si="79">IF(COUNTIF(I$469:I$650, $Q555)&gt;0, COUNTIF(I$469:I$650, $Q555)/COUNTIF(I$469:I$650, "*Challenge*"), "")</f>
        <v>0.5</v>
      </c>
      <c r="Y555" s="930">
        <f t="shared" ref="Y555:Y582" si="80">IF(COUNTIF(J$469:J$650, $Q555)&gt;0, COUNTIF(J$469:J$650, $Q555)/COUNTIF(J$469:J$650, "*Challenge*"), "")</f>
        <v>0.23076923076923078</v>
      </c>
      <c r="Z555" s="930">
        <f t="shared" ref="Z555:Z582" si="81">IF(COUNTIF(K$469:K$650, $Q555)&gt;0, COUNTIF(K$469:K$650, $Q555)/COUNTIF(K$469:K$650, "*Challenge*"), "")</f>
        <v>0.13636363636363635</v>
      </c>
      <c r="AA555" s="930">
        <f t="shared" ref="AA555:AA582" si="82">IF(COUNTIF(L$469:L$650, $Q555)&gt;0, COUNTIF(L$469:L$650, $Q555)/COUNTIF(L$469:L$650, "*Challenge*"), "")</f>
        <v>8.3333333333333329E-2</v>
      </c>
      <c r="AB555" s="930" t="str">
        <f t="shared" ref="AB555:AB582" si="83">IF(COUNTIF(M$469:M$650, $Q555)&gt;0, COUNTIF(M$469:M$650, $Q555)/COUNTIF(M$469:M$650, "*Challenge*"), "")</f>
        <v/>
      </c>
      <c r="AC555" s="930">
        <f t="shared" ref="AC555:AC582" si="84">IF(COUNTIF(N$469:N$650, $Q555)&gt;0, COUNTIF(N$469:N$650, $Q555)/COUNTIF(N$469:N$650, "*Challenge*"), "")</f>
        <v>2.4390243902439025E-2</v>
      </c>
      <c r="AD555" s="930" t="str">
        <f t="shared" ref="AD555:AD582" si="85">IF(COUNTIF(O$469:O$650, $Q555)&gt;0, COUNTIF(O$469:O$650, $Q555)/COUNTIF(O$469:O$650, "*Challenge*"), "")</f>
        <v/>
      </c>
      <c r="AF555" s="1420" t="s">
        <v>1591</v>
      </c>
      <c r="AG555" s="1420" t="s">
        <v>195</v>
      </c>
    </row>
    <row r="556" spans="2:33">
      <c r="B556" s="1707"/>
      <c r="C556" s="989"/>
      <c r="D556" s="989"/>
      <c r="E556" s="989"/>
      <c r="F556" s="989"/>
      <c r="G556" s="989"/>
      <c r="H556" s="989"/>
      <c r="I556" s="989"/>
      <c r="J556" s="989"/>
      <c r="K556" s="989"/>
      <c r="L556" s="989"/>
      <c r="M556" s="989"/>
      <c r="N556" s="989" t="s">
        <v>190</v>
      </c>
      <c r="O556" s="989"/>
      <c r="Q556" s="904" t="s">
        <v>1270</v>
      </c>
      <c r="R556" s="931">
        <f t="shared" si="73"/>
        <v>7.6923076923076927E-2</v>
      </c>
      <c r="S556" s="931">
        <f t="shared" si="74"/>
        <v>0.2</v>
      </c>
      <c r="T556" s="931" t="str">
        <f t="shared" si="75"/>
        <v/>
      </c>
      <c r="U556" s="931">
        <f t="shared" si="76"/>
        <v>0.22222222222222221</v>
      </c>
      <c r="V556" s="931">
        <f t="shared" si="77"/>
        <v>0.14285714285714285</v>
      </c>
      <c r="W556" s="931">
        <f t="shared" si="78"/>
        <v>0.16666666666666666</v>
      </c>
      <c r="X556" s="931">
        <f t="shared" si="79"/>
        <v>0.33333333333333331</v>
      </c>
      <c r="Y556" s="931">
        <f t="shared" si="80"/>
        <v>7.6923076923076927E-2</v>
      </c>
      <c r="Z556" s="931">
        <f t="shared" si="81"/>
        <v>9.0909090909090912E-2</v>
      </c>
      <c r="AA556" s="931">
        <f t="shared" si="82"/>
        <v>0.25</v>
      </c>
      <c r="AB556" s="931">
        <f t="shared" si="83"/>
        <v>9.5238095238095233E-2</v>
      </c>
      <c r="AC556" s="931">
        <f t="shared" si="84"/>
        <v>9.7560975609756101E-2</v>
      </c>
      <c r="AD556" s="931" t="str">
        <f t="shared" si="85"/>
        <v/>
      </c>
      <c r="AF556" s="954" t="s">
        <v>27</v>
      </c>
      <c r="AG556" s="560">
        <f t="shared" ref="AG556:AG583" si="86">IF(COUNTIF($C$469:$O$650, AF556)&gt;0, COUNTIF($C$469:$O$650, AF556)/COUNTIF($C$469:$O$650, "*Challenge*"), "")</f>
        <v>8.8397790055248615E-2</v>
      </c>
    </row>
    <row r="557" spans="2:33">
      <c r="B557" s="1707"/>
      <c r="N557" s="189" t="s">
        <v>47</v>
      </c>
      <c r="Q557" s="896" t="s">
        <v>43</v>
      </c>
      <c r="R557" s="932">
        <f t="shared" si="73"/>
        <v>3.8461538461538464E-2</v>
      </c>
      <c r="S557" s="932" t="str">
        <f t="shared" si="74"/>
        <v/>
      </c>
      <c r="T557" s="932" t="str">
        <f t="shared" si="75"/>
        <v/>
      </c>
      <c r="U557" s="932" t="str">
        <f t="shared" si="76"/>
        <v/>
      </c>
      <c r="V557" s="932" t="str">
        <f t="shared" si="77"/>
        <v/>
      </c>
      <c r="W557" s="932" t="str">
        <f t="shared" si="78"/>
        <v/>
      </c>
      <c r="X557" s="932" t="str">
        <f t="shared" si="79"/>
        <v/>
      </c>
      <c r="Y557" s="932" t="str">
        <f t="shared" si="80"/>
        <v/>
      </c>
      <c r="Z557" s="932" t="str">
        <f t="shared" si="81"/>
        <v/>
      </c>
      <c r="AA557" s="932" t="str">
        <f t="shared" si="82"/>
        <v/>
      </c>
      <c r="AB557" s="932" t="str">
        <f t="shared" si="83"/>
        <v/>
      </c>
      <c r="AC557" s="932" t="str">
        <f t="shared" si="84"/>
        <v/>
      </c>
      <c r="AD557" s="932" t="str">
        <f t="shared" si="85"/>
        <v/>
      </c>
      <c r="AF557" s="904" t="s">
        <v>1270</v>
      </c>
      <c r="AG557" s="560">
        <f t="shared" si="86"/>
        <v>0.11602209944751381</v>
      </c>
    </row>
    <row r="558" spans="2:33">
      <c r="B558" s="1707"/>
      <c r="N558" s="980" t="s">
        <v>1272</v>
      </c>
      <c r="Q558" s="905" t="s">
        <v>120</v>
      </c>
      <c r="R558" s="933" t="str">
        <f t="shared" si="73"/>
        <v/>
      </c>
      <c r="S558" s="933" t="str">
        <f t="shared" si="74"/>
        <v/>
      </c>
      <c r="T558" s="933" t="str">
        <f t="shared" si="75"/>
        <v/>
      </c>
      <c r="U558" s="933">
        <f t="shared" si="76"/>
        <v>0.1111111111111111</v>
      </c>
      <c r="V558" s="933" t="str">
        <f t="shared" si="77"/>
        <v/>
      </c>
      <c r="W558" s="933" t="str">
        <f t="shared" si="78"/>
        <v/>
      </c>
      <c r="X558" s="933">
        <f t="shared" si="79"/>
        <v>0.16666666666666666</v>
      </c>
      <c r="Y558" s="933" t="str">
        <f t="shared" si="80"/>
        <v/>
      </c>
      <c r="Z558" s="933" t="str">
        <f t="shared" si="81"/>
        <v/>
      </c>
      <c r="AA558" s="933" t="str">
        <f t="shared" si="82"/>
        <v/>
      </c>
      <c r="AB558" s="933" t="str">
        <f t="shared" si="83"/>
        <v/>
      </c>
      <c r="AC558" s="933" t="str">
        <f t="shared" si="84"/>
        <v/>
      </c>
      <c r="AD558" s="933" t="str">
        <f t="shared" si="85"/>
        <v/>
      </c>
      <c r="AF558" s="896" t="s">
        <v>43</v>
      </c>
      <c r="AG558" s="560">
        <f t="shared" si="86"/>
        <v>5.5248618784530384E-3</v>
      </c>
    </row>
    <row r="559" spans="2:33" ht="16.5" thickBot="1">
      <c r="B559" s="1708"/>
      <c r="C559" s="985"/>
      <c r="D559" s="985"/>
      <c r="E559" s="985"/>
      <c r="F559" s="985"/>
      <c r="G559" s="985"/>
      <c r="H559" s="985"/>
      <c r="I559" s="985"/>
      <c r="J559" s="985"/>
      <c r="K559" s="985"/>
      <c r="L559" s="985"/>
      <c r="M559" s="985"/>
      <c r="N559" s="985" t="s">
        <v>192</v>
      </c>
      <c r="O559" s="985"/>
      <c r="Q559" s="906" t="s">
        <v>47</v>
      </c>
      <c r="R559" s="934" t="str">
        <f t="shared" si="73"/>
        <v/>
      </c>
      <c r="S559" s="934" t="str">
        <f t="shared" si="74"/>
        <v/>
      </c>
      <c r="T559" s="934" t="str">
        <f t="shared" si="75"/>
        <v/>
      </c>
      <c r="U559" s="934" t="str">
        <f t="shared" si="76"/>
        <v/>
      </c>
      <c r="V559" s="934" t="str">
        <f t="shared" si="77"/>
        <v/>
      </c>
      <c r="W559" s="934" t="str">
        <f t="shared" si="78"/>
        <v/>
      </c>
      <c r="X559" s="934">
        <f t="shared" si="79"/>
        <v>0.16666666666666666</v>
      </c>
      <c r="Y559" s="934" t="str">
        <f t="shared" si="80"/>
        <v/>
      </c>
      <c r="Z559" s="934">
        <f t="shared" si="81"/>
        <v>9.0909090909090912E-2</v>
      </c>
      <c r="AA559" s="934">
        <f t="shared" si="82"/>
        <v>8.3333333333333329E-2</v>
      </c>
      <c r="AB559" s="934" t="str">
        <f t="shared" si="83"/>
        <v/>
      </c>
      <c r="AC559" s="934">
        <f t="shared" si="84"/>
        <v>0.12195121951219512</v>
      </c>
      <c r="AD559" s="934" t="str">
        <f t="shared" si="85"/>
        <v/>
      </c>
      <c r="AF559" s="905" t="s">
        <v>120</v>
      </c>
      <c r="AG559" s="560">
        <f t="shared" si="86"/>
        <v>1.1049723756906077E-2</v>
      </c>
    </row>
    <row r="560" spans="2:33" ht="17.25" thickTop="1" thickBot="1">
      <c r="B560" s="1706" t="s">
        <v>85</v>
      </c>
      <c r="C560" s="1016"/>
      <c r="D560" s="1016"/>
      <c r="E560" s="1016"/>
      <c r="F560" s="1016"/>
      <c r="G560" s="1016"/>
      <c r="H560" s="1392" t="s">
        <v>44</v>
      </c>
      <c r="I560" s="1016"/>
      <c r="J560" s="1010" t="s">
        <v>26</v>
      </c>
      <c r="K560" s="1392" t="s">
        <v>44</v>
      </c>
      <c r="L560" s="1016"/>
      <c r="M560" s="1016"/>
      <c r="N560" s="1012" t="s">
        <v>1271</v>
      </c>
      <c r="O560" s="1016"/>
      <c r="Q560" s="907" t="s">
        <v>46</v>
      </c>
      <c r="R560" s="935" t="str">
        <f t="shared" si="73"/>
        <v/>
      </c>
      <c r="S560" s="935" t="str">
        <f t="shared" si="74"/>
        <v/>
      </c>
      <c r="T560" s="935" t="str">
        <f t="shared" si="75"/>
        <v/>
      </c>
      <c r="U560" s="935">
        <f t="shared" si="76"/>
        <v>0.1111111111111111</v>
      </c>
      <c r="V560" s="935" t="str">
        <f t="shared" si="77"/>
        <v/>
      </c>
      <c r="W560" s="935" t="str">
        <f t="shared" si="78"/>
        <v/>
      </c>
      <c r="X560" s="935" t="str">
        <f t="shared" si="79"/>
        <v/>
      </c>
      <c r="Y560" s="935">
        <f t="shared" si="80"/>
        <v>7.6923076923076927E-2</v>
      </c>
      <c r="Z560" s="935" t="str">
        <f t="shared" si="81"/>
        <v/>
      </c>
      <c r="AA560" s="935" t="str">
        <f t="shared" si="82"/>
        <v/>
      </c>
      <c r="AB560" s="935">
        <f t="shared" si="83"/>
        <v>4.7619047619047616E-2</v>
      </c>
      <c r="AC560" s="935">
        <f t="shared" si="84"/>
        <v>4.878048780487805E-2</v>
      </c>
      <c r="AD560" s="935" t="str">
        <f t="shared" si="85"/>
        <v/>
      </c>
      <c r="AF560" s="906" t="s">
        <v>47</v>
      </c>
      <c r="AG560" s="560">
        <f t="shared" si="86"/>
        <v>4.9723756906077346E-2</v>
      </c>
    </row>
    <row r="561" spans="2:33">
      <c r="B561" s="1707"/>
      <c r="N561" s="968" t="s">
        <v>26</v>
      </c>
      <c r="Q561" s="908" t="s">
        <v>397</v>
      </c>
      <c r="R561" s="936" t="str">
        <f t="shared" si="73"/>
        <v/>
      </c>
      <c r="S561" s="936" t="str">
        <f t="shared" si="74"/>
        <v/>
      </c>
      <c r="T561" s="936" t="str">
        <f t="shared" si="75"/>
        <v/>
      </c>
      <c r="U561" s="936" t="str">
        <f t="shared" si="76"/>
        <v/>
      </c>
      <c r="V561" s="936" t="str">
        <f t="shared" si="77"/>
        <v/>
      </c>
      <c r="W561" s="936">
        <f t="shared" si="78"/>
        <v>0.33333333333333331</v>
      </c>
      <c r="X561" s="936" t="str">
        <f t="shared" si="79"/>
        <v/>
      </c>
      <c r="Y561" s="936" t="str">
        <f t="shared" si="80"/>
        <v/>
      </c>
      <c r="Z561" s="936" t="str">
        <f t="shared" si="81"/>
        <v/>
      </c>
      <c r="AA561" s="936" t="str">
        <f t="shared" si="82"/>
        <v/>
      </c>
      <c r="AB561" s="936" t="str">
        <f t="shared" si="83"/>
        <v/>
      </c>
      <c r="AC561" s="936">
        <f t="shared" si="84"/>
        <v>2.4390243902439025E-2</v>
      </c>
      <c r="AD561" s="936" t="str">
        <f t="shared" si="85"/>
        <v/>
      </c>
      <c r="AF561" s="907" t="s">
        <v>46</v>
      </c>
      <c r="AG561" s="560">
        <f t="shared" si="86"/>
        <v>2.7624309392265192E-2</v>
      </c>
    </row>
    <row r="562" spans="2:33">
      <c r="B562" s="1707"/>
      <c r="C562" s="989"/>
      <c r="D562" s="989"/>
      <c r="E562" s="989"/>
      <c r="F562" s="989"/>
      <c r="G562" s="989"/>
      <c r="H562" s="989" t="s">
        <v>186</v>
      </c>
      <c r="I562" s="989"/>
      <c r="J562" s="989" t="s">
        <v>189</v>
      </c>
      <c r="K562" s="989" t="s">
        <v>186</v>
      </c>
      <c r="L562" s="989"/>
      <c r="M562" s="989"/>
      <c r="N562" s="989" t="s">
        <v>189</v>
      </c>
      <c r="O562" s="989"/>
      <c r="Q562" s="909" t="s">
        <v>155</v>
      </c>
      <c r="R562" s="937" t="str">
        <f t="shared" si="73"/>
        <v/>
      </c>
      <c r="S562" s="937" t="str">
        <f t="shared" si="74"/>
        <v/>
      </c>
      <c r="T562" s="937" t="str">
        <f t="shared" si="75"/>
        <v/>
      </c>
      <c r="U562" s="937" t="str">
        <f t="shared" si="76"/>
        <v/>
      </c>
      <c r="V562" s="937" t="str">
        <f t="shared" si="77"/>
        <v/>
      </c>
      <c r="W562" s="937" t="str">
        <f t="shared" si="78"/>
        <v/>
      </c>
      <c r="X562" s="937" t="str">
        <f t="shared" si="79"/>
        <v/>
      </c>
      <c r="Y562" s="937" t="str">
        <f t="shared" si="80"/>
        <v/>
      </c>
      <c r="Z562" s="937" t="str">
        <f t="shared" si="81"/>
        <v/>
      </c>
      <c r="AA562" s="937" t="str">
        <f t="shared" si="82"/>
        <v/>
      </c>
      <c r="AB562" s="937">
        <f t="shared" si="83"/>
        <v>4.7619047619047616E-2</v>
      </c>
      <c r="AC562" s="937" t="str">
        <f t="shared" si="84"/>
        <v/>
      </c>
      <c r="AD562" s="937" t="str">
        <f t="shared" si="85"/>
        <v/>
      </c>
      <c r="AF562" s="908" t="s">
        <v>397</v>
      </c>
      <c r="AG562" s="560">
        <f t="shared" si="86"/>
        <v>1.6574585635359115E-2</v>
      </c>
    </row>
    <row r="563" spans="2:33" ht="16.5" thickBot="1">
      <c r="B563" s="1707"/>
      <c r="K563" s="981" t="s">
        <v>1271</v>
      </c>
      <c r="Q563" s="897" t="s">
        <v>24</v>
      </c>
      <c r="R563" s="938">
        <f t="shared" si="73"/>
        <v>3.8461538461538464E-2</v>
      </c>
      <c r="S563" s="938" t="str">
        <f t="shared" si="74"/>
        <v/>
      </c>
      <c r="T563" s="938" t="str">
        <f t="shared" si="75"/>
        <v/>
      </c>
      <c r="U563" s="938">
        <f t="shared" si="76"/>
        <v>0.1111111111111111</v>
      </c>
      <c r="V563" s="938">
        <f t="shared" si="77"/>
        <v>0.14285714285714285</v>
      </c>
      <c r="W563" s="938" t="str">
        <f t="shared" si="78"/>
        <v/>
      </c>
      <c r="X563" s="938" t="str">
        <f t="shared" si="79"/>
        <v/>
      </c>
      <c r="Y563" s="938" t="str">
        <f t="shared" si="80"/>
        <v/>
      </c>
      <c r="Z563" s="938" t="str">
        <f t="shared" si="81"/>
        <v/>
      </c>
      <c r="AA563" s="938" t="str">
        <f t="shared" si="82"/>
        <v/>
      </c>
      <c r="AB563" s="938" t="str">
        <f t="shared" si="83"/>
        <v/>
      </c>
      <c r="AC563" s="938">
        <f t="shared" si="84"/>
        <v>0.12195121951219512</v>
      </c>
      <c r="AD563" s="938" t="str">
        <f t="shared" si="85"/>
        <v/>
      </c>
      <c r="AF563" s="909" t="s">
        <v>155</v>
      </c>
      <c r="AG563" s="560">
        <f t="shared" si="86"/>
        <v>5.5248618784530384E-3</v>
      </c>
    </row>
    <row r="564" spans="2:33" ht="16.5" thickTop="1">
      <c r="B564" s="1707"/>
      <c r="K564" s="1394" t="s">
        <v>27</v>
      </c>
      <c r="Q564" s="910" t="s">
        <v>23</v>
      </c>
      <c r="R564" s="939">
        <f t="shared" si="73"/>
        <v>3.8461538461538464E-2</v>
      </c>
      <c r="S564" s="939" t="str">
        <f t="shared" si="74"/>
        <v/>
      </c>
      <c r="T564" s="939" t="str">
        <f t="shared" si="75"/>
        <v/>
      </c>
      <c r="U564" s="939" t="str">
        <f t="shared" si="76"/>
        <v/>
      </c>
      <c r="V564" s="939" t="str">
        <f t="shared" si="77"/>
        <v/>
      </c>
      <c r="W564" s="939" t="str">
        <f t="shared" si="78"/>
        <v/>
      </c>
      <c r="X564" s="939" t="str">
        <f t="shared" si="79"/>
        <v/>
      </c>
      <c r="Y564" s="939" t="str">
        <f t="shared" si="80"/>
        <v/>
      </c>
      <c r="Z564" s="939" t="str">
        <f t="shared" si="81"/>
        <v/>
      </c>
      <c r="AA564" s="939" t="str">
        <f t="shared" si="82"/>
        <v/>
      </c>
      <c r="AB564" s="939" t="str">
        <f t="shared" si="83"/>
        <v/>
      </c>
      <c r="AC564" s="939">
        <f t="shared" si="84"/>
        <v>2.4390243902439025E-2</v>
      </c>
      <c r="AD564" s="939" t="str">
        <f t="shared" si="85"/>
        <v/>
      </c>
      <c r="AF564" s="897" t="s">
        <v>24</v>
      </c>
      <c r="AG564" s="560">
        <f t="shared" si="86"/>
        <v>4.4198895027624308E-2</v>
      </c>
    </row>
    <row r="565" spans="2:33" ht="16.5" thickBot="1">
      <c r="B565" s="1708"/>
      <c r="C565" s="985"/>
      <c r="D565" s="985"/>
      <c r="E565" s="985"/>
      <c r="F565" s="985"/>
      <c r="G565" s="985"/>
      <c r="H565" s="985"/>
      <c r="I565" s="985"/>
      <c r="J565" s="985"/>
      <c r="K565" s="985" t="s">
        <v>187</v>
      </c>
      <c r="L565" s="985"/>
      <c r="M565" s="985"/>
      <c r="N565" s="985"/>
      <c r="O565" s="985"/>
      <c r="Q565" s="895" t="s">
        <v>29</v>
      </c>
      <c r="R565" s="935">
        <f t="shared" si="73"/>
        <v>3.8461538461538464E-2</v>
      </c>
      <c r="S565" s="935" t="str">
        <f t="shared" si="74"/>
        <v/>
      </c>
      <c r="T565" s="935" t="str">
        <f t="shared" si="75"/>
        <v/>
      </c>
      <c r="U565" s="935" t="str">
        <f t="shared" si="76"/>
        <v/>
      </c>
      <c r="V565" s="935" t="str">
        <f t="shared" si="77"/>
        <v/>
      </c>
      <c r="W565" s="935" t="str">
        <f t="shared" si="78"/>
        <v/>
      </c>
      <c r="X565" s="935" t="str">
        <f t="shared" si="79"/>
        <v/>
      </c>
      <c r="Y565" s="935">
        <f t="shared" si="80"/>
        <v>7.6923076923076927E-2</v>
      </c>
      <c r="Z565" s="935" t="str">
        <f t="shared" si="81"/>
        <v/>
      </c>
      <c r="AA565" s="935">
        <f t="shared" si="82"/>
        <v>0.25</v>
      </c>
      <c r="AB565" s="935" t="str">
        <f t="shared" si="83"/>
        <v/>
      </c>
      <c r="AC565" s="935" t="str">
        <f t="shared" si="84"/>
        <v/>
      </c>
      <c r="AD565" s="935" t="str">
        <f t="shared" si="85"/>
        <v/>
      </c>
      <c r="AF565" s="910" t="s">
        <v>23</v>
      </c>
      <c r="AG565" s="560">
        <f t="shared" si="86"/>
        <v>1.1049723756906077E-2</v>
      </c>
    </row>
    <row r="566" spans="2:33" ht="16.5" thickTop="1">
      <c r="B566" s="1709" t="s">
        <v>66</v>
      </c>
      <c r="C566" s="1012" t="s">
        <v>1271</v>
      </c>
      <c r="D566" s="1016"/>
      <c r="E566" s="1016"/>
      <c r="F566" s="1016"/>
      <c r="G566" s="1016"/>
      <c r="H566" s="1016"/>
      <c r="I566" s="1016"/>
      <c r="J566" s="1012" t="s">
        <v>1271</v>
      </c>
      <c r="K566" s="1016"/>
      <c r="L566" s="1016"/>
      <c r="M566" s="1402" t="s">
        <v>46</v>
      </c>
      <c r="N566" s="1012" t="s">
        <v>1271</v>
      </c>
      <c r="O566" s="1016"/>
      <c r="Q566" s="911" t="s">
        <v>93</v>
      </c>
      <c r="R566" s="935" t="str">
        <f t="shared" si="73"/>
        <v/>
      </c>
      <c r="S566" s="935" t="str">
        <f t="shared" si="74"/>
        <v/>
      </c>
      <c r="T566" s="935">
        <f t="shared" si="75"/>
        <v>0.125</v>
      </c>
      <c r="U566" s="935" t="str">
        <f t="shared" si="76"/>
        <v/>
      </c>
      <c r="V566" s="935" t="str">
        <f t="shared" si="77"/>
        <v/>
      </c>
      <c r="W566" s="935" t="str">
        <f t="shared" si="78"/>
        <v/>
      </c>
      <c r="X566" s="935" t="str">
        <f t="shared" si="79"/>
        <v/>
      </c>
      <c r="Y566" s="935" t="str">
        <f t="shared" si="80"/>
        <v/>
      </c>
      <c r="Z566" s="935" t="str">
        <f t="shared" si="81"/>
        <v/>
      </c>
      <c r="AA566" s="935" t="str">
        <f t="shared" si="82"/>
        <v/>
      </c>
      <c r="AB566" s="935">
        <f t="shared" si="83"/>
        <v>4.7619047619047616E-2</v>
      </c>
      <c r="AC566" s="935">
        <f t="shared" si="84"/>
        <v>2.4390243902439025E-2</v>
      </c>
      <c r="AD566" s="935" t="str">
        <f t="shared" si="85"/>
        <v/>
      </c>
      <c r="AF566" s="895" t="s">
        <v>29</v>
      </c>
      <c r="AG566" s="560">
        <f t="shared" si="86"/>
        <v>2.7624309392265192E-2</v>
      </c>
    </row>
    <row r="567" spans="2:33">
      <c r="B567" s="1710"/>
      <c r="C567" s="964" t="s">
        <v>44</v>
      </c>
      <c r="N567" s="189" t="s">
        <v>47</v>
      </c>
      <c r="Q567" s="912" t="s">
        <v>1269</v>
      </c>
      <c r="R567" s="940">
        <f t="shared" si="73"/>
        <v>3.8461538461538464E-2</v>
      </c>
      <c r="S567" s="940" t="str">
        <f t="shared" si="74"/>
        <v/>
      </c>
      <c r="T567" s="940">
        <f t="shared" si="75"/>
        <v>0.125</v>
      </c>
      <c r="U567" s="940" t="str">
        <f t="shared" si="76"/>
        <v/>
      </c>
      <c r="V567" s="940">
        <f t="shared" si="77"/>
        <v>0.14285714285714285</v>
      </c>
      <c r="W567" s="940" t="str">
        <f t="shared" si="78"/>
        <v/>
      </c>
      <c r="X567" s="940" t="str">
        <f t="shared" si="79"/>
        <v/>
      </c>
      <c r="Y567" s="940">
        <f t="shared" si="80"/>
        <v>7.6923076923076927E-2</v>
      </c>
      <c r="Z567" s="940" t="str">
        <f t="shared" si="81"/>
        <v/>
      </c>
      <c r="AA567" s="940" t="str">
        <f t="shared" si="82"/>
        <v/>
      </c>
      <c r="AB567" s="940">
        <f t="shared" si="83"/>
        <v>4.7619047619047616E-2</v>
      </c>
      <c r="AC567" s="940">
        <f t="shared" si="84"/>
        <v>7.3170731707317069E-2</v>
      </c>
      <c r="AD567" s="940" t="str">
        <f t="shared" si="85"/>
        <v/>
      </c>
      <c r="AF567" s="911" t="s">
        <v>93</v>
      </c>
      <c r="AG567" s="560">
        <f t="shared" si="86"/>
        <v>1.6574585635359115E-2</v>
      </c>
    </row>
    <row r="568" spans="2:33">
      <c r="B568" s="1710"/>
      <c r="C568" s="992" t="s">
        <v>23</v>
      </c>
      <c r="Q568" s="913" t="s">
        <v>26</v>
      </c>
      <c r="R568" s="941">
        <f t="shared" si="73"/>
        <v>0.11538461538461539</v>
      </c>
      <c r="S568" s="941" t="str">
        <f t="shared" si="74"/>
        <v/>
      </c>
      <c r="T568" s="941" t="str">
        <f t="shared" si="75"/>
        <v/>
      </c>
      <c r="U568" s="941" t="str">
        <f t="shared" si="76"/>
        <v/>
      </c>
      <c r="V568" s="941" t="str">
        <f t="shared" si="77"/>
        <v/>
      </c>
      <c r="W568" s="941" t="str">
        <f t="shared" si="78"/>
        <v/>
      </c>
      <c r="X568" s="941" t="str">
        <f t="shared" si="79"/>
        <v/>
      </c>
      <c r="Y568" s="941">
        <f t="shared" si="80"/>
        <v>0.15384615384615385</v>
      </c>
      <c r="Z568" s="941">
        <f t="shared" si="81"/>
        <v>0.13636363636363635</v>
      </c>
      <c r="AA568" s="941">
        <f t="shared" si="82"/>
        <v>8.3333333333333329E-2</v>
      </c>
      <c r="AB568" s="941">
        <f t="shared" si="83"/>
        <v>4.7619047619047616E-2</v>
      </c>
      <c r="AC568" s="941">
        <f t="shared" si="84"/>
        <v>0.14634146341463414</v>
      </c>
      <c r="AD568" s="941">
        <f t="shared" si="85"/>
        <v>0.2</v>
      </c>
      <c r="AF568" s="912" t="s">
        <v>1269</v>
      </c>
      <c r="AG568" s="560">
        <f t="shared" si="86"/>
        <v>4.4198895027624308E-2</v>
      </c>
    </row>
    <row r="569" spans="2:33">
      <c r="B569" s="1710"/>
      <c r="C569" s="989" t="s">
        <v>185</v>
      </c>
      <c r="D569" s="989"/>
      <c r="E569" s="989"/>
      <c r="F569" s="989"/>
      <c r="G569" s="989"/>
      <c r="H569" s="989"/>
      <c r="I569" s="989"/>
      <c r="J569" s="989" t="s">
        <v>188</v>
      </c>
      <c r="K569" s="989"/>
      <c r="L569" s="989"/>
      <c r="M569" s="989" t="s">
        <v>189</v>
      </c>
      <c r="N569" s="989" t="s">
        <v>186</v>
      </c>
      <c r="O569" s="989"/>
      <c r="Q569" s="914" t="s">
        <v>109</v>
      </c>
      <c r="R569" s="942" t="str">
        <f t="shared" si="73"/>
        <v/>
      </c>
      <c r="S569" s="942" t="str">
        <f t="shared" si="74"/>
        <v/>
      </c>
      <c r="T569" s="942">
        <f t="shared" si="75"/>
        <v>0.125</v>
      </c>
      <c r="U569" s="942" t="str">
        <f t="shared" si="76"/>
        <v/>
      </c>
      <c r="V569" s="942" t="str">
        <f t="shared" si="77"/>
        <v/>
      </c>
      <c r="W569" s="942" t="str">
        <f t="shared" si="78"/>
        <v/>
      </c>
      <c r="X569" s="942" t="str">
        <f t="shared" si="79"/>
        <v/>
      </c>
      <c r="Y569" s="942">
        <f t="shared" si="80"/>
        <v>7.6923076923076927E-2</v>
      </c>
      <c r="Z569" s="942">
        <f t="shared" si="81"/>
        <v>4.5454545454545456E-2</v>
      </c>
      <c r="AA569" s="942">
        <f t="shared" si="82"/>
        <v>8.3333333333333329E-2</v>
      </c>
      <c r="AB569" s="942">
        <f t="shared" si="83"/>
        <v>4.7619047619047616E-2</v>
      </c>
      <c r="AC569" s="942" t="str">
        <f t="shared" si="84"/>
        <v/>
      </c>
      <c r="AD569" s="942" t="str">
        <f t="shared" si="85"/>
        <v/>
      </c>
      <c r="AF569" s="913" t="s">
        <v>26</v>
      </c>
      <c r="AG569" s="560">
        <f t="shared" si="86"/>
        <v>9.3922651933701654E-2</v>
      </c>
    </row>
    <row r="570" spans="2:33">
      <c r="B570" s="1710"/>
      <c r="N570" s="963" t="s">
        <v>46</v>
      </c>
      <c r="Q570" s="915" t="s">
        <v>114</v>
      </c>
      <c r="R570" s="943" t="str">
        <f t="shared" si="73"/>
        <v/>
      </c>
      <c r="S570" s="943" t="str">
        <f t="shared" si="74"/>
        <v/>
      </c>
      <c r="T570" s="943" t="str">
        <f t="shared" si="75"/>
        <v/>
      </c>
      <c r="U570" s="943" t="str">
        <f t="shared" si="76"/>
        <v/>
      </c>
      <c r="V570" s="943" t="str">
        <f t="shared" si="77"/>
        <v/>
      </c>
      <c r="W570" s="943" t="str">
        <f t="shared" si="78"/>
        <v/>
      </c>
      <c r="X570" s="943" t="str">
        <f t="shared" si="79"/>
        <v/>
      </c>
      <c r="Y570" s="943" t="str">
        <f t="shared" si="80"/>
        <v/>
      </c>
      <c r="Z570" s="943">
        <f t="shared" si="81"/>
        <v>4.5454545454545456E-2</v>
      </c>
      <c r="AA570" s="943">
        <f t="shared" si="82"/>
        <v>8.3333333333333329E-2</v>
      </c>
      <c r="AB570" s="943" t="str">
        <f t="shared" si="83"/>
        <v/>
      </c>
      <c r="AC570" s="943">
        <f t="shared" si="84"/>
        <v>2.4390243902439025E-2</v>
      </c>
      <c r="AD570" s="943" t="str">
        <f t="shared" si="85"/>
        <v/>
      </c>
      <c r="AF570" s="914" t="s">
        <v>109</v>
      </c>
      <c r="AG570" s="560">
        <f t="shared" si="86"/>
        <v>2.7624309392265192E-2</v>
      </c>
    </row>
    <row r="571" spans="2:33">
      <c r="B571" s="1710"/>
      <c r="C571" s="989"/>
      <c r="D571" s="989"/>
      <c r="E571" s="989"/>
      <c r="F571" s="989"/>
      <c r="G571" s="989"/>
      <c r="H571" s="989"/>
      <c r="I571" s="989"/>
      <c r="J571" s="989"/>
      <c r="K571" s="989"/>
      <c r="L571" s="989"/>
      <c r="M571" s="989"/>
      <c r="N571" s="989" t="s">
        <v>191</v>
      </c>
      <c r="O571" s="989"/>
      <c r="Q571" s="916" t="s">
        <v>1272</v>
      </c>
      <c r="R571" s="944">
        <f t="shared" si="73"/>
        <v>3.8461538461538464E-2</v>
      </c>
      <c r="S571" s="944" t="str">
        <f t="shared" si="74"/>
        <v/>
      </c>
      <c r="T571" s="944" t="str">
        <f t="shared" si="75"/>
        <v/>
      </c>
      <c r="U571" s="944" t="str">
        <f t="shared" si="76"/>
        <v/>
      </c>
      <c r="V571" s="944" t="str">
        <f t="shared" si="77"/>
        <v/>
      </c>
      <c r="W571" s="944" t="str">
        <f t="shared" si="78"/>
        <v/>
      </c>
      <c r="X571" s="944" t="str">
        <f t="shared" si="79"/>
        <v/>
      </c>
      <c r="Y571" s="944" t="str">
        <f t="shared" si="80"/>
        <v/>
      </c>
      <c r="Z571" s="944">
        <f t="shared" si="81"/>
        <v>9.0909090909090912E-2</v>
      </c>
      <c r="AA571" s="944">
        <f t="shared" si="82"/>
        <v>0.16666666666666666</v>
      </c>
      <c r="AB571" s="944">
        <f t="shared" si="83"/>
        <v>0.19047619047619047</v>
      </c>
      <c r="AC571" s="944">
        <f t="shared" si="84"/>
        <v>0.24390243902439024</v>
      </c>
      <c r="AD571" s="944">
        <f t="shared" si="85"/>
        <v>0.4</v>
      </c>
      <c r="AF571" s="915" t="s">
        <v>114</v>
      </c>
      <c r="AG571" s="560">
        <f t="shared" si="86"/>
        <v>1.6574585635359115E-2</v>
      </c>
    </row>
    <row r="572" spans="2:33">
      <c r="B572" s="1710"/>
      <c r="N572" s="980" t="s">
        <v>1272</v>
      </c>
      <c r="Q572" s="917" t="s">
        <v>68</v>
      </c>
      <c r="R572" s="945" t="str">
        <f t="shared" si="73"/>
        <v/>
      </c>
      <c r="S572" s="945" t="str">
        <f t="shared" si="74"/>
        <v/>
      </c>
      <c r="T572" s="945" t="str">
        <f t="shared" si="75"/>
        <v/>
      </c>
      <c r="U572" s="945" t="str">
        <f t="shared" si="76"/>
        <v/>
      </c>
      <c r="V572" s="945" t="str">
        <f t="shared" si="77"/>
        <v/>
      </c>
      <c r="W572" s="945" t="str">
        <f t="shared" si="78"/>
        <v/>
      </c>
      <c r="X572" s="945" t="str">
        <f t="shared" si="79"/>
        <v/>
      </c>
      <c r="Y572" s="945" t="str">
        <f t="shared" si="80"/>
        <v/>
      </c>
      <c r="Z572" s="945" t="str">
        <f t="shared" si="81"/>
        <v/>
      </c>
      <c r="AA572" s="945" t="str">
        <f t="shared" si="82"/>
        <v/>
      </c>
      <c r="AB572" s="945" t="str">
        <f t="shared" si="83"/>
        <v/>
      </c>
      <c r="AC572" s="945" t="str">
        <f t="shared" si="84"/>
        <v/>
      </c>
      <c r="AD572" s="945" t="str">
        <f t="shared" si="85"/>
        <v/>
      </c>
      <c r="AF572" s="916" t="s">
        <v>1272</v>
      </c>
      <c r="AG572" s="560">
        <f t="shared" si="86"/>
        <v>0.11602209944751381</v>
      </c>
    </row>
    <row r="573" spans="2:33" ht="16.5" thickBot="1">
      <c r="B573" s="1711"/>
      <c r="C573" s="985"/>
      <c r="D573" s="985"/>
      <c r="E573" s="985"/>
      <c r="F573" s="985"/>
      <c r="G573" s="985"/>
      <c r="H573" s="985"/>
      <c r="I573" s="985"/>
      <c r="J573" s="985"/>
      <c r="K573" s="985"/>
      <c r="L573" s="985"/>
      <c r="M573" s="985"/>
      <c r="N573" s="985" t="s">
        <v>192</v>
      </c>
      <c r="O573" s="985"/>
      <c r="Q573" s="918" t="s">
        <v>234</v>
      </c>
      <c r="R573" s="931" t="str">
        <f t="shared" si="73"/>
        <v/>
      </c>
      <c r="S573" s="931" t="str">
        <f t="shared" si="74"/>
        <v/>
      </c>
      <c r="T573" s="931" t="str">
        <f t="shared" si="75"/>
        <v/>
      </c>
      <c r="U573" s="931" t="str">
        <f t="shared" si="76"/>
        <v/>
      </c>
      <c r="V573" s="931" t="str">
        <f t="shared" si="77"/>
        <v/>
      </c>
      <c r="W573" s="931" t="str">
        <f t="shared" si="78"/>
        <v/>
      </c>
      <c r="X573" s="931" t="str">
        <f t="shared" si="79"/>
        <v/>
      </c>
      <c r="Y573" s="931">
        <f t="shared" si="80"/>
        <v>7.6923076923076927E-2</v>
      </c>
      <c r="Z573" s="931" t="str">
        <f t="shared" si="81"/>
        <v/>
      </c>
      <c r="AA573" s="931">
        <f t="shared" si="82"/>
        <v>8.3333333333333329E-2</v>
      </c>
      <c r="AB573" s="931" t="str">
        <f t="shared" si="83"/>
        <v/>
      </c>
      <c r="AC573" s="931">
        <f t="shared" si="84"/>
        <v>2.4390243902439025E-2</v>
      </c>
      <c r="AD573" s="931" t="str">
        <f t="shared" si="85"/>
        <v/>
      </c>
      <c r="AF573" s="917" t="s">
        <v>68</v>
      </c>
      <c r="AG573" s="560" t="str">
        <f t="shared" si="86"/>
        <v/>
      </c>
    </row>
    <row r="574" spans="2:33" ht="16.5" thickTop="1">
      <c r="B574" s="1706" t="s">
        <v>65</v>
      </c>
      <c r="C574" s="1012" t="s">
        <v>1271</v>
      </c>
      <c r="D574" s="1012" t="s">
        <v>1271</v>
      </c>
      <c r="E574" s="1016"/>
      <c r="F574" s="1016"/>
      <c r="G574" s="1016"/>
      <c r="H574" s="1016"/>
      <c r="I574" s="976" t="s">
        <v>47</v>
      </c>
      <c r="J574" s="1403" t="s">
        <v>109</v>
      </c>
      <c r="K574" s="1012" t="s">
        <v>1271</v>
      </c>
      <c r="L574" s="1016"/>
      <c r="M574" s="1392" t="s">
        <v>44</v>
      </c>
      <c r="N574" s="1392" t="s">
        <v>44</v>
      </c>
      <c r="O574" s="1016"/>
      <c r="Q574" s="919" t="s">
        <v>124</v>
      </c>
      <c r="R574" s="946">
        <f t="shared" si="73"/>
        <v>3.8461538461538464E-2</v>
      </c>
      <c r="S574" s="946" t="str">
        <f t="shared" si="74"/>
        <v/>
      </c>
      <c r="T574" s="946" t="str">
        <f t="shared" si="75"/>
        <v/>
      </c>
      <c r="U574" s="946" t="str">
        <f t="shared" si="76"/>
        <v/>
      </c>
      <c r="V574" s="946" t="str">
        <f t="shared" si="77"/>
        <v/>
      </c>
      <c r="W574" s="946" t="str">
        <f t="shared" si="78"/>
        <v/>
      </c>
      <c r="X574" s="946" t="str">
        <f t="shared" si="79"/>
        <v/>
      </c>
      <c r="Y574" s="946" t="str">
        <f t="shared" si="80"/>
        <v/>
      </c>
      <c r="Z574" s="946">
        <f t="shared" si="81"/>
        <v>4.5454545454545456E-2</v>
      </c>
      <c r="AA574" s="946" t="str">
        <f t="shared" si="82"/>
        <v/>
      </c>
      <c r="AB574" s="946">
        <f t="shared" si="83"/>
        <v>9.5238095238095233E-2</v>
      </c>
      <c r="AC574" s="946" t="str">
        <f t="shared" si="84"/>
        <v/>
      </c>
      <c r="AD574" s="946" t="str">
        <f t="shared" si="85"/>
        <v/>
      </c>
      <c r="AF574" s="918" t="s">
        <v>234</v>
      </c>
      <c r="AG574" s="560">
        <f t="shared" si="86"/>
        <v>1.6574585635359115E-2</v>
      </c>
    </row>
    <row r="575" spans="2:33">
      <c r="B575" s="1707"/>
      <c r="C575" s="968" t="s">
        <v>26</v>
      </c>
      <c r="I575" s="977" t="s">
        <v>1270</v>
      </c>
      <c r="J575" s="966" t="s">
        <v>73</v>
      </c>
      <c r="M575" s="980" t="s">
        <v>1272</v>
      </c>
      <c r="Q575" s="920" t="s">
        <v>74</v>
      </c>
      <c r="R575" s="947">
        <f t="shared" si="73"/>
        <v>3.8461538461538464E-2</v>
      </c>
      <c r="S575" s="947" t="str">
        <f t="shared" si="74"/>
        <v/>
      </c>
      <c r="T575" s="947" t="str">
        <f t="shared" si="75"/>
        <v/>
      </c>
      <c r="U575" s="947" t="str">
        <f t="shared" si="76"/>
        <v/>
      </c>
      <c r="V575" s="947" t="str">
        <f t="shared" si="77"/>
        <v/>
      </c>
      <c r="W575" s="947" t="str">
        <f t="shared" si="78"/>
        <v/>
      </c>
      <c r="X575" s="947" t="str">
        <f t="shared" si="79"/>
        <v/>
      </c>
      <c r="Y575" s="947" t="str">
        <f t="shared" si="80"/>
        <v/>
      </c>
      <c r="Z575" s="947" t="str">
        <f t="shared" si="81"/>
        <v/>
      </c>
      <c r="AA575" s="947">
        <f t="shared" si="82"/>
        <v>8.3333333333333329E-2</v>
      </c>
      <c r="AB575" s="947" t="str">
        <f t="shared" si="83"/>
        <v/>
      </c>
      <c r="AC575" s="947" t="str">
        <f t="shared" si="84"/>
        <v/>
      </c>
      <c r="AD575" s="947" t="str">
        <f t="shared" si="85"/>
        <v/>
      </c>
      <c r="AF575" s="919" t="s">
        <v>124</v>
      </c>
      <c r="AG575" s="560">
        <f t="shared" si="86"/>
        <v>2.2099447513812154E-2</v>
      </c>
    </row>
    <row r="576" spans="2:33">
      <c r="B576" s="1707"/>
      <c r="C576" s="989" t="s">
        <v>186</v>
      </c>
      <c r="D576" s="989" t="s">
        <v>188</v>
      </c>
      <c r="E576" s="989"/>
      <c r="F576" s="989"/>
      <c r="G576" s="989"/>
      <c r="H576" s="989"/>
      <c r="I576" s="989" t="s">
        <v>186</v>
      </c>
      <c r="J576" s="989" t="s">
        <v>188</v>
      </c>
      <c r="K576" s="989" t="s">
        <v>187</v>
      </c>
      <c r="L576" s="989"/>
      <c r="M576" s="989" t="s">
        <v>191</v>
      </c>
      <c r="N576" s="989" t="s">
        <v>186</v>
      </c>
      <c r="O576" s="989"/>
      <c r="Q576" s="921" t="s">
        <v>1271</v>
      </c>
      <c r="R576" s="948">
        <f t="shared" si="73"/>
        <v>0.38461538461538464</v>
      </c>
      <c r="S576" s="948">
        <f t="shared" si="74"/>
        <v>0.2</v>
      </c>
      <c r="T576" s="948">
        <f t="shared" si="75"/>
        <v>0.25</v>
      </c>
      <c r="U576" s="948" t="str">
        <f t="shared" si="76"/>
        <v/>
      </c>
      <c r="V576" s="948">
        <f t="shared" si="77"/>
        <v>0.14285714285714285</v>
      </c>
      <c r="W576" s="948">
        <f t="shared" si="78"/>
        <v>0.33333333333333331</v>
      </c>
      <c r="X576" s="948">
        <f t="shared" si="79"/>
        <v>0.16666666666666666</v>
      </c>
      <c r="Y576" s="948">
        <f t="shared" si="80"/>
        <v>0.15384615384615385</v>
      </c>
      <c r="Z576" s="948">
        <f t="shared" si="81"/>
        <v>0.27272727272727271</v>
      </c>
      <c r="AA576" s="948">
        <f t="shared" si="82"/>
        <v>8.3333333333333329E-2</v>
      </c>
      <c r="AB576" s="948">
        <f t="shared" si="83"/>
        <v>0.14285714285714285</v>
      </c>
      <c r="AC576" s="948">
        <f t="shared" si="84"/>
        <v>0.14634146341463414</v>
      </c>
      <c r="AD576" s="948" t="str">
        <f t="shared" si="85"/>
        <v/>
      </c>
      <c r="AF576" s="920" t="s">
        <v>74</v>
      </c>
      <c r="AG576" s="560">
        <f t="shared" si="86"/>
        <v>1.1049723756906077E-2</v>
      </c>
    </row>
    <row r="577" spans="2:45">
      <c r="B577" s="1707"/>
      <c r="C577" s="993" t="s">
        <v>20</v>
      </c>
      <c r="K577" s="964" t="s">
        <v>44</v>
      </c>
      <c r="N577" s="993" t="s">
        <v>20</v>
      </c>
      <c r="Q577" s="922" t="s">
        <v>20</v>
      </c>
      <c r="R577" s="949">
        <f t="shared" si="73"/>
        <v>7.6923076923076927E-2</v>
      </c>
      <c r="S577" s="949">
        <f t="shared" si="74"/>
        <v>0.2</v>
      </c>
      <c r="T577" s="949" t="str">
        <f t="shared" si="75"/>
        <v/>
      </c>
      <c r="U577" s="949">
        <f t="shared" si="76"/>
        <v>0.22222222222222221</v>
      </c>
      <c r="V577" s="949">
        <f t="shared" si="77"/>
        <v>0.14285714285714285</v>
      </c>
      <c r="W577" s="949" t="str">
        <f t="shared" si="78"/>
        <v/>
      </c>
      <c r="X577" s="949" t="str">
        <f t="shared" si="79"/>
        <v/>
      </c>
      <c r="Y577" s="949">
        <f t="shared" si="80"/>
        <v>7.6923076923076927E-2</v>
      </c>
      <c r="Z577" s="949" t="str">
        <f t="shared" si="81"/>
        <v/>
      </c>
      <c r="AA577" s="949">
        <f t="shared" si="82"/>
        <v>8.3333333333333329E-2</v>
      </c>
      <c r="AB577" s="949">
        <f t="shared" si="83"/>
        <v>0.23809523809523808</v>
      </c>
      <c r="AC577" s="949">
        <f t="shared" si="84"/>
        <v>7.3170731707317069E-2</v>
      </c>
      <c r="AD577" s="949">
        <f t="shared" si="85"/>
        <v>0.2</v>
      </c>
      <c r="AF577" s="921" t="s">
        <v>1271</v>
      </c>
      <c r="AG577" s="560">
        <f t="shared" si="86"/>
        <v>0.19337016574585636</v>
      </c>
    </row>
    <row r="578" spans="2:45">
      <c r="B578" s="1707"/>
      <c r="C578" s="982" t="s">
        <v>29</v>
      </c>
      <c r="K578" s="980" t="s">
        <v>1272</v>
      </c>
      <c r="Q578" s="894" t="s">
        <v>44</v>
      </c>
      <c r="R578" s="950">
        <f t="shared" si="73"/>
        <v>0.30769230769230771</v>
      </c>
      <c r="S578" s="950">
        <f t="shared" si="74"/>
        <v>0.4</v>
      </c>
      <c r="T578" s="950">
        <f t="shared" si="75"/>
        <v>0.375</v>
      </c>
      <c r="U578" s="950">
        <f t="shared" si="76"/>
        <v>0.22222222222222221</v>
      </c>
      <c r="V578" s="950">
        <f t="shared" si="77"/>
        <v>0.14285714285714285</v>
      </c>
      <c r="W578" s="950">
        <f t="shared" si="78"/>
        <v>0.16666666666666666</v>
      </c>
      <c r="X578" s="950">
        <f t="shared" si="79"/>
        <v>0.16666666666666666</v>
      </c>
      <c r="Y578" s="950">
        <f t="shared" si="80"/>
        <v>0.15384615384615385</v>
      </c>
      <c r="Z578" s="950">
        <f t="shared" si="81"/>
        <v>0.27272727272727271</v>
      </c>
      <c r="AA578" s="950">
        <f t="shared" si="82"/>
        <v>8.3333333333333329E-2</v>
      </c>
      <c r="AB578" s="950">
        <f t="shared" si="83"/>
        <v>0.38095238095238093</v>
      </c>
      <c r="AC578" s="950">
        <f t="shared" si="84"/>
        <v>0.21951219512195122</v>
      </c>
      <c r="AD578" s="950">
        <f t="shared" si="85"/>
        <v>0.2</v>
      </c>
      <c r="AF578" s="922" t="s">
        <v>20</v>
      </c>
      <c r="AG578" s="560">
        <f t="shared" si="86"/>
        <v>9.3922651933701654E-2</v>
      </c>
    </row>
    <row r="579" spans="2:45">
      <c r="B579" s="1707"/>
      <c r="C579" s="989" t="s">
        <v>189</v>
      </c>
      <c r="D579" s="989"/>
      <c r="E579" s="989"/>
      <c r="F579" s="989"/>
      <c r="G579" s="989"/>
      <c r="H579" s="989"/>
      <c r="I579" s="989"/>
      <c r="J579" s="989"/>
      <c r="K579" s="989" t="s">
        <v>190</v>
      </c>
      <c r="L579" s="989"/>
      <c r="M579" s="989"/>
      <c r="N579" s="989" t="s">
        <v>188</v>
      </c>
      <c r="O579" s="989"/>
      <c r="Q579" s="923" t="s">
        <v>339</v>
      </c>
      <c r="R579" s="951">
        <f t="shared" si="73"/>
        <v>3.8461538461538464E-2</v>
      </c>
      <c r="S579" s="951" t="str">
        <f t="shared" si="74"/>
        <v/>
      </c>
      <c r="T579" s="951" t="str">
        <f t="shared" si="75"/>
        <v/>
      </c>
      <c r="U579" s="951" t="str">
        <f t="shared" si="76"/>
        <v/>
      </c>
      <c r="V579" s="951" t="str">
        <f t="shared" si="77"/>
        <v/>
      </c>
      <c r="W579" s="951" t="str">
        <f t="shared" si="78"/>
        <v/>
      </c>
      <c r="X579" s="951" t="str">
        <f t="shared" si="79"/>
        <v/>
      </c>
      <c r="Y579" s="951" t="str">
        <f t="shared" si="80"/>
        <v/>
      </c>
      <c r="Z579" s="951" t="str">
        <f t="shared" si="81"/>
        <v/>
      </c>
      <c r="AA579" s="951" t="str">
        <f t="shared" si="82"/>
        <v/>
      </c>
      <c r="AB579" s="951" t="str">
        <f t="shared" si="83"/>
        <v/>
      </c>
      <c r="AC579" s="951" t="str">
        <f t="shared" si="84"/>
        <v/>
      </c>
      <c r="AD579" s="951" t="str">
        <f t="shared" si="85"/>
        <v/>
      </c>
      <c r="AF579" s="894" t="s">
        <v>44</v>
      </c>
      <c r="AG579" s="560">
        <f t="shared" si="86"/>
        <v>0.24861878453038674</v>
      </c>
    </row>
    <row r="580" spans="2:45">
      <c r="B580" s="1707"/>
      <c r="K580" s="967" t="s">
        <v>27</v>
      </c>
      <c r="N580" s="963" t="s">
        <v>46</v>
      </c>
      <c r="Q580" s="924" t="s">
        <v>73</v>
      </c>
      <c r="R580" s="935" t="str">
        <f t="shared" si="73"/>
        <v/>
      </c>
      <c r="S580" s="935" t="str">
        <f t="shared" si="74"/>
        <v/>
      </c>
      <c r="T580" s="935" t="str">
        <f t="shared" si="75"/>
        <v/>
      </c>
      <c r="U580" s="935" t="str">
        <f t="shared" si="76"/>
        <v/>
      </c>
      <c r="V580" s="935" t="str">
        <f t="shared" si="77"/>
        <v/>
      </c>
      <c r="W580" s="935" t="str">
        <f t="shared" si="78"/>
        <v/>
      </c>
      <c r="X580" s="935" t="str">
        <f t="shared" si="79"/>
        <v/>
      </c>
      <c r="Y580" s="935">
        <f t="shared" si="80"/>
        <v>7.6923076923076927E-2</v>
      </c>
      <c r="Z580" s="935" t="str">
        <f t="shared" si="81"/>
        <v/>
      </c>
      <c r="AA580" s="935" t="str">
        <f t="shared" si="82"/>
        <v/>
      </c>
      <c r="AB580" s="935" t="str">
        <f t="shared" si="83"/>
        <v/>
      </c>
      <c r="AC580" s="935" t="str">
        <f t="shared" si="84"/>
        <v/>
      </c>
      <c r="AD580" s="935" t="str">
        <f t="shared" si="85"/>
        <v/>
      </c>
      <c r="AF580" s="923" t="s">
        <v>339</v>
      </c>
      <c r="AG580" s="560">
        <f t="shared" si="86"/>
        <v>5.5248618784530384E-3</v>
      </c>
    </row>
    <row r="581" spans="2:45">
      <c r="B581" s="1707"/>
      <c r="C581" s="989"/>
      <c r="D581" s="989"/>
      <c r="E581" s="989"/>
      <c r="F581" s="989"/>
      <c r="G581" s="989"/>
      <c r="H581" s="989"/>
      <c r="I581" s="989"/>
      <c r="J581" s="989"/>
      <c r="K581" s="989" t="s">
        <v>192</v>
      </c>
      <c r="L581" s="989"/>
      <c r="M581" s="989"/>
      <c r="N581" s="989" t="s">
        <v>189</v>
      </c>
      <c r="O581" s="989"/>
      <c r="Q581" s="925" t="s">
        <v>216</v>
      </c>
      <c r="R581" s="952" t="str">
        <f t="shared" si="73"/>
        <v/>
      </c>
      <c r="S581" s="952" t="str">
        <f t="shared" si="74"/>
        <v/>
      </c>
      <c r="T581" s="952" t="str">
        <f t="shared" si="75"/>
        <v/>
      </c>
      <c r="U581" s="952" t="str">
        <f t="shared" si="76"/>
        <v/>
      </c>
      <c r="V581" s="952" t="str">
        <f t="shared" si="77"/>
        <v/>
      </c>
      <c r="W581" s="952" t="str">
        <f t="shared" si="78"/>
        <v/>
      </c>
      <c r="X581" s="952" t="str">
        <f t="shared" si="79"/>
        <v/>
      </c>
      <c r="Y581" s="952" t="str">
        <f t="shared" si="80"/>
        <v/>
      </c>
      <c r="Z581" s="952">
        <f t="shared" si="81"/>
        <v>4.5454545454545456E-2</v>
      </c>
      <c r="AA581" s="952" t="str">
        <f t="shared" si="82"/>
        <v/>
      </c>
      <c r="AB581" s="952" t="str">
        <f t="shared" si="83"/>
        <v/>
      </c>
      <c r="AC581" s="952">
        <f t="shared" si="84"/>
        <v>2.4390243902439025E-2</v>
      </c>
      <c r="AD581" s="952" t="str">
        <f t="shared" si="85"/>
        <v/>
      </c>
      <c r="AF581" s="924" t="s">
        <v>73</v>
      </c>
      <c r="AG581" s="560">
        <f t="shared" si="86"/>
        <v>5.5248618784530384E-3</v>
      </c>
    </row>
    <row r="582" spans="2:45">
      <c r="B582" s="1707"/>
      <c r="N582" s="189" t="s">
        <v>47</v>
      </c>
      <c r="Q582" s="926" t="s">
        <v>21</v>
      </c>
      <c r="R582" s="935" t="str">
        <f t="shared" si="73"/>
        <v/>
      </c>
      <c r="S582" s="935" t="str">
        <f t="shared" si="74"/>
        <v/>
      </c>
      <c r="T582" s="935" t="str">
        <f t="shared" si="75"/>
        <v/>
      </c>
      <c r="U582" s="935" t="str">
        <f t="shared" si="76"/>
        <v/>
      </c>
      <c r="V582" s="935" t="str">
        <f t="shared" si="77"/>
        <v/>
      </c>
      <c r="W582" s="935" t="str">
        <f t="shared" si="78"/>
        <v/>
      </c>
      <c r="X582" s="935" t="str">
        <f t="shared" si="79"/>
        <v/>
      </c>
      <c r="Y582" s="935" t="str">
        <f t="shared" si="80"/>
        <v/>
      </c>
      <c r="Z582" s="935" t="str">
        <f t="shared" si="81"/>
        <v/>
      </c>
      <c r="AA582" s="935" t="str">
        <f t="shared" si="82"/>
        <v/>
      </c>
      <c r="AB582" s="935" t="str">
        <f t="shared" si="83"/>
        <v/>
      </c>
      <c r="AC582" s="935" t="str">
        <f t="shared" si="84"/>
        <v/>
      </c>
      <c r="AD582" s="935" t="str">
        <f t="shared" si="85"/>
        <v/>
      </c>
      <c r="AF582" s="925" t="s">
        <v>216</v>
      </c>
      <c r="AG582" s="560">
        <f t="shared" si="86"/>
        <v>1.1049723756906077E-2</v>
      </c>
    </row>
    <row r="583" spans="2:45">
      <c r="B583" s="1707"/>
      <c r="N583" s="981" t="s">
        <v>1271</v>
      </c>
      <c r="AF583" s="926" t="s">
        <v>21</v>
      </c>
      <c r="AG583" s="560" t="str">
        <f t="shared" si="86"/>
        <v/>
      </c>
    </row>
    <row r="584" spans="2:45" ht="16.5" thickBot="1">
      <c r="B584" s="1708"/>
      <c r="C584" s="985"/>
      <c r="D584" s="985"/>
      <c r="E584" s="985"/>
      <c r="F584" s="985"/>
      <c r="G584" s="985"/>
      <c r="H584" s="985"/>
      <c r="I584" s="985"/>
      <c r="J584" s="985"/>
      <c r="K584" s="985"/>
      <c r="L584" s="985"/>
      <c r="M584" s="985"/>
      <c r="N584" s="985" t="s">
        <v>191</v>
      </c>
      <c r="O584" s="985"/>
    </row>
    <row r="585" spans="2:45" ht="19.5" thickTop="1">
      <c r="B585" s="1709" t="s">
        <v>60</v>
      </c>
      <c r="C585" s="1392" t="s">
        <v>44</v>
      </c>
      <c r="D585" s="1016" t="s">
        <v>2757</v>
      </c>
      <c r="E585" s="1016"/>
      <c r="F585" s="1016"/>
      <c r="G585" s="1016"/>
      <c r="H585" s="1395" t="s">
        <v>397</v>
      </c>
      <c r="I585" s="1016"/>
      <c r="J585" s="1016"/>
      <c r="K585" s="1012" t="s">
        <v>1271</v>
      </c>
      <c r="L585" s="1016"/>
      <c r="M585" s="1016"/>
      <c r="N585" s="1393" t="s">
        <v>1269</v>
      </c>
      <c r="O585" s="1016"/>
      <c r="Q585" s="69" t="s">
        <v>2785</v>
      </c>
    </row>
    <row r="586" spans="2:45" ht="16.5" thickBot="1">
      <c r="B586" s="1710"/>
      <c r="C586" s="989" t="s">
        <v>185</v>
      </c>
      <c r="D586" s="989" t="s">
        <v>186</v>
      </c>
      <c r="E586" s="989"/>
      <c r="F586" s="989"/>
      <c r="G586" s="989"/>
      <c r="H586" s="989" t="s">
        <v>186</v>
      </c>
      <c r="I586" s="989"/>
      <c r="J586" s="989"/>
      <c r="K586" s="989" t="s">
        <v>186</v>
      </c>
      <c r="L586" s="989"/>
      <c r="M586" s="989"/>
      <c r="N586" s="989" t="s">
        <v>187</v>
      </c>
      <c r="O586" s="989"/>
      <c r="Q586" s="1416" t="s">
        <v>183</v>
      </c>
      <c r="R586" s="903" t="s">
        <v>27</v>
      </c>
      <c r="S586" s="904" t="s">
        <v>1270</v>
      </c>
      <c r="T586" s="896" t="s">
        <v>43</v>
      </c>
      <c r="U586" s="905" t="s">
        <v>120</v>
      </c>
      <c r="V586" s="906" t="s">
        <v>47</v>
      </c>
      <c r="W586" s="907" t="s">
        <v>46</v>
      </c>
      <c r="X586" s="908" t="s">
        <v>397</v>
      </c>
      <c r="Y586" s="909" t="s">
        <v>155</v>
      </c>
      <c r="Z586" s="897" t="s">
        <v>24</v>
      </c>
      <c r="AA586" s="910" t="s">
        <v>23</v>
      </c>
      <c r="AB586" s="895" t="s">
        <v>29</v>
      </c>
      <c r="AC586" s="911" t="s">
        <v>93</v>
      </c>
      <c r="AD586" s="912" t="s">
        <v>1269</v>
      </c>
      <c r="AE586" s="913" t="s">
        <v>26</v>
      </c>
      <c r="AF586" s="914" t="s">
        <v>109</v>
      </c>
      <c r="AG586" s="915" t="s">
        <v>114</v>
      </c>
      <c r="AH586" s="916" t="s">
        <v>1272</v>
      </c>
      <c r="AI586" s="917" t="s">
        <v>68</v>
      </c>
      <c r="AJ586" s="918" t="s">
        <v>234</v>
      </c>
      <c r="AK586" s="919" t="s">
        <v>124</v>
      </c>
      <c r="AL586" s="920" t="s">
        <v>74</v>
      </c>
      <c r="AM586" s="921" t="s">
        <v>1271</v>
      </c>
      <c r="AN586" s="922" t="s">
        <v>20</v>
      </c>
      <c r="AO586" s="894" t="s">
        <v>44</v>
      </c>
      <c r="AP586" s="923" t="s">
        <v>339</v>
      </c>
      <c r="AQ586" s="924" t="s">
        <v>73</v>
      </c>
      <c r="AR586" s="925" t="s">
        <v>216</v>
      </c>
      <c r="AS586" s="926" t="s">
        <v>21</v>
      </c>
    </row>
    <row r="587" spans="2:45">
      <c r="B587" s="1710"/>
      <c r="C587" s="964" t="s">
        <v>44</v>
      </c>
      <c r="K587" s="981" t="s">
        <v>1271</v>
      </c>
      <c r="N587" s="977" t="s">
        <v>1270</v>
      </c>
      <c r="Q587" t="s">
        <v>126</v>
      </c>
      <c r="R587" s="319">
        <f>COUNTIF($C469:$O471, R$586)</f>
        <v>0</v>
      </c>
      <c r="S587" s="33">
        <f t="shared" ref="S587:AS587" si="87">COUNTIF($C469:$O471, S$586)</f>
        <v>0</v>
      </c>
      <c r="T587" s="587">
        <f t="shared" si="87"/>
        <v>0</v>
      </c>
      <c r="U587" s="66">
        <f t="shared" si="87"/>
        <v>0</v>
      </c>
      <c r="V587" s="1422">
        <f t="shared" si="87"/>
        <v>0</v>
      </c>
      <c r="W587" s="37">
        <f t="shared" si="87"/>
        <v>0</v>
      </c>
      <c r="X587" s="588">
        <f t="shared" si="87"/>
        <v>0</v>
      </c>
      <c r="Y587" s="233">
        <f t="shared" si="87"/>
        <v>0</v>
      </c>
      <c r="Z587" s="36">
        <f t="shared" si="87"/>
        <v>0</v>
      </c>
      <c r="AA587" s="577">
        <f t="shared" si="87"/>
        <v>0</v>
      </c>
      <c r="AB587">
        <f t="shared" si="87"/>
        <v>0</v>
      </c>
      <c r="AC587">
        <f t="shared" si="87"/>
        <v>0</v>
      </c>
      <c r="AD587" s="242">
        <f t="shared" si="87"/>
        <v>0</v>
      </c>
      <c r="AE587" s="8">
        <f t="shared" si="87"/>
        <v>0</v>
      </c>
      <c r="AF587" s="1423">
        <f t="shared" si="87"/>
        <v>1</v>
      </c>
      <c r="AG587" s="1332">
        <f t="shared" si="87"/>
        <v>0</v>
      </c>
      <c r="AH587" s="1088">
        <f t="shared" si="87"/>
        <v>0</v>
      </c>
      <c r="AI587">
        <f t="shared" si="87"/>
        <v>0</v>
      </c>
      <c r="AJ587" s="500">
        <f t="shared" si="87"/>
        <v>0</v>
      </c>
      <c r="AK587" s="1088">
        <f t="shared" si="87"/>
        <v>0</v>
      </c>
      <c r="AL587" s="36">
        <f t="shared" si="87"/>
        <v>0</v>
      </c>
      <c r="AM587" s="1101">
        <f t="shared" si="87"/>
        <v>0</v>
      </c>
      <c r="AN587" s="10">
        <f t="shared" si="87"/>
        <v>0</v>
      </c>
      <c r="AO587" s="1094">
        <f t="shared" si="87"/>
        <v>2</v>
      </c>
      <c r="AP587" s="361">
        <f t="shared" si="87"/>
        <v>0</v>
      </c>
      <c r="AQ587">
        <f t="shared" si="87"/>
        <v>0</v>
      </c>
      <c r="AR587" s="1323">
        <f t="shared" si="87"/>
        <v>0</v>
      </c>
      <c r="AS587">
        <f t="shared" si="87"/>
        <v>0</v>
      </c>
    </row>
    <row r="588" spans="2:45">
      <c r="B588" s="1710"/>
      <c r="C588" s="989" t="s">
        <v>186</v>
      </c>
      <c r="D588" s="989"/>
      <c r="E588" s="989"/>
      <c r="F588" s="989"/>
      <c r="G588" s="989"/>
      <c r="H588" s="989"/>
      <c r="I588" s="989"/>
      <c r="J588" s="989"/>
      <c r="K588" s="989" t="s">
        <v>187</v>
      </c>
      <c r="L588" s="989"/>
      <c r="M588" s="989"/>
      <c r="N588" s="989" t="s">
        <v>188</v>
      </c>
      <c r="O588" s="989"/>
      <c r="Q588" t="s">
        <v>127</v>
      </c>
      <c r="R588" s="319">
        <f>COUNTIF($C472:$O472, R$586)</f>
        <v>0</v>
      </c>
      <c r="S588" s="33">
        <f t="shared" ref="S588:AS588" si="88">COUNTIF($C472:$O472, S$586)</f>
        <v>0</v>
      </c>
      <c r="T588" s="587">
        <f t="shared" si="88"/>
        <v>0</v>
      </c>
      <c r="U588" s="66">
        <f t="shared" si="88"/>
        <v>0</v>
      </c>
      <c r="V588" s="1422">
        <f t="shared" si="88"/>
        <v>0</v>
      </c>
      <c r="W588" s="37">
        <f t="shared" si="88"/>
        <v>0</v>
      </c>
      <c r="X588" s="588">
        <f t="shared" si="88"/>
        <v>0</v>
      </c>
      <c r="Y588" s="233">
        <f t="shared" si="88"/>
        <v>0</v>
      </c>
      <c r="Z588" s="36">
        <f t="shared" si="88"/>
        <v>0</v>
      </c>
      <c r="AA588" s="577">
        <f t="shared" si="88"/>
        <v>0</v>
      </c>
      <c r="AB588">
        <f t="shared" si="88"/>
        <v>0</v>
      </c>
      <c r="AC588">
        <f t="shared" si="88"/>
        <v>0</v>
      </c>
      <c r="AD588" s="242">
        <f t="shared" si="88"/>
        <v>0</v>
      </c>
      <c r="AE588" s="8">
        <f t="shared" si="88"/>
        <v>0</v>
      </c>
      <c r="AF588" s="1423">
        <f t="shared" si="88"/>
        <v>0</v>
      </c>
      <c r="AG588" s="1332">
        <f t="shared" si="88"/>
        <v>0</v>
      </c>
      <c r="AH588" s="1088">
        <f t="shared" si="88"/>
        <v>0</v>
      </c>
      <c r="AI588">
        <f t="shared" si="88"/>
        <v>0</v>
      </c>
      <c r="AJ588" s="500">
        <f t="shared" si="88"/>
        <v>0</v>
      </c>
      <c r="AK588" s="1088">
        <f t="shared" si="88"/>
        <v>0</v>
      </c>
      <c r="AL588" s="36">
        <f t="shared" si="88"/>
        <v>0</v>
      </c>
      <c r="AM588" s="1101">
        <f t="shared" si="88"/>
        <v>0</v>
      </c>
      <c r="AN588" s="10">
        <f t="shared" si="88"/>
        <v>0</v>
      </c>
      <c r="AO588" s="1094">
        <f t="shared" si="88"/>
        <v>0</v>
      </c>
      <c r="AP588" s="361">
        <f t="shared" si="88"/>
        <v>0</v>
      </c>
      <c r="AQ588">
        <f t="shared" si="88"/>
        <v>0</v>
      </c>
      <c r="AR588" s="1323">
        <f t="shared" si="88"/>
        <v>0</v>
      </c>
      <c r="AS588">
        <f t="shared" si="88"/>
        <v>0</v>
      </c>
    </row>
    <row r="589" spans="2:45">
      <c r="B589" s="1710"/>
      <c r="N589" s="977" t="s">
        <v>1270</v>
      </c>
      <c r="Q589" t="s">
        <v>128</v>
      </c>
      <c r="R589" s="319">
        <f>COUNTIF($C473:$O473, R$586)</f>
        <v>0</v>
      </c>
      <c r="S589" s="33">
        <f t="shared" ref="S589:AS589" si="89">COUNTIF($C473:$O473, S$586)</f>
        <v>0</v>
      </c>
      <c r="T589" s="587">
        <f t="shared" si="89"/>
        <v>0</v>
      </c>
      <c r="U589" s="66">
        <f t="shared" si="89"/>
        <v>0</v>
      </c>
      <c r="V589" s="1422">
        <f t="shared" si="89"/>
        <v>0</v>
      </c>
      <c r="W589" s="37">
        <f t="shared" si="89"/>
        <v>0</v>
      </c>
      <c r="X589" s="588">
        <f t="shared" si="89"/>
        <v>0</v>
      </c>
      <c r="Y589" s="233">
        <f t="shared" si="89"/>
        <v>0</v>
      </c>
      <c r="Z589" s="36">
        <f t="shared" si="89"/>
        <v>0</v>
      </c>
      <c r="AA589" s="577">
        <f t="shared" si="89"/>
        <v>0</v>
      </c>
      <c r="AB589">
        <f t="shared" si="89"/>
        <v>0</v>
      </c>
      <c r="AC589">
        <f t="shared" si="89"/>
        <v>0</v>
      </c>
      <c r="AD589" s="242">
        <f t="shared" si="89"/>
        <v>0</v>
      </c>
      <c r="AE589" s="8">
        <f t="shared" si="89"/>
        <v>0</v>
      </c>
      <c r="AF589" s="1423">
        <f t="shared" si="89"/>
        <v>0</v>
      </c>
      <c r="AG589" s="1332">
        <f t="shared" si="89"/>
        <v>0</v>
      </c>
      <c r="AH589" s="1088">
        <f t="shared" si="89"/>
        <v>0</v>
      </c>
      <c r="AI589">
        <f t="shared" si="89"/>
        <v>0</v>
      </c>
      <c r="AJ589" s="500">
        <f t="shared" si="89"/>
        <v>0</v>
      </c>
      <c r="AK589" s="1088">
        <f t="shared" si="89"/>
        <v>0</v>
      </c>
      <c r="AL589" s="36">
        <f t="shared" si="89"/>
        <v>0</v>
      </c>
      <c r="AM589" s="1101">
        <f t="shared" si="89"/>
        <v>0</v>
      </c>
      <c r="AN589" s="10">
        <f t="shared" si="89"/>
        <v>0</v>
      </c>
      <c r="AO589" s="1094">
        <f t="shared" si="89"/>
        <v>0</v>
      </c>
      <c r="AP589" s="361">
        <f t="shared" si="89"/>
        <v>0</v>
      </c>
      <c r="AQ589">
        <f t="shared" si="89"/>
        <v>0</v>
      </c>
      <c r="AR589" s="1323">
        <f t="shared" si="89"/>
        <v>0</v>
      </c>
      <c r="AS589">
        <f t="shared" si="89"/>
        <v>0</v>
      </c>
    </row>
    <row r="590" spans="2:45">
      <c r="B590" s="1710"/>
      <c r="N590" s="189" t="s">
        <v>47</v>
      </c>
      <c r="Q590" t="s">
        <v>129</v>
      </c>
      <c r="R590" s="319">
        <f>COUNTIF($C474:$O475, R$586)</f>
        <v>0</v>
      </c>
      <c r="S590" s="33">
        <f t="shared" ref="S590:AS590" si="90">COUNTIF($C474:$O475, S$586)</f>
        <v>0</v>
      </c>
      <c r="T590" s="587">
        <f t="shared" si="90"/>
        <v>0</v>
      </c>
      <c r="U590" s="66">
        <f t="shared" si="90"/>
        <v>0</v>
      </c>
      <c r="V590" s="1422">
        <f t="shared" si="90"/>
        <v>0</v>
      </c>
      <c r="W590" s="37">
        <f t="shared" si="90"/>
        <v>0</v>
      </c>
      <c r="X590" s="588">
        <f t="shared" si="90"/>
        <v>0</v>
      </c>
      <c r="Y590" s="233">
        <f t="shared" si="90"/>
        <v>0</v>
      </c>
      <c r="Z590" s="36">
        <f t="shared" si="90"/>
        <v>0</v>
      </c>
      <c r="AA590" s="577">
        <f t="shared" si="90"/>
        <v>0</v>
      </c>
      <c r="AB590">
        <f t="shared" si="90"/>
        <v>0</v>
      </c>
      <c r="AC590">
        <f t="shared" si="90"/>
        <v>0</v>
      </c>
      <c r="AD590" s="242">
        <f t="shared" si="90"/>
        <v>0</v>
      </c>
      <c r="AE590" s="8">
        <f t="shared" si="90"/>
        <v>0</v>
      </c>
      <c r="AF590" s="1423">
        <f t="shared" si="90"/>
        <v>0</v>
      </c>
      <c r="AG590" s="1332">
        <f t="shared" si="90"/>
        <v>0</v>
      </c>
      <c r="AH590" s="1088">
        <f t="shared" si="90"/>
        <v>0</v>
      </c>
      <c r="AI590">
        <f t="shared" si="90"/>
        <v>0</v>
      </c>
      <c r="AJ590" s="500">
        <f t="shared" si="90"/>
        <v>0</v>
      </c>
      <c r="AK590" s="1088">
        <f t="shared" si="90"/>
        <v>0</v>
      </c>
      <c r="AL590" s="36">
        <f t="shared" si="90"/>
        <v>0</v>
      </c>
      <c r="AM590" s="1101">
        <f t="shared" si="90"/>
        <v>0</v>
      </c>
      <c r="AN590" s="10">
        <f t="shared" si="90"/>
        <v>1</v>
      </c>
      <c r="AO590" s="1094">
        <f t="shared" si="90"/>
        <v>0</v>
      </c>
      <c r="AP590" s="361">
        <f t="shared" si="90"/>
        <v>0</v>
      </c>
      <c r="AQ590">
        <f t="shared" si="90"/>
        <v>0</v>
      </c>
      <c r="AR590" s="1323">
        <f t="shared" si="90"/>
        <v>0</v>
      </c>
      <c r="AS590">
        <f t="shared" si="90"/>
        <v>0</v>
      </c>
    </row>
    <row r="591" spans="2:45" ht="16.5" thickBot="1">
      <c r="B591" s="1711"/>
      <c r="C591" s="985"/>
      <c r="D591" s="985"/>
      <c r="E591" s="985"/>
      <c r="F591" s="985"/>
      <c r="G591" s="985"/>
      <c r="H591" s="985"/>
      <c r="I591" s="985"/>
      <c r="J591" s="985"/>
      <c r="K591" s="985"/>
      <c r="L591" s="985"/>
      <c r="M591" s="985"/>
      <c r="N591" s="985" t="s">
        <v>190</v>
      </c>
      <c r="O591" s="985"/>
      <c r="Q591" t="s">
        <v>130</v>
      </c>
      <c r="R591" s="319">
        <f>COUNTIF($C476:$O478, R$586)</f>
        <v>1</v>
      </c>
      <c r="S591" s="33">
        <f t="shared" ref="S591:AS591" si="91">COUNTIF($C476:$O478, S$586)</f>
        <v>0</v>
      </c>
      <c r="T591" s="587">
        <f t="shared" si="91"/>
        <v>0</v>
      </c>
      <c r="U591" s="66">
        <f t="shared" si="91"/>
        <v>0</v>
      </c>
      <c r="V591" s="1422">
        <f t="shared" si="91"/>
        <v>0</v>
      </c>
      <c r="W591" s="37">
        <f t="shared" si="91"/>
        <v>0</v>
      </c>
      <c r="X591" s="588">
        <f t="shared" si="91"/>
        <v>0</v>
      </c>
      <c r="Y591" s="233">
        <f t="shared" si="91"/>
        <v>0</v>
      </c>
      <c r="Z591" s="36">
        <f t="shared" si="91"/>
        <v>0</v>
      </c>
      <c r="AA591" s="577">
        <f t="shared" si="91"/>
        <v>0</v>
      </c>
      <c r="AB591">
        <f t="shared" si="91"/>
        <v>0</v>
      </c>
      <c r="AC591">
        <f t="shared" si="91"/>
        <v>0</v>
      </c>
      <c r="AD591" s="242">
        <f t="shared" si="91"/>
        <v>0</v>
      </c>
      <c r="AE591" s="8">
        <f t="shared" si="91"/>
        <v>1</v>
      </c>
      <c r="AF591" s="1423">
        <f t="shared" si="91"/>
        <v>0</v>
      </c>
      <c r="AG591" s="1332">
        <f t="shared" si="91"/>
        <v>0</v>
      </c>
      <c r="AH591" s="1088">
        <f t="shared" si="91"/>
        <v>0</v>
      </c>
      <c r="AI591">
        <f t="shared" si="91"/>
        <v>0</v>
      </c>
      <c r="AJ591" s="500">
        <f t="shared" si="91"/>
        <v>1</v>
      </c>
      <c r="AK591" s="1088">
        <f t="shared" si="91"/>
        <v>0</v>
      </c>
      <c r="AL591" s="36">
        <f t="shared" si="91"/>
        <v>0</v>
      </c>
      <c r="AM591" s="1101">
        <f t="shared" si="91"/>
        <v>2</v>
      </c>
      <c r="AN591" s="10">
        <f t="shared" si="91"/>
        <v>1</v>
      </c>
      <c r="AO591" s="1094">
        <f t="shared" si="91"/>
        <v>2</v>
      </c>
      <c r="AP591" s="361">
        <f t="shared" si="91"/>
        <v>0</v>
      </c>
      <c r="AQ591">
        <f t="shared" si="91"/>
        <v>0</v>
      </c>
      <c r="AR591" s="1323">
        <f t="shared" si="91"/>
        <v>0</v>
      </c>
      <c r="AS591">
        <f t="shared" si="91"/>
        <v>0</v>
      </c>
    </row>
    <row r="592" spans="2:45" ht="16.5" thickTop="1">
      <c r="B592" s="1706" t="s">
        <v>35</v>
      </c>
      <c r="C592" s="1012" t="s">
        <v>1271</v>
      </c>
      <c r="D592" s="1018" t="s">
        <v>1270</v>
      </c>
      <c r="E592" s="1392" t="s">
        <v>44</v>
      </c>
      <c r="F592" s="1402" t="s">
        <v>46</v>
      </c>
      <c r="G592" s="1016"/>
      <c r="H592" s="1016"/>
      <c r="I592" s="1394" t="s">
        <v>27</v>
      </c>
      <c r="J592" s="1018" t="s">
        <v>1270</v>
      </c>
      <c r="K592" s="1016"/>
      <c r="L592" s="1016"/>
      <c r="M592" s="1393" t="s">
        <v>1269</v>
      </c>
      <c r="N592" s="1016"/>
      <c r="O592" s="1016"/>
      <c r="Q592" t="s">
        <v>131</v>
      </c>
      <c r="R592" s="319">
        <f>COUNTIF($C479:$O480, R$586)</f>
        <v>1</v>
      </c>
      <c r="S592" s="33">
        <f t="shared" ref="S592:AS592" si="92">COUNTIF($C479:$O480, S$586)</f>
        <v>0</v>
      </c>
      <c r="T592" s="587">
        <f t="shared" si="92"/>
        <v>0</v>
      </c>
      <c r="U592" s="66">
        <f t="shared" si="92"/>
        <v>0</v>
      </c>
      <c r="V592" s="1422">
        <f t="shared" si="92"/>
        <v>0</v>
      </c>
      <c r="W592" s="37">
        <f t="shared" si="92"/>
        <v>0</v>
      </c>
      <c r="X592" s="588">
        <f t="shared" si="92"/>
        <v>0</v>
      </c>
      <c r="Y592" s="233">
        <f t="shared" si="92"/>
        <v>0</v>
      </c>
      <c r="Z592" s="36">
        <f t="shared" si="92"/>
        <v>0</v>
      </c>
      <c r="AA592" s="577">
        <f t="shared" si="92"/>
        <v>0</v>
      </c>
      <c r="AB592">
        <f t="shared" si="92"/>
        <v>0</v>
      </c>
      <c r="AC592">
        <f t="shared" si="92"/>
        <v>0</v>
      </c>
      <c r="AD592" s="242">
        <f t="shared" si="92"/>
        <v>1</v>
      </c>
      <c r="AE592" s="8">
        <f t="shared" si="92"/>
        <v>0</v>
      </c>
      <c r="AF592" s="1423">
        <f t="shared" si="92"/>
        <v>0</v>
      </c>
      <c r="AG592" s="1332">
        <f t="shared" si="92"/>
        <v>0</v>
      </c>
      <c r="AH592" s="1088">
        <f t="shared" si="92"/>
        <v>0</v>
      </c>
      <c r="AI592">
        <f t="shared" si="92"/>
        <v>0</v>
      </c>
      <c r="AJ592" s="500">
        <f t="shared" si="92"/>
        <v>1</v>
      </c>
      <c r="AK592" s="1088">
        <f t="shared" si="92"/>
        <v>0</v>
      </c>
      <c r="AL592" s="36">
        <f t="shared" si="92"/>
        <v>0</v>
      </c>
      <c r="AM592" s="1101">
        <f t="shared" si="92"/>
        <v>1</v>
      </c>
      <c r="AN592" s="10">
        <f t="shared" si="92"/>
        <v>0</v>
      </c>
      <c r="AO592" s="1094">
        <f t="shared" si="92"/>
        <v>0</v>
      </c>
      <c r="AP592" s="361">
        <f t="shared" si="92"/>
        <v>0</v>
      </c>
      <c r="AQ592">
        <f t="shared" si="92"/>
        <v>0</v>
      </c>
      <c r="AR592" s="1323">
        <f t="shared" si="92"/>
        <v>0</v>
      </c>
      <c r="AS592">
        <f t="shared" si="92"/>
        <v>0</v>
      </c>
    </row>
    <row r="593" spans="2:45">
      <c r="B593" s="1707"/>
      <c r="E593" s="956" t="s">
        <v>109</v>
      </c>
      <c r="I593" s="977" t="s">
        <v>1270</v>
      </c>
      <c r="Q593" t="s">
        <v>132</v>
      </c>
      <c r="R593" s="319">
        <f>COUNTIF($C481:$O482, R$586)</f>
        <v>0</v>
      </c>
      <c r="S593" s="33">
        <f t="shared" ref="S593:AS593" si="93">COUNTIF($C481:$O482, S$586)</f>
        <v>0</v>
      </c>
      <c r="T593" s="587">
        <f t="shared" si="93"/>
        <v>0</v>
      </c>
      <c r="U593" s="66">
        <f t="shared" si="93"/>
        <v>0</v>
      </c>
      <c r="V593" s="1422">
        <f t="shared" si="93"/>
        <v>0</v>
      </c>
      <c r="W593" s="37">
        <f t="shared" si="93"/>
        <v>0</v>
      </c>
      <c r="X593" s="588">
        <f t="shared" si="93"/>
        <v>0</v>
      </c>
      <c r="Y593" s="233">
        <f t="shared" si="93"/>
        <v>0</v>
      </c>
      <c r="Z593" s="36">
        <f t="shared" si="93"/>
        <v>0</v>
      </c>
      <c r="AA593" s="577">
        <f t="shared" si="93"/>
        <v>0</v>
      </c>
      <c r="AB593">
        <f t="shared" si="93"/>
        <v>0</v>
      </c>
      <c r="AC593">
        <f t="shared" si="93"/>
        <v>0</v>
      </c>
      <c r="AD593" s="242">
        <f t="shared" si="93"/>
        <v>0</v>
      </c>
      <c r="AE593" s="8">
        <f t="shared" si="93"/>
        <v>0</v>
      </c>
      <c r="AF593" s="1423">
        <f t="shared" si="93"/>
        <v>0</v>
      </c>
      <c r="AG593" s="1332">
        <f t="shared" si="93"/>
        <v>0</v>
      </c>
      <c r="AH593" s="1088">
        <f t="shared" si="93"/>
        <v>0</v>
      </c>
      <c r="AI593">
        <f t="shared" si="93"/>
        <v>0</v>
      </c>
      <c r="AJ593" s="500">
        <f t="shared" si="93"/>
        <v>0</v>
      </c>
      <c r="AK593" s="1088">
        <f t="shared" si="93"/>
        <v>0</v>
      </c>
      <c r="AL593" s="36">
        <f t="shared" si="93"/>
        <v>0</v>
      </c>
      <c r="AM593" s="1101">
        <f t="shared" si="93"/>
        <v>0</v>
      </c>
      <c r="AN593" s="10">
        <f t="shared" si="93"/>
        <v>0</v>
      </c>
      <c r="AO593" s="1094">
        <f t="shared" si="93"/>
        <v>1</v>
      </c>
      <c r="AP593" s="361">
        <f t="shared" si="93"/>
        <v>0</v>
      </c>
      <c r="AQ593">
        <f t="shared" si="93"/>
        <v>0</v>
      </c>
      <c r="AR593" s="1323">
        <f t="shared" si="93"/>
        <v>0</v>
      </c>
      <c r="AS593">
        <f t="shared" si="93"/>
        <v>0</v>
      </c>
    </row>
    <row r="594" spans="2:45">
      <c r="B594" s="1707"/>
      <c r="C594" s="989" t="s">
        <v>186</v>
      </c>
      <c r="D594" s="989" t="s">
        <v>190</v>
      </c>
      <c r="E594" s="989" t="s">
        <v>186</v>
      </c>
      <c r="F594" s="989" t="s">
        <v>189</v>
      </c>
      <c r="G594" s="989"/>
      <c r="H594" s="989"/>
      <c r="I594" s="989" t="s">
        <v>189</v>
      </c>
      <c r="J594" s="989" t="s">
        <v>186</v>
      </c>
      <c r="K594" s="989"/>
      <c r="L594" s="989"/>
      <c r="M594" s="989" t="s">
        <v>186</v>
      </c>
      <c r="N594" s="989"/>
      <c r="O594" s="989"/>
      <c r="Q594" t="s">
        <v>133</v>
      </c>
      <c r="R594" s="319">
        <f>COUNTIF($C483:$O486, R$586)</f>
        <v>0</v>
      </c>
      <c r="S594" s="33">
        <f t="shared" ref="S594:AS594" si="94">COUNTIF($C483:$O486, S$586)</f>
        <v>0</v>
      </c>
      <c r="T594" s="587">
        <f t="shared" si="94"/>
        <v>0</v>
      </c>
      <c r="U594" s="66">
        <f t="shared" si="94"/>
        <v>1</v>
      </c>
      <c r="V594" s="1422">
        <f t="shared" si="94"/>
        <v>0</v>
      </c>
      <c r="W594" s="37">
        <f t="shared" si="94"/>
        <v>0</v>
      </c>
      <c r="X594" s="588">
        <f t="shared" si="94"/>
        <v>0</v>
      </c>
      <c r="Y594" s="233">
        <f t="shared" si="94"/>
        <v>0</v>
      </c>
      <c r="Z594" s="36">
        <f t="shared" si="94"/>
        <v>0</v>
      </c>
      <c r="AA594" s="577">
        <f t="shared" si="94"/>
        <v>0</v>
      </c>
      <c r="AB594">
        <f t="shared" si="94"/>
        <v>0</v>
      </c>
      <c r="AC594">
        <f t="shared" si="94"/>
        <v>0</v>
      </c>
      <c r="AD594" s="242">
        <f t="shared" si="94"/>
        <v>0</v>
      </c>
      <c r="AE594" s="8">
        <f t="shared" si="94"/>
        <v>0</v>
      </c>
      <c r="AF594" s="1423">
        <f t="shared" si="94"/>
        <v>0</v>
      </c>
      <c r="AG594" s="1332">
        <f t="shared" si="94"/>
        <v>0</v>
      </c>
      <c r="AH594" s="1088">
        <f t="shared" si="94"/>
        <v>0</v>
      </c>
      <c r="AI594">
        <f t="shared" si="94"/>
        <v>0</v>
      </c>
      <c r="AJ594" s="500">
        <f t="shared" si="94"/>
        <v>0</v>
      </c>
      <c r="AK594" s="1088">
        <f t="shared" si="94"/>
        <v>0</v>
      </c>
      <c r="AL594" s="36">
        <f t="shared" si="94"/>
        <v>0</v>
      </c>
      <c r="AM594" s="1101">
        <f t="shared" si="94"/>
        <v>0</v>
      </c>
      <c r="AN594" s="10">
        <f t="shared" si="94"/>
        <v>0</v>
      </c>
      <c r="AO594" s="1094">
        <f t="shared" si="94"/>
        <v>3</v>
      </c>
      <c r="AP594" s="361">
        <f t="shared" si="94"/>
        <v>0</v>
      </c>
      <c r="AQ594">
        <f t="shared" si="94"/>
        <v>0</v>
      </c>
      <c r="AR594" s="1323">
        <f t="shared" si="94"/>
        <v>0</v>
      </c>
      <c r="AS594">
        <f t="shared" si="94"/>
        <v>0</v>
      </c>
    </row>
    <row r="595" spans="2:45">
      <c r="B595" s="1707"/>
      <c r="C595" s="964" t="s">
        <v>44</v>
      </c>
      <c r="L595" s="990"/>
      <c r="M595" s="981" t="s">
        <v>1271</v>
      </c>
      <c r="Q595" t="s">
        <v>134</v>
      </c>
      <c r="R595" s="319">
        <f>COUNTIF($C487:$O488, R$586)</f>
        <v>0</v>
      </c>
      <c r="S595" s="33">
        <f t="shared" ref="S595:AS595" si="95">COUNTIF($C487:$O488, S$586)</f>
        <v>0</v>
      </c>
      <c r="T595" s="587">
        <f t="shared" si="95"/>
        <v>0</v>
      </c>
      <c r="U595" s="66">
        <f t="shared" si="95"/>
        <v>0</v>
      </c>
      <c r="V595" s="1422">
        <f t="shared" si="95"/>
        <v>0</v>
      </c>
      <c r="W595" s="37">
        <f t="shared" si="95"/>
        <v>0</v>
      </c>
      <c r="X595" s="588">
        <f t="shared" si="95"/>
        <v>1</v>
      </c>
      <c r="Y595" s="233">
        <f t="shared" si="95"/>
        <v>0</v>
      </c>
      <c r="Z595" s="36">
        <f t="shared" si="95"/>
        <v>0</v>
      </c>
      <c r="AA595" s="577">
        <f t="shared" si="95"/>
        <v>0</v>
      </c>
      <c r="AB595">
        <f t="shared" si="95"/>
        <v>0</v>
      </c>
      <c r="AC595">
        <f t="shared" si="95"/>
        <v>0</v>
      </c>
      <c r="AD595" s="242">
        <f t="shared" si="95"/>
        <v>0</v>
      </c>
      <c r="AE595" s="8">
        <f t="shared" si="95"/>
        <v>0</v>
      </c>
      <c r="AF595" s="1423">
        <f t="shared" si="95"/>
        <v>0</v>
      </c>
      <c r="AG595" s="1332">
        <f t="shared" si="95"/>
        <v>0</v>
      </c>
      <c r="AH595" s="1088">
        <f t="shared" si="95"/>
        <v>0</v>
      </c>
      <c r="AI595">
        <f t="shared" si="95"/>
        <v>0</v>
      </c>
      <c r="AJ595" s="500">
        <f t="shared" si="95"/>
        <v>0</v>
      </c>
      <c r="AK595" s="1088">
        <f t="shared" si="95"/>
        <v>0</v>
      </c>
      <c r="AL595" s="36">
        <f t="shared" si="95"/>
        <v>0</v>
      </c>
      <c r="AM595" s="1101">
        <f t="shared" si="95"/>
        <v>0</v>
      </c>
      <c r="AN595" s="10">
        <f t="shared" si="95"/>
        <v>0</v>
      </c>
      <c r="AO595" s="1094">
        <f t="shared" si="95"/>
        <v>0</v>
      </c>
      <c r="AP595" s="361">
        <f t="shared" si="95"/>
        <v>0</v>
      </c>
      <c r="AQ595">
        <f t="shared" si="95"/>
        <v>0</v>
      </c>
      <c r="AR595" s="1323">
        <f t="shared" si="95"/>
        <v>0</v>
      </c>
      <c r="AS595">
        <f t="shared" si="95"/>
        <v>0</v>
      </c>
    </row>
    <row r="596" spans="2:45">
      <c r="B596" s="1707"/>
      <c r="C596" s="977" t="s">
        <v>1270</v>
      </c>
      <c r="M596" s="968" t="s">
        <v>26</v>
      </c>
      <c r="Q596" t="s">
        <v>135</v>
      </c>
      <c r="R596" s="319">
        <f>COUNTIF($C489:$O490, R$586)</f>
        <v>0</v>
      </c>
      <c r="S596" s="33">
        <f t="shared" ref="S596:AS596" si="96">COUNTIF($C489:$O490, S$586)</f>
        <v>0</v>
      </c>
      <c r="T596" s="587">
        <f t="shared" si="96"/>
        <v>0</v>
      </c>
      <c r="U596" s="66">
        <f t="shared" si="96"/>
        <v>0</v>
      </c>
      <c r="V596" s="1422">
        <f t="shared" si="96"/>
        <v>0</v>
      </c>
      <c r="W596" s="37">
        <f t="shared" si="96"/>
        <v>0</v>
      </c>
      <c r="X596" s="588">
        <f t="shared" si="96"/>
        <v>0</v>
      </c>
      <c r="Y596" s="233">
        <f t="shared" si="96"/>
        <v>0</v>
      </c>
      <c r="Z596" s="36">
        <f t="shared" si="96"/>
        <v>0</v>
      </c>
      <c r="AA596" s="577">
        <f t="shared" si="96"/>
        <v>0</v>
      </c>
      <c r="AB596">
        <f t="shared" si="96"/>
        <v>0</v>
      </c>
      <c r="AC596">
        <f t="shared" si="96"/>
        <v>0</v>
      </c>
      <c r="AD596" s="242">
        <f t="shared" si="96"/>
        <v>0</v>
      </c>
      <c r="AE596" s="8">
        <f t="shared" si="96"/>
        <v>1</v>
      </c>
      <c r="AF596" s="1423">
        <f t="shared" si="96"/>
        <v>0</v>
      </c>
      <c r="AG596" s="1332">
        <f t="shared" si="96"/>
        <v>0</v>
      </c>
      <c r="AH596" s="1088">
        <f t="shared" si="96"/>
        <v>0</v>
      </c>
      <c r="AI596">
        <f t="shared" si="96"/>
        <v>0</v>
      </c>
      <c r="AJ596" s="500">
        <f t="shared" si="96"/>
        <v>0</v>
      </c>
      <c r="AK596" s="1088">
        <f t="shared" si="96"/>
        <v>0</v>
      </c>
      <c r="AL596" s="36">
        <f t="shared" si="96"/>
        <v>0</v>
      </c>
      <c r="AM596" s="1101">
        <f t="shared" si="96"/>
        <v>0</v>
      </c>
      <c r="AN596" s="10">
        <f t="shared" si="96"/>
        <v>0</v>
      </c>
      <c r="AO596" s="1094">
        <f t="shared" si="96"/>
        <v>1</v>
      </c>
      <c r="AP596" s="361">
        <f t="shared" si="96"/>
        <v>0</v>
      </c>
      <c r="AQ596">
        <f t="shared" si="96"/>
        <v>0</v>
      </c>
      <c r="AR596" s="1323">
        <f t="shared" si="96"/>
        <v>0</v>
      </c>
      <c r="AS596">
        <f t="shared" si="96"/>
        <v>0</v>
      </c>
    </row>
    <row r="597" spans="2:45">
      <c r="B597" s="1707"/>
      <c r="C597" s="980" t="s">
        <v>1272</v>
      </c>
      <c r="Q597" t="s">
        <v>136</v>
      </c>
      <c r="R597" s="319">
        <f>COUNTIF($C491:$O492, R$586)</f>
        <v>0</v>
      </c>
      <c r="S597" s="33">
        <f t="shared" ref="S597:AS597" si="97">COUNTIF($C491:$O492, S$586)</f>
        <v>0</v>
      </c>
      <c r="T597" s="587">
        <f t="shared" si="97"/>
        <v>0</v>
      </c>
      <c r="U597" s="66">
        <f t="shared" si="97"/>
        <v>0</v>
      </c>
      <c r="V597" s="1422">
        <f t="shared" si="97"/>
        <v>0</v>
      </c>
      <c r="W597" s="37">
        <f t="shared" si="97"/>
        <v>0</v>
      </c>
      <c r="X597" s="588">
        <f t="shared" si="97"/>
        <v>0</v>
      </c>
      <c r="Y597" s="233">
        <f t="shared" si="97"/>
        <v>0</v>
      </c>
      <c r="Z597" s="36">
        <f t="shared" si="97"/>
        <v>0</v>
      </c>
      <c r="AA597" s="577">
        <f t="shared" si="97"/>
        <v>0</v>
      </c>
      <c r="AB597">
        <f t="shared" si="97"/>
        <v>0</v>
      </c>
      <c r="AC597">
        <f t="shared" si="97"/>
        <v>0</v>
      </c>
      <c r="AD597" s="242">
        <f t="shared" si="97"/>
        <v>0</v>
      </c>
      <c r="AE597" s="8">
        <f t="shared" si="97"/>
        <v>0</v>
      </c>
      <c r="AF597" s="1423">
        <f t="shared" si="97"/>
        <v>0</v>
      </c>
      <c r="AG597" s="1332">
        <f t="shared" si="97"/>
        <v>0</v>
      </c>
      <c r="AH597" s="1088">
        <f t="shared" si="97"/>
        <v>1</v>
      </c>
      <c r="AI597">
        <f t="shared" si="97"/>
        <v>0</v>
      </c>
      <c r="AJ597" s="500">
        <f t="shared" si="97"/>
        <v>0</v>
      </c>
      <c r="AK597" s="1088">
        <f t="shared" si="97"/>
        <v>0</v>
      </c>
      <c r="AL597" s="36">
        <f t="shared" si="97"/>
        <v>0</v>
      </c>
      <c r="AM597" s="1101">
        <f t="shared" si="97"/>
        <v>0</v>
      </c>
      <c r="AN597" s="10">
        <f t="shared" si="97"/>
        <v>0</v>
      </c>
      <c r="AO597" s="1094">
        <f t="shared" si="97"/>
        <v>0</v>
      </c>
      <c r="AP597" s="361">
        <f t="shared" si="97"/>
        <v>0</v>
      </c>
      <c r="AQ597">
        <f t="shared" si="97"/>
        <v>0</v>
      </c>
      <c r="AR597" s="1323">
        <f t="shared" si="97"/>
        <v>0</v>
      </c>
      <c r="AS597">
        <f t="shared" si="97"/>
        <v>0</v>
      </c>
    </row>
    <row r="598" spans="2:45">
      <c r="B598" s="1707"/>
      <c r="C598" s="989" t="s">
        <v>188</v>
      </c>
      <c r="D598" s="989"/>
      <c r="E598" s="989"/>
      <c r="F598" s="989"/>
      <c r="G598" s="989"/>
      <c r="H598" s="989"/>
      <c r="I598" s="989"/>
      <c r="J598" s="989"/>
      <c r="K598" s="989"/>
      <c r="L598" s="989"/>
      <c r="M598" s="989" t="s">
        <v>190</v>
      </c>
      <c r="N598" s="989"/>
      <c r="O598" s="989"/>
      <c r="Q598" t="s">
        <v>137</v>
      </c>
      <c r="R598" s="319">
        <f>COUNTIF($C493:$O494, R$586)</f>
        <v>2</v>
      </c>
      <c r="S598" s="33">
        <f t="shared" ref="S598:AS598" si="98">COUNTIF($C493:$O494, S$586)</f>
        <v>0</v>
      </c>
      <c r="T598" s="587">
        <f t="shared" si="98"/>
        <v>0</v>
      </c>
      <c r="U598" s="66">
        <f t="shared" si="98"/>
        <v>0</v>
      </c>
      <c r="V598" s="1422">
        <f t="shared" si="98"/>
        <v>0</v>
      </c>
      <c r="W598" s="37">
        <f t="shared" si="98"/>
        <v>0</v>
      </c>
      <c r="X598" s="588">
        <f t="shared" si="98"/>
        <v>0</v>
      </c>
      <c r="Y598" s="233">
        <f t="shared" si="98"/>
        <v>0</v>
      </c>
      <c r="Z598" s="36">
        <f t="shared" si="98"/>
        <v>0</v>
      </c>
      <c r="AA598" s="577">
        <f t="shared" si="98"/>
        <v>0</v>
      </c>
      <c r="AB598">
        <f t="shared" si="98"/>
        <v>0</v>
      </c>
      <c r="AC598">
        <f t="shared" si="98"/>
        <v>0</v>
      </c>
      <c r="AD598" s="242">
        <f t="shared" si="98"/>
        <v>0</v>
      </c>
      <c r="AE598" s="8">
        <f t="shared" si="98"/>
        <v>0</v>
      </c>
      <c r="AF598" s="1423">
        <f t="shared" si="98"/>
        <v>0</v>
      </c>
      <c r="AG598" s="1332">
        <f t="shared" si="98"/>
        <v>0</v>
      </c>
      <c r="AH598" s="1088">
        <f t="shared" si="98"/>
        <v>0</v>
      </c>
      <c r="AI598">
        <f t="shared" si="98"/>
        <v>0</v>
      </c>
      <c r="AJ598" s="500">
        <f t="shared" si="98"/>
        <v>0</v>
      </c>
      <c r="AK598" s="1088">
        <f t="shared" si="98"/>
        <v>0</v>
      </c>
      <c r="AL598" s="36">
        <f t="shared" si="98"/>
        <v>0</v>
      </c>
      <c r="AM598" s="1101">
        <f t="shared" si="98"/>
        <v>0</v>
      </c>
      <c r="AN598" s="10">
        <f t="shared" si="98"/>
        <v>0</v>
      </c>
      <c r="AO598" s="1094">
        <f t="shared" si="98"/>
        <v>1</v>
      </c>
      <c r="AP598" s="361">
        <f t="shared" si="98"/>
        <v>0</v>
      </c>
      <c r="AQ598">
        <f t="shared" si="98"/>
        <v>0</v>
      </c>
      <c r="AR598" s="1323">
        <f t="shared" si="98"/>
        <v>0</v>
      </c>
      <c r="AS598">
        <f t="shared" si="98"/>
        <v>0</v>
      </c>
    </row>
    <row r="599" spans="2:45">
      <c r="B599" s="1707"/>
      <c r="C599" s="990"/>
      <c r="M599" s="964" t="s">
        <v>44</v>
      </c>
      <c r="Q599" t="s">
        <v>138</v>
      </c>
      <c r="R599" s="319">
        <f>COUNTIF($C495:$O496, R$586)</f>
        <v>0</v>
      </c>
      <c r="S599" s="33">
        <f t="shared" ref="S599:AS599" si="99">COUNTIF($C495:$O496, S$586)</f>
        <v>0</v>
      </c>
      <c r="T599" s="587">
        <f t="shared" si="99"/>
        <v>0</v>
      </c>
      <c r="U599" s="66">
        <f t="shared" si="99"/>
        <v>0</v>
      </c>
      <c r="V599" s="1422">
        <f t="shared" si="99"/>
        <v>0</v>
      </c>
      <c r="W599" s="37">
        <f t="shared" si="99"/>
        <v>0</v>
      </c>
      <c r="X599" s="588">
        <f t="shared" si="99"/>
        <v>0</v>
      </c>
      <c r="Y599" s="233">
        <f t="shared" si="99"/>
        <v>0</v>
      </c>
      <c r="Z599" s="36">
        <f t="shared" si="99"/>
        <v>0</v>
      </c>
      <c r="AA599" s="577">
        <f t="shared" si="99"/>
        <v>0</v>
      </c>
      <c r="AB599">
        <f t="shared" si="99"/>
        <v>0</v>
      </c>
      <c r="AC599">
        <f t="shared" si="99"/>
        <v>0</v>
      </c>
      <c r="AD599" s="242">
        <f t="shared" si="99"/>
        <v>1</v>
      </c>
      <c r="AE599" s="8">
        <f t="shared" si="99"/>
        <v>0</v>
      </c>
      <c r="AF599" s="1423">
        <f t="shared" si="99"/>
        <v>0</v>
      </c>
      <c r="AG599" s="1332">
        <f t="shared" si="99"/>
        <v>0</v>
      </c>
      <c r="AH599" s="1088">
        <f t="shared" si="99"/>
        <v>1</v>
      </c>
      <c r="AI599">
        <f t="shared" si="99"/>
        <v>0</v>
      </c>
      <c r="AJ599" s="500">
        <f t="shared" si="99"/>
        <v>0</v>
      </c>
      <c r="AK599" s="1088">
        <f t="shared" si="99"/>
        <v>0</v>
      </c>
      <c r="AL599" s="36">
        <f t="shared" si="99"/>
        <v>0</v>
      </c>
      <c r="AM599" s="1101">
        <f t="shared" si="99"/>
        <v>1</v>
      </c>
      <c r="AN599" s="10">
        <f t="shared" si="99"/>
        <v>0</v>
      </c>
      <c r="AO599" s="1094">
        <f t="shared" si="99"/>
        <v>1</v>
      </c>
      <c r="AP599" s="361">
        <f t="shared" si="99"/>
        <v>0</v>
      </c>
      <c r="AQ599">
        <f t="shared" si="99"/>
        <v>0</v>
      </c>
      <c r="AR599" s="1323">
        <f t="shared" si="99"/>
        <v>0</v>
      </c>
      <c r="AS599">
        <f t="shared" si="99"/>
        <v>0</v>
      </c>
    </row>
    <row r="600" spans="2:45">
      <c r="B600" s="1707"/>
      <c r="M600" s="993" t="s">
        <v>20</v>
      </c>
      <c r="Q600" t="s">
        <v>139</v>
      </c>
      <c r="R600" s="319">
        <f>COUNTIF($C497:$O498, R$586)</f>
        <v>1</v>
      </c>
      <c r="S600" s="33">
        <f t="shared" ref="S600:AS600" si="100">COUNTIF($C497:$O498, S$586)</f>
        <v>0</v>
      </c>
      <c r="T600" s="587">
        <f t="shared" si="100"/>
        <v>0</v>
      </c>
      <c r="U600" s="66">
        <f t="shared" si="100"/>
        <v>0</v>
      </c>
      <c r="V600" s="1422">
        <f t="shared" si="100"/>
        <v>0</v>
      </c>
      <c r="W600" s="37">
        <f t="shared" si="100"/>
        <v>0</v>
      </c>
      <c r="X600" s="588">
        <f t="shared" si="100"/>
        <v>0</v>
      </c>
      <c r="Y600" s="233">
        <f t="shared" si="100"/>
        <v>0</v>
      </c>
      <c r="Z600" s="36">
        <f t="shared" si="100"/>
        <v>0</v>
      </c>
      <c r="AA600" s="577">
        <f t="shared" si="100"/>
        <v>0</v>
      </c>
      <c r="AB600">
        <f t="shared" si="100"/>
        <v>0</v>
      </c>
      <c r="AC600">
        <f t="shared" si="100"/>
        <v>0</v>
      </c>
      <c r="AD600" s="242">
        <f t="shared" si="100"/>
        <v>0</v>
      </c>
      <c r="AE600" s="8">
        <f t="shared" si="100"/>
        <v>0</v>
      </c>
      <c r="AF600" s="1423">
        <f t="shared" si="100"/>
        <v>0</v>
      </c>
      <c r="AG600" s="1332">
        <f t="shared" si="100"/>
        <v>0</v>
      </c>
      <c r="AH600" s="1088">
        <f t="shared" si="100"/>
        <v>0</v>
      </c>
      <c r="AI600">
        <f t="shared" si="100"/>
        <v>0</v>
      </c>
      <c r="AJ600" s="500">
        <f t="shared" si="100"/>
        <v>0</v>
      </c>
      <c r="AK600" s="1088">
        <f t="shared" si="100"/>
        <v>0</v>
      </c>
      <c r="AL600" s="36">
        <f t="shared" si="100"/>
        <v>0</v>
      </c>
      <c r="AM600" s="1101">
        <f t="shared" si="100"/>
        <v>1</v>
      </c>
      <c r="AN600" s="10">
        <f t="shared" si="100"/>
        <v>0</v>
      </c>
      <c r="AO600" s="1094">
        <f t="shared" si="100"/>
        <v>1</v>
      </c>
      <c r="AP600" s="361">
        <f t="shared" si="100"/>
        <v>0</v>
      </c>
      <c r="AQ600">
        <f t="shared" si="100"/>
        <v>0</v>
      </c>
      <c r="AR600" s="1323">
        <f t="shared" si="100"/>
        <v>0</v>
      </c>
      <c r="AS600">
        <f t="shared" si="100"/>
        <v>0</v>
      </c>
    </row>
    <row r="601" spans="2:45">
      <c r="B601" s="1707"/>
      <c r="M601" s="991" t="s">
        <v>93</v>
      </c>
      <c r="Q601" t="s">
        <v>140</v>
      </c>
      <c r="R601" s="319">
        <f>COUNTIF($C499:$O504, R$586)</f>
        <v>0</v>
      </c>
      <c r="S601" s="33">
        <f t="shared" ref="S601:AS601" si="101">COUNTIF($C499:$O504, S$586)</f>
        <v>0</v>
      </c>
      <c r="T601" s="587">
        <f t="shared" si="101"/>
        <v>0</v>
      </c>
      <c r="U601" s="66">
        <f t="shared" si="101"/>
        <v>0</v>
      </c>
      <c r="V601" s="1422">
        <f t="shared" si="101"/>
        <v>0</v>
      </c>
      <c r="W601" s="37">
        <f t="shared" si="101"/>
        <v>0</v>
      </c>
      <c r="X601" s="588">
        <f t="shared" si="101"/>
        <v>1</v>
      </c>
      <c r="Y601" s="233">
        <f t="shared" si="101"/>
        <v>0</v>
      </c>
      <c r="Z601" s="36">
        <f t="shared" si="101"/>
        <v>0</v>
      </c>
      <c r="AA601" s="577">
        <f t="shared" si="101"/>
        <v>0</v>
      </c>
      <c r="AB601">
        <f t="shared" si="101"/>
        <v>0</v>
      </c>
      <c r="AC601">
        <f t="shared" si="101"/>
        <v>0</v>
      </c>
      <c r="AD601" s="242">
        <f t="shared" si="101"/>
        <v>2</v>
      </c>
      <c r="AE601" s="8">
        <f>COUNTIF($C499:$O504, AE$586)</f>
        <v>2</v>
      </c>
      <c r="AF601" s="1423">
        <f t="shared" si="101"/>
        <v>0</v>
      </c>
      <c r="AG601" s="1332">
        <f t="shared" si="101"/>
        <v>1</v>
      </c>
      <c r="AH601" s="1088">
        <f t="shared" si="101"/>
        <v>0</v>
      </c>
      <c r="AI601">
        <f t="shared" si="101"/>
        <v>0</v>
      </c>
      <c r="AJ601" s="500">
        <f t="shared" si="101"/>
        <v>0</v>
      </c>
      <c r="AK601" s="1088">
        <f t="shared" si="101"/>
        <v>1</v>
      </c>
      <c r="AL601" s="36">
        <f t="shared" si="101"/>
        <v>0</v>
      </c>
      <c r="AM601" s="1101">
        <f t="shared" si="101"/>
        <v>0</v>
      </c>
      <c r="AN601" s="10">
        <f t="shared" si="101"/>
        <v>1</v>
      </c>
      <c r="AO601" s="1094">
        <f t="shared" si="101"/>
        <v>1</v>
      </c>
      <c r="AP601" s="361">
        <f t="shared" si="101"/>
        <v>1</v>
      </c>
      <c r="AQ601">
        <f t="shared" si="101"/>
        <v>0</v>
      </c>
      <c r="AR601" s="1323">
        <f t="shared" si="101"/>
        <v>0</v>
      </c>
      <c r="AS601">
        <f t="shared" si="101"/>
        <v>0</v>
      </c>
    </row>
    <row r="602" spans="2:45" ht="16.5" thickBot="1">
      <c r="B602" s="1708"/>
      <c r="C602" s="985"/>
      <c r="D602" s="985"/>
      <c r="E602" s="985"/>
      <c r="F602" s="985"/>
      <c r="G602" s="985"/>
      <c r="H602" s="985"/>
      <c r="I602" s="985"/>
      <c r="J602" s="985"/>
      <c r="K602" s="985"/>
      <c r="L602" s="985"/>
      <c r="M602" s="985" t="s">
        <v>191</v>
      </c>
      <c r="N602" s="985"/>
      <c r="O602" s="985"/>
      <c r="Q602" t="s">
        <v>141</v>
      </c>
      <c r="R602" s="319">
        <f>COUNTIF($C505:$O509, R$586)</f>
        <v>0</v>
      </c>
      <c r="S602" s="33">
        <f t="shared" ref="S602:AS602" si="102">COUNTIF($C505:$O509, S$586)</f>
        <v>1</v>
      </c>
      <c r="T602" s="587">
        <f t="shared" si="102"/>
        <v>0</v>
      </c>
      <c r="U602" s="66">
        <f t="shared" si="102"/>
        <v>0</v>
      </c>
      <c r="V602" s="1422">
        <f t="shared" si="102"/>
        <v>0</v>
      </c>
      <c r="W602" s="37">
        <f t="shared" si="102"/>
        <v>0</v>
      </c>
      <c r="X602" s="588">
        <f t="shared" si="102"/>
        <v>0</v>
      </c>
      <c r="Y602" s="233">
        <f t="shared" si="102"/>
        <v>0</v>
      </c>
      <c r="Z602" s="36">
        <f t="shared" si="102"/>
        <v>0</v>
      </c>
      <c r="AA602" s="577">
        <f t="shared" si="102"/>
        <v>0</v>
      </c>
      <c r="AB602">
        <f t="shared" si="102"/>
        <v>0</v>
      </c>
      <c r="AC602">
        <f t="shared" si="102"/>
        <v>0</v>
      </c>
      <c r="AD602" s="242">
        <f t="shared" si="102"/>
        <v>0</v>
      </c>
      <c r="AE602" s="8">
        <f t="shared" si="102"/>
        <v>0</v>
      </c>
      <c r="AF602" s="1423">
        <f t="shared" si="102"/>
        <v>0</v>
      </c>
      <c r="AG602" s="1332">
        <f t="shared" si="102"/>
        <v>0</v>
      </c>
      <c r="AH602" s="1088">
        <f t="shared" si="102"/>
        <v>1</v>
      </c>
      <c r="AI602">
        <f t="shared" si="102"/>
        <v>0</v>
      </c>
      <c r="AJ602" s="500">
        <f t="shared" si="102"/>
        <v>0</v>
      </c>
      <c r="AK602" s="1088">
        <f t="shared" si="102"/>
        <v>0</v>
      </c>
      <c r="AL602" s="36">
        <f t="shared" si="102"/>
        <v>1</v>
      </c>
      <c r="AM602" s="1101">
        <f t="shared" si="102"/>
        <v>0</v>
      </c>
      <c r="AN602" s="10">
        <f t="shared" si="102"/>
        <v>0</v>
      </c>
      <c r="AO602" s="1094">
        <f t="shared" si="102"/>
        <v>2</v>
      </c>
      <c r="AP602" s="361">
        <f t="shared" si="102"/>
        <v>0</v>
      </c>
      <c r="AQ602">
        <f t="shared" si="102"/>
        <v>0</v>
      </c>
      <c r="AR602" s="1323">
        <f t="shared" si="102"/>
        <v>0</v>
      </c>
      <c r="AS602">
        <f t="shared" si="102"/>
        <v>0</v>
      </c>
    </row>
    <row r="603" spans="2:45" ht="16.5" thickTop="1">
      <c r="B603" s="1709" t="s">
        <v>11</v>
      </c>
      <c r="C603" s="1392" t="s">
        <v>44</v>
      </c>
      <c r="D603" s="1016"/>
      <c r="E603" s="1016"/>
      <c r="F603" s="1016"/>
      <c r="G603" s="1016"/>
      <c r="H603" s="1016"/>
      <c r="I603" s="1016"/>
      <c r="J603" s="1016"/>
      <c r="K603" s="1016"/>
      <c r="L603" s="1398" t="s">
        <v>74</v>
      </c>
      <c r="M603" s="1392" t="s">
        <v>44</v>
      </c>
      <c r="N603" s="1016"/>
      <c r="O603" s="1016"/>
      <c r="Q603" t="s">
        <v>142</v>
      </c>
      <c r="R603" s="319">
        <f>COUNTIF($C510:$O513, R$586)</f>
        <v>0</v>
      </c>
      <c r="S603" s="33">
        <f t="shared" ref="S603:AS603" si="103">COUNTIF($C510:$O513, S$586)</f>
        <v>0</v>
      </c>
      <c r="T603" s="587">
        <f t="shared" si="103"/>
        <v>0</v>
      </c>
      <c r="U603" s="66">
        <f t="shared" si="103"/>
        <v>0</v>
      </c>
      <c r="V603" s="1422">
        <f t="shared" si="103"/>
        <v>0</v>
      </c>
      <c r="W603" s="37">
        <f t="shared" si="103"/>
        <v>0</v>
      </c>
      <c r="X603" s="588">
        <f t="shared" si="103"/>
        <v>0</v>
      </c>
      <c r="Y603" s="233">
        <f t="shared" si="103"/>
        <v>0</v>
      </c>
      <c r="Z603" s="36">
        <f t="shared" si="103"/>
        <v>0</v>
      </c>
      <c r="AA603" s="577">
        <f t="shared" si="103"/>
        <v>0</v>
      </c>
      <c r="AB603">
        <f t="shared" si="103"/>
        <v>0</v>
      </c>
      <c r="AC603">
        <f t="shared" si="103"/>
        <v>1</v>
      </c>
      <c r="AD603" s="242">
        <f t="shared" si="103"/>
        <v>0</v>
      </c>
      <c r="AE603" s="8">
        <f t="shared" si="103"/>
        <v>1</v>
      </c>
      <c r="AF603" s="1423">
        <f t="shared" si="103"/>
        <v>0</v>
      </c>
      <c r="AG603" s="1332">
        <f t="shared" si="103"/>
        <v>0</v>
      </c>
      <c r="AH603" s="1088">
        <f t="shared" si="103"/>
        <v>1</v>
      </c>
      <c r="AI603">
        <f t="shared" si="103"/>
        <v>0</v>
      </c>
      <c r="AJ603" s="500">
        <f t="shared" si="103"/>
        <v>0</v>
      </c>
      <c r="AK603" s="1088">
        <f t="shared" si="103"/>
        <v>0</v>
      </c>
      <c r="AL603" s="36">
        <f t="shared" si="103"/>
        <v>0</v>
      </c>
      <c r="AM603" s="1101">
        <f t="shared" si="103"/>
        <v>1</v>
      </c>
      <c r="AN603" s="10">
        <f t="shared" si="103"/>
        <v>0</v>
      </c>
      <c r="AO603" s="1094">
        <f t="shared" si="103"/>
        <v>0</v>
      </c>
      <c r="AP603" s="361">
        <f t="shared" si="103"/>
        <v>0</v>
      </c>
      <c r="AQ603">
        <f t="shared" si="103"/>
        <v>0</v>
      </c>
      <c r="AR603" s="1323">
        <f t="shared" si="103"/>
        <v>0</v>
      </c>
      <c r="AS603">
        <f t="shared" si="103"/>
        <v>0</v>
      </c>
    </row>
    <row r="604" spans="2:45">
      <c r="B604" s="1710"/>
      <c r="L604" s="977" t="s">
        <v>1270</v>
      </c>
      <c r="M604" s="993" t="s">
        <v>20</v>
      </c>
      <c r="Q604" t="s">
        <v>143</v>
      </c>
      <c r="R604" s="319">
        <f>COUNTIF($C514:$O518, R$586)</f>
        <v>1</v>
      </c>
      <c r="S604" s="33">
        <f t="shared" ref="S604:AS604" si="104">COUNTIF($C514:$O518, S$586)</f>
        <v>4</v>
      </c>
      <c r="T604" s="587">
        <f t="shared" si="104"/>
        <v>0</v>
      </c>
      <c r="U604" s="66">
        <f t="shared" si="104"/>
        <v>0</v>
      </c>
      <c r="V604" s="1422">
        <f t="shared" si="104"/>
        <v>1</v>
      </c>
      <c r="W604" s="37">
        <f t="shared" si="104"/>
        <v>0</v>
      </c>
      <c r="X604" s="588">
        <f t="shared" si="104"/>
        <v>0</v>
      </c>
      <c r="Y604" s="233">
        <f t="shared" si="104"/>
        <v>0</v>
      </c>
      <c r="Z604" s="36">
        <f t="shared" si="104"/>
        <v>1</v>
      </c>
      <c r="AA604" s="577">
        <f t="shared" si="104"/>
        <v>0</v>
      </c>
      <c r="AB604">
        <f t="shared" si="104"/>
        <v>0</v>
      </c>
      <c r="AC604">
        <f t="shared" si="104"/>
        <v>0</v>
      </c>
      <c r="AD604" s="242">
        <f t="shared" si="104"/>
        <v>0</v>
      </c>
      <c r="AE604" s="8">
        <f t="shared" si="104"/>
        <v>0</v>
      </c>
      <c r="AF604" s="1423">
        <f t="shared" si="104"/>
        <v>0</v>
      </c>
      <c r="AG604" s="1332">
        <f t="shared" si="104"/>
        <v>0</v>
      </c>
      <c r="AH604" s="1088">
        <f t="shared" si="104"/>
        <v>0</v>
      </c>
      <c r="AI604">
        <f t="shared" si="104"/>
        <v>0</v>
      </c>
      <c r="AJ604" s="500">
        <f t="shared" si="104"/>
        <v>0</v>
      </c>
      <c r="AK604" s="1088">
        <f t="shared" si="104"/>
        <v>1</v>
      </c>
      <c r="AL604" s="36">
        <f t="shared" si="104"/>
        <v>0</v>
      </c>
      <c r="AM604" s="1101">
        <f t="shared" si="104"/>
        <v>0</v>
      </c>
      <c r="AN604" s="10">
        <f t="shared" si="104"/>
        <v>1</v>
      </c>
      <c r="AO604" s="1094">
        <f t="shared" si="104"/>
        <v>2</v>
      </c>
      <c r="AP604" s="361">
        <f t="shared" si="104"/>
        <v>0</v>
      </c>
      <c r="AQ604">
        <f t="shared" si="104"/>
        <v>0</v>
      </c>
      <c r="AR604" s="1323">
        <f t="shared" si="104"/>
        <v>0</v>
      </c>
      <c r="AS604">
        <f t="shared" si="104"/>
        <v>0</v>
      </c>
    </row>
    <row r="605" spans="2:45">
      <c r="B605" s="1710"/>
      <c r="C605" s="989" t="s">
        <v>188</v>
      </c>
      <c r="D605" s="989"/>
      <c r="E605" s="989"/>
      <c r="F605" s="989"/>
      <c r="G605" s="989"/>
      <c r="H605" s="989"/>
      <c r="I605" s="989"/>
      <c r="J605" s="989"/>
      <c r="K605" s="989"/>
      <c r="L605" s="989" t="s">
        <v>188</v>
      </c>
      <c r="M605" s="989" t="s">
        <v>185</v>
      </c>
      <c r="N605" s="989"/>
      <c r="O605" s="989"/>
      <c r="Q605" t="s">
        <v>144</v>
      </c>
      <c r="R605" s="319">
        <f>COUNTIF($C519:$O524, R$586)</f>
        <v>0</v>
      </c>
      <c r="S605" s="33">
        <f t="shared" ref="S605:AS605" si="105">COUNTIF($C519:$O524, S$586)</f>
        <v>0</v>
      </c>
      <c r="T605" s="587">
        <f t="shared" si="105"/>
        <v>0</v>
      </c>
      <c r="U605" s="66">
        <f t="shared" si="105"/>
        <v>0</v>
      </c>
      <c r="V605" s="1422">
        <f t="shared" si="105"/>
        <v>1</v>
      </c>
      <c r="W605" s="37">
        <f t="shared" si="105"/>
        <v>0</v>
      </c>
      <c r="X605" s="588">
        <f t="shared" si="105"/>
        <v>0</v>
      </c>
      <c r="Y605" s="233">
        <f t="shared" si="105"/>
        <v>0</v>
      </c>
      <c r="Z605" s="36">
        <f t="shared" si="105"/>
        <v>1</v>
      </c>
      <c r="AA605" s="577">
        <f t="shared" si="105"/>
        <v>0</v>
      </c>
      <c r="AB605">
        <f t="shared" si="105"/>
        <v>0</v>
      </c>
      <c r="AC605">
        <f t="shared" si="105"/>
        <v>1</v>
      </c>
      <c r="AD605" s="242">
        <f t="shared" si="105"/>
        <v>0</v>
      </c>
      <c r="AE605" s="8">
        <f t="shared" si="105"/>
        <v>0</v>
      </c>
      <c r="AF605" s="1423">
        <f t="shared" si="105"/>
        <v>0</v>
      </c>
      <c r="AG605" s="1332">
        <f t="shared" si="105"/>
        <v>0</v>
      </c>
      <c r="AH605" s="1088">
        <f t="shared" si="105"/>
        <v>1</v>
      </c>
      <c r="AI605">
        <f t="shared" si="105"/>
        <v>0</v>
      </c>
      <c r="AJ605" s="500">
        <f t="shared" si="105"/>
        <v>0</v>
      </c>
      <c r="AK605" s="1088">
        <f t="shared" si="105"/>
        <v>1</v>
      </c>
      <c r="AL605" s="36">
        <f t="shared" si="105"/>
        <v>0</v>
      </c>
      <c r="AM605" s="1101">
        <f t="shared" si="105"/>
        <v>1</v>
      </c>
      <c r="AN605" s="10">
        <f t="shared" si="105"/>
        <v>2</v>
      </c>
      <c r="AO605" s="1094">
        <f t="shared" si="105"/>
        <v>1</v>
      </c>
      <c r="AP605" s="361">
        <f t="shared" si="105"/>
        <v>0</v>
      </c>
      <c r="AQ605">
        <f t="shared" si="105"/>
        <v>0</v>
      </c>
      <c r="AR605" s="1323">
        <f t="shared" si="105"/>
        <v>0</v>
      </c>
      <c r="AS605">
        <f t="shared" si="105"/>
        <v>0</v>
      </c>
    </row>
    <row r="606" spans="2:45">
      <c r="B606" s="1710"/>
      <c r="M606" s="981" t="s">
        <v>1271</v>
      </c>
      <c r="Q606" t="s">
        <v>145</v>
      </c>
      <c r="R606" s="319">
        <f>COUNTIF($C525:$O529, R$586)</f>
        <v>0</v>
      </c>
      <c r="S606" s="33">
        <f t="shared" ref="S606:AS606" si="106">COUNTIF($C525:$O529, S$586)</f>
        <v>0</v>
      </c>
      <c r="T606" s="587">
        <f t="shared" si="106"/>
        <v>0</v>
      </c>
      <c r="U606" s="66">
        <f t="shared" si="106"/>
        <v>0</v>
      </c>
      <c r="V606" s="1422">
        <f t="shared" si="106"/>
        <v>0</v>
      </c>
      <c r="W606" s="37">
        <f t="shared" si="106"/>
        <v>0</v>
      </c>
      <c r="X606" s="588">
        <f t="shared" si="106"/>
        <v>0</v>
      </c>
      <c r="Y606" s="233">
        <f t="shared" si="106"/>
        <v>0</v>
      </c>
      <c r="Z606" s="36">
        <f t="shared" si="106"/>
        <v>1</v>
      </c>
      <c r="AA606" s="577">
        <f t="shared" si="106"/>
        <v>0</v>
      </c>
      <c r="AB606">
        <f t="shared" si="106"/>
        <v>0</v>
      </c>
      <c r="AC606">
        <f t="shared" si="106"/>
        <v>0</v>
      </c>
      <c r="AD606" s="242">
        <f t="shared" si="106"/>
        <v>0</v>
      </c>
      <c r="AE606" s="8">
        <f t="shared" si="106"/>
        <v>1</v>
      </c>
      <c r="AF606" s="1423">
        <f t="shared" si="106"/>
        <v>0</v>
      </c>
      <c r="AG606" s="1332">
        <f t="shared" si="106"/>
        <v>0</v>
      </c>
      <c r="AH606" s="1088">
        <f t="shared" si="106"/>
        <v>0</v>
      </c>
      <c r="AI606">
        <f t="shared" si="106"/>
        <v>0</v>
      </c>
      <c r="AJ606" s="500">
        <f t="shared" si="106"/>
        <v>0</v>
      </c>
      <c r="AK606" s="1088">
        <f t="shared" si="106"/>
        <v>0</v>
      </c>
      <c r="AL606" s="36">
        <f t="shared" si="106"/>
        <v>0</v>
      </c>
      <c r="AM606" s="1101">
        <f t="shared" si="106"/>
        <v>0</v>
      </c>
      <c r="AN606" s="10">
        <f t="shared" si="106"/>
        <v>0</v>
      </c>
      <c r="AO606" s="1094">
        <f t="shared" si="106"/>
        <v>2</v>
      </c>
      <c r="AP606" s="361">
        <f t="shared" si="106"/>
        <v>0</v>
      </c>
      <c r="AQ606">
        <f t="shared" si="106"/>
        <v>0</v>
      </c>
      <c r="AR606" s="1323">
        <f t="shared" si="106"/>
        <v>0</v>
      </c>
      <c r="AS606">
        <f t="shared" si="106"/>
        <v>0</v>
      </c>
    </row>
    <row r="607" spans="2:45">
      <c r="B607" s="1710"/>
      <c r="M607" s="964" t="s">
        <v>44</v>
      </c>
      <c r="Q607" t="s">
        <v>146</v>
      </c>
      <c r="R607" s="319">
        <f>COUNTIF($C530:$O531, R$586)</f>
        <v>0</v>
      </c>
      <c r="S607" s="33">
        <f t="shared" ref="S607:AS607" si="107">COUNTIF($C530:$O531, S$586)</f>
        <v>0</v>
      </c>
      <c r="T607" s="587">
        <f t="shared" si="107"/>
        <v>0</v>
      </c>
      <c r="U607" s="66">
        <f t="shared" si="107"/>
        <v>0</v>
      </c>
      <c r="V607" s="1422">
        <f t="shared" si="107"/>
        <v>0</v>
      </c>
      <c r="W607" s="37">
        <f t="shared" si="107"/>
        <v>0</v>
      </c>
      <c r="X607" s="588">
        <f t="shared" si="107"/>
        <v>0</v>
      </c>
      <c r="Y607" s="233">
        <f t="shared" si="107"/>
        <v>0</v>
      </c>
      <c r="Z607" s="36">
        <f t="shared" si="107"/>
        <v>0</v>
      </c>
      <c r="AA607" s="577">
        <f t="shared" si="107"/>
        <v>0</v>
      </c>
      <c r="AB607">
        <f t="shared" si="107"/>
        <v>0</v>
      </c>
      <c r="AC607">
        <f t="shared" si="107"/>
        <v>0</v>
      </c>
      <c r="AD607" s="242">
        <f t="shared" si="107"/>
        <v>0</v>
      </c>
      <c r="AE607" s="8">
        <f t="shared" si="107"/>
        <v>1</v>
      </c>
      <c r="AF607" s="1423">
        <f t="shared" si="107"/>
        <v>0</v>
      </c>
      <c r="AG607" s="1332">
        <f t="shared" si="107"/>
        <v>0</v>
      </c>
      <c r="AH607" s="1088">
        <f t="shared" si="107"/>
        <v>0</v>
      </c>
      <c r="AI607">
        <f t="shared" si="107"/>
        <v>0</v>
      </c>
      <c r="AJ607" s="500">
        <f t="shared" si="107"/>
        <v>0</v>
      </c>
      <c r="AK607" s="1088">
        <f t="shared" si="107"/>
        <v>0</v>
      </c>
      <c r="AL607" s="36">
        <f t="shared" si="107"/>
        <v>0</v>
      </c>
      <c r="AM607" s="1101">
        <f t="shared" si="107"/>
        <v>1</v>
      </c>
      <c r="AN607" s="10">
        <f t="shared" si="107"/>
        <v>0</v>
      </c>
      <c r="AO607" s="1094">
        <f t="shared" si="107"/>
        <v>1</v>
      </c>
      <c r="AP607" s="361">
        <f t="shared" si="107"/>
        <v>0</v>
      </c>
      <c r="AQ607">
        <f t="shared" si="107"/>
        <v>0</v>
      </c>
      <c r="AR607" s="1323">
        <f t="shared" si="107"/>
        <v>0</v>
      </c>
      <c r="AS607">
        <f t="shared" si="107"/>
        <v>0</v>
      </c>
    </row>
    <row r="608" spans="2:45">
      <c r="B608" s="1710"/>
      <c r="C608" s="989"/>
      <c r="D608" s="989"/>
      <c r="E608" s="989"/>
      <c r="F608" s="989"/>
      <c r="G608" s="989"/>
      <c r="H608" s="989"/>
      <c r="I608" s="989"/>
      <c r="J608" s="989"/>
      <c r="K608" s="989"/>
      <c r="L608" s="989"/>
      <c r="M608" s="989" t="s">
        <v>187</v>
      </c>
      <c r="N608" s="989"/>
      <c r="O608" s="989"/>
      <c r="Q608" t="s">
        <v>147</v>
      </c>
      <c r="R608" s="319">
        <f>COUNTIF($C532:$O537, R$586)</f>
        <v>0</v>
      </c>
      <c r="S608" s="33">
        <f t="shared" ref="S608:AS608" si="108">COUNTIF($C532:$O537, S$586)</f>
        <v>0</v>
      </c>
      <c r="T608" s="587">
        <f t="shared" si="108"/>
        <v>0</v>
      </c>
      <c r="U608" s="66">
        <f t="shared" si="108"/>
        <v>0</v>
      </c>
      <c r="V608" s="1422">
        <f t="shared" si="108"/>
        <v>0</v>
      </c>
      <c r="W608" s="37">
        <f t="shared" si="108"/>
        <v>0</v>
      </c>
      <c r="X608" s="588">
        <f t="shared" si="108"/>
        <v>0</v>
      </c>
      <c r="Y608" s="233">
        <f t="shared" si="108"/>
        <v>0</v>
      </c>
      <c r="Z608" s="36">
        <f t="shared" si="108"/>
        <v>0</v>
      </c>
      <c r="AA608" s="577">
        <f t="shared" si="108"/>
        <v>0</v>
      </c>
      <c r="AB608">
        <f t="shared" si="108"/>
        <v>0</v>
      </c>
      <c r="AC608">
        <f t="shared" si="108"/>
        <v>0</v>
      </c>
      <c r="AD608" s="242">
        <f t="shared" si="108"/>
        <v>1</v>
      </c>
      <c r="AE608" s="8">
        <f t="shared" si="108"/>
        <v>1</v>
      </c>
      <c r="AF608" s="1423">
        <f t="shared" si="108"/>
        <v>0</v>
      </c>
      <c r="AG608" s="1332">
        <f t="shared" si="108"/>
        <v>0</v>
      </c>
      <c r="AH608" s="1088">
        <f t="shared" si="108"/>
        <v>1</v>
      </c>
      <c r="AI608">
        <f t="shared" si="108"/>
        <v>0</v>
      </c>
      <c r="AJ608" s="500">
        <f t="shared" si="108"/>
        <v>0</v>
      </c>
      <c r="AK608" s="1088">
        <f t="shared" si="108"/>
        <v>0</v>
      </c>
      <c r="AL608" s="36">
        <f t="shared" si="108"/>
        <v>0</v>
      </c>
      <c r="AM608" s="1101">
        <f t="shared" si="108"/>
        <v>1</v>
      </c>
      <c r="AN608" s="10">
        <f t="shared" si="108"/>
        <v>0</v>
      </c>
      <c r="AO608" s="1094">
        <f t="shared" si="108"/>
        <v>1</v>
      </c>
      <c r="AP608" s="361">
        <f t="shared" si="108"/>
        <v>0</v>
      </c>
      <c r="AQ608">
        <f t="shared" si="108"/>
        <v>0</v>
      </c>
      <c r="AR608" s="1323">
        <f t="shared" si="108"/>
        <v>0</v>
      </c>
      <c r="AS608">
        <f t="shared" si="108"/>
        <v>0</v>
      </c>
    </row>
    <row r="609" spans="2:45">
      <c r="B609" s="1710"/>
      <c r="M609" s="977" t="s">
        <v>1270</v>
      </c>
      <c r="Q609" t="s">
        <v>148</v>
      </c>
      <c r="R609" s="319">
        <f>COUNTIF($C538:$O539, R$586)</f>
        <v>1</v>
      </c>
      <c r="S609" s="33">
        <f t="shared" ref="S609:AS609" si="109">COUNTIF($C538:$O539, S$586)</f>
        <v>0</v>
      </c>
      <c r="T609" s="587">
        <f t="shared" si="109"/>
        <v>0</v>
      </c>
      <c r="U609" s="66">
        <f t="shared" si="109"/>
        <v>0</v>
      </c>
      <c r="V609" s="1422">
        <f t="shared" si="109"/>
        <v>0</v>
      </c>
      <c r="W609" s="37">
        <f t="shared" si="109"/>
        <v>0</v>
      </c>
      <c r="X609" s="588">
        <f t="shared" si="109"/>
        <v>0</v>
      </c>
      <c r="Y609" s="233">
        <f t="shared" si="109"/>
        <v>0</v>
      </c>
      <c r="Z609" s="36">
        <f t="shared" si="109"/>
        <v>1</v>
      </c>
      <c r="AA609" s="577">
        <f t="shared" si="109"/>
        <v>0</v>
      </c>
      <c r="AB609">
        <f t="shared" si="109"/>
        <v>1</v>
      </c>
      <c r="AC609">
        <f t="shared" si="109"/>
        <v>0</v>
      </c>
      <c r="AD609" s="242">
        <f t="shared" si="109"/>
        <v>0</v>
      </c>
      <c r="AE609" s="8">
        <f t="shared" si="109"/>
        <v>0</v>
      </c>
      <c r="AF609" s="1423">
        <f t="shared" si="109"/>
        <v>0</v>
      </c>
      <c r="AG609" s="1332">
        <f t="shared" si="109"/>
        <v>0</v>
      </c>
      <c r="AH609" s="1088">
        <f t="shared" si="109"/>
        <v>1</v>
      </c>
      <c r="AI609">
        <f t="shared" si="109"/>
        <v>0</v>
      </c>
      <c r="AJ609" s="500">
        <f t="shared" si="109"/>
        <v>0</v>
      </c>
      <c r="AK609" s="1088">
        <f t="shared" si="109"/>
        <v>0</v>
      </c>
      <c r="AL609" s="36">
        <f t="shared" si="109"/>
        <v>0</v>
      </c>
      <c r="AM609" s="1101">
        <f t="shared" si="109"/>
        <v>0</v>
      </c>
      <c r="AN609" s="10">
        <f t="shared" si="109"/>
        <v>0</v>
      </c>
      <c r="AO609" s="1094">
        <f t="shared" si="109"/>
        <v>1</v>
      </c>
      <c r="AP609" s="361">
        <f t="shared" si="109"/>
        <v>0</v>
      </c>
      <c r="AQ609">
        <f t="shared" si="109"/>
        <v>0</v>
      </c>
      <c r="AR609" s="1323">
        <f t="shared" si="109"/>
        <v>0</v>
      </c>
      <c r="AS609">
        <f t="shared" si="109"/>
        <v>0</v>
      </c>
    </row>
    <row r="610" spans="2:45">
      <c r="B610" s="1710"/>
      <c r="C610" s="989"/>
      <c r="D610" s="989"/>
      <c r="E610" s="989"/>
      <c r="F610" s="989"/>
      <c r="G610" s="989"/>
      <c r="H610" s="989"/>
      <c r="I610" s="989"/>
      <c r="J610" s="989"/>
      <c r="K610" s="989"/>
      <c r="L610" s="989"/>
      <c r="M610" s="989" t="s">
        <v>189</v>
      </c>
      <c r="N610" s="989"/>
      <c r="O610" s="989"/>
      <c r="Q610" t="s">
        <v>125</v>
      </c>
      <c r="R610" s="319">
        <f>COUNTIF($C540:$O543, R$586)</f>
        <v>0</v>
      </c>
      <c r="S610" s="33">
        <f t="shared" ref="S610:AS610" si="110">COUNTIF($C540:$O543, S$586)</f>
        <v>1</v>
      </c>
      <c r="T610" s="587">
        <f t="shared" si="110"/>
        <v>0</v>
      </c>
      <c r="U610" s="66">
        <f t="shared" si="110"/>
        <v>0</v>
      </c>
      <c r="V610" s="1422">
        <f t="shared" si="110"/>
        <v>0</v>
      </c>
      <c r="W610" s="37">
        <f t="shared" si="110"/>
        <v>0</v>
      </c>
      <c r="X610" s="588">
        <f t="shared" si="110"/>
        <v>0</v>
      </c>
      <c r="Y610" s="233">
        <f t="shared" si="110"/>
        <v>0</v>
      </c>
      <c r="Z610" s="36">
        <f t="shared" si="110"/>
        <v>0</v>
      </c>
      <c r="AA610" s="577">
        <f t="shared" si="110"/>
        <v>0</v>
      </c>
      <c r="AB610">
        <f t="shared" si="110"/>
        <v>0</v>
      </c>
      <c r="AC610">
        <f t="shared" si="110"/>
        <v>0</v>
      </c>
      <c r="AD610" s="242">
        <f t="shared" si="110"/>
        <v>0</v>
      </c>
      <c r="AE610" s="8">
        <f t="shared" si="110"/>
        <v>1</v>
      </c>
      <c r="AF610" s="1423">
        <f t="shared" si="110"/>
        <v>0</v>
      </c>
      <c r="AG610" s="1332">
        <f t="shared" si="110"/>
        <v>1</v>
      </c>
      <c r="AH610" s="1088">
        <f t="shared" si="110"/>
        <v>0</v>
      </c>
      <c r="AI610">
        <f t="shared" si="110"/>
        <v>0</v>
      </c>
      <c r="AJ610" s="500">
        <f t="shared" si="110"/>
        <v>0</v>
      </c>
      <c r="AK610" s="1088">
        <f t="shared" si="110"/>
        <v>0</v>
      </c>
      <c r="AL610" s="36">
        <f t="shared" si="110"/>
        <v>0</v>
      </c>
      <c r="AM610" s="1101">
        <f t="shared" si="110"/>
        <v>0</v>
      </c>
      <c r="AN610" s="10">
        <f t="shared" si="110"/>
        <v>0</v>
      </c>
      <c r="AO610" s="1094">
        <f t="shared" si="110"/>
        <v>1</v>
      </c>
      <c r="AP610" s="361">
        <f t="shared" si="110"/>
        <v>0</v>
      </c>
      <c r="AQ610">
        <f t="shared" si="110"/>
        <v>0</v>
      </c>
      <c r="AR610" s="1323">
        <f t="shared" si="110"/>
        <v>0</v>
      </c>
      <c r="AS610">
        <f t="shared" si="110"/>
        <v>0</v>
      </c>
    </row>
    <row r="611" spans="2:45">
      <c r="B611" s="1710"/>
      <c r="M611" s="980" t="s">
        <v>1272</v>
      </c>
      <c r="Q611" t="s">
        <v>116</v>
      </c>
      <c r="R611" s="319">
        <f>COUNTIF($C544:$O547, R$586)</f>
        <v>2</v>
      </c>
      <c r="S611" s="33">
        <f t="shared" ref="S611:AS611" si="111">COUNTIF($C544:$O547, S$586)</f>
        <v>1</v>
      </c>
      <c r="T611" s="587">
        <f t="shared" si="111"/>
        <v>0</v>
      </c>
      <c r="U611" s="66">
        <f t="shared" si="111"/>
        <v>0</v>
      </c>
      <c r="V611" s="1422">
        <f t="shared" si="111"/>
        <v>0</v>
      </c>
      <c r="W611" s="37">
        <f t="shared" si="111"/>
        <v>0</v>
      </c>
      <c r="X611" s="588">
        <f t="shared" si="111"/>
        <v>0</v>
      </c>
      <c r="Y611" s="233">
        <f t="shared" si="111"/>
        <v>0</v>
      </c>
      <c r="Z611" s="36">
        <f t="shared" si="111"/>
        <v>0</v>
      </c>
      <c r="AA611" s="577">
        <f t="shared" si="111"/>
        <v>0</v>
      </c>
      <c r="AB611">
        <f t="shared" si="111"/>
        <v>0</v>
      </c>
      <c r="AC611">
        <f t="shared" si="111"/>
        <v>0</v>
      </c>
      <c r="AD611" s="242">
        <f t="shared" si="111"/>
        <v>0</v>
      </c>
      <c r="AE611" s="8">
        <f t="shared" si="111"/>
        <v>1</v>
      </c>
      <c r="AF611" s="1423">
        <f t="shared" si="111"/>
        <v>0</v>
      </c>
      <c r="AG611" s="1332">
        <f t="shared" si="111"/>
        <v>0</v>
      </c>
      <c r="AH611" s="1088">
        <f t="shared" si="111"/>
        <v>0</v>
      </c>
      <c r="AI611">
        <f t="shared" si="111"/>
        <v>0</v>
      </c>
      <c r="AJ611" s="500">
        <f t="shared" si="111"/>
        <v>0</v>
      </c>
      <c r="AK611" s="1088">
        <f t="shared" si="111"/>
        <v>0</v>
      </c>
      <c r="AL611" s="36">
        <f t="shared" si="111"/>
        <v>0</v>
      </c>
      <c r="AM611" s="1101">
        <f t="shared" si="111"/>
        <v>1</v>
      </c>
      <c r="AN611" s="10">
        <f t="shared" si="111"/>
        <v>0</v>
      </c>
      <c r="AO611" s="1094">
        <f t="shared" si="111"/>
        <v>1</v>
      </c>
      <c r="AP611" s="361">
        <f t="shared" si="111"/>
        <v>0</v>
      </c>
      <c r="AQ611">
        <f t="shared" si="111"/>
        <v>0</v>
      </c>
      <c r="AR611" s="1323">
        <f t="shared" si="111"/>
        <v>1</v>
      </c>
      <c r="AS611">
        <f t="shared" si="111"/>
        <v>0</v>
      </c>
    </row>
    <row r="612" spans="2:45" ht="16.5" thickBot="1">
      <c r="B612" s="1711"/>
      <c r="C612" s="985"/>
      <c r="D612" s="985"/>
      <c r="E612" s="985"/>
      <c r="F612" s="985"/>
      <c r="G612" s="985"/>
      <c r="H612" s="985"/>
      <c r="I612" s="985"/>
      <c r="J612" s="985"/>
      <c r="K612" s="985"/>
      <c r="L612" s="985"/>
      <c r="M612" s="985" t="s">
        <v>191</v>
      </c>
      <c r="N612" s="985"/>
      <c r="O612" s="985"/>
      <c r="Q612" t="s">
        <v>104</v>
      </c>
      <c r="R612" s="319">
        <f>COUNTIF($C548:$O550, R$586)</f>
        <v>2</v>
      </c>
      <c r="S612" s="33">
        <f t="shared" ref="S612:AS612" si="112">COUNTIF($C548:$O550, S$586)</f>
        <v>0</v>
      </c>
      <c r="T612" s="587">
        <f t="shared" si="112"/>
        <v>0</v>
      </c>
      <c r="U612" s="66">
        <f t="shared" si="112"/>
        <v>0</v>
      </c>
      <c r="V612" s="1422">
        <f t="shared" si="112"/>
        <v>0</v>
      </c>
      <c r="W612" s="37">
        <f t="shared" si="112"/>
        <v>0</v>
      </c>
      <c r="X612" s="588">
        <f t="shared" si="112"/>
        <v>0</v>
      </c>
      <c r="Y612" s="233">
        <f t="shared" si="112"/>
        <v>0</v>
      </c>
      <c r="Z612" s="36">
        <f t="shared" si="112"/>
        <v>1</v>
      </c>
      <c r="AA612" s="577">
        <f t="shared" si="112"/>
        <v>0</v>
      </c>
      <c r="AB612">
        <f t="shared" si="112"/>
        <v>1</v>
      </c>
      <c r="AC612">
        <f t="shared" si="112"/>
        <v>0</v>
      </c>
      <c r="AD612" s="242">
        <f t="shared" si="112"/>
        <v>0</v>
      </c>
      <c r="AE612" s="8">
        <f t="shared" si="112"/>
        <v>0</v>
      </c>
      <c r="AF612" s="1423">
        <f t="shared" si="112"/>
        <v>0</v>
      </c>
      <c r="AG612" s="1332">
        <f t="shared" si="112"/>
        <v>1</v>
      </c>
      <c r="AH612" s="1088">
        <f t="shared" si="112"/>
        <v>0</v>
      </c>
      <c r="AI612">
        <f t="shared" si="112"/>
        <v>0</v>
      </c>
      <c r="AJ612" s="500">
        <f t="shared" si="112"/>
        <v>0</v>
      </c>
      <c r="AK612" s="1088">
        <f t="shared" si="112"/>
        <v>0</v>
      </c>
      <c r="AL612" s="36">
        <f t="shared" si="112"/>
        <v>0</v>
      </c>
      <c r="AM612" s="1101">
        <f t="shared" si="112"/>
        <v>0</v>
      </c>
      <c r="AN612" s="10">
        <f t="shared" si="112"/>
        <v>0</v>
      </c>
      <c r="AO612" s="1094">
        <f t="shared" si="112"/>
        <v>0</v>
      </c>
      <c r="AP612" s="361">
        <f t="shared" si="112"/>
        <v>0</v>
      </c>
      <c r="AQ612">
        <f t="shared" si="112"/>
        <v>0</v>
      </c>
      <c r="AR612" s="1323">
        <f t="shared" si="112"/>
        <v>0</v>
      </c>
      <c r="AS612">
        <f t="shared" si="112"/>
        <v>0</v>
      </c>
    </row>
    <row r="613" spans="2:45" ht="16.5" thickTop="1">
      <c r="B613" s="1706" t="s">
        <v>198</v>
      </c>
      <c r="C613" s="1012" t="s">
        <v>1271</v>
      </c>
      <c r="D613" s="1016"/>
      <c r="E613" s="1016"/>
      <c r="F613" s="1016"/>
      <c r="G613" s="1012" t="s">
        <v>1271</v>
      </c>
      <c r="H613" s="1016"/>
      <c r="I613" s="1016"/>
      <c r="J613" s="1016"/>
      <c r="K613" s="1400" t="s">
        <v>216</v>
      </c>
      <c r="L613" s="1018" t="s">
        <v>1270</v>
      </c>
      <c r="M613" s="1016"/>
      <c r="N613" s="1016"/>
      <c r="O613" s="1016"/>
      <c r="Q613" t="s">
        <v>95</v>
      </c>
      <c r="R613" s="319">
        <f>COUNTIF($C551:$O559, R$586)</f>
        <v>1</v>
      </c>
      <c r="S613" s="33">
        <f t="shared" ref="S613:AS613" si="113">COUNTIF($C551:$O559, S$586)</f>
        <v>0</v>
      </c>
      <c r="T613" s="587">
        <f t="shared" si="113"/>
        <v>0</v>
      </c>
      <c r="U613" s="66">
        <f t="shared" si="113"/>
        <v>0</v>
      </c>
      <c r="V613" s="1422">
        <f t="shared" si="113"/>
        <v>1</v>
      </c>
      <c r="W613" s="37">
        <f t="shared" si="113"/>
        <v>0</v>
      </c>
      <c r="X613" s="588">
        <f t="shared" si="113"/>
        <v>0</v>
      </c>
      <c r="Y613" s="233">
        <f t="shared" si="113"/>
        <v>0</v>
      </c>
      <c r="Z613" s="36">
        <f t="shared" si="113"/>
        <v>1</v>
      </c>
      <c r="AA613" s="577">
        <f t="shared" si="113"/>
        <v>1</v>
      </c>
      <c r="AB613">
        <f t="shared" si="113"/>
        <v>0</v>
      </c>
      <c r="AC613">
        <f t="shared" si="113"/>
        <v>0</v>
      </c>
      <c r="AD613" s="242">
        <f t="shared" si="113"/>
        <v>0</v>
      </c>
      <c r="AE613" s="8">
        <f t="shared" si="113"/>
        <v>0</v>
      </c>
      <c r="AF613" s="1423">
        <f t="shared" si="113"/>
        <v>0</v>
      </c>
      <c r="AG613" s="1332">
        <f t="shared" si="113"/>
        <v>0</v>
      </c>
      <c r="AH613" s="1088">
        <f t="shared" si="113"/>
        <v>2</v>
      </c>
      <c r="AI613">
        <f t="shared" si="113"/>
        <v>0</v>
      </c>
      <c r="AJ613" s="500">
        <f t="shared" si="113"/>
        <v>1</v>
      </c>
      <c r="AK613" s="1088">
        <f t="shared" si="113"/>
        <v>0</v>
      </c>
      <c r="AL613" s="36">
        <f t="shared" si="113"/>
        <v>0</v>
      </c>
      <c r="AM613" s="1101">
        <f t="shared" si="113"/>
        <v>0</v>
      </c>
      <c r="AN613" s="10">
        <f t="shared" si="113"/>
        <v>0</v>
      </c>
      <c r="AO613" s="1094">
        <f t="shared" si="113"/>
        <v>0</v>
      </c>
      <c r="AP613" s="361">
        <f t="shared" si="113"/>
        <v>0</v>
      </c>
      <c r="AQ613">
        <f t="shared" si="113"/>
        <v>0</v>
      </c>
      <c r="AR613" s="1323">
        <f t="shared" si="113"/>
        <v>0</v>
      </c>
      <c r="AS613">
        <f t="shared" si="113"/>
        <v>0</v>
      </c>
    </row>
    <row r="614" spans="2:45">
      <c r="B614" s="1707"/>
      <c r="K614" s="980" t="s">
        <v>1272</v>
      </c>
      <c r="Q614" t="s">
        <v>85</v>
      </c>
      <c r="R614" s="319">
        <f>COUNTIF($C560:$O565, R$586)</f>
        <v>1</v>
      </c>
      <c r="S614" s="33">
        <f t="shared" ref="S614:AS614" si="114">COUNTIF($C560:$O565, S$586)</f>
        <v>0</v>
      </c>
      <c r="T614" s="587">
        <f t="shared" si="114"/>
        <v>0</v>
      </c>
      <c r="U614" s="66">
        <f t="shared" si="114"/>
        <v>0</v>
      </c>
      <c r="V614" s="1422">
        <f t="shared" si="114"/>
        <v>0</v>
      </c>
      <c r="W614" s="37">
        <f t="shared" si="114"/>
        <v>0</v>
      </c>
      <c r="X614" s="588">
        <f t="shared" si="114"/>
        <v>0</v>
      </c>
      <c r="Y614" s="233">
        <f t="shared" si="114"/>
        <v>0</v>
      </c>
      <c r="Z614" s="36">
        <f t="shared" si="114"/>
        <v>0</v>
      </c>
      <c r="AA614" s="577">
        <f t="shared" si="114"/>
        <v>0</v>
      </c>
      <c r="AB614">
        <f t="shared" si="114"/>
        <v>0</v>
      </c>
      <c r="AC614">
        <f t="shared" si="114"/>
        <v>0</v>
      </c>
      <c r="AD614" s="242">
        <f t="shared" si="114"/>
        <v>0</v>
      </c>
      <c r="AE614" s="8">
        <f t="shared" si="114"/>
        <v>2</v>
      </c>
      <c r="AF614" s="1423">
        <f t="shared" si="114"/>
        <v>0</v>
      </c>
      <c r="AG614" s="1332">
        <f t="shared" si="114"/>
        <v>0</v>
      </c>
      <c r="AH614" s="1088">
        <f t="shared" si="114"/>
        <v>0</v>
      </c>
      <c r="AI614">
        <f t="shared" si="114"/>
        <v>0</v>
      </c>
      <c r="AJ614" s="500">
        <f t="shared" si="114"/>
        <v>0</v>
      </c>
      <c r="AK614" s="1088">
        <f t="shared" si="114"/>
        <v>0</v>
      </c>
      <c r="AL614" s="36">
        <f t="shared" si="114"/>
        <v>0</v>
      </c>
      <c r="AM614" s="1101">
        <f t="shared" si="114"/>
        <v>2</v>
      </c>
      <c r="AN614" s="10">
        <f t="shared" si="114"/>
        <v>0</v>
      </c>
      <c r="AO614" s="1094">
        <f t="shared" si="114"/>
        <v>2</v>
      </c>
      <c r="AP614" s="361">
        <f t="shared" si="114"/>
        <v>0</v>
      </c>
      <c r="AQ614">
        <f t="shared" si="114"/>
        <v>0</v>
      </c>
      <c r="AR614" s="1323">
        <f t="shared" si="114"/>
        <v>0</v>
      </c>
      <c r="AS614">
        <f t="shared" si="114"/>
        <v>0</v>
      </c>
    </row>
    <row r="615" spans="2:45">
      <c r="B615" s="1707"/>
      <c r="C615" s="989" t="s">
        <v>186</v>
      </c>
      <c r="D615" s="989"/>
      <c r="E615" s="989"/>
      <c r="F615" s="989"/>
      <c r="G615" s="989" t="s">
        <v>188</v>
      </c>
      <c r="H615" s="989"/>
      <c r="I615" s="989"/>
      <c r="J615" s="989"/>
      <c r="K615" s="989" t="s">
        <v>189</v>
      </c>
      <c r="L615" s="989" t="s">
        <v>185</v>
      </c>
      <c r="M615" s="989"/>
      <c r="N615" s="989"/>
      <c r="O615" s="989"/>
      <c r="Q615" t="s">
        <v>66</v>
      </c>
      <c r="R615" s="319">
        <f>COUNTIF($C566:$O573, R$586)</f>
        <v>0</v>
      </c>
      <c r="S615" s="33">
        <f t="shared" ref="S615:AS615" si="115">COUNTIF($C566:$O573, S$586)</f>
        <v>0</v>
      </c>
      <c r="T615" s="587">
        <f t="shared" si="115"/>
        <v>0</v>
      </c>
      <c r="U615" s="66">
        <f t="shared" si="115"/>
        <v>0</v>
      </c>
      <c r="V615" s="1422">
        <f t="shared" si="115"/>
        <v>1</v>
      </c>
      <c r="W615" s="37">
        <f t="shared" si="115"/>
        <v>2</v>
      </c>
      <c r="X615" s="588">
        <f t="shared" si="115"/>
        <v>0</v>
      </c>
      <c r="Y615" s="233">
        <f t="shared" si="115"/>
        <v>0</v>
      </c>
      <c r="Z615" s="36">
        <f t="shared" si="115"/>
        <v>0</v>
      </c>
      <c r="AA615" s="577">
        <f t="shared" si="115"/>
        <v>1</v>
      </c>
      <c r="AB615">
        <f t="shared" si="115"/>
        <v>0</v>
      </c>
      <c r="AC615">
        <f t="shared" si="115"/>
        <v>0</v>
      </c>
      <c r="AD615" s="242">
        <f t="shared" si="115"/>
        <v>0</v>
      </c>
      <c r="AE615" s="8">
        <f t="shared" si="115"/>
        <v>0</v>
      </c>
      <c r="AF615" s="1423">
        <f t="shared" si="115"/>
        <v>0</v>
      </c>
      <c r="AG615" s="1332">
        <f t="shared" si="115"/>
        <v>0</v>
      </c>
      <c r="AH615" s="1088">
        <f t="shared" si="115"/>
        <v>1</v>
      </c>
      <c r="AI615">
        <f t="shared" si="115"/>
        <v>0</v>
      </c>
      <c r="AJ615" s="500">
        <f t="shared" si="115"/>
        <v>0</v>
      </c>
      <c r="AK615" s="1088">
        <f t="shared" si="115"/>
        <v>0</v>
      </c>
      <c r="AL615" s="36">
        <f t="shared" si="115"/>
        <v>0</v>
      </c>
      <c r="AM615" s="1101">
        <f t="shared" si="115"/>
        <v>3</v>
      </c>
      <c r="AN615" s="10">
        <f t="shared" si="115"/>
        <v>0</v>
      </c>
      <c r="AO615" s="1094">
        <f t="shared" si="115"/>
        <v>1</v>
      </c>
      <c r="AP615" s="361">
        <f t="shared" si="115"/>
        <v>0</v>
      </c>
      <c r="AQ615">
        <f t="shared" si="115"/>
        <v>0</v>
      </c>
      <c r="AR615" s="1323">
        <f t="shared" si="115"/>
        <v>0</v>
      </c>
      <c r="AS615">
        <f t="shared" si="115"/>
        <v>0</v>
      </c>
    </row>
    <row r="616" spans="2:45">
      <c r="B616" s="1707"/>
      <c r="C616" s="981" t="s">
        <v>1271</v>
      </c>
      <c r="L616" s="981" t="s">
        <v>1271</v>
      </c>
      <c r="Q616" t="s">
        <v>65</v>
      </c>
      <c r="R616" s="319">
        <f>COUNTIF($C574:$O584, R$586)</f>
        <v>1</v>
      </c>
      <c r="S616" s="33">
        <f t="shared" ref="S616:AS616" si="116">COUNTIF($C574:$O584, S$586)</f>
        <v>1</v>
      </c>
      <c r="T616" s="587">
        <f t="shared" si="116"/>
        <v>0</v>
      </c>
      <c r="U616" s="66">
        <f t="shared" si="116"/>
        <v>0</v>
      </c>
      <c r="V616" s="1422">
        <f t="shared" si="116"/>
        <v>2</v>
      </c>
      <c r="W616" s="37">
        <f t="shared" si="116"/>
        <v>1</v>
      </c>
      <c r="X616" s="588">
        <f t="shared" si="116"/>
        <v>0</v>
      </c>
      <c r="Y616" s="233">
        <f t="shared" si="116"/>
        <v>0</v>
      </c>
      <c r="Z616" s="36">
        <f t="shared" si="116"/>
        <v>0</v>
      </c>
      <c r="AA616" s="577">
        <f t="shared" si="116"/>
        <v>0</v>
      </c>
      <c r="AB616">
        <f t="shared" si="116"/>
        <v>1</v>
      </c>
      <c r="AC616">
        <f t="shared" si="116"/>
        <v>0</v>
      </c>
      <c r="AD616" s="242">
        <f t="shared" si="116"/>
        <v>0</v>
      </c>
      <c r="AE616" s="8">
        <f t="shared" si="116"/>
        <v>1</v>
      </c>
      <c r="AF616" s="1423">
        <f t="shared" si="116"/>
        <v>1</v>
      </c>
      <c r="AG616" s="1332">
        <f t="shared" si="116"/>
        <v>0</v>
      </c>
      <c r="AH616" s="1088">
        <f t="shared" si="116"/>
        <v>2</v>
      </c>
      <c r="AI616">
        <f t="shared" si="116"/>
        <v>0</v>
      </c>
      <c r="AJ616" s="500">
        <f t="shared" si="116"/>
        <v>0</v>
      </c>
      <c r="AK616" s="1088">
        <f t="shared" si="116"/>
        <v>0</v>
      </c>
      <c r="AL616" s="36">
        <f t="shared" si="116"/>
        <v>0</v>
      </c>
      <c r="AM616" s="1101">
        <f t="shared" si="116"/>
        <v>4</v>
      </c>
      <c r="AN616" s="10">
        <f t="shared" si="116"/>
        <v>2</v>
      </c>
      <c r="AO616" s="1094">
        <f t="shared" si="116"/>
        <v>3</v>
      </c>
      <c r="AP616" s="361">
        <f t="shared" si="116"/>
        <v>0</v>
      </c>
      <c r="AQ616">
        <f t="shared" si="116"/>
        <v>1</v>
      </c>
      <c r="AR616" s="1323">
        <f t="shared" si="116"/>
        <v>0</v>
      </c>
      <c r="AS616">
        <f t="shared" si="116"/>
        <v>0</v>
      </c>
    </row>
    <row r="617" spans="2:45">
      <c r="B617" s="1707"/>
      <c r="C617" s="989" t="s">
        <v>187</v>
      </c>
      <c r="D617" s="989"/>
      <c r="E617" s="989"/>
      <c r="F617" s="989"/>
      <c r="G617" s="989"/>
      <c r="H617" s="989"/>
      <c r="I617" s="989"/>
      <c r="J617" s="989"/>
      <c r="K617" s="989"/>
      <c r="L617" s="989" t="s">
        <v>189</v>
      </c>
      <c r="M617" s="989"/>
      <c r="N617" s="989"/>
      <c r="O617" s="989"/>
      <c r="Q617" t="s">
        <v>60</v>
      </c>
      <c r="R617" s="319">
        <f>COUNTIF($C585:$O591, R$586)</f>
        <v>0</v>
      </c>
      <c r="S617" s="33">
        <f t="shared" ref="S617:AS617" si="117">COUNTIF($C585:$O591, S$586)</f>
        <v>2</v>
      </c>
      <c r="T617" s="587">
        <f t="shared" si="117"/>
        <v>0</v>
      </c>
      <c r="U617" s="66">
        <f t="shared" si="117"/>
        <v>0</v>
      </c>
      <c r="V617" s="1422">
        <f t="shared" si="117"/>
        <v>1</v>
      </c>
      <c r="W617" s="37">
        <f t="shared" si="117"/>
        <v>0</v>
      </c>
      <c r="X617" s="588">
        <f t="shared" si="117"/>
        <v>1</v>
      </c>
      <c r="Y617" s="233">
        <f t="shared" si="117"/>
        <v>0</v>
      </c>
      <c r="Z617" s="36">
        <f t="shared" si="117"/>
        <v>0</v>
      </c>
      <c r="AA617" s="577">
        <f t="shared" si="117"/>
        <v>0</v>
      </c>
      <c r="AB617">
        <f t="shared" si="117"/>
        <v>0</v>
      </c>
      <c r="AC617">
        <f t="shared" si="117"/>
        <v>0</v>
      </c>
      <c r="AD617" s="242">
        <f t="shared" si="117"/>
        <v>1</v>
      </c>
      <c r="AE617" s="8">
        <f t="shared" si="117"/>
        <v>0</v>
      </c>
      <c r="AF617" s="1423">
        <f t="shared" si="117"/>
        <v>0</v>
      </c>
      <c r="AG617" s="1332">
        <f t="shared" si="117"/>
        <v>0</v>
      </c>
      <c r="AH617" s="1088">
        <f t="shared" si="117"/>
        <v>0</v>
      </c>
      <c r="AI617">
        <f t="shared" si="117"/>
        <v>0</v>
      </c>
      <c r="AJ617" s="500">
        <f t="shared" si="117"/>
        <v>0</v>
      </c>
      <c r="AK617" s="1088">
        <f t="shared" si="117"/>
        <v>0</v>
      </c>
      <c r="AL617" s="36">
        <f t="shared" si="117"/>
        <v>0</v>
      </c>
      <c r="AM617" s="1101">
        <f t="shared" si="117"/>
        <v>2</v>
      </c>
      <c r="AN617" s="10">
        <f t="shared" si="117"/>
        <v>0</v>
      </c>
      <c r="AO617" s="1094">
        <f t="shared" si="117"/>
        <v>2</v>
      </c>
      <c r="AP617" s="361">
        <f t="shared" si="117"/>
        <v>0</v>
      </c>
      <c r="AQ617">
        <f t="shared" si="117"/>
        <v>0</v>
      </c>
      <c r="AR617" s="1323">
        <f t="shared" si="117"/>
        <v>0</v>
      </c>
      <c r="AS617">
        <f t="shared" si="117"/>
        <v>0</v>
      </c>
    </row>
    <row r="618" spans="2:45">
      <c r="B618" s="1707"/>
      <c r="L618" s="980" t="s">
        <v>1272</v>
      </c>
      <c r="Q618" t="s">
        <v>35</v>
      </c>
      <c r="R618" s="319">
        <f>COUNTIF($C592:$O602, R$586)</f>
        <v>1</v>
      </c>
      <c r="S618" s="33">
        <f t="shared" ref="S618:AS618" si="118">COUNTIF($C592:$O602, S$586)</f>
        <v>4</v>
      </c>
      <c r="T618" s="587">
        <f t="shared" si="118"/>
        <v>0</v>
      </c>
      <c r="U618" s="66">
        <f t="shared" si="118"/>
        <v>0</v>
      </c>
      <c r="V618" s="1422">
        <f t="shared" si="118"/>
        <v>0</v>
      </c>
      <c r="W618" s="37">
        <f t="shared" si="118"/>
        <v>1</v>
      </c>
      <c r="X618" s="588">
        <f t="shared" si="118"/>
        <v>0</v>
      </c>
      <c r="Y618" s="233">
        <f t="shared" si="118"/>
        <v>0</v>
      </c>
      <c r="Z618" s="36">
        <f t="shared" si="118"/>
        <v>0</v>
      </c>
      <c r="AA618" s="577">
        <f t="shared" si="118"/>
        <v>0</v>
      </c>
      <c r="AB618">
        <f t="shared" si="118"/>
        <v>0</v>
      </c>
      <c r="AC618">
        <f t="shared" si="118"/>
        <v>1</v>
      </c>
      <c r="AD618" s="242">
        <f t="shared" si="118"/>
        <v>1</v>
      </c>
      <c r="AE618" s="8">
        <f t="shared" si="118"/>
        <v>1</v>
      </c>
      <c r="AF618" s="1423">
        <f t="shared" si="118"/>
        <v>1</v>
      </c>
      <c r="AG618" s="1332">
        <f t="shared" si="118"/>
        <v>0</v>
      </c>
      <c r="AH618" s="1088">
        <f t="shared" si="118"/>
        <v>1</v>
      </c>
      <c r="AI618">
        <f t="shared" si="118"/>
        <v>0</v>
      </c>
      <c r="AJ618" s="500">
        <f t="shared" si="118"/>
        <v>0</v>
      </c>
      <c r="AK618" s="1088">
        <f t="shared" si="118"/>
        <v>0</v>
      </c>
      <c r="AL618" s="36">
        <f t="shared" si="118"/>
        <v>0</v>
      </c>
      <c r="AM618" s="1101">
        <f t="shared" si="118"/>
        <v>2</v>
      </c>
      <c r="AN618" s="10">
        <f t="shared" si="118"/>
        <v>1</v>
      </c>
      <c r="AO618" s="1094">
        <f t="shared" si="118"/>
        <v>3</v>
      </c>
      <c r="AP618" s="361">
        <f t="shared" si="118"/>
        <v>0</v>
      </c>
      <c r="AQ618">
        <f t="shared" si="118"/>
        <v>0</v>
      </c>
      <c r="AR618" s="1323">
        <f t="shared" si="118"/>
        <v>0</v>
      </c>
      <c r="AS618">
        <f t="shared" si="118"/>
        <v>0</v>
      </c>
    </row>
    <row r="619" spans="2:45" ht="16.5" thickBot="1">
      <c r="B619" s="1708"/>
      <c r="C619" s="985"/>
      <c r="D619" s="985"/>
      <c r="E619" s="985"/>
      <c r="F619" s="985"/>
      <c r="G619" s="985"/>
      <c r="H619" s="985"/>
      <c r="I619" s="985"/>
      <c r="J619" s="985"/>
      <c r="K619" s="985"/>
      <c r="L619" s="985" t="s">
        <v>191</v>
      </c>
      <c r="M619" s="985"/>
      <c r="N619" s="985"/>
      <c r="O619" s="985"/>
      <c r="Q619" t="s">
        <v>11</v>
      </c>
      <c r="R619" s="319">
        <f>COUNTIF($C603:$O612, R$586)</f>
        <v>0</v>
      </c>
      <c r="S619" s="33">
        <f t="shared" ref="S619:AS619" si="119">COUNTIF($C603:$O612, S$586)</f>
        <v>2</v>
      </c>
      <c r="T619" s="587">
        <f t="shared" si="119"/>
        <v>0</v>
      </c>
      <c r="U619" s="66">
        <f t="shared" si="119"/>
        <v>0</v>
      </c>
      <c r="V619" s="1422">
        <f t="shared" si="119"/>
        <v>0</v>
      </c>
      <c r="W619" s="37">
        <f t="shared" si="119"/>
        <v>0</v>
      </c>
      <c r="X619" s="588">
        <f t="shared" si="119"/>
        <v>0</v>
      </c>
      <c r="Y619" s="233">
        <f t="shared" si="119"/>
        <v>0</v>
      </c>
      <c r="Z619" s="36">
        <f t="shared" si="119"/>
        <v>0</v>
      </c>
      <c r="AA619" s="577">
        <f t="shared" si="119"/>
        <v>0</v>
      </c>
      <c r="AB619">
        <f t="shared" si="119"/>
        <v>0</v>
      </c>
      <c r="AC619">
        <f t="shared" si="119"/>
        <v>0</v>
      </c>
      <c r="AD619" s="242">
        <f t="shared" si="119"/>
        <v>0</v>
      </c>
      <c r="AE619" s="8">
        <f t="shared" si="119"/>
        <v>0</v>
      </c>
      <c r="AF619" s="1423">
        <f t="shared" si="119"/>
        <v>0</v>
      </c>
      <c r="AG619" s="1332">
        <f t="shared" si="119"/>
        <v>0</v>
      </c>
      <c r="AH619" s="1088">
        <f t="shared" si="119"/>
        <v>1</v>
      </c>
      <c r="AI619">
        <f t="shared" si="119"/>
        <v>0</v>
      </c>
      <c r="AJ619" s="500">
        <f t="shared" si="119"/>
        <v>0</v>
      </c>
      <c r="AK619" s="1088">
        <f t="shared" si="119"/>
        <v>0</v>
      </c>
      <c r="AL619" s="36">
        <f t="shared" si="119"/>
        <v>1</v>
      </c>
      <c r="AM619" s="1101">
        <f t="shared" si="119"/>
        <v>1</v>
      </c>
      <c r="AN619" s="10">
        <f t="shared" si="119"/>
        <v>1</v>
      </c>
      <c r="AO619" s="1094">
        <f t="shared" si="119"/>
        <v>3</v>
      </c>
      <c r="AP619" s="361">
        <f t="shared" si="119"/>
        <v>0</v>
      </c>
      <c r="AQ619">
        <f t="shared" si="119"/>
        <v>0</v>
      </c>
      <c r="AR619" s="1323">
        <f t="shared" si="119"/>
        <v>0</v>
      </c>
      <c r="AS619">
        <f t="shared" si="119"/>
        <v>0</v>
      </c>
    </row>
    <row r="620" spans="2:45" ht="16.5" thickTop="1">
      <c r="B620" s="1709" t="s">
        <v>184</v>
      </c>
      <c r="C620" s="1016"/>
      <c r="D620" s="1016"/>
      <c r="E620" s="1016"/>
      <c r="F620" s="1016"/>
      <c r="G620" s="1016"/>
      <c r="H620" s="1016"/>
      <c r="I620" s="1022" t="s">
        <v>120</v>
      </c>
      <c r="J620" s="1016"/>
      <c r="K620" s="1010" t="s">
        <v>26</v>
      </c>
      <c r="L620" s="1010" t="s">
        <v>26</v>
      </c>
      <c r="M620" s="1016"/>
      <c r="N620" s="1392" t="s">
        <v>44</v>
      </c>
      <c r="O620" s="1016"/>
      <c r="Q620" t="s">
        <v>198</v>
      </c>
      <c r="R620" s="319">
        <f>COUNTIF($C613:$O619, R$586)</f>
        <v>0</v>
      </c>
      <c r="S620" s="33">
        <f t="shared" ref="S620:AS620" si="120">COUNTIF($C613:$O619, S$586)</f>
        <v>1</v>
      </c>
      <c r="T620" s="587">
        <f t="shared" si="120"/>
        <v>0</v>
      </c>
      <c r="U620" s="66">
        <f t="shared" si="120"/>
        <v>0</v>
      </c>
      <c r="V620" s="1422">
        <f t="shared" si="120"/>
        <v>0</v>
      </c>
      <c r="W620" s="37">
        <f t="shared" si="120"/>
        <v>0</v>
      </c>
      <c r="X620" s="588">
        <f t="shared" si="120"/>
        <v>0</v>
      </c>
      <c r="Y620" s="233">
        <f t="shared" si="120"/>
        <v>0</v>
      </c>
      <c r="Z620" s="36">
        <f t="shared" si="120"/>
        <v>0</v>
      </c>
      <c r="AA620" s="577">
        <f t="shared" si="120"/>
        <v>0</v>
      </c>
      <c r="AB620">
        <f t="shared" si="120"/>
        <v>0</v>
      </c>
      <c r="AC620">
        <f t="shared" si="120"/>
        <v>0</v>
      </c>
      <c r="AD620" s="242">
        <f t="shared" si="120"/>
        <v>0</v>
      </c>
      <c r="AE620" s="8">
        <f t="shared" si="120"/>
        <v>0</v>
      </c>
      <c r="AF620" s="1423">
        <f t="shared" si="120"/>
        <v>0</v>
      </c>
      <c r="AG620" s="1332">
        <f t="shared" si="120"/>
        <v>0</v>
      </c>
      <c r="AH620" s="1088">
        <f t="shared" si="120"/>
        <v>2</v>
      </c>
      <c r="AI620">
        <f t="shared" si="120"/>
        <v>0</v>
      </c>
      <c r="AJ620" s="500">
        <f t="shared" si="120"/>
        <v>0</v>
      </c>
      <c r="AK620" s="1088">
        <f t="shared" si="120"/>
        <v>0</v>
      </c>
      <c r="AL620" s="36">
        <f t="shared" si="120"/>
        <v>0</v>
      </c>
      <c r="AM620" s="1101">
        <f t="shared" si="120"/>
        <v>4</v>
      </c>
      <c r="AN620" s="10">
        <f t="shared" si="120"/>
        <v>0</v>
      </c>
      <c r="AO620" s="1094">
        <f t="shared" si="120"/>
        <v>0</v>
      </c>
      <c r="AP620" s="361">
        <f t="shared" si="120"/>
        <v>0</v>
      </c>
      <c r="AQ620">
        <f t="shared" si="120"/>
        <v>0</v>
      </c>
      <c r="AR620" s="1323">
        <f t="shared" si="120"/>
        <v>1</v>
      </c>
      <c r="AS620">
        <f t="shared" si="120"/>
        <v>0</v>
      </c>
    </row>
    <row r="621" spans="2:45">
      <c r="B621" s="1710"/>
      <c r="K621" s="977" t="s">
        <v>1270</v>
      </c>
      <c r="Q621" t="s">
        <v>184</v>
      </c>
      <c r="R621" s="319">
        <f>COUNTIF($C620:$O625, R$586)</f>
        <v>0</v>
      </c>
      <c r="S621" s="33">
        <f t="shared" ref="S621:AS621" si="121">COUNTIF($C620:$O625, S$586)</f>
        <v>1</v>
      </c>
      <c r="T621" s="587">
        <f t="shared" si="121"/>
        <v>0</v>
      </c>
      <c r="U621" s="66">
        <f t="shared" si="121"/>
        <v>1</v>
      </c>
      <c r="V621" s="1422">
        <f t="shared" si="121"/>
        <v>1</v>
      </c>
      <c r="W621" s="37">
        <f t="shared" si="121"/>
        <v>0</v>
      </c>
      <c r="X621" s="588">
        <f t="shared" si="121"/>
        <v>0</v>
      </c>
      <c r="Y621" s="233">
        <f t="shared" si="121"/>
        <v>0</v>
      </c>
      <c r="Z621" s="36">
        <f t="shared" si="121"/>
        <v>0</v>
      </c>
      <c r="AA621" s="577">
        <f t="shared" si="121"/>
        <v>0</v>
      </c>
      <c r="AB621">
        <f t="shared" si="121"/>
        <v>0</v>
      </c>
      <c r="AC621">
        <f t="shared" si="121"/>
        <v>0</v>
      </c>
      <c r="AD621" s="242">
        <f t="shared" si="121"/>
        <v>0</v>
      </c>
      <c r="AE621" s="8">
        <f t="shared" si="121"/>
        <v>2</v>
      </c>
      <c r="AF621" s="1423">
        <f t="shared" si="121"/>
        <v>0</v>
      </c>
      <c r="AG621" s="1332">
        <f t="shared" si="121"/>
        <v>0</v>
      </c>
      <c r="AH621" s="1088">
        <f t="shared" si="121"/>
        <v>1</v>
      </c>
      <c r="AI621">
        <f t="shared" si="121"/>
        <v>0</v>
      </c>
      <c r="AJ621" s="500">
        <f t="shared" si="121"/>
        <v>0</v>
      </c>
      <c r="AK621" s="1088">
        <f t="shared" si="121"/>
        <v>0</v>
      </c>
      <c r="AL621" s="36">
        <f t="shared" si="121"/>
        <v>0</v>
      </c>
      <c r="AM621" s="1101">
        <f t="shared" si="121"/>
        <v>0</v>
      </c>
      <c r="AN621" s="10">
        <f t="shared" si="121"/>
        <v>0</v>
      </c>
      <c r="AO621" s="1094">
        <f t="shared" si="121"/>
        <v>1</v>
      </c>
      <c r="AP621" s="361">
        <f t="shared" si="121"/>
        <v>0</v>
      </c>
      <c r="AQ621">
        <f t="shared" si="121"/>
        <v>0</v>
      </c>
      <c r="AR621" s="1323">
        <f t="shared" si="121"/>
        <v>0</v>
      </c>
      <c r="AS621">
        <f t="shared" si="121"/>
        <v>0</v>
      </c>
    </row>
    <row r="622" spans="2:45">
      <c r="B622" s="1710"/>
      <c r="K622" s="189" t="s">
        <v>47</v>
      </c>
      <c r="Q622" t="s">
        <v>563</v>
      </c>
      <c r="R622" s="319">
        <f>COUNTIF($C626:$O629, R$586)</f>
        <v>0</v>
      </c>
      <c r="S622" s="33">
        <f t="shared" ref="S622:AS622" si="122">COUNTIF($C626:$O629, S$586)</f>
        <v>0</v>
      </c>
      <c r="T622" s="587">
        <f t="shared" si="122"/>
        <v>0</v>
      </c>
      <c r="U622" s="66">
        <f t="shared" si="122"/>
        <v>0</v>
      </c>
      <c r="V622" s="1422">
        <f t="shared" si="122"/>
        <v>0</v>
      </c>
      <c r="W622" s="37">
        <f t="shared" si="122"/>
        <v>0</v>
      </c>
      <c r="X622" s="588">
        <f t="shared" si="122"/>
        <v>0</v>
      </c>
      <c r="Y622" s="233">
        <f t="shared" si="122"/>
        <v>0</v>
      </c>
      <c r="Z622" s="36">
        <f t="shared" si="122"/>
        <v>0</v>
      </c>
      <c r="AA622" s="577">
        <f t="shared" si="122"/>
        <v>0</v>
      </c>
      <c r="AB622">
        <f t="shared" si="122"/>
        <v>0</v>
      </c>
      <c r="AC622">
        <f t="shared" si="122"/>
        <v>0</v>
      </c>
      <c r="AD622" s="242">
        <f t="shared" si="122"/>
        <v>0</v>
      </c>
      <c r="AE622" s="8">
        <f t="shared" si="122"/>
        <v>0</v>
      </c>
      <c r="AF622" s="1423">
        <f t="shared" si="122"/>
        <v>0</v>
      </c>
      <c r="AG622" s="1332">
        <f t="shared" si="122"/>
        <v>0</v>
      </c>
      <c r="AH622" s="1088">
        <f t="shared" si="122"/>
        <v>1</v>
      </c>
      <c r="AI622">
        <f t="shared" si="122"/>
        <v>0</v>
      </c>
      <c r="AJ622" s="500">
        <f t="shared" si="122"/>
        <v>0</v>
      </c>
      <c r="AK622" s="1088">
        <f t="shared" si="122"/>
        <v>0</v>
      </c>
      <c r="AL622" s="36">
        <f t="shared" si="122"/>
        <v>0</v>
      </c>
      <c r="AM622" s="1101">
        <f t="shared" si="122"/>
        <v>1</v>
      </c>
      <c r="AN622" s="10">
        <f t="shared" si="122"/>
        <v>1</v>
      </c>
      <c r="AO622" s="1094">
        <f t="shared" si="122"/>
        <v>0</v>
      </c>
      <c r="AP622" s="361">
        <f t="shared" si="122"/>
        <v>0</v>
      </c>
      <c r="AQ622">
        <f t="shared" si="122"/>
        <v>0</v>
      </c>
      <c r="AR622" s="1323">
        <f t="shared" si="122"/>
        <v>0</v>
      </c>
      <c r="AS622">
        <f t="shared" si="122"/>
        <v>0</v>
      </c>
    </row>
    <row r="623" spans="2:45">
      <c r="B623" s="1710"/>
      <c r="C623" s="989"/>
      <c r="D623" s="989"/>
      <c r="E623" s="989"/>
      <c r="F623" s="989"/>
      <c r="G623" s="989"/>
      <c r="H623" s="989"/>
      <c r="I623" s="989" t="s">
        <v>188</v>
      </c>
      <c r="J623" s="989"/>
      <c r="K623" s="989" t="s">
        <v>188</v>
      </c>
      <c r="L623" s="989" t="s">
        <v>186</v>
      </c>
      <c r="M623" s="989"/>
      <c r="N623" s="989" t="s">
        <v>186</v>
      </c>
      <c r="O623" s="989"/>
      <c r="Q623" t="s">
        <v>1742</v>
      </c>
      <c r="R623" s="319">
        <f>COUNTIF($C630:$O639, R$586)</f>
        <v>0</v>
      </c>
      <c r="S623" s="33">
        <f t="shared" ref="S623:AS623" si="123">COUNTIF($C630:$O639, S$586)</f>
        <v>2</v>
      </c>
      <c r="T623" s="587">
        <f t="shared" si="123"/>
        <v>0</v>
      </c>
      <c r="U623" s="66">
        <f t="shared" si="123"/>
        <v>0</v>
      </c>
      <c r="V623" s="1422">
        <f t="shared" si="123"/>
        <v>0</v>
      </c>
      <c r="W623" s="37">
        <f t="shared" si="123"/>
        <v>0</v>
      </c>
      <c r="X623" s="588">
        <f t="shared" si="123"/>
        <v>0</v>
      </c>
      <c r="Y623" s="233">
        <f t="shared" si="123"/>
        <v>0</v>
      </c>
      <c r="Z623" s="36">
        <f t="shared" si="123"/>
        <v>2</v>
      </c>
      <c r="AA623" s="577">
        <f t="shared" si="123"/>
        <v>0</v>
      </c>
      <c r="AB623">
        <f t="shared" si="123"/>
        <v>1</v>
      </c>
      <c r="AC623">
        <f t="shared" si="123"/>
        <v>0</v>
      </c>
      <c r="AD623" s="242">
        <f t="shared" si="123"/>
        <v>0</v>
      </c>
      <c r="AE623" s="8">
        <f t="shared" si="123"/>
        <v>0</v>
      </c>
      <c r="AF623" s="1423">
        <f t="shared" si="123"/>
        <v>2</v>
      </c>
      <c r="AG623" s="1332">
        <f t="shared" si="123"/>
        <v>0</v>
      </c>
      <c r="AH623" s="1088">
        <f t="shared" si="123"/>
        <v>2</v>
      </c>
      <c r="AI623">
        <f t="shared" si="123"/>
        <v>0</v>
      </c>
      <c r="AJ623" s="500">
        <f t="shared" si="123"/>
        <v>0</v>
      </c>
      <c r="AK623" s="1088">
        <f t="shared" si="123"/>
        <v>0</v>
      </c>
      <c r="AL623" s="36">
        <f t="shared" si="123"/>
        <v>0</v>
      </c>
      <c r="AM623" s="1101">
        <f t="shared" si="123"/>
        <v>3</v>
      </c>
      <c r="AN623" s="10">
        <f t="shared" si="123"/>
        <v>3</v>
      </c>
      <c r="AO623" s="1094">
        <f t="shared" si="123"/>
        <v>3</v>
      </c>
      <c r="AP623" s="361">
        <f t="shared" si="123"/>
        <v>0</v>
      </c>
      <c r="AQ623">
        <f t="shared" si="123"/>
        <v>0</v>
      </c>
      <c r="AR623" s="1323">
        <f t="shared" si="123"/>
        <v>0</v>
      </c>
      <c r="AS623">
        <f t="shared" si="123"/>
        <v>0</v>
      </c>
    </row>
    <row r="624" spans="2:45" ht="16.5" thickBot="1">
      <c r="B624" s="1710"/>
      <c r="N624" s="980" t="s">
        <v>1272</v>
      </c>
      <c r="Q624" s="996" t="s">
        <v>2056</v>
      </c>
      <c r="R624" s="1190">
        <f>COUNTIF($C640:$O650, R$586)</f>
        <v>1</v>
      </c>
      <c r="S624" s="1191">
        <f t="shared" ref="S624:AS624" si="124">COUNTIF($C640:$O650, S$586)</f>
        <v>1</v>
      </c>
      <c r="T624" s="996">
        <f t="shared" si="124"/>
        <v>1</v>
      </c>
      <c r="U624" s="1426">
        <f t="shared" si="124"/>
        <v>0</v>
      </c>
      <c r="V624" s="1427">
        <f t="shared" si="124"/>
        <v>1</v>
      </c>
      <c r="W624" s="1195">
        <f t="shared" si="124"/>
        <v>1</v>
      </c>
      <c r="X624" s="996">
        <f t="shared" si="124"/>
        <v>0</v>
      </c>
      <c r="Y624" s="1197">
        <f t="shared" si="124"/>
        <v>1</v>
      </c>
      <c r="Z624" s="1325">
        <f t="shared" si="124"/>
        <v>0</v>
      </c>
      <c r="AA624" s="1199">
        <f t="shared" si="124"/>
        <v>0</v>
      </c>
      <c r="AB624" s="996">
        <f t="shared" si="124"/>
        <v>1</v>
      </c>
      <c r="AC624" s="996">
        <f t="shared" si="124"/>
        <v>0</v>
      </c>
      <c r="AD624" s="1200">
        <f t="shared" si="124"/>
        <v>1</v>
      </c>
      <c r="AE624" s="1201">
        <f t="shared" si="124"/>
        <v>1</v>
      </c>
      <c r="AF624" s="996">
        <f t="shared" si="124"/>
        <v>0</v>
      </c>
      <c r="AG624" s="1428">
        <f t="shared" si="124"/>
        <v>0</v>
      </c>
      <c r="AH624" s="1204">
        <f t="shared" si="124"/>
        <v>1</v>
      </c>
      <c r="AI624" s="996">
        <f t="shared" si="124"/>
        <v>0</v>
      </c>
      <c r="AJ624" s="1326">
        <f t="shared" si="124"/>
        <v>0</v>
      </c>
      <c r="AK624" s="1204">
        <f t="shared" si="124"/>
        <v>1</v>
      </c>
      <c r="AL624" s="1325">
        <f t="shared" si="124"/>
        <v>0</v>
      </c>
      <c r="AM624" s="1208">
        <f t="shared" si="124"/>
        <v>3</v>
      </c>
      <c r="AN624" s="1209">
        <f t="shared" si="124"/>
        <v>3</v>
      </c>
      <c r="AO624" s="1203">
        <f t="shared" si="124"/>
        <v>2</v>
      </c>
      <c r="AP624" s="996">
        <f t="shared" si="124"/>
        <v>0</v>
      </c>
      <c r="AQ624" s="996">
        <f t="shared" si="124"/>
        <v>0</v>
      </c>
      <c r="AR624" s="1328">
        <f t="shared" si="124"/>
        <v>0</v>
      </c>
      <c r="AS624" s="996">
        <f t="shared" si="124"/>
        <v>0</v>
      </c>
    </row>
    <row r="625" spans="2:45" ht="17.25" thickTop="1" thickBot="1">
      <c r="B625" s="1711"/>
      <c r="C625" s="985"/>
      <c r="D625" s="985"/>
      <c r="E625" s="985"/>
      <c r="F625" s="985"/>
      <c r="G625" s="985"/>
      <c r="H625" s="985"/>
      <c r="I625" s="985"/>
      <c r="J625" s="985"/>
      <c r="K625" s="985"/>
      <c r="L625" s="985"/>
      <c r="M625" s="985"/>
      <c r="N625" s="985" t="s">
        <v>189</v>
      </c>
      <c r="O625" s="985"/>
      <c r="Q625" s="287" t="s">
        <v>200</v>
      </c>
      <c r="R625" s="405">
        <f>SUM(R587:R624)</f>
        <v>16</v>
      </c>
      <c r="S625" s="559">
        <f t="shared" ref="S625:AS625" si="125">SUM(S587:S624)</f>
        <v>21</v>
      </c>
      <c r="T625" s="1080">
        <f t="shared" si="125"/>
        <v>1</v>
      </c>
      <c r="U625" s="1082">
        <f t="shared" si="125"/>
        <v>2</v>
      </c>
      <c r="V625" s="1083">
        <f t="shared" si="125"/>
        <v>9</v>
      </c>
      <c r="W625" s="564">
        <f t="shared" si="125"/>
        <v>5</v>
      </c>
      <c r="X625" s="1084">
        <f t="shared" si="125"/>
        <v>3</v>
      </c>
      <c r="Y625" s="1085">
        <f t="shared" si="125"/>
        <v>1</v>
      </c>
      <c r="Z625" s="1100">
        <f t="shared" si="125"/>
        <v>8</v>
      </c>
      <c r="AA625" s="1098">
        <f t="shared" si="125"/>
        <v>2</v>
      </c>
      <c r="AB625" s="35">
        <f t="shared" si="125"/>
        <v>5</v>
      </c>
      <c r="AC625" s="35">
        <f t="shared" si="125"/>
        <v>3</v>
      </c>
      <c r="AD625" s="1097">
        <f t="shared" si="125"/>
        <v>8</v>
      </c>
      <c r="AE625" s="558">
        <f t="shared" si="125"/>
        <v>17</v>
      </c>
      <c r="AF625" s="1096">
        <f t="shared" si="125"/>
        <v>5</v>
      </c>
      <c r="AG625" s="1095">
        <f t="shared" si="125"/>
        <v>3</v>
      </c>
      <c r="AH625" s="1089">
        <f t="shared" si="125"/>
        <v>21</v>
      </c>
      <c r="AI625" s="1093">
        <f t="shared" si="125"/>
        <v>0</v>
      </c>
      <c r="AJ625" s="1424">
        <f t="shared" si="125"/>
        <v>3</v>
      </c>
      <c r="AK625" s="1089">
        <f t="shared" si="125"/>
        <v>4</v>
      </c>
      <c r="AL625" s="1087">
        <f t="shared" si="125"/>
        <v>2</v>
      </c>
      <c r="AM625" s="1102">
        <f t="shared" si="125"/>
        <v>35</v>
      </c>
      <c r="AN625" s="1103">
        <f t="shared" si="125"/>
        <v>17</v>
      </c>
      <c r="AO625" s="1095">
        <f t="shared" si="125"/>
        <v>45</v>
      </c>
      <c r="AP625" s="1104">
        <f t="shared" si="125"/>
        <v>1</v>
      </c>
      <c r="AQ625" s="35">
        <f t="shared" si="125"/>
        <v>1</v>
      </c>
      <c r="AR625" s="1425">
        <f t="shared" si="125"/>
        <v>2</v>
      </c>
      <c r="AS625" s="35">
        <f t="shared" si="125"/>
        <v>0</v>
      </c>
    </row>
    <row r="626" spans="2:45" ht="16.5" thickTop="1">
      <c r="B626" s="1709" t="s">
        <v>563</v>
      </c>
      <c r="C626" s="1016"/>
      <c r="D626" s="1016"/>
      <c r="E626" s="1016"/>
      <c r="F626" s="1016"/>
      <c r="G626" s="1016"/>
      <c r="H626" s="1016"/>
      <c r="I626" s="1016"/>
      <c r="J626" s="1016"/>
      <c r="K626" s="1012" t="s">
        <v>1271</v>
      </c>
      <c r="L626" s="1016"/>
      <c r="M626" s="1019" t="s">
        <v>1272</v>
      </c>
      <c r="N626" s="1016"/>
      <c r="O626" s="1016"/>
      <c r="Q626" s="287" t="s">
        <v>1495</v>
      </c>
      <c r="R626" s="441">
        <f>AVERAGE(R587:R624)</f>
        <v>0.42105263157894735</v>
      </c>
      <c r="S626" s="441">
        <f t="shared" ref="S626:AS626" si="126">AVERAGE(S587:S624)</f>
        <v>0.55263157894736847</v>
      </c>
      <c r="T626" s="441">
        <f t="shared" si="126"/>
        <v>2.6315789473684209E-2</v>
      </c>
      <c r="U626" s="441">
        <f t="shared" si="126"/>
        <v>5.2631578947368418E-2</v>
      </c>
      <c r="V626" s="441">
        <f t="shared" si="126"/>
        <v>0.23684210526315788</v>
      </c>
      <c r="W626" s="441">
        <f t="shared" si="126"/>
        <v>0.13157894736842105</v>
      </c>
      <c r="X626" s="441">
        <f t="shared" si="126"/>
        <v>7.8947368421052627E-2</v>
      </c>
      <c r="Y626" s="441">
        <f t="shared" si="126"/>
        <v>2.6315789473684209E-2</v>
      </c>
      <c r="Z626" s="441">
        <f t="shared" si="126"/>
        <v>0.21052631578947367</v>
      </c>
      <c r="AA626" s="441">
        <f t="shared" si="126"/>
        <v>5.2631578947368418E-2</v>
      </c>
      <c r="AB626" s="441">
        <f t="shared" si="126"/>
        <v>0.13157894736842105</v>
      </c>
      <c r="AC626" s="441">
        <f t="shared" si="126"/>
        <v>7.8947368421052627E-2</v>
      </c>
      <c r="AD626" s="441">
        <f t="shared" si="126"/>
        <v>0.21052631578947367</v>
      </c>
      <c r="AE626" s="441">
        <f t="shared" si="126"/>
        <v>0.44736842105263158</v>
      </c>
      <c r="AF626" s="441">
        <f t="shared" si="126"/>
        <v>0.13157894736842105</v>
      </c>
      <c r="AG626" s="441">
        <f t="shared" si="126"/>
        <v>7.8947368421052627E-2</v>
      </c>
      <c r="AH626" s="441">
        <f t="shared" si="126"/>
        <v>0.55263157894736847</v>
      </c>
      <c r="AI626" s="441">
        <f t="shared" si="126"/>
        <v>0</v>
      </c>
      <c r="AJ626" s="441">
        <f t="shared" si="126"/>
        <v>7.8947368421052627E-2</v>
      </c>
      <c r="AK626" s="441">
        <f t="shared" si="126"/>
        <v>0.10526315789473684</v>
      </c>
      <c r="AL626" s="441">
        <f t="shared" si="126"/>
        <v>5.2631578947368418E-2</v>
      </c>
      <c r="AM626" s="441">
        <f t="shared" si="126"/>
        <v>0.92105263157894735</v>
      </c>
      <c r="AN626" s="441">
        <f t="shared" si="126"/>
        <v>0.44736842105263158</v>
      </c>
      <c r="AO626" s="441">
        <f t="shared" si="126"/>
        <v>1.1842105263157894</v>
      </c>
      <c r="AP626" s="441">
        <f t="shared" si="126"/>
        <v>2.6315789473684209E-2</v>
      </c>
      <c r="AQ626" s="441">
        <f t="shared" si="126"/>
        <v>2.6315789473684209E-2</v>
      </c>
      <c r="AR626" s="441">
        <f t="shared" si="126"/>
        <v>5.2631578947368418E-2</v>
      </c>
      <c r="AS626" s="441">
        <f t="shared" si="126"/>
        <v>0</v>
      </c>
    </row>
    <row r="627" spans="2:45">
      <c r="B627" s="1710"/>
      <c r="C627" s="989"/>
      <c r="D627" s="989"/>
      <c r="E627" s="989"/>
      <c r="F627" s="989"/>
      <c r="G627" s="989"/>
      <c r="H627" s="989"/>
      <c r="I627" s="989"/>
      <c r="J627" s="989"/>
      <c r="K627" s="989" t="s">
        <v>188</v>
      </c>
      <c r="L627" s="989"/>
      <c r="M627" s="989" t="s">
        <v>189</v>
      </c>
      <c r="N627" s="989"/>
      <c r="O627" s="989"/>
      <c r="Q627" s="287" t="s">
        <v>2705</v>
      </c>
      <c r="R627" s="1189">
        <f>MAX(R587:R624)</f>
        <v>2</v>
      </c>
      <c r="S627" s="1189">
        <f t="shared" ref="S627:AS627" si="127">MAX(S587:S624)</f>
        <v>4</v>
      </c>
      <c r="T627" s="1189">
        <f t="shared" si="127"/>
        <v>1</v>
      </c>
      <c r="U627" s="1189">
        <f t="shared" si="127"/>
        <v>1</v>
      </c>
      <c r="V627" s="1189">
        <f t="shared" si="127"/>
        <v>2</v>
      </c>
      <c r="W627" s="1189">
        <f t="shared" si="127"/>
        <v>2</v>
      </c>
      <c r="X627" s="1189">
        <f t="shared" si="127"/>
        <v>1</v>
      </c>
      <c r="Y627" s="1189">
        <f t="shared" si="127"/>
        <v>1</v>
      </c>
      <c r="Z627" s="1189">
        <f t="shared" si="127"/>
        <v>2</v>
      </c>
      <c r="AA627" s="1189">
        <f t="shared" si="127"/>
        <v>1</v>
      </c>
      <c r="AB627" s="1189">
        <f t="shared" si="127"/>
        <v>1</v>
      </c>
      <c r="AC627" s="1189">
        <f t="shared" si="127"/>
        <v>1</v>
      </c>
      <c r="AD627" s="1189">
        <f t="shared" si="127"/>
        <v>2</v>
      </c>
      <c r="AE627" s="1189">
        <f t="shared" si="127"/>
        <v>2</v>
      </c>
      <c r="AF627" s="1189">
        <f t="shared" si="127"/>
        <v>2</v>
      </c>
      <c r="AG627" s="1189">
        <f t="shared" si="127"/>
        <v>1</v>
      </c>
      <c r="AH627" s="1189">
        <f t="shared" si="127"/>
        <v>2</v>
      </c>
      <c r="AI627" s="1189">
        <f t="shared" si="127"/>
        <v>0</v>
      </c>
      <c r="AJ627" s="1189">
        <f t="shared" si="127"/>
        <v>1</v>
      </c>
      <c r="AK627" s="1189">
        <f t="shared" si="127"/>
        <v>1</v>
      </c>
      <c r="AL627" s="1189">
        <f t="shared" si="127"/>
        <v>1</v>
      </c>
      <c r="AM627" s="1189">
        <f t="shared" si="127"/>
        <v>4</v>
      </c>
      <c r="AN627" s="1189">
        <f t="shared" si="127"/>
        <v>3</v>
      </c>
      <c r="AO627" s="1189">
        <f t="shared" si="127"/>
        <v>3</v>
      </c>
      <c r="AP627" s="1189">
        <f t="shared" si="127"/>
        <v>1</v>
      </c>
      <c r="AQ627" s="1189">
        <f t="shared" si="127"/>
        <v>1</v>
      </c>
      <c r="AR627" s="1189">
        <f t="shared" si="127"/>
        <v>1</v>
      </c>
      <c r="AS627" s="1189">
        <f t="shared" si="127"/>
        <v>0</v>
      </c>
    </row>
    <row r="628" spans="2:45">
      <c r="B628" s="1710"/>
      <c r="M628" s="993" t="s">
        <v>20</v>
      </c>
    </row>
    <row r="629" spans="2:45" ht="16.5" thickBot="1">
      <c r="B629" s="1711"/>
      <c r="C629" s="985"/>
      <c r="D629" s="985"/>
      <c r="E629" s="985"/>
      <c r="F629" s="985"/>
      <c r="G629" s="985"/>
      <c r="H629" s="985"/>
      <c r="I629" s="985"/>
      <c r="J629" s="985"/>
      <c r="K629" s="985"/>
      <c r="L629" s="985"/>
      <c r="M629" s="985" t="s">
        <v>193</v>
      </c>
      <c r="N629" s="985"/>
      <c r="O629" s="985"/>
    </row>
    <row r="630" spans="2:45" ht="16.5" thickTop="1">
      <c r="B630" s="1709" t="s">
        <v>1742</v>
      </c>
      <c r="C630" s="1016"/>
      <c r="D630" s="1016"/>
      <c r="E630" s="1016"/>
      <c r="F630" s="1016"/>
      <c r="G630" s="1016"/>
      <c r="H630" s="1018" t="s">
        <v>1270</v>
      </c>
      <c r="I630" s="1392" t="s">
        <v>44</v>
      </c>
      <c r="J630" s="1392" t="s">
        <v>44</v>
      </c>
      <c r="K630" s="1404" t="s">
        <v>109</v>
      </c>
      <c r="L630" s="1404" t="s">
        <v>109</v>
      </c>
      <c r="M630" s="1012" t="s">
        <v>1271</v>
      </c>
      <c r="N630" s="1399" t="s">
        <v>24</v>
      </c>
      <c r="O630" s="1016"/>
    </row>
    <row r="631" spans="2:45">
      <c r="B631" s="1710"/>
      <c r="I631" s="981" t="s">
        <v>1271</v>
      </c>
      <c r="K631" s="27" t="s">
        <v>44</v>
      </c>
      <c r="L631" s="982" t="s">
        <v>29</v>
      </c>
    </row>
    <row r="632" spans="2:45">
      <c r="B632" s="1710"/>
      <c r="L632" s="980" t="s">
        <v>1272</v>
      </c>
    </row>
    <row r="633" spans="2:45">
      <c r="B633" s="1710"/>
      <c r="C633" s="989"/>
      <c r="D633" s="989"/>
      <c r="E633" s="989"/>
      <c r="F633" s="989"/>
      <c r="G633" s="989"/>
      <c r="H633" s="989" t="s">
        <v>189</v>
      </c>
      <c r="I633" s="989" t="s">
        <v>187</v>
      </c>
      <c r="J633" s="989" t="s">
        <v>187</v>
      </c>
      <c r="K633" s="989" t="s">
        <v>189</v>
      </c>
      <c r="L633" s="989" t="s">
        <v>189</v>
      </c>
      <c r="M633" s="989" t="s">
        <v>187</v>
      </c>
      <c r="N633" s="989" t="s">
        <v>185</v>
      </c>
      <c r="O633" s="989"/>
    </row>
    <row r="634" spans="2:45">
      <c r="B634" s="1710"/>
      <c r="J634" s="993" t="s">
        <v>20</v>
      </c>
      <c r="M634" s="993" t="s">
        <v>20</v>
      </c>
      <c r="N634" s="984" t="s">
        <v>24</v>
      </c>
    </row>
    <row r="635" spans="2:45">
      <c r="B635" s="1710"/>
      <c r="M635" s="977" t="s">
        <v>1270</v>
      </c>
      <c r="N635" s="981" t="s">
        <v>1271</v>
      </c>
    </row>
    <row r="636" spans="2:45">
      <c r="B636" s="1710"/>
      <c r="C636" s="989"/>
      <c r="D636" s="989"/>
      <c r="E636" s="989"/>
      <c r="F636" s="989"/>
      <c r="G636" s="989"/>
      <c r="H636" s="989"/>
      <c r="I636" s="989"/>
      <c r="J636" s="989" t="s">
        <v>190</v>
      </c>
      <c r="K636" s="989"/>
      <c r="L636" s="989"/>
      <c r="M636" s="989" t="s">
        <v>191</v>
      </c>
      <c r="N636" s="989" t="s">
        <v>188</v>
      </c>
      <c r="O636" s="989"/>
    </row>
    <row r="637" spans="2:45">
      <c r="B637" s="1710"/>
      <c r="N637" s="980" t="s">
        <v>1272</v>
      </c>
    </row>
    <row r="638" spans="2:45">
      <c r="B638" s="1710"/>
      <c r="N638" s="993" t="s">
        <v>20</v>
      </c>
    </row>
    <row r="639" spans="2:45" ht="16.5" thickBot="1">
      <c r="B639" s="1711"/>
      <c r="C639" s="985"/>
      <c r="D639" s="985"/>
      <c r="E639" s="985"/>
      <c r="F639" s="985"/>
      <c r="G639" s="985"/>
      <c r="H639" s="985"/>
      <c r="I639" s="985"/>
      <c r="J639" s="985"/>
      <c r="K639" s="985"/>
      <c r="L639" s="985"/>
      <c r="M639" s="985"/>
      <c r="N639" s="985" t="s">
        <v>191</v>
      </c>
      <c r="O639" s="985"/>
    </row>
    <row r="640" spans="2:45" ht="16.5" thickTop="1">
      <c r="B640" s="1709" t="s">
        <v>2056</v>
      </c>
      <c r="C640" s="1393" t="s">
        <v>1269</v>
      </c>
      <c r="D640" s="1016"/>
      <c r="E640" s="1392" t="s">
        <v>44</v>
      </c>
      <c r="F640" s="1389" t="s">
        <v>20</v>
      </c>
      <c r="G640" s="1016"/>
      <c r="H640" s="1016"/>
      <c r="I640" s="1394" t="s">
        <v>27</v>
      </c>
      <c r="J640" s="1402" t="s">
        <v>46</v>
      </c>
      <c r="K640" s="1016"/>
      <c r="L640" s="976" t="s">
        <v>47</v>
      </c>
      <c r="M640" s="1405" t="s">
        <v>155</v>
      </c>
      <c r="N640" s="1010" t="s">
        <v>26</v>
      </c>
      <c r="O640" s="1016"/>
    </row>
    <row r="641" spans="2:15">
      <c r="B641" s="1710"/>
      <c r="C641" s="983" t="s">
        <v>124</v>
      </c>
      <c r="E641" s="981" t="s">
        <v>1271</v>
      </c>
      <c r="J641" s="982" t="s">
        <v>29</v>
      </c>
      <c r="L641" s="993" t="s">
        <v>20</v>
      </c>
    </row>
    <row r="642" spans="2:15">
      <c r="B642" s="1710"/>
    </row>
    <row r="643" spans="2:15">
      <c r="B643" s="1710"/>
      <c r="C643" s="989" t="s">
        <v>186</v>
      </c>
      <c r="D643" s="989"/>
      <c r="E643" s="989" t="s">
        <v>188</v>
      </c>
      <c r="F643" s="989" t="s">
        <v>186</v>
      </c>
      <c r="G643" s="989"/>
      <c r="H643" s="989"/>
      <c r="I643" s="989" t="s">
        <v>188</v>
      </c>
      <c r="J643" s="989" t="s">
        <v>190</v>
      </c>
      <c r="K643" s="989"/>
      <c r="L643" s="989" t="s">
        <v>191</v>
      </c>
      <c r="M643" s="989" t="s">
        <v>186</v>
      </c>
      <c r="N643" s="989" t="s">
        <v>186</v>
      </c>
      <c r="O643" s="989"/>
    </row>
    <row r="644" spans="2:15">
      <c r="B644" s="1710"/>
      <c r="C644" s="981" t="s">
        <v>1271</v>
      </c>
      <c r="N644" s="977" t="s">
        <v>1270</v>
      </c>
    </row>
    <row r="645" spans="2:15">
      <c r="B645" s="1710"/>
      <c r="C645" s="960" t="s">
        <v>43</v>
      </c>
      <c r="N645" s="964" t="s">
        <v>44</v>
      </c>
    </row>
    <row r="646" spans="2:15">
      <c r="B646" s="1710"/>
      <c r="N646" s="981" t="s">
        <v>1271</v>
      </c>
    </row>
    <row r="647" spans="2:15">
      <c r="B647" s="1710"/>
      <c r="C647" s="989" t="s">
        <v>191</v>
      </c>
      <c r="D647" s="989"/>
      <c r="E647" s="989"/>
      <c r="F647" s="989"/>
      <c r="G647" s="989"/>
      <c r="H647" s="989"/>
      <c r="I647" s="989"/>
      <c r="J647" s="989"/>
      <c r="K647" s="989"/>
      <c r="L647" s="989"/>
      <c r="M647" s="989"/>
      <c r="N647" s="989" t="s">
        <v>189</v>
      </c>
      <c r="O647" s="989"/>
    </row>
    <row r="648" spans="2:15">
      <c r="B648" s="1710"/>
      <c r="N648" s="993" t="s">
        <v>20</v>
      </c>
    </row>
    <row r="649" spans="2:15">
      <c r="B649" s="1710"/>
      <c r="N649" s="980" t="s">
        <v>1272</v>
      </c>
    </row>
    <row r="650" spans="2:15" ht="16.5" thickBot="1">
      <c r="B650" s="1711"/>
      <c r="C650" s="985"/>
      <c r="D650" s="985"/>
      <c r="E650" s="985"/>
      <c r="F650" s="985"/>
      <c r="G650" s="985"/>
      <c r="H650" s="985"/>
      <c r="I650" s="985"/>
      <c r="J650" s="985"/>
      <c r="K650" s="985"/>
      <c r="L650" s="985"/>
      <c r="M650" s="985"/>
      <c r="N650" s="985" t="s">
        <v>191</v>
      </c>
      <c r="O650" s="985"/>
    </row>
    <row r="651" spans="2:15" ht="16.5" thickTop="1">
      <c r="B651" s="422"/>
      <c r="C651" s="422"/>
      <c r="D651" s="422"/>
      <c r="E651" s="422"/>
      <c r="F651" s="422"/>
      <c r="G651" s="422"/>
      <c r="H651" s="422"/>
      <c r="I651" s="422"/>
      <c r="J651" s="422"/>
      <c r="K651" s="422"/>
      <c r="L651" s="422"/>
      <c r="M651" s="422"/>
      <c r="N651" s="422"/>
    </row>
    <row r="652" spans="2:15">
      <c r="B652" s="422"/>
      <c r="C652" s="422"/>
      <c r="D652" s="422"/>
      <c r="E652" s="422"/>
      <c r="F652" s="422"/>
      <c r="G652" s="422"/>
      <c r="H652" s="422"/>
      <c r="I652" s="422"/>
      <c r="J652" s="422"/>
      <c r="K652" s="422"/>
      <c r="L652" s="422"/>
      <c r="M652" s="422"/>
      <c r="N652" s="422"/>
    </row>
    <row r="653" spans="2:15">
      <c r="B653" s="422"/>
      <c r="C653" s="422"/>
      <c r="D653" s="422"/>
      <c r="E653" s="422"/>
      <c r="F653" s="422"/>
      <c r="G653" s="422"/>
      <c r="H653" s="422"/>
      <c r="I653" s="422"/>
      <c r="J653" s="422"/>
      <c r="K653" s="422"/>
      <c r="L653" s="422"/>
      <c r="M653" s="422"/>
      <c r="N653" s="422"/>
    </row>
    <row r="654" spans="2:15">
      <c r="B654" s="422"/>
      <c r="C654" s="422"/>
      <c r="D654" s="422"/>
      <c r="E654" s="422"/>
      <c r="F654" s="422"/>
      <c r="G654" s="422"/>
      <c r="H654" s="422"/>
      <c r="I654" s="422"/>
      <c r="J654" s="422"/>
      <c r="K654" s="422"/>
      <c r="L654" s="422"/>
      <c r="M654" s="422"/>
      <c r="N654" s="422"/>
    </row>
    <row r="655" spans="2:15">
      <c r="B655" s="422"/>
      <c r="C655" s="422"/>
      <c r="D655" s="422"/>
      <c r="E655" s="422"/>
      <c r="F655" s="422"/>
      <c r="G655" s="422"/>
      <c r="H655" s="422"/>
      <c r="I655" s="422"/>
      <c r="J655" s="422"/>
      <c r="K655" s="422"/>
      <c r="L655" s="422"/>
      <c r="M655" s="422"/>
      <c r="N655" s="422"/>
    </row>
    <row r="656" spans="2:15">
      <c r="B656" s="422"/>
      <c r="C656" s="422"/>
      <c r="D656" s="422"/>
      <c r="E656" s="422"/>
      <c r="F656" s="422"/>
      <c r="G656" s="422"/>
      <c r="H656" s="422"/>
      <c r="I656" s="422"/>
      <c r="J656" s="422"/>
      <c r="K656" s="422"/>
      <c r="L656" s="422"/>
      <c r="M656" s="422"/>
      <c r="N656" s="422"/>
    </row>
    <row r="657" spans="2:14">
      <c r="B657" s="422"/>
      <c r="C657" s="422"/>
      <c r="D657" s="422"/>
      <c r="E657" s="422"/>
      <c r="F657" s="422"/>
      <c r="G657" s="422"/>
      <c r="H657" s="422"/>
      <c r="I657" s="422"/>
      <c r="J657" s="422"/>
      <c r="K657" s="422"/>
      <c r="L657" s="422"/>
      <c r="M657" s="422"/>
      <c r="N657" s="422"/>
    </row>
    <row r="658" spans="2:14">
      <c r="B658" s="422"/>
      <c r="C658" s="422"/>
      <c r="D658" s="422"/>
      <c r="E658" s="422"/>
      <c r="F658" s="422"/>
      <c r="G658" s="422"/>
      <c r="H658" s="422"/>
      <c r="I658" s="422"/>
      <c r="J658" s="422"/>
      <c r="K658" s="422"/>
      <c r="L658" s="422"/>
      <c r="M658" s="422"/>
      <c r="N658" s="422"/>
    </row>
    <row r="659" spans="2:14">
      <c r="B659" s="422"/>
      <c r="C659" s="422"/>
      <c r="D659" s="422"/>
      <c r="E659" s="422"/>
      <c r="F659" s="422"/>
      <c r="G659" s="422"/>
      <c r="H659" s="422"/>
      <c r="I659" s="422"/>
      <c r="J659" s="422"/>
      <c r="K659" s="422"/>
      <c r="L659" s="422"/>
      <c r="M659" s="422"/>
      <c r="N659" s="422"/>
    </row>
    <row r="660" spans="2:14">
      <c r="B660" s="422"/>
      <c r="C660" s="422"/>
      <c r="D660" s="422"/>
      <c r="E660" s="422"/>
      <c r="F660" s="422"/>
      <c r="G660" s="422"/>
      <c r="H660" s="422"/>
      <c r="I660" s="422"/>
      <c r="J660" s="422"/>
      <c r="K660" s="422"/>
      <c r="L660" s="422"/>
      <c r="M660" s="422"/>
      <c r="N660" s="422"/>
    </row>
    <row r="661" spans="2:14">
      <c r="B661" s="422"/>
      <c r="C661" s="422"/>
      <c r="D661" s="422"/>
      <c r="E661" s="422"/>
      <c r="F661" s="422"/>
      <c r="G661" s="422"/>
      <c r="H661" s="422"/>
      <c r="I661" s="422"/>
      <c r="J661" s="422"/>
      <c r="K661" s="422"/>
      <c r="L661" s="422"/>
      <c r="M661" s="422"/>
      <c r="N661" s="422"/>
    </row>
    <row r="662" spans="2:14">
      <c r="B662" s="422"/>
      <c r="C662" s="422"/>
      <c r="D662" s="422"/>
      <c r="E662" s="422"/>
      <c r="F662" s="422"/>
      <c r="G662" s="422"/>
      <c r="H662" s="422"/>
      <c r="I662" s="422"/>
      <c r="J662" s="422"/>
      <c r="K662" s="422"/>
      <c r="L662" s="422"/>
      <c r="M662" s="422"/>
      <c r="N662" s="422"/>
    </row>
    <row r="663" spans="2:14">
      <c r="B663" s="422"/>
      <c r="C663" s="422"/>
      <c r="D663" s="422"/>
      <c r="E663" s="422"/>
      <c r="F663" s="422"/>
      <c r="G663" s="422"/>
      <c r="H663" s="422"/>
      <c r="I663" s="422"/>
      <c r="J663" s="422"/>
      <c r="K663" s="422"/>
      <c r="L663" s="422"/>
      <c r="M663" s="422"/>
      <c r="N663" s="422"/>
    </row>
    <row r="664" spans="2:14">
      <c r="B664" s="422"/>
      <c r="C664" s="422"/>
      <c r="D664" s="422"/>
      <c r="E664" s="422"/>
      <c r="F664" s="422"/>
      <c r="G664" s="422"/>
      <c r="H664" s="422"/>
      <c r="I664" s="422"/>
      <c r="J664" s="422"/>
      <c r="K664" s="422"/>
      <c r="L664" s="422"/>
      <c r="M664" s="422"/>
      <c r="N664" s="422"/>
    </row>
    <row r="665" spans="2:14">
      <c r="B665" s="422"/>
      <c r="C665" s="422"/>
      <c r="D665" s="422"/>
      <c r="E665" s="422"/>
      <c r="F665" s="422"/>
      <c r="G665" s="422"/>
      <c r="H665" s="422"/>
      <c r="I665" s="422"/>
      <c r="J665" s="422"/>
      <c r="K665" s="422"/>
      <c r="L665" s="422"/>
      <c r="M665" s="422"/>
      <c r="N665" s="422"/>
    </row>
    <row r="666" spans="2:14">
      <c r="B666" s="422"/>
      <c r="C666" s="422"/>
      <c r="D666" s="422"/>
      <c r="E666" s="422"/>
      <c r="F666" s="422"/>
      <c r="G666" s="422"/>
      <c r="H666" s="422"/>
      <c r="I666" s="422"/>
      <c r="J666" s="422"/>
      <c r="K666" s="422"/>
      <c r="L666" s="422"/>
      <c r="M666" s="422"/>
      <c r="N666" s="422"/>
    </row>
    <row r="667" spans="2:14">
      <c r="B667" s="422"/>
      <c r="C667" s="422"/>
      <c r="D667" s="422"/>
      <c r="E667" s="422"/>
      <c r="F667" s="422"/>
      <c r="G667" s="422"/>
      <c r="H667" s="422"/>
      <c r="I667" s="422"/>
      <c r="J667" s="422"/>
      <c r="K667" s="422"/>
      <c r="L667" s="422"/>
      <c r="M667" s="422"/>
      <c r="N667" s="422"/>
    </row>
    <row r="668" spans="2:14">
      <c r="B668" s="422"/>
      <c r="C668" s="422"/>
      <c r="D668" s="422"/>
      <c r="E668" s="422"/>
      <c r="F668" s="422"/>
      <c r="G668" s="422"/>
      <c r="H668" s="422"/>
      <c r="I668" s="422"/>
      <c r="J668" s="422"/>
      <c r="K668" s="422"/>
      <c r="L668" s="422"/>
      <c r="M668" s="422"/>
      <c r="N668" s="422"/>
    </row>
    <row r="669" spans="2:14">
      <c r="B669" s="422"/>
      <c r="C669" s="422"/>
      <c r="D669" s="422"/>
      <c r="E669" s="422"/>
      <c r="F669" s="422"/>
      <c r="G669" s="422"/>
      <c r="H669" s="422"/>
      <c r="I669" s="422"/>
      <c r="J669" s="422"/>
      <c r="K669" s="422"/>
      <c r="L669" s="422"/>
      <c r="M669" s="422"/>
      <c r="N669" s="422"/>
    </row>
    <row r="670" spans="2:14">
      <c r="B670" s="422"/>
      <c r="C670" s="422"/>
      <c r="D670" s="422"/>
      <c r="E670" s="422"/>
      <c r="F670" s="422"/>
      <c r="G670" s="422"/>
      <c r="H670" s="422"/>
      <c r="I670" s="422"/>
      <c r="J670" s="422"/>
      <c r="K670" s="422"/>
      <c r="L670" s="422"/>
      <c r="M670" s="422"/>
      <c r="N670" s="422"/>
    </row>
    <row r="671" spans="2:14">
      <c r="B671" s="422"/>
      <c r="C671" s="422"/>
      <c r="D671" s="422"/>
      <c r="E671" s="422"/>
      <c r="F671" s="422"/>
      <c r="G671" s="422"/>
      <c r="H671" s="422"/>
      <c r="I671" s="422"/>
      <c r="J671" s="422"/>
      <c r="K671" s="422"/>
      <c r="L671" s="422"/>
      <c r="M671" s="422"/>
      <c r="N671" s="422"/>
    </row>
    <row r="672" spans="2:14">
      <c r="B672" s="422"/>
      <c r="C672" s="422"/>
      <c r="D672" s="422"/>
      <c r="E672" s="422"/>
      <c r="F672" s="422"/>
      <c r="G672" s="422"/>
      <c r="H672" s="422"/>
      <c r="I672" s="422"/>
      <c r="J672" s="422"/>
      <c r="K672" s="422"/>
      <c r="L672" s="422"/>
      <c r="M672" s="422"/>
      <c r="N672" s="422"/>
    </row>
    <row r="673" spans="2:14">
      <c r="B673" s="422"/>
      <c r="C673" s="422"/>
      <c r="D673" s="422"/>
      <c r="E673" s="422"/>
      <c r="F673" s="422"/>
      <c r="G673" s="422"/>
      <c r="H673" s="422"/>
      <c r="I673" s="422"/>
      <c r="J673" s="422"/>
      <c r="K673" s="422"/>
      <c r="L673" s="422"/>
      <c r="M673" s="422"/>
      <c r="N673" s="422"/>
    </row>
    <row r="674" spans="2:14">
      <c r="B674" s="422"/>
      <c r="C674" s="422"/>
      <c r="D674" s="422"/>
      <c r="E674" s="422"/>
      <c r="F674" s="422"/>
      <c r="G674" s="422"/>
      <c r="H674" s="422"/>
      <c r="I674" s="422"/>
      <c r="J674" s="422"/>
      <c r="K674" s="422"/>
      <c r="L674" s="422"/>
      <c r="M674" s="422"/>
      <c r="N674" s="422"/>
    </row>
    <row r="675" spans="2:14">
      <c r="B675" s="422"/>
      <c r="C675" s="422"/>
      <c r="D675" s="422"/>
      <c r="E675" s="422"/>
      <c r="F675" s="422"/>
      <c r="G675" s="422"/>
      <c r="H675" s="422"/>
      <c r="I675" s="422"/>
      <c r="J675" s="422"/>
      <c r="K675" s="422"/>
      <c r="L675" s="422"/>
      <c r="M675" s="422"/>
      <c r="N675" s="422"/>
    </row>
    <row r="676" spans="2:14">
      <c r="B676" s="422"/>
      <c r="C676" s="422"/>
      <c r="D676" s="422"/>
      <c r="E676" s="422"/>
      <c r="F676" s="422"/>
      <c r="G676" s="422"/>
      <c r="H676" s="422"/>
      <c r="I676" s="422"/>
      <c r="J676" s="422"/>
      <c r="K676" s="422"/>
      <c r="L676" s="422"/>
      <c r="M676" s="422"/>
      <c r="N676" s="422"/>
    </row>
    <row r="677" spans="2:14">
      <c r="B677" s="422"/>
      <c r="C677" s="422"/>
      <c r="D677" s="422"/>
      <c r="E677" s="422"/>
      <c r="F677" s="422"/>
      <c r="G677" s="422"/>
      <c r="H677" s="422"/>
      <c r="I677" s="422"/>
      <c r="J677" s="422"/>
      <c r="K677" s="422"/>
      <c r="L677" s="422"/>
      <c r="M677" s="422"/>
      <c r="N677" s="422"/>
    </row>
    <row r="678" spans="2:14">
      <c r="B678" s="422"/>
      <c r="C678" s="422"/>
      <c r="D678" s="422"/>
      <c r="E678" s="422"/>
      <c r="F678" s="422"/>
      <c r="G678" s="422"/>
      <c r="H678" s="422"/>
      <c r="I678" s="422"/>
      <c r="J678" s="422"/>
      <c r="K678" s="422"/>
      <c r="L678" s="422"/>
      <c r="M678" s="422"/>
      <c r="N678" s="422"/>
    </row>
    <row r="679" spans="2:14">
      <c r="B679" s="422"/>
      <c r="C679" s="422"/>
      <c r="D679" s="422"/>
      <c r="E679" s="422"/>
      <c r="F679" s="422"/>
      <c r="G679" s="422"/>
      <c r="H679" s="422"/>
      <c r="I679" s="422"/>
      <c r="J679" s="422"/>
      <c r="K679" s="422"/>
      <c r="L679" s="422"/>
      <c r="M679" s="422"/>
      <c r="N679" s="422"/>
    </row>
    <row r="680" spans="2:14">
      <c r="B680" s="422"/>
      <c r="C680" s="422"/>
      <c r="D680" s="422"/>
      <c r="E680" s="422"/>
      <c r="F680" s="422"/>
      <c r="G680" s="422"/>
      <c r="H680" s="422"/>
      <c r="I680" s="422"/>
      <c r="J680" s="422"/>
      <c r="K680" s="422"/>
      <c r="L680" s="422"/>
      <c r="M680" s="422"/>
      <c r="N680" s="422"/>
    </row>
    <row r="681" spans="2:14">
      <c r="B681" s="422"/>
      <c r="C681" s="422"/>
      <c r="D681" s="422"/>
      <c r="E681" s="422"/>
      <c r="F681" s="422"/>
      <c r="G681" s="422"/>
      <c r="H681" s="422"/>
      <c r="I681" s="422"/>
      <c r="J681" s="422"/>
      <c r="K681" s="422"/>
      <c r="L681" s="422"/>
      <c r="M681" s="422"/>
      <c r="N681" s="422"/>
    </row>
    <row r="682" spans="2:14">
      <c r="B682" s="422"/>
      <c r="C682" s="422"/>
      <c r="D682" s="422"/>
      <c r="E682" s="422"/>
      <c r="F682" s="422"/>
      <c r="G682" s="422"/>
      <c r="H682" s="422"/>
      <c r="I682" s="422"/>
      <c r="J682" s="422"/>
      <c r="K682" s="422"/>
      <c r="L682" s="422"/>
      <c r="M682" s="422"/>
      <c r="N682" s="422"/>
    </row>
    <row r="683" spans="2:14">
      <c r="B683" s="422"/>
      <c r="C683" s="422"/>
      <c r="D683" s="422"/>
      <c r="E683" s="422"/>
      <c r="F683" s="422"/>
      <c r="G683" s="422"/>
      <c r="H683" s="422"/>
      <c r="I683" s="422"/>
      <c r="J683" s="422"/>
      <c r="K683" s="422"/>
      <c r="L683" s="422"/>
      <c r="M683" s="422"/>
      <c r="N683" s="422"/>
    </row>
    <row r="684" spans="2:14">
      <c r="B684" s="422"/>
      <c r="C684" s="422"/>
      <c r="D684" s="422"/>
      <c r="E684" s="422"/>
      <c r="F684" s="422"/>
      <c r="G684" s="422"/>
      <c r="H684" s="422"/>
      <c r="I684" s="422"/>
      <c r="J684" s="422"/>
      <c r="K684" s="422"/>
      <c r="L684" s="422"/>
      <c r="M684" s="422"/>
      <c r="N684" s="422"/>
    </row>
    <row r="685" spans="2:14">
      <c r="B685" s="422"/>
      <c r="C685" s="422"/>
      <c r="D685" s="422"/>
      <c r="E685" s="422"/>
      <c r="F685" s="422"/>
      <c r="G685" s="422"/>
      <c r="H685" s="422"/>
      <c r="I685" s="422"/>
      <c r="J685" s="422"/>
      <c r="K685" s="422"/>
      <c r="L685" s="422"/>
      <c r="M685" s="422"/>
      <c r="N685" s="422"/>
    </row>
    <row r="686" spans="2:14">
      <c r="B686" s="422"/>
      <c r="C686" s="422"/>
      <c r="D686" s="422"/>
      <c r="E686" s="422"/>
      <c r="F686" s="422"/>
      <c r="G686" s="422"/>
      <c r="H686" s="422"/>
      <c r="I686" s="422"/>
      <c r="J686" s="422"/>
      <c r="K686" s="422"/>
      <c r="L686" s="422"/>
      <c r="M686" s="422"/>
      <c r="N686" s="422"/>
    </row>
    <row r="687" spans="2:14">
      <c r="B687" s="422"/>
      <c r="C687" s="422"/>
      <c r="D687" s="422"/>
      <c r="E687" s="422"/>
      <c r="F687" s="422"/>
      <c r="G687" s="422"/>
      <c r="H687" s="422"/>
      <c r="I687" s="422"/>
      <c r="J687" s="422"/>
      <c r="K687" s="422"/>
      <c r="L687" s="422"/>
      <c r="M687" s="422"/>
      <c r="N687" s="422"/>
    </row>
    <row r="688" spans="2:14">
      <c r="B688" s="422"/>
      <c r="C688" s="422"/>
      <c r="D688" s="422"/>
      <c r="E688" s="422"/>
      <c r="F688" s="422"/>
      <c r="G688" s="422"/>
      <c r="H688" s="422"/>
      <c r="I688" s="422"/>
      <c r="J688" s="422"/>
      <c r="K688" s="422"/>
      <c r="L688" s="422"/>
      <c r="M688" s="422"/>
      <c r="N688" s="422"/>
    </row>
    <row r="689" spans="2:14">
      <c r="B689" s="422"/>
      <c r="C689" s="422"/>
      <c r="D689" s="422"/>
      <c r="E689" s="422"/>
      <c r="F689" s="422"/>
      <c r="G689" s="422"/>
      <c r="H689" s="422"/>
      <c r="I689" s="422"/>
      <c r="J689" s="422"/>
      <c r="K689" s="422"/>
      <c r="L689" s="422"/>
      <c r="M689" s="422"/>
      <c r="N689" s="422"/>
    </row>
    <row r="690" spans="2:14">
      <c r="B690" s="422"/>
      <c r="C690" s="422"/>
      <c r="D690" s="422"/>
      <c r="E690" s="422"/>
      <c r="F690" s="422"/>
      <c r="G690" s="422"/>
      <c r="H690" s="422"/>
      <c r="I690" s="422"/>
      <c r="J690" s="422"/>
      <c r="K690" s="422"/>
      <c r="L690" s="422"/>
      <c r="M690" s="422"/>
      <c r="N690" s="422"/>
    </row>
    <row r="691" spans="2:14">
      <c r="B691" s="422"/>
      <c r="C691" s="422"/>
      <c r="D691" s="422"/>
      <c r="E691" s="422"/>
      <c r="F691" s="422"/>
      <c r="G691" s="422"/>
      <c r="H691" s="422"/>
      <c r="I691" s="422"/>
      <c r="J691" s="422"/>
      <c r="K691" s="422"/>
      <c r="L691" s="422"/>
      <c r="M691" s="422"/>
      <c r="N691" s="422"/>
    </row>
    <row r="692" spans="2:14">
      <c r="B692" s="422"/>
      <c r="C692" s="422"/>
      <c r="D692" s="422"/>
      <c r="E692" s="422"/>
      <c r="F692" s="422"/>
      <c r="G692" s="422"/>
      <c r="H692" s="422"/>
      <c r="I692" s="422"/>
      <c r="J692" s="422"/>
      <c r="K692" s="422"/>
      <c r="L692" s="422"/>
      <c r="M692" s="422"/>
      <c r="N692" s="422"/>
    </row>
    <row r="693" spans="2:14">
      <c r="B693" s="422"/>
      <c r="C693" s="422"/>
      <c r="D693" s="422"/>
      <c r="E693" s="422"/>
      <c r="F693" s="422"/>
      <c r="G693" s="422"/>
      <c r="H693" s="422"/>
      <c r="I693" s="422"/>
      <c r="J693" s="422"/>
      <c r="K693" s="422"/>
      <c r="L693" s="422"/>
      <c r="M693" s="422"/>
      <c r="N693" s="422"/>
    </row>
    <row r="694" spans="2:14">
      <c r="B694" s="422"/>
      <c r="C694" s="422"/>
      <c r="D694" s="422"/>
      <c r="E694" s="422"/>
      <c r="F694" s="422"/>
      <c r="G694" s="422"/>
      <c r="H694" s="422"/>
      <c r="I694" s="422"/>
      <c r="J694" s="422"/>
      <c r="K694" s="422"/>
      <c r="L694" s="422"/>
      <c r="M694" s="422"/>
      <c r="N694" s="422"/>
    </row>
    <row r="695" spans="2:14">
      <c r="B695" s="422"/>
      <c r="C695" s="422"/>
      <c r="D695" s="422"/>
      <c r="E695" s="422"/>
      <c r="F695" s="422"/>
      <c r="G695" s="422"/>
      <c r="H695" s="422"/>
      <c r="I695" s="422"/>
      <c r="J695" s="422"/>
      <c r="K695" s="422"/>
      <c r="L695" s="422"/>
      <c r="M695" s="422"/>
      <c r="N695" s="422"/>
    </row>
    <row r="696" spans="2:14">
      <c r="B696" s="422"/>
      <c r="C696" s="422"/>
      <c r="D696" s="422"/>
      <c r="E696" s="422"/>
      <c r="F696" s="422"/>
      <c r="G696" s="422"/>
      <c r="H696" s="422"/>
      <c r="I696" s="422"/>
      <c r="J696" s="422"/>
      <c r="K696" s="422"/>
      <c r="L696" s="422"/>
      <c r="M696" s="422"/>
      <c r="N696" s="422"/>
    </row>
    <row r="697" spans="2:14">
      <c r="B697" s="422"/>
      <c r="C697" s="422"/>
      <c r="D697" s="422"/>
      <c r="E697" s="422"/>
      <c r="F697" s="422"/>
      <c r="G697" s="422"/>
      <c r="H697" s="422"/>
      <c r="I697" s="422"/>
      <c r="J697" s="422"/>
      <c r="K697" s="422"/>
      <c r="L697" s="422"/>
      <c r="M697" s="422"/>
      <c r="N697" s="422"/>
    </row>
    <row r="698" spans="2:14">
      <c r="B698" s="422"/>
      <c r="C698" s="422"/>
      <c r="D698" s="422"/>
      <c r="E698" s="422"/>
      <c r="F698" s="422"/>
      <c r="G698" s="422"/>
      <c r="H698" s="422"/>
      <c r="I698" s="422"/>
      <c r="J698" s="422"/>
      <c r="K698" s="422"/>
      <c r="L698" s="422"/>
      <c r="M698" s="422"/>
      <c r="N698" s="422"/>
    </row>
    <row r="699" spans="2:14">
      <c r="B699" s="422"/>
      <c r="C699" s="422"/>
      <c r="D699" s="422"/>
      <c r="E699" s="422"/>
      <c r="F699" s="422"/>
      <c r="G699" s="422"/>
      <c r="H699" s="422"/>
      <c r="I699" s="422"/>
      <c r="J699" s="422"/>
      <c r="K699" s="422"/>
      <c r="L699" s="422"/>
      <c r="M699" s="422"/>
      <c r="N699" s="422"/>
    </row>
    <row r="700" spans="2:14">
      <c r="B700" s="422"/>
      <c r="C700" s="422"/>
      <c r="D700" s="422"/>
      <c r="E700" s="422"/>
      <c r="F700" s="422"/>
      <c r="G700" s="422"/>
      <c r="H700" s="422"/>
      <c r="I700" s="422"/>
      <c r="J700" s="422"/>
      <c r="K700" s="422"/>
      <c r="L700" s="422"/>
      <c r="M700" s="422"/>
      <c r="N700" s="422"/>
    </row>
    <row r="701" spans="2:14">
      <c r="B701" s="422"/>
      <c r="C701" s="422"/>
      <c r="D701" s="422"/>
      <c r="E701" s="422"/>
      <c r="F701" s="422"/>
      <c r="G701" s="422"/>
      <c r="H701" s="422"/>
      <c r="I701" s="422"/>
      <c r="J701" s="422"/>
      <c r="K701" s="422"/>
      <c r="L701" s="422"/>
      <c r="M701" s="422"/>
      <c r="N701" s="422"/>
    </row>
    <row r="702" spans="2:14">
      <c r="B702" s="422"/>
      <c r="C702" s="422"/>
      <c r="D702" s="422"/>
      <c r="E702" s="422"/>
      <c r="F702" s="422"/>
      <c r="G702" s="422"/>
      <c r="H702" s="422"/>
      <c r="I702" s="422"/>
      <c r="J702" s="422"/>
      <c r="K702" s="422"/>
      <c r="L702" s="422"/>
      <c r="M702" s="422"/>
      <c r="N702" s="422"/>
    </row>
    <row r="703" spans="2:14">
      <c r="B703" s="422"/>
      <c r="C703" s="422"/>
      <c r="D703" s="422"/>
      <c r="E703" s="422"/>
      <c r="F703" s="422"/>
      <c r="G703" s="422"/>
      <c r="H703" s="422"/>
      <c r="I703" s="422"/>
      <c r="J703" s="422"/>
      <c r="K703" s="422"/>
      <c r="L703" s="422"/>
      <c r="M703" s="422"/>
      <c r="N703" s="422"/>
    </row>
    <row r="704" spans="2:14">
      <c r="B704" s="422"/>
      <c r="C704" s="422"/>
      <c r="D704" s="422"/>
      <c r="E704" s="422"/>
      <c r="F704" s="422"/>
      <c r="G704" s="422"/>
      <c r="H704" s="422"/>
      <c r="I704" s="422"/>
      <c r="J704" s="422"/>
      <c r="K704" s="422"/>
      <c r="L704" s="422"/>
      <c r="M704" s="422"/>
      <c r="N704" s="422"/>
    </row>
    <row r="705" spans="2:14">
      <c r="B705" s="422"/>
      <c r="C705" s="422"/>
      <c r="D705" s="422"/>
      <c r="E705" s="422"/>
      <c r="F705" s="422"/>
      <c r="G705" s="422"/>
      <c r="H705" s="422"/>
      <c r="I705" s="422"/>
      <c r="J705" s="422"/>
      <c r="K705" s="422"/>
      <c r="L705" s="422"/>
      <c r="M705" s="422"/>
      <c r="N705" s="422"/>
    </row>
    <row r="706" spans="2:14">
      <c r="B706" s="422"/>
      <c r="C706" s="422"/>
      <c r="D706" s="422"/>
      <c r="E706" s="422"/>
      <c r="F706" s="422"/>
      <c r="G706" s="422"/>
      <c r="H706" s="422"/>
      <c r="I706" s="422"/>
      <c r="J706" s="422"/>
      <c r="K706" s="422"/>
      <c r="L706" s="422"/>
      <c r="M706" s="422"/>
      <c r="N706" s="422"/>
    </row>
    <row r="707" spans="2:14">
      <c r="B707" s="422"/>
      <c r="C707" s="422"/>
      <c r="D707" s="422"/>
      <c r="E707" s="422"/>
      <c r="F707" s="422"/>
      <c r="G707" s="422"/>
      <c r="H707" s="422"/>
      <c r="I707" s="422"/>
      <c r="J707" s="422"/>
      <c r="K707" s="422"/>
      <c r="L707" s="422"/>
      <c r="M707" s="422"/>
      <c r="N707" s="422"/>
    </row>
    <row r="708" spans="2:14">
      <c r="B708" s="422"/>
      <c r="C708" s="422"/>
      <c r="D708" s="422"/>
      <c r="E708" s="422"/>
      <c r="F708" s="422"/>
      <c r="G708" s="422"/>
      <c r="H708" s="422"/>
      <c r="I708" s="422"/>
      <c r="J708" s="422"/>
      <c r="K708" s="422"/>
      <c r="L708" s="422"/>
      <c r="M708" s="422"/>
      <c r="N708" s="422"/>
    </row>
    <row r="709" spans="2:14">
      <c r="B709" s="422"/>
      <c r="C709" s="422"/>
      <c r="D709" s="422"/>
      <c r="E709" s="422"/>
      <c r="F709" s="422"/>
      <c r="G709" s="422"/>
      <c r="H709" s="422"/>
      <c r="I709" s="422"/>
      <c r="J709" s="422"/>
      <c r="K709" s="422"/>
      <c r="L709" s="422"/>
      <c r="M709" s="422"/>
      <c r="N709" s="422"/>
    </row>
    <row r="710" spans="2:14">
      <c r="B710" s="422"/>
      <c r="C710" s="422"/>
      <c r="D710" s="422"/>
      <c r="E710" s="422"/>
      <c r="F710" s="422"/>
      <c r="G710" s="422"/>
      <c r="H710" s="422"/>
      <c r="I710" s="422"/>
      <c r="J710" s="422"/>
      <c r="K710" s="422"/>
      <c r="L710" s="422"/>
      <c r="M710" s="422"/>
      <c r="N710" s="422"/>
    </row>
    <row r="711" spans="2:14">
      <c r="B711" s="422"/>
      <c r="C711" s="422"/>
      <c r="D711" s="422"/>
      <c r="E711" s="422"/>
      <c r="F711" s="422"/>
      <c r="G711" s="422"/>
      <c r="H711" s="422"/>
      <c r="I711" s="422"/>
      <c r="J711" s="422"/>
      <c r="K711" s="422"/>
      <c r="L711" s="422"/>
      <c r="M711" s="422"/>
      <c r="N711" s="422"/>
    </row>
    <row r="712" spans="2:14">
      <c r="B712" s="422"/>
      <c r="C712" s="422"/>
      <c r="D712" s="422"/>
      <c r="E712" s="422"/>
      <c r="F712" s="422"/>
      <c r="G712" s="422"/>
      <c r="H712" s="422"/>
      <c r="I712" s="422"/>
      <c r="J712" s="422"/>
      <c r="K712" s="422"/>
      <c r="L712" s="422"/>
      <c r="M712" s="422"/>
      <c r="N712" s="422"/>
    </row>
    <row r="713" spans="2:14">
      <c r="B713" s="422"/>
      <c r="C713" s="422"/>
      <c r="D713" s="422"/>
      <c r="E713" s="422"/>
      <c r="F713" s="422"/>
      <c r="G713" s="422"/>
      <c r="H713" s="422"/>
      <c r="I713" s="422"/>
      <c r="J713" s="422"/>
      <c r="K713" s="422"/>
      <c r="L713" s="422"/>
      <c r="M713" s="422"/>
      <c r="N713" s="422"/>
    </row>
    <row r="714" spans="2:14">
      <c r="B714" s="422"/>
      <c r="C714" s="422"/>
      <c r="D714" s="422"/>
      <c r="E714" s="422"/>
      <c r="F714" s="422"/>
      <c r="G714" s="422"/>
      <c r="H714" s="422"/>
      <c r="I714" s="422"/>
      <c r="J714" s="422"/>
      <c r="K714" s="422"/>
      <c r="L714" s="422"/>
      <c r="M714" s="422"/>
      <c r="N714" s="422"/>
    </row>
    <row r="715" spans="2:14">
      <c r="B715" s="422"/>
      <c r="C715" s="422"/>
      <c r="D715" s="422"/>
      <c r="E715" s="422"/>
      <c r="F715" s="422"/>
      <c r="G715" s="422"/>
      <c r="H715" s="422"/>
      <c r="I715" s="422"/>
      <c r="J715" s="422"/>
      <c r="K715" s="422"/>
      <c r="L715" s="422"/>
      <c r="M715" s="422"/>
      <c r="N715" s="422"/>
    </row>
    <row r="716" spans="2:14">
      <c r="B716" s="422"/>
      <c r="C716" s="422"/>
      <c r="D716" s="422"/>
      <c r="E716" s="422"/>
      <c r="F716" s="422"/>
      <c r="G716" s="422"/>
      <c r="H716" s="422"/>
      <c r="I716" s="422"/>
      <c r="J716" s="422"/>
      <c r="K716" s="422"/>
      <c r="L716" s="422"/>
      <c r="M716" s="422"/>
      <c r="N716" s="422"/>
    </row>
    <row r="717" spans="2:14">
      <c r="B717" s="422"/>
      <c r="C717" s="422"/>
      <c r="D717" s="422"/>
      <c r="E717" s="422"/>
      <c r="F717" s="422"/>
      <c r="G717" s="422"/>
      <c r="H717" s="422"/>
      <c r="I717" s="422"/>
      <c r="J717" s="422"/>
      <c r="K717" s="422"/>
      <c r="L717" s="422"/>
      <c r="M717" s="422"/>
      <c r="N717" s="422"/>
    </row>
    <row r="718" spans="2:14">
      <c r="B718" s="422"/>
      <c r="C718" s="422"/>
      <c r="D718" s="422"/>
      <c r="E718" s="422"/>
      <c r="F718" s="422"/>
      <c r="G718" s="422"/>
      <c r="H718" s="422"/>
      <c r="I718" s="422"/>
      <c r="J718" s="422"/>
      <c r="K718" s="422"/>
      <c r="L718" s="422"/>
      <c r="M718" s="422"/>
      <c r="N718" s="422"/>
    </row>
    <row r="719" spans="2:14">
      <c r="B719" s="422"/>
      <c r="C719" s="422"/>
      <c r="D719" s="422"/>
      <c r="E719" s="422"/>
      <c r="F719" s="422"/>
      <c r="G719" s="422"/>
      <c r="H719" s="422"/>
      <c r="I719" s="422"/>
      <c r="J719" s="422"/>
      <c r="K719" s="422"/>
      <c r="L719" s="422"/>
      <c r="M719" s="422"/>
      <c r="N719" s="422"/>
    </row>
    <row r="720" spans="2:14">
      <c r="B720" s="422"/>
      <c r="C720" s="422"/>
      <c r="D720" s="422"/>
      <c r="E720" s="422"/>
      <c r="F720" s="422"/>
      <c r="G720" s="422"/>
      <c r="H720" s="422"/>
      <c r="I720" s="422"/>
      <c r="J720" s="422"/>
      <c r="K720" s="422"/>
      <c r="L720" s="422"/>
      <c r="M720" s="422"/>
      <c r="N720" s="422"/>
    </row>
    <row r="721" spans="2:14">
      <c r="B721" s="422"/>
      <c r="C721" s="422"/>
      <c r="D721" s="422"/>
      <c r="E721" s="422"/>
      <c r="F721" s="422"/>
      <c r="G721" s="422"/>
      <c r="H721" s="422"/>
      <c r="I721" s="422"/>
      <c r="J721" s="422"/>
      <c r="K721" s="422"/>
      <c r="L721" s="422"/>
      <c r="M721" s="422"/>
      <c r="N721" s="422"/>
    </row>
    <row r="722" spans="2:14">
      <c r="B722" s="422"/>
      <c r="C722" s="422"/>
      <c r="D722" s="422"/>
      <c r="E722" s="422"/>
      <c r="F722" s="422"/>
      <c r="G722" s="422"/>
      <c r="H722" s="422"/>
      <c r="I722" s="422"/>
      <c r="J722" s="422"/>
      <c r="K722" s="422"/>
      <c r="L722" s="422"/>
      <c r="M722" s="422"/>
      <c r="N722" s="422"/>
    </row>
    <row r="723" spans="2:14">
      <c r="B723" s="422"/>
      <c r="C723" s="422"/>
      <c r="D723" s="422"/>
      <c r="E723" s="422"/>
      <c r="F723" s="422"/>
      <c r="G723" s="422"/>
      <c r="H723" s="422"/>
      <c r="I723" s="422"/>
      <c r="J723" s="422"/>
      <c r="K723" s="422"/>
      <c r="L723" s="422"/>
      <c r="M723" s="422"/>
      <c r="N723" s="422"/>
    </row>
    <row r="724" spans="2:14">
      <c r="B724" s="422"/>
      <c r="C724" s="422"/>
      <c r="D724" s="422"/>
      <c r="E724" s="422"/>
      <c r="F724" s="422"/>
      <c r="G724" s="422"/>
      <c r="H724" s="422"/>
      <c r="I724" s="422"/>
      <c r="J724" s="422"/>
      <c r="K724" s="422"/>
      <c r="L724" s="422"/>
      <c r="M724" s="422"/>
      <c r="N724" s="422"/>
    </row>
    <row r="725" spans="2:14">
      <c r="B725" s="422"/>
      <c r="C725" s="422"/>
      <c r="D725" s="422"/>
      <c r="E725" s="422"/>
      <c r="F725" s="422"/>
      <c r="G725" s="422"/>
      <c r="H725" s="422"/>
      <c r="I725" s="422"/>
      <c r="J725" s="422"/>
      <c r="K725" s="422"/>
      <c r="L725" s="422"/>
      <c r="M725" s="422"/>
      <c r="N725" s="422"/>
    </row>
    <row r="726" spans="2:14">
      <c r="B726" s="422"/>
      <c r="C726" s="422"/>
      <c r="D726" s="422"/>
      <c r="E726" s="422"/>
      <c r="F726" s="422"/>
      <c r="G726" s="422"/>
      <c r="H726" s="422"/>
      <c r="I726" s="422"/>
      <c r="J726" s="422"/>
      <c r="K726" s="422"/>
      <c r="L726" s="422"/>
      <c r="M726" s="422"/>
      <c r="N726" s="422"/>
    </row>
    <row r="727" spans="2:14">
      <c r="B727" s="422"/>
      <c r="C727" s="422"/>
      <c r="D727" s="422"/>
      <c r="E727" s="422"/>
      <c r="F727" s="422"/>
      <c r="G727" s="422"/>
      <c r="H727" s="422"/>
      <c r="I727" s="422"/>
      <c r="J727" s="422"/>
      <c r="K727" s="422"/>
      <c r="L727" s="422"/>
      <c r="M727" s="422"/>
      <c r="N727" s="422"/>
    </row>
    <row r="728" spans="2:14">
      <c r="B728" s="422"/>
      <c r="C728" s="422"/>
      <c r="D728" s="422"/>
      <c r="E728" s="422"/>
      <c r="F728" s="422"/>
      <c r="G728" s="422"/>
      <c r="H728" s="422"/>
      <c r="I728" s="422"/>
      <c r="J728" s="422"/>
      <c r="K728" s="422"/>
      <c r="L728" s="422"/>
      <c r="M728" s="422"/>
      <c r="N728" s="422"/>
    </row>
    <row r="729" spans="2:14">
      <c r="B729" s="422"/>
      <c r="C729" s="422"/>
      <c r="D729" s="422"/>
      <c r="E729" s="422"/>
      <c r="F729" s="422"/>
      <c r="G729" s="422"/>
      <c r="H729" s="422"/>
      <c r="I729" s="422"/>
      <c r="J729" s="422"/>
      <c r="K729" s="422"/>
      <c r="L729" s="422"/>
      <c r="M729" s="422"/>
      <c r="N729" s="422"/>
    </row>
    <row r="730" spans="2:14">
      <c r="B730" s="422"/>
      <c r="C730" s="422"/>
      <c r="D730" s="422"/>
      <c r="E730" s="422"/>
      <c r="F730" s="422"/>
      <c r="G730" s="422"/>
      <c r="H730" s="422"/>
      <c r="I730" s="422"/>
      <c r="J730" s="422"/>
      <c r="K730" s="422"/>
      <c r="L730" s="422"/>
      <c r="M730" s="422"/>
      <c r="N730" s="422"/>
    </row>
    <row r="731" spans="2:14">
      <c r="B731" s="422"/>
      <c r="C731" s="422"/>
      <c r="D731" s="422"/>
      <c r="E731" s="422"/>
      <c r="F731" s="422"/>
      <c r="G731" s="422"/>
      <c r="H731" s="422"/>
      <c r="I731" s="422"/>
      <c r="J731" s="422"/>
      <c r="K731" s="422"/>
      <c r="L731" s="422"/>
      <c r="M731" s="422"/>
      <c r="N731" s="422"/>
    </row>
    <row r="732" spans="2:14">
      <c r="B732" s="422"/>
      <c r="C732" s="422"/>
      <c r="D732" s="422"/>
      <c r="E732" s="422"/>
      <c r="F732" s="422"/>
      <c r="G732" s="422"/>
      <c r="H732" s="422"/>
      <c r="I732" s="422"/>
      <c r="J732" s="422"/>
      <c r="K732" s="422"/>
      <c r="L732" s="422"/>
      <c r="M732" s="422"/>
      <c r="N732" s="422"/>
    </row>
    <row r="733" spans="2:14">
      <c r="B733" s="422"/>
      <c r="C733" s="422"/>
      <c r="D733" s="422"/>
      <c r="E733" s="422"/>
      <c r="F733" s="422"/>
      <c r="G733" s="422"/>
      <c r="H733" s="422"/>
      <c r="I733" s="422"/>
      <c r="J733" s="422"/>
      <c r="K733" s="422"/>
      <c r="L733" s="422"/>
      <c r="M733" s="422"/>
      <c r="N733" s="422"/>
    </row>
    <row r="734" spans="2:14">
      <c r="B734" s="422"/>
      <c r="C734" s="422"/>
      <c r="D734" s="422"/>
      <c r="E734" s="422"/>
      <c r="F734" s="422"/>
      <c r="G734" s="422"/>
      <c r="H734" s="422"/>
      <c r="I734" s="422"/>
      <c r="J734" s="422"/>
      <c r="K734" s="422"/>
      <c r="L734" s="422"/>
      <c r="M734" s="422"/>
      <c r="N734" s="422"/>
    </row>
    <row r="735" spans="2:14">
      <c r="B735" s="422"/>
      <c r="C735" s="422"/>
      <c r="D735" s="422"/>
      <c r="E735" s="422"/>
      <c r="F735" s="422"/>
      <c r="G735" s="422"/>
      <c r="H735" s="422"/>
      <c r="I735" s="422"/>
      <c r="J735" s="422"/>
      <c r="K735" s="422"/>
      <c r="L735" s="422"/>
      <c r="M735" s="422"/>
      <c r="N735" s="422"/>
    </row>
    <row r="736" spans="2:14">
      <c r="B736" s="422"/>
      <c r="C736" s="422"/>
      <c r="D736" s="422"/>
      <c r="E736" s="422"/>
      <c r="F736" s="422"/>
      <c r="G736" s="422"/>
      <c r="H736" s="422"/>
      <c r="I736" s="422"/>
      <c r="J736" s="422"/>
      <c r="K736" s="422"/>
      <c r="L736" s="422"/>
      <c r="M736" s="422"/>
      <c r="N736" s="422"/>
    </row>
    <row r="737" spans="2:14">
      <c r="B737" s="422"/>
      <c r="C737" s="422"/>
      <c r="D737" s="422"/>
      <c r="E737" s="422"/>
      <c r="F737" s="422"/>
      <c r="G737" s="422"/>
      <c r="H737" s="422"/>
      <c r="I737" s="422"/>
      <c r="J737" s="422"/>
      <c r="K737" s="422"/>
      <c r="L737" s="422"/>
      <c r="M737" s="422"/>
      <c r="N737" s="422"/>
    </row>
    <row r="738" spans="2:14">
      <c r="B738" s="422"/>
      <c r="C738" s="422"/>
      <c r="D738" s="422"/>
      <c r="E738" s="422"/>
      <c r="F738" s="422"/>
      <c r="G738" s="422"/>
      <c r="H738" s="422"/>
      <c r="I738" s="422"/>
      <c r="J738" s="422"/>
      <c r="K738" s="422"/>
      <c r="L738" s="422"/>
      <c r="M738" s="422"/>
      <c r="N738" s="422"/>
    </row>
    <row r="739" spans="2:14">
      <c r="B739" s="422"/>
      <c r="C739" s="422"/>
      <c r="D739" s="422"/>
      <c r="E739" s="422"/>
      <c r="F739" s="422"/>
      <c r="G739" s="422"/>
      <c r="H739" s="422"/>
      <c r="I739" s="422"/>
      <c r="J739" s="422"/>
      <c r="K739" s="422"/>
      <c r="L739" s="422"/>
      <c r="M739" s="422"/>
      <c r="N739" s="422"/>
    </row>
    <row r="740" spans="2:14">
      <c r="B740" s="422"/>
      <c r="C740" s="422"/>
      <c r="D740" s="422"/>
      <c r="E740" s="422"/>
      <c r="F740" s="422"/>
      <c r="G740" s="422"/>
      <c r="H740" s="422"/>
      <c r="I740" s="422"/>
      <c r="J740" s="422"/>
      <c r="K740" s="422"/>
      <c r="L740" s="422"/>
      <c r="M740" s="422"/>
      <c r="N740" s="422"/>
    </row>
    <row r="741" spans="2:14">
      <c r="B741" s="422"/>
      <c r="C741" s="422"/>
      <c r="D741" s="422"/>
      <c r="E741" s="422"/>
      <c r="F741" s="422"/>
      <c r="G741" s="422"/>
      <c r="H741" s="422"/>
      <c r="I741" s="422"/>
      <c r="J741" s="422"/>
      <c r="K741" s="422"/>
      <c r="L741" s="422"/>
      <c r="M741" s="422"/>
      <c r="N741" s="422"/>
    </row>
    <row r="742" spans="2:14">
      <c r="B742" s="422"/>
      <c r="C742" s="422"/>
      <c r="D742" s="422"/>
      <c r="E742" s="422"/>
      <c r="F742" s="422"/>
      <c r="G742" s="422"/>
      <c r="H742" s="422"/>
      <c r="I742" s="422"/>
      <c r="J742" s="422"/>
      <c r="K742" s="422"/>
      <c r="L742" s="422"/>
      <c r="M742" s="422"/>
      <c r="N742" s="422"/>
    </row>
    <row r="743" spans="2:14">
      <c r="B743" s="422"/>
      <c r="C743" s="422"/>
      <c r="D743" s="422"/>
      <c r="E743" s="422"/>
      <c r="F743" s="422"/>
      <c r="G743" s="422"/>
      <c r="H743" s="422"/>
      <c r="I743" s="422"/>
      <c r="J743" s="422"/>
      <c r="K743" s="422"/>
      <c r="L743" s="422"/>
      <c r="M743" s="422"/>
      <c r="N743" s="422"/>
    </row>
    <row r="744" spans="2:14">
      <c r="B744" s="422"/>
      <c r="C744" s="422"/>
      <c r="D744" s="422"/>
      <c r="E744" s="422"/>
      <c r="F744" s="422"/>
      <c r="G744" s="422"/>
      <c r="H744" s="422"/>
      <c r="I744" s="422"/>
      <c r="J744" s="422"/>
      <c r="K744" s="422"/>
      <c r="L744" s="422"/>
      <c r="M744" s="422"/>
      <c r="N744" s="422"/>
    </row>
    <row r="745" spans="2:14">
      <c r="B745" s="422"/>
      <c r="C745" s="422"/>
      <c r="D745" s="422"/>
      <c r="E745" s="422"/>
      <c r="F745" s="422"/>
      <c r="G745" s="422"/>
      <c r="H745" s="422"/>
      <c r="I745" s="422"/>
      <c r="J745" s="422"/>
      <c r="K745" s="422"/>
      <c r="L745" s="422"/>
      <c r="M745" s="422"/>
      <c r="N745" s="422"/>
    </row>
    <row r="746" spans="2:14">
      <c r="B746" s="422"/>
      <c r="C746" s="422"/>
      <c r="D746" s="422"/>
      <c r="E746" s="422"/>
      <c r="F746" s="422"/>
      <c r="G746" s="422"/>
      <c r="H746" s="422"/>
      <c r="I746" s="422"/>
      <c r="J746" s="422"/>
      <c r="K746" s="422"/>
      <c r="L746" s="422"/>
      <c r="M746" s="422"/>
      <c r="N746" s="422"/>
    </row>
    <row r="747" spans="2:14">
      <c r="B747" s="422"/>
      <c r="C747" s="422"/>
      <c r="D747" s="422"/>
      <c r="E747" s="422"/>
      <c r="F747" s="422"/>
      <c r="G747" s="422"/>
      <c r="H747" s="422"/>
      <c r="I747" s="422"/>
      <c r="J747" s="422"/>
      <c r="K747" s="422"/>
      <c r="L747" s="422"/>
      <c r="M747" s="422"/>
      <c r="N747" s="422"/>
    </row>
    <row r="748" spans="2:14">
      <c r="B748" s="422"/>
      <c r="C748" s="422"/>
      <c r="D748" s="422"/>
      <c r="E748" s="422"/>
      <c r="F748" s="422"/>
      <c r="G748" s="422"/>
      <c r="H748" s="422"/>
      <c r="I748" s="422"/>
      <c r="J748" s="422"/>
      <c r="K748" s="422"/>
      <c r="L748" s="422"/>
      <c r="M748" s="422"/>
      <c r="N748" s="422"/>
    </row>
    <row r="749" spans="2:14">
      <c r="B749" s="422"/>
      <c r="C749" s="422"/>
      <c r="D749" s="422"/>
      <c r="E749" s="422"/>
      <c r="F749" s="422"/>
      <c r="G749" s="422"/>
      <c r="H749" s="422"/>
      <c r="I749" s="422"/>
      <c r="J749" s="422"/>
      <c r="K749" s="422"/>
      <c r="L749" s="422"/>
      <c r="M749" s="422"/>
      <c r="N749" s="422"/>
    </row>
    <row r="750" spans="2:14">
      <c r="B750" s="422"/>
      <c r="C750" s="422"/>
      <c r="D750" s="422"/>
      <c r="E750" s="422"/>
      <c r="F750" s="422"/>
      <c r="G750" s="422"/>
      <c r="H750" s="422"/>
      <c r="I750" s="422"/>
      <c r="J750" s="422"/>
      <c r="K750" s="422"/>
      <c r="L750" s="422"/>
      <c r="M750" s="422"/>
      <c r="N750" s="422"/>
    </row>
    <row r="751" spans="2:14">
      <c r="B751" s="422"/>
      <c r="C751" s="422"/>
      <c r="D751" s="422"/>
      <c r="E751" s="422"/>
      <c r="F751" s="422"/>
      <c r="G751" s="422"/>
      <c r="H751" s="422"/>
      <c r="I751" s="422"/>
      <c r="J751" s="422"/>
      <c r="K751" s="422"/>
      <c r="L751" s="422"/>
      <c r="M751" s="422"/>
      <c r="N751" s="422"/>
    </row>
    <row r="752" spans="2:14">
      <c r="B752" s="422"/>
      <c r="C752" s="422"/>
      <c r="D752" s="422"/>
      <c r="E752" s="422"/>
      <c r="F752" s="422"/>
      <c r="G752" s="422"/>
      <c r="H752" s="422"/>
      <c r="I752" s="422"/>
      <c r="J752" s="422"/>
      <c r="K752" s="422"/>
      <c r="L752" s="422"/>
      <c r="M752" s="422"/>
      <c r="N752" s="422"/>
    </row>
    <row r="753" spans="2:14">
      <c r="B753" s="422"/>
      <c r="C753" s="422"/>
      <c r="D753" s="422"/>
      <c r="E753" s="422"/>
      <c r="F753" s="422"/>
      <c r="G753" s="422"/>
      <c r="H753" s="422"/>
      <c r="I753" s="422"/>
      <c r="J753" s="422"/>
      <c r="K753" s="422"/>
      <c r="L753" s="422"/>
      <c r="M753" s="422"/>
      <c r="N753" s="422"/>
    </row>
    <row r="754" spans="2:14">
      <c r="B754" s="422"/>
      <c r="C754" s="422"/>
      <c r="D754" s="422"/>
      <c r="E754" s="422"/>
      <c r="F754" s="422"/>
      <c r="G754" s="422"/>
      <c r="H754" s="422"/>
      <c r="I754" s="422"/>
      <c r="J754" s="422"/>
      <c r="K754" s="422"/>
      <c r="L754" s="422"/>
      <c r="M754" s="422"/>
      <c r="N754" s="422"/>
    </row>
    <row r="755" spans="2:14">
      <c r="B755" s="422"/>
      <c r="C755" s="422"/>
      <c r="D755" s="422"/>
      <c r="E755" s="422"/>
      <c r="F755" s="422"/>
      <c r="G755" s="422"/>
      <c r="H755" s="422"/>
      <c r="I755" s="422"/>
      <c r="J755" s="422"/>
      <c r="K755" s="422"/>
      <c r="L755" s="422"/>
      <c r="M755" s="422"/>
      <c r="N755" s="422"/>
    </row>
    <row r="756" spans="2:14">
      <c r="B756" s="422"/>
      <c r="C756" s="422"/>
      <c r="D756" s="422"/>
      <c r="E756" s="422"/>
      <c r="F756" s="422"/>
      <c r="G756" s="422"/>
      <c r="H756" s="422"/>
      <c r="I756" s="422"/>
      <c r="J756" s="422"/>
      <c r="K756" s="422"/>
      <c r="L756" s="422"/>
      <c r="M756" s="422"/>
      <c r="N756" s="422"/>
    </row>
    <row r="757" spans="2:14">
      <c r="B757" s="422"/>
      <c r="C757" s="422"/>
      <c r="D757" s="422"/>
      <c r="E757" s="422"/>
      <c r="F757" s="422"/>
      <c r="G757" s="422"/>
      <c r="H757" s="422"/>
      <c r="I757" s="422"/>
      <c r="J757" s="422"/>
      <c r="K757" s="422"/>
      <c r="L757" s="422"/>
      <c r="M757" s="422"/>
      <c r="N757" s="422"/>
    </row>
    <row r="758" spans="2:14">
      <c r="B758" s="422"/>
      <c r="C758" s="422"/>
      <c r="D758" s="422"/>
      <c r="E758" s="422"/>
      <c r="F758" s="422"/>
      <c r="G758" s="422"/>
      <c r="H758" s="422"/>
      <c r="I758" s="422"/>
      <c r="J758" s="422"/>
      <c r="K758" s="422"/>
      <c r="L758" s="422"/>
      <c r="M758" s="422"/>
      <c r="N758" s="422"/>
    </row>
    <row r="759" spans="2:14">
      <c r="B759" s="422"/>
      <c r="C759" s="422"/>
      <c r="D759" s="422"/>
      <c r="E759" s="422"/>
      <c r="F759" s="422"/>
      <c r="G759" s="422"/>
      <c r="H759" s="422"/>
      <c r="I759" s="422"/>
      <c r="J759" s="422"/>
      <c r="K759" s="422"/>
      <c r="L759" s="422"/>
      <c r="M759" s="422"/>
      <c r="N759" s="422"/>
    </row>
    <row r="760" spans="2:14">
      <c r="B760" s="422"/>
      <c r="C760" s="422"/>
      <c r="D760" s="422"/>
      <c r="E760" s="422"/>
      <c r="F760" s="422"/>
      <c r="G760" s="422"/>
      <c r="H760" s="422"/>
      <c r="I760" s="422"/>
      <c r="J760" s="422"/>
      <c r="K760" s="422"/>
      <c r="L760" s="422"/>
      <c r="M760" s="422"/>
      <c r="N760" s="422"/>
    </row>
    <row r="761" spans="2:14">
      <c r="B761" s="422"/>
      <c r="C761" s="422"/>
      <c r="D761" s="422"/>
      <c r="E761" s="422"/>
      <c r="F761" s="422"/>
      <c r="G761" s="422"/>
      <c r="H761" s="422"/>
      <c r="I761" s="422"/>
      <c r="J761" s="422"/>
      <c r="K761" s="422"/>
      <c r="L761" s="422"/>
      <c r="M761" s="422"/>
      <c r="N761" s="422"/>
    </row>
    <row r="762" spans="2:14">
      <c r="B762" s="422"/>
      <c r="C762" s="422"/>
      <c r="D762" s="422"/>
      <c r="E762" s="422"/>
      <c r="F762" s="422"/>
      <c r="G762" s="422"/>
      <c r="H762" s="422"/>
      <c r="I762" s="422"/>
      <c r="J762" s="422"/>
      <c r="K762" s="422"/>
      <c r="L762" s="422"/>
      <c r="M762" s="422"/>
      <c r="N762" s="422"/>
    </row>
    <row r="763" spans="2:14">
      <c r="B763" s="422"/>
      <c r="C763" s="422"/>
      <c r="D763" s="422"/>
      <c r="E763" s="422"/>
      <c r="F763" s="422"/>
      <c r="G763" s="422"/>
      <c r="H763" s="422"/>
      <c r="I763" s="422"/>
      <c r="J763" s="422"/>
      <c r="K763" s="422"/>
      <c r="L763" s="422"/>
      <c r="M763" s="422"/>
      <c r="N763" s="422"/>
    </row>
    <row r="764" spans="2:14">
      <c r="B764" s="422"/>
      <c r="C764" s="422"/>
      <c r="D764" s="422"/>
      <c r="E764" s="422"/>
      <c r="F764" s="422"/>
      <c r="G764" s="422"/>
      <c r="H764" s="422"/>
      <c r="I764" s="422"/>
      <c r="J764" s="422"/>
      <c r="K764" s="422"/>
      <c r="L764" s="422"/>
      <c r="M764" s="422"/>
      <c r="N764" s="422"/>
    </row>
    <row r="765" spans="2:14">
      <c r="B765" s="422"/>
      <c r="C765" s="422"/>
      <c r="D765" s="422"/>
      <c r="E765" s="422"/>
      <c r="F765" s="422"/>
      <c r="G765" s="422"/>
      <c r="H765" s="422"/>
      <c r="I765" s="422"/>
      <c r="J765" s="422"/>
      <c r="K765" s="422"/>
      <c r="L765" s="422"/>
      <c r="M765" s="422"/>
      <c r="N765" s="422"/>
    </row>
    <row r="766" spans="2:14">
      <c r="B766" s="422"/>
      <c r="C766" s="422"/>
      <c r="D766" s="422"/>
      <c r="E766" s="422"/>
      <c r="F766" s="422"/>
      <c r="G766" s="422"/>
      <c r="H766" s="422"/>
      <c r="I766" s="422"/>
      <c r="J766" s="422"/>
      <c r="K766" s="422"/>
      <c r="L766" s="422"/>
      <c r="M766" s="422"/>
      <c r="N766" s="422"/>
    </row>
    <row r="767" spans="2:14">
      <c r="B767" s="422"/>
      <c r="C767" s="422"/>
      <c r="D767" s="422"/>
      <c r="E767" s="422"/>
      <c r="F767" s="422"/>
      <c r="G767" s="422"/>
      <c r="H767" s="422"/>
      <c r="I767" s="422"/>
      <c r="J767" s="422"/>
      <c r="K767" s="422"/>
      <c r="L767" s="422"/>
      <c r="M767" s="422"/>
      <c r="N767" s="422"/>
    </row>
    <row r="768" spans="2:14">
      <c r="B768" s="422"/>
      <c r="C768" s="422"/>
      <c r="D768" s="422"/>
      <c r="E768" s="422"/>
      <c r="F768" s="422"/>
      <c r="G768" s="422"/>
      <c r="H768" s="422"/>
      <c r="I768" s="422"/>
      <c r="J768" s="422"/>
      <c r="K768" s="422"/>
      <c r="L768" s="422"/>
      <c r="M768" s="422"/>
      <c r="N768" s="422"/>
    </row>
    <row r="769" spans="2:14">
      <c r="B769" s="422"/>
      <c r="C769" s="422"/>
      <c r="D769" s="422"/>
      <c r="E769" s="422"/>
      <c r="F769" s="422"/>
      <c r="G769" s="422"/>
      <c r="H769" s="422"/>
      <c r="I769" s="422"/>
      <c r="J769" s="422"/>
      <c r="K769" s="422"/>
      <c r="L769" s="422"/>
      <c r="M769" s="422"/>
      <c r="N769" s="422"/>
    </row>
    <row r="770" spans="2:14">
      <c r="B770" s="422"/>
      <c r="C770" s="422"/>
      <c r="D770" s="422"/>
      <c r="E770" s="422"/>
      <c r="F770" s="422"/>
      <c r="G770" s="422"/>
      <c r="H770" s="422"/>
      <c r="I770" s="422"/>
      <c r="J770" s="422"/>
      <c r="K770" s="422"/>
      <c r="L770" s="422"/>
      <c r="M770" s="422"/>
      <c r="N770" s="422"/>
    </row>
    <row r="771" spans="2:14">
      <c r="B771" s="422"/>
      <c r="C771" s="422"/>
      <c r="D771" s="422"/>
      <c r="E771" s="422"/>
      <c r="F771" s="422"/>
      <c r="G771" s="422"/>
      <c r="H771" s="422"/>
      <c r="I771" s="422"/>
      <c r="J771" s="422"/>
      <c r="K771" s="422"/>
      <c r="L771" s="422"/>
      <c r="M771" s="422"/>
      <c r="N771" s="422"/>
    </row>
    <row r="772" spans="2:14">
      <c r="B772" s="422"/>
      <c r="C772" s="422"/>
      <c r="D772" s="422"/>
      <c r="E772" s="422"/>
      <c r="F772" s="422"/>
      <c r="G772" s="422"/>
      <c r="H772" s="422"/>
      <c r="I772" s="422"/>
      <c r="J772" s="422"/>
      <c r="K772" s="422"/>
      <c r="L772" s="422"/>
      <c r="M772" s="422"/>
      <c r="N772" s="422"/>
    </row>
    <row r="773" spans="2:14">
      <c r="B773" s="422"/>
      <c r="C773" s="422"/>
      <c r="D773" s="422"/>
      <c r="E773" s="422"/>
      <c r="F773" s="422"/>
      <c r="G773" s="422"/>
      <c r="H773" s="422"/>
      <c r="I773" s="422"/>
      <c r="J773" s="422"/>
      <c r="K773" s="422"/>
      <c r="L773" s="422"/>
      <c r="M773" s="422"/>
      <c r="N773" s="422"/>
    </row>
    <row r="774" spans="2:14">
      <c r="B774" s="422"/>
      <c r="C774" s="422"/>
      <c r="D774" s="422"/>
      <c r="E774" s="422"/>
      <c r="F774" s="422"/>
      <c r="G774" s="422"/>
      <c r="H774" s="422"/>
      <c r="I774" s="422"/>
      <c r="J774" s="422"/>
      <c r="K774" s="422"/>
      <c r="L774" s="422"/>
      <c r="M774" s="422"/>
      <c r="N774" s="422"/>
    </row>
    <row r="775" spans="2:14">
      <c r="B775" s="422"/>
      <c r="C775" s="422"/>
      <c r="D775" s="422"/>
      <c r="E775" s="422"/>
      <c r="F775" s="422"/>
      <c r="G775" s="422"/>
      <c r="H775" s="422"/>
      <c r="I775" s="422"/>
      <c r="J775" s="422"/>
      <c r="K775" s="422"/>
      <c r="L775" s="422"/>
      <c r="M775" s="422"/>
      <c r="N775" s="422"/>
    </row>
    <row r="776" spans="2:14">
      <c r="B776" s="422"/>
      <c r="C776" s="422"/>
      <c r="D776" s="422"/>
      <c r="E776" s="422"/>
      <c r="F776" s="422"/>
      <c r="G776" s="422"/>
      <c r="H776" s="422"/>
      <c r="I776" s="422"/>
      <c r="J776" s="422"/>
      <c r="K776" s="422"/>
      <c r="L776" s="422"/>
      <c r="M776" s="422"/>
      <c r="N776" s="422"/>
    </row>
    <row r="777" spans="2:14">
      <c r="B777" s="422"/>
      <c r="C777" s="422"/>
      <c r="D777" s="422"/>
      <c r="E777" s="422"/>
      <c r="F777" s="422"/>
      <c r="G777" s="422"/>
      <c r="H777" s="422"/>
      <c r="I777" s="422"/>
      <c r="J777" s="422"/>
      <c r="K777" s="422"/>
      <c r="L777" s="422"/>
      <c r="M777" s="422"/>
      <c r="N777" s="422"/>
    </row>
    <row r="778" spans="2:14">
      <c r="B778" s="422"/>
      <c r="C778" s="422"/>
      <c r="D778" s="422"/>
      <c r="E778" s="422"/>
      <c r="F778" s="422"/>
      <c r="G778" s="422"/>
      <c r="H778" s="422"/>
      <c r="I778" s="422"/>
      <c r="J778" s="422"/>
      <c r="K778" s="422"/>
      <c r="L778" s="422"/>
      <c r="M778" s="422"/>
      <c r="N778" s="422"/>
    </row>
    <row r="779" spans="2:14">
      <c r="B779" s="422"/>
      <c r="C779" s="422"/>
      <c r="D779" s="422"/>
      <c r="E779" s="422"/>
      <c r="F779" s="422"/>
      <c r="G779" s="422"/>
      <c r="H779" s="422"/>
      <c r="I779" s="422"/>
      <c r="J779" s="422"/>
      <c r="K779" s="422"/>
      <c r="L779" s="422"/>
      <c r="M779" s="422"/>
      <c r="N779" s="422"/>
    </row>
    <row r="780" spans="2:14">
      <c r="B780" s="422"/>
      <c r="C780" s="422"/>
      <c r="D780" s="422"/>
      <c r="E780" s="422"/>
      <c r="F780" s="422"/>
      <c r="G780" s="422"/>
      <c r="H780" s="422"/>
      <c r="I780" s="422"/>
      <c r="J780" s="422"/>
      <c r="K780" s="422"/>
      <c r="L780" s="422"/>
      <c r="M780" s="422"/>
      <c r="N780" s="422"/>
    </row>
    <row r="781" spans="2:14">
      <c r="B781" s="422"/>
      <c r="C781" s="422"/>
      <c r="D781" s="422"/>
      <c r="E781" s="422"/>
      <c r="F781" s="422"/>
      <c r="G781" s="422"/>
      <c r="H781" s="422"/>
      <c r="I781" s="422"/>
      <c r="J781" s="422"/>
      <c r="K781" s="422"/>
      <c r="L781" s="422"/>
      <c r="M781" s="422"/>
      <c r="N781" s="422"/>
    </row>
    <row r="782" spans="2:14">
      <c r="B782" s="422"/>
      <c r="C782" s="422"/>
      <c r="D782" s="422"/>
      <c r="E782" s="422"/>
      <c r="F782" s="422"/>
      <c r="G782" s="422"/>
      <c r="H782" s="422"/>
      <c r="I782" s="422"/>
      <c r="J782" s="422"/>
      <c r="K782" s="422"/>
      <c r="L782" s="422"/>
      <c r="M782" s="422"/>
      <c r="N782" s="422"/>
    </row>
    <row r="783" spans="2:14">
      <c r="B783" s="422"/>
      <c r="C783" s="422"/>
      <c r="D783" s="422"/>
      <c r="E783" s="422"/>
      <c r="F783" s="422"/>
      <c r="G783" s="422"/>
      <c r="H783" s="422"/>
      <c r="I783" s="422"/>
      <c r="J783" s="422"/>
      <c r="K783" s="422"/>
      <c r="L783" s="422"/>
      <c r="M783" s="422"/>
      <c r="N783" s="422"/>
    </row>
    <row r="784" spans="2:14">
      <c r="B784" s="422"/>
      <c r="C784" s="422"/>
      <c r="D784" s="422"/>
      <c r="E784" s="422"/>
      <c r="F784" s="422"/>
      <c r="G784" s="422"/>
      <c r="H784" s="422"/>
      <c r="I784" s="422"/>
      <c r="J784" s="422"/>
      <c r="K784" s="422"/>
      <c r="L784" s="422"/>
      <c r="M784" s="422"/>
      <c r="N784" s="422"/>
    </row>
    <row r="785" spans="2:14">
      <c r="B785" s="422"/>
      <c r="C785" s="422"/>
      <c r="D785" s="422"/>
      <c r="E785" s="422"/>
      <c r="F785" s="422"/>
      <c r="G785" s="422"/>
      <c r="H785" s="422"/>
      <c r="I785" s="422"/>
      <c r="J785" s="422"/>
      <c r="K785" s="422"/>
      <c r="L785" s="422"/>
      <c r="M785" s="422"/>
      <c r="N785" s="422"/>
    </row>
    <row r="786" spans="2:14">
      <c r="B786" s="422"/>
      <c r="C786" s="422"/>
      <c r="D786" s="422"/>
      <c r="E786" s="422"/>
      <c r="F786" s="422"/>
      <c r="G786" s="422"/>
      <c r="H786" s="422"/>
      <c r="I786" s="422"/>
      <c r="J786" s="422"/>
      <c r="K786" s="422"/>
      <c r="L786" s="422"/>
      <c r="M786" s="422"/>
      <c r="N786" s="422"/>
    </row>
    <row r="787" spans="2:14">
      <c r="B787" s="422"/>
      <c r="C787" s="422"/>
      <c r="D787" s="422"/>
      <c r="E787" s="422"/>
      <c r="F787" s="422"/>
      <c r="G787" s="422"/>
      <c r="H787" s="422"/>
      <c r="I787" s="422"/>
      <c r="J787" s="422"/>
      <c r="K787" s="422"/>
      <c r="L787" s="422"/>
      <c r="M787" s="422"/>
      <c r="N787" s="422"/>
    </row>
    <row r="788" spans="2:14">
      <c r="B788" s="422"/>
      <c r="C788" s="422"/>
      <c r="D788" s="422"/>
      <c r="E788" s="422"/>
      <c r="F788" s="422"/>
      <c r="G788" s="422"/>
      <c r="H788" s="422"/>
      <c r="I788" s="422"/>
      <c r="J788" s="422"/>
      <c r="K788" s="422"/>
      <c r="L788" s="422"/>
      <c r="M788" s="422"/>
      <c r="N788" s="422"/>
    </row>
    <row r="789" spans="2:14">
      <c r="B789" s="422"/>
      <c r="C789" s="422"/>
      <c r="D789" s="422"/>
      <c r="E789" s="422"/>
      <c r="F789" s="422"/>
      <c r="G789" s="422"/>
      <c r="H789" s="422"/>
      <c r="I789" s="422"/>
      <c r="J789" s="422"/>
      <c r="K789" s="422"/>
      <c r="L789" s="422"/>
      <c r="M789" s="422"/>
      <c r="N789" s="422"/>
    </row>
    <row r="790" spans="2:14">
      <c r="B790" s="422"/>
      <c r="C790" s="422"/>
      <c r="D790" s="422"/>
      <c r="E790" s="422"/>
      <c r="F790" s="422"/>
      <c r="G790" s="422"/>
      <c r="H790" s="422"/>
      <c r="I790" s="422"/>
      <c r="J790" s="422"/>
      <c r="K790" s="422"/>
      <c r="L790" s="422"/>
      <c r="M790" s="422"/>
      <c r="N790" s="422"/>
    </row>
    <row r="791" spans="2:14">
      <c r="B791" s="422"/>
      <c r="C791" s="422"/>
      <c r="D791" s="422"/>
      <c r="E791" s="422"/>
      <c r="F791" s="422"/>
      <c r="G791" s="422"/>
      <c r="H791" s="422"/>
      <c r="I791" s="422"/>
      <c r="J791" s="422"/>
      <c r="K791" s="422"/>
      <c r="L791" s="422"/>
      <c r="M791" s="422"/>
      <c r="N791" s="422"/>
    </row>
    <row r="792" spans="2:14">
      <c r="B792" s="422"/>
      <c r="C792" s="422"/>
      <c r="D792" s="422"/>
      <c r="E792" s="422"/>
      <c r="F792" s="422"/>
      <c r="G792" s="422"/>
      <c r="H792" s="422"/>
      <c r="I792" s="422"/>
      <c r="J792" s="422"/>
      <c r="K792" s="422"/>
      <c r="L792" s="422"/>
      <c r="M792" s="422"/>
      <c r="N792" s="422"/>
    </row>
    <row r="793" spans="2:14">
      <c r="B793" s="422"/>
      <c r="C793" s="422"/>
      <c r="D793" s="422"/>
      <c r="E793" s="422"/>
      <c r="F793" s="422"/>
      <c r="G793" s="422"/>
      <c r="H793" s="422"/>
      <c r="I793" s="422"/>
      <c r="J793" s="422"/>
      <c r="K793" s="422"/>
      <c r="L793" s="422"/>
      <c r="M793" s="422"/>
      <c r="N793" s="422"/>
    </row>
    <row r="794" spans="2:14">
      <c r="B794" s="422"/>
      <c r="C794" s="422"/>
      <c r="D794" s="422"/>
      <c r="E794" s="422"/>
      <c r="F794" s="422"/>
      <c r="G794" s="422"/>
      <c r="H794" s="422"/>
      <c r="I794" s="422"/>
      <c r="J794" s="422"/>
      <c r="K794" s="422"/>
      <c r="L794" s="422"/>
      <c r="M794" s="422"/>
      <c r="N794" s="422"/>
    </row>
    <row r="795" spans="2:14">
      <c r="B795" s="422"/>
      <c r="C795" s="422"/>
      <c r="D795" s="422"/>
      <c r="E795" s="422"/>
      <c r="F795" s="422"/>
      <c r="G795" s="422"/>
      <c r="H795" s="422"/>
      <c r="I795" s="422"/>
      <c r="J795" s="422"/>
      <c r="K795" s="422"/>
      <c r="L795" s="422"/>
      <c r="M795" s="422"/>
      <c r="N795" s="422"/>
    </row>
    <row r="796" spans="2:14">
      <c r="B796" s="422"/>
      <c r="C796" s="422"/>
      <c r="D796" s="422"/>
      <c r="E796" s="422"/>
      <c r="F796" s="422"/>
      <c r="G796" s="422"/>
      <c r="H796" s="422"/>
      <c r="I796" s="422"/>
      <c r="J796" s="422"/>
      <c r="K796" s="422"/>
      <c r="L796" s="422"/>
      <c r="M796" s="422"/>
      <c r="N796" s="422"/>
    </row>
    <row r="797" spans="2:14">
      <c r="B797" s="422"/>
      <c r="C797" s="422"/>
      <c r="D797" s="422"/>
      <c r="E797" s="422"/>
      <c r="F797" s="422"/>
      <c r="G797" s="422"/>
      <c r="H797" s="422"/>
      <c r="I797" s="422"/>
      <c r="J797" s="422"/>
      <c r="K797" s="422"/>
      <c r="L797" s="422"/>
      <c r="M797" s="422"/>
      <c r="N797" s="422"/>
    </row>
    <row r="798" spans="2:14">
      <c r="B798" s="422"/>
      <c r="C798" s="422"/>
      <c r="D798" s="422"/>
      <c r="E798" s="422"/>
      <c r="F798" s="422"/>
      <c r="G798" s="422"/>
      <c r="H798" s="422"/>
      <c r="I798" s="422"/>
      <c r="J798" s="422"/>
      <c r="K798" s="422"/>
      <c r="L798" s="422"/>
      <c r="M798" s="422"/>
      <c r="N798" s="422"/>
    </row>
    <row r="799" spans="2:14">
      <c r="B799" s="422"/>
      <c r="C799" s="422"/>
      <c r="D799" s="422"/>
      <c r="E799" s="422"/>
      <c r="F799" s="422"/>
      <c r="G799" s="422"/>
      <c r="H799" s="422"/>
      <c r="I799" s="422"/>
      <c r="J799" s="422"/>
      <c r="K799" s="422"/>
      <c r="L799" s="422"/>
      <c r="M799" s="422"/>
      <c r="N799" s="422"/>
    </row>
    <row r="800" spans="2:14">
      <c r="B800" s="422"/>
      <c r="C800" s="422"/>
      <c r="D800" s="422"/>
      <c r="E800" s="422"/>
      <c r="F800" s="422"/>
      <c r="G800" s="422"/>
      <c r="H800" s="422"/>
      <c r="I800" s="422"/>
      <c r="J800" s="422"/>
      <c r="K800" s="422"/>
      <c r="L800" s="422"/>
      <c r="M800" s="422"/>
      <c r="N800" s="422"/>
    </row>
    <row r="801" spans="2:14">
      <c r="B801" s="422"/>
      <c r="C801" s="422"/>
      <c r="D801" s="422"/>
      <c r="E801" s="422"/>
      <c r="F801" s="422"/>
      <c r="G801" s="422"/>
      <c r="H801" s="422"/>
      <c r="I801" s="422"/>
      <c r="J801" s="422"/>
      <c r="K801" s="422"/>
      <c r="L801" s="422"/>
      <c r="M801" s="422"/>
      <c r="N801" s="422"/>
    </row>
    <row r="802" spans="2:14">
      <c r="B802" s="422"/>
      <c r="C802" s="422"/>
      <c r="D802" s="422"/>
      <c r="E802" s="422"/>
      <c r="F802" s="422"/>
      <c r="G802" s="422"/>
      <c r="H802" s="422"/>
      <c r="I802" s="422"/>
      <c r="J802" s="422"/>
      <c r="K802" s="422"/>
      <c r="L802" s="422"/>
      <c r="M802" s="422"/>
      <c r="N802" s="422"/>
    </row>
    <row r="803" spans="2:14">
      <c r="B803" s="422"/>
      <c r="C803" s="422"/>
      <c r="D803" s="422"/>
      <c r="E803" s="422"/>
      <c r="F803" s="422"/>
      <c r="G803" s="422"/>
      <c r="H803" s="422"/>
      <c r="I803" s="422"/>
      <c r="J803" s="422"/>
      <c r="K803" s="422"/>
      <c r="L803" s="422"/>
      <c r="M803" s="422"/>
      <c r="N803" s="422"/>
    </row>
    <row r="804" spans="2:14">
      <c r="B804" s="422"/>
      <c r="C804" s="422"/>
      <c r="D804" s="422"/>
      <c r="E804" s="422"/>
      <c r="F804" s="422"/>
      <c r="G804" s="422"/>
      <c r="H804" s="422"/>
      <c r="I804" s="422"/>
      <c r="J804" s="422"/>
      <c r="K804" s="422"/>
      <c r="L804" s="422"/>
      <c r="M804" s="422"/>
      <c r="N804" s="422"/>
    </row>
    <row r="805" spans="2:14">
      <c r="B805" s="422"/>
      <c r="C805" s="422"/>
      <c r="D805" s="422"/>
      <c r="E805" s="422"/>
      <c r="F805" s="422"/>
      <c r="G805" s="422"/>
      <c r="H805" s="422"/>
      <c r="I805" s="422"/>
      <c r="J805" s="422"/>
      <c r="K805" s="422"/>
      <c r="L805" s="422"/>
      <c r="M805" s="422"/>
      <c r="N805" s="422"/>
    </row>
    <row r="806" spans="2:14">
      <c r="B806" s="422"/>
      <c r="C806" s="422"/>
      <c r="D806" s="422"/>
      <c r="E806" s="422"/>
      <c r="F806" s="422"/>
      <c r="G806" s="422"/>
      <c r="H806" s="422"/>
      <c r="I806" s="422"/>
      <c r="J806" s="422"/>
      <c r="K806" s="422"/>
      <c r="L806" s="422"/>
      <c r="M806" s="422"/>
      <c r="N806" s="422"/>
    </row>
    <row r="807" spans="2:14">
      <c r="B807" s="422"/>
      <c r="C807" s="422"/>
      <c r="D807" s="422"/>
      <c r="E807" s="422"/>
      <c r="F807" s="422"/>
      <c r="G807" s="422"/>
      <c r="H807" s="422"/>
      <c r="I807" s="422"/>
      <c r="J807" s="422"/>
      <c r="K807" s="422"/>
      <c r="L807" s="422"/>
      <c r="M807" s="422"/>
      <c r="N807" s="422"/>
    </row>
    <row r="808" spans="2:14">
      <c r="B808" s="422"/>
      <c r="C808" s="422"/>
      <c r="D808" s="422"/>
      <c r="E808" s="422"/>
      <c r="F808" s="422"/>
      <c r="G808" s="422"/>
      <c r="H808" s="422"/>
      <c r="I808" s="422"/>
      <c r="J808" s="422"/>
      <c r="K808" s="422"/>
      <c r="L808" s="422"/>
      <c r="M808" s="422"/>
      <c r="N808" s="422"/>
    </row>
    <row r="809" spans="2:14">
      <c r="B809" s="422"/>
      <c r="C809" s="422"/>
      <c r="D809" s="422"/>
      <c r="E809" s="422"/>
      <c r="F809" s="422"/>
      <c r="G809" s="422"/>
      <c r="H809" s="422"/>
      <c r="I809" s="422"/>
      <c r="J809" s="422"/>
      <c r="K809" s="422"/>
      <c r="L809" s="422"/>
      <c r="M809" s="422"/>
      <c r="N809" s="422"/>
    </row>
    <row r="810" spans="2:14">
      <c r="B810" s="422"/>
      <c r="C810" s="422"/>
      <c r="D810" s="422"/>
      <c r="E810" s="422"/>
      <c r="F810" s="422"/>
      <c r="G810" s="422"/>
      <c r="H810" s="422"/>
      <c r="I810" s="422"/>
      <c r="J810" s="422"/>
      <c r="K810" s="422"/>
      <c r="L810" s="422"/>
      <c r="M810" s="422"/>
      <c r="N810" s="422"/>
    </row>
    <row r="811" spans="2:14">
      <c r="B811" s="422"/>
      <c r="C811" s="422"/>
      <c r="D811" s="422"/>
      <c r="E811" s="422"/>
      <c r="F811" s="422"/>
      <c r="G811" s="422"/>
      <c r="H811" s="422"/>
      <c r="I811" s="422"/>
      <c r="J811" s="422"/>
      <c r="K811" s="422"/>
      <c r="L811" s="422"/>
      <c r="M811" s="422"/>
      <c r="N811" s="422"/>
    </row>
    <row r="812" spans="2:14">
      <c r="B812" s="422"/>
      <c r="C812" s="422"/>
      <c r="D812" s="422"/>
      <c r="E812" s="422"/>
      <c r="F812" s="422"/>
      <c r="G812" s="422"/>
      <c r="H812" s="422"/>
      <c r="I812" s="422"/>
      <c r="J812" s="422"/>
      <c r="K812" s="422"/>
      <c r="L812" s="422"/>
      <c r="M812" s="422"/>
      <c r="N812" s="422"/>
    </row>
    <row r="813" spans="2:14">
      <c r="B813" s="422"/>
      <c r="C813" s="422"/>
      <c r="D813" s="422"/>
      <c r="E813" s="422"/>
      <c r="F813" s="422"/>
      <c r="G813" s="422"/>
      <c r="H813" s="422"/>
      <c r="I813" s="422"/>
      <c r="J813" s="422"/>
      <c r="K813" s="422"/>
      <c r="L813" s="422"/>
      <c r="M813" s="422"/>
      <c r="N813" s="422"/>
    </row>
    <row r="814" spans="2:14">
      <c r="B814" s="422"/>
      <c r="C814" s="422"/>
      <c r="D814" s="422"/>
      <c r="E814" s="422"/>
      <c r="F814" s="422"/>
      <c r="G814" s="422"/>
      <c r="H814" s="422"/>
      <c r="I814" s="422"/>
      <c r="J814" s="422"/>
      <c r="K814" s="422"/>
      <c r="L814" s="422"/>
      <c r="M814" s="422"/>
      <c r="N814" s="422"/>
    </row>
    <row r="815" spans="2:14">
      <c r="B815" s="422"/>
      <c r="C815" s="422"/>
      <c r="D815" s="422"/>
      <c r="E815" s="422"/>
      <c r="F815" s="422"/>
      <c r="G815" s="422"/>
      <c r="H815" s="422"/>
      <c r="I815" s="422"/>
      <c r="J815" s="422"/>
      <c r="K815" s="422"/>
      <c r="L815" s="422"/>
      <c r="M815" s="422"/>
      <c r="N815" s="422"/>
    </row>
    <row r="816" spans="2:14">
      <c r="B816" s="422"/>
      <c r="C816" s="422"/>
      <c r="D816" s="422"/>
      <c r="E816" s="422"/>
      <c r="F816" s="422"/>
      <c r="G816" s="422"/>
      <c r="H816" s="422"/>
      <c r="I816" s="422"/>
      <c r="J816" s="422"/>
      <c r="K816" s="422"/>
      <c r="L816" s="422"/>
      <c r="M816" s="422"/>
      <c r="N816" s="422"/>
    </row>
    <row r="817" spans="2:14">
      <c r="B817" s="422"/>
      <c r="C817" s="422"/>
      <c r="D817" s="422"/>
      <c r="E817" s="422"/>
      <c r="F817" s="422"/>
      <c r="G817" s="422"/>
      <c r="H817" s="422"/>
      <c r="I817" s="422"/>
      <c r="J817" s="422"/>
      <c r="K817" s="422"/>
      <c r="L817" s="422"/>
      <c r="M817" s="422"/>
      <c r="N817" s="422"/>
    </row>
    <row r="818" spans="2:14">
      <c r="B818" s="422"/>
      <c r="C818" s="422"/>
      <c r="D818" s="422"/>
      <c r="E818" s="422"/>
      <c r="F818" s="422"/>
      <c r="G818" s="422"/>
      <c r="H818" s="422"/>
      <c r="I818" s="422"/>
      <c r="J818" s="422"/>
      <c r="K818" s="422"/>
      <c r="L818" s="422"/>
      <c r="M818" s="422"/>
      <c r="N818" s="422"/>
    </row>
    <row r="819" spans="2:14">
      <c r="B819" s="422"/>
      <c r="C819" s="422"/>
      <c r="D819" s="422"/>
      <c r="E819" s="422"/>
      <c r="F819" s="422"/>
      <c r="G819" s="422"/>
      <c r="H819" s="422"/>
      <c r="I819" s="422"/>
      <c r="J819" s="422"/>
      <c r="K819" s="422"/>
      <c r="L819" s="422"/>
      <c r="M819" s="422"/>
      <c r="N819" s="422"/>
    </row>
    <row r="820" spans="2:14">
      <c r="B820" s="422"/>
      <c r="C820" s="422"/>
      <c r="D820" s="422"/>
      <c r="E820" s="422"/>
      <c r="F820" s="422"/>
      <c r="G820" s="422"/>
      <c r="H820" s="422"/>
      <c r="I820" s="422"/>
      <c r="J820" s="422"/>
      <c r="K820" s="422"/>
      <c r="L820" s="422"/>
      <c r="M820" s="422"/>
      <c r="N820" s="422"/>
    </row>
    <row r="821" spans="2:14">
      <c r="B821" s="422"/>
      <c r="C821" s="422"/>
      <c r="D821" s="422"/>
      <c r="E821" s="422"/>
      <c r="F821" s="422"/>
      <c r="G821" s="422"/>
      <c r="H821" s="422"/>
      <c r="I821" s="422"/>
      <c r="J821" s="422"/>
      <c r="K821" s="422"/>
      <c r="L821" s="422"/>
      <c r="M821" s="422"/>
      <c r="N821" s="422"/>
    </row>
    <row r="822" spans="2:14">
      <c r="B822" s="422"/>
      <c r="C822" s="422"/>
      <c r="D822" s="422"/>
      <c r="E822" s="422"/>
      <c r="F822" s="422"/>
      <c r="G822" s="422"/>
      <c r="H822" s="422"/>
      <c r="I822" s="422"/>
      <c r="J822" s="422"/>
      <c r="K822" s="422"/>
      <c r="L822" s="422"/>
      <c r="M822" s="422"/>
      <c r="N822" s="422"/>
    </row>
    <row r="823" spans="2:14">
      <c r="B823" s="422"/>
      <c r="C823" s="422"/>
      <c r="D823" s="422"/>
      <c r="E823" s="422"/>
      <c r="F823" s="422"/>
      <c r="G823" s="422"/>
      <c r="H823" s="422"/>
      <c r="I823" s="422"/>
      <c r="J823" s="422"/>
      <c r="K823" s="422"/>
      <c r="L823" s="422"/>
      <c r="M823" s="422"/>
      <c r="N823" s="422"/>
    </row>
    <row r="824" spans="2:14">
      <c r="B824" s="422"/>
      <c r="C824" s="422"/>
      <c r="D824" s="422"/>
      <c r="E824" s="422"/>
      <c r="F824" s="422"/>
      <c r="G824" s="422"/>
      <c r="H824" s="422"/>
      <c r="I824" s="422"/>
      <c r="J824" s="422"/>
      <c r="K824" s="422"/>
      <c r="L824" s="422"/>
      <c r="M824" s="422"/>
      <c r="N824" s="422"/>
    </row>
    <row r="825" spans="2:14">
      <c r="B825" s="422"/>
      <c r="C825" s="422"/>
      <c r="D825" s="422"/>
      <c r="E825" s="422"/>
      <c r="F825" s="422"/>
      <c r="G825" s="422"/>
      <c r="H825" s="422"/>
      <c r="I825" s="422"/>
      <c r="J825" s="422"/>
      <c r="K825" s="422"/>
      <c r="L825" s="422"/>
      <c r="M825" s="422"/>
      <c r="N825" s="422"/>
    </row>
    <row r="826" spans="2:14">
      <c r="B826" s="422"/>
      <c r="C826" s="422"/>
      <c r="D826" s="422"/>
      <c r="E826" s="422"/>
      <c r="F826" s="422"/>
      <c r="G826" s="422"/>
      <c r="H826" s="422"/>
      <c r="I826" s="422"/>
      <c r="J826" s="422"/>
      <c r="K826" s="422"/>
      <c r="L826" s="422"/>
      <c r="M826" s="422"/>
      <c r="N826" s="422"/>
    </row>
    <row r="827" spans="2:14">
      <c r="B827" s="422"/>
      <c r="C827" s="422"/>
      <c r="D827" s="422"/>
      <c r="E827" s="422"/>
      <c r="F827" s="422"/>
      <c r="G827" s="422"/>
      <c r="H827" s="422"/>
      <c r="I827" s="422"/>
      <c r="J827" s="422"/>
      <c r="K827" s="422"/>
      <c r="L827" s="422"/>
      <c r="M827" s="422"/>
      <c r="N827" s="422"/>
    </row>
    <row r="828" spans="2:14">
      <c r="B828" s="422"/>
      <c r="C828" s="422"/>
      <c r="D828" s="422"/>
      <c r="E828" s="422"/>
      <c r="F828" s="422"/>
      <c r="G828" s="422"/>
      <c r="H828" s="422"/>
      <c r="I828" s="422"/>
      <c r="J828" s="422"/>
      <c r="K828" s="422"/>
      <c r="L828" s="422"/>
      <c r="M828" s="422"/>
      <c r="N828" s="422"/>
    </row>
    <row r="829" spans="2:14">
      <c r="B829" s="422"/>
      <c r="C829" s="422"/>
      <c r="D829" s="422"/>
      <c r="E829" s="422"/>
      <c r="F829" s="422"/>
      <c r="G829" s="422"/>
      <c r="H829" s="422"/>
      <c r="I829" s="422"/>
      <c r="J829" s="422"/>
      <c r="K829" s="422"/>
      <c r="L829" s="422"/>
      <c r="M829" s="422"/>
      <c r="N829" s="422"/>
    </row>
    <row r="830" spans="2:14">
      <c r="B830" s="422"/>
      <c r="C830" s="422"/>
      <c r="D830" s="422"/>
      <c r="E830" s="422"/>
      <c r="F830" s="422"/>
      <c r="G830" s="422"/>
      <c r="H830" s="422"/>
      <c r="I830" s="422"/>
      <c r="J830" s="422"/>
      <c r="K830" s="422"/>
      <c r="L830" s="422"/>
      <c r="M830" s="422"/>
      <c r="N830" s="422"/>
    </row>
    <row r="831" spans="2:14">
      <c r="B831" s="422"/>
      <c r="C831" s="422"/>
      <c r="D831" s="422"/>
      <c r="E831" s="422"/>
      <c r="F831" s="422"/>
      <c r="G831" s="422"/>
      <c r="H831" s="422"/>
      <c r="I831" s="422"/>
      <c r="J831" s="422"/>
      <c r="K831" s="422"/>
      <c r="L831" s="422"/>
      <c r="M831" s="422"/>
      <c r="N831" s="422"/>
    </row>
    <row r="832" spans="2:14">
      <c r="B832" s="422"/>
      <c r="C832" s="422"/>
      <c r="D832" s="422"/>
      <c r="E832" s="422"/>
      <c r="F832" s="422"/>
      <c r="G832" s="422"/>
      <c r="H832" s="422"/>
      <c r="I832" s="422"/>
      <c r="J832" s="422"/>
      <c r="K832" s="422"/>
      <c r="L832" s="422"/>
      <c r="M832" s="422"/>
      <c r="N832" s="422"/>
    </row>
    <row r="833" spans="2:14">
      <c r="B833" s="422"/>
      <c r="C833" s="422"/>
      <c r="D833" s="422"/>
      <c r="E833" s="422"/>
      <c r="F833" s="422"/>
      <c r="G833" s="422"/>
      <c r="H833" s="422"/>
      <c r="I833" s="422"/>
      <c r="J833" s="422"/>
      <c r="K833" s="422"/>
      <c r="L833" s="422"/>
      <c r="M833" s="422"/>
      <c r="N833" s="422"/>
    </row>
    <row r="834" spans="2:14">
      <c r="B834" s="422"/>
      <c r="C834" s="422"/>
      <c r="D834" s="422"/>
      <c r="E834" s="422"/>
      <c r="F834" s="422"/>
      <c r="G834" s="422"/>
      <c r="H834" s="422"/>
      <c r="I834" s="422"/>
      <c r="J834" s="422"/>
      <c r="K834" s="422"/>
      <c r="L834" s="422"/>
      <c r="M834" s="422"/>
      <c r="N834" s="422"/>
    </row>
    <row r="835" spans="2:14">
      <c r="B835" s="422"/>
      <c r="C835" s="422"/>
      <c r="D835" s="422"/>
      <c r="E835" s="422"/>
      <c r="F835" s="422"/>
      <c r="G835" s="422"/>
      <c r="H835" s="422"/>
      <c r="I835" s="422"/>
      <c r="J835" s="422"/>
      <c r="K835" s="422"/>
      <c r="L835" s="422"/>
      <c r="M835" s="422"/>
      <c r="N835" s="422"/>
    </row>
    <row r="836" spans="2:14">
      <c r="B836" s="422"/>
      <c r="C836" s="422"/>
      <c r="D836" s="422"/>
      <c r="E836" s="422"/>
      <c r="F836" s="422"/>
      <c r="G836" s="422"/>
      <c r="H836" s="422"/>
      <c r="I836" s="422"/>
      <c r="J836" s="422"/>
      <c r="K836" s="422"/>
      <c r="L836" s="422"/>
      <c r="M836" s="422"/>
      <c r="N836" s="422"/>
    </row>
    <row r="837" spans="2:14">
      <c r="B837" s="422"/>
      <c r="C837" s="422"/>
      <c r="D837" s="422"/>
      <c r="E837" s="422"/>
      <c r="F837" s="422"/>
      <c r="G837" s="422"/>
      <c r="H837" s="422"/>
      <c r="I837" s="422"/>
      <c r="J837" s="422"/>
      <c r="K837" s="422"/>
      <c r="L837" s="422"/>
      <c r="M837" s="422"/>
      <c r="N837" s="422"/>
    </row>
    <row r="838" spans="2:14">
      <c r="B838" s="422"/>
      <c r="C838" s="422"/>
      <c r="D838" s="422"/>
      <c r="E838" s="422"/>
      <c r="F838" s="422"/>
      <c r="G838" s="422"/>
      <c r="H838" s="422"/>
      <c r="I838" s="422"/>
      <c r="J838" s="422"/>
      <c r="K838" s="422"/>
      <c r="L838" s="422"/>
      <c r="M838" s="422"/>
      <c r="N838" s="422"/>
    </row>
    <row r="839" spans="2:14">
      <c r="B839" s="422"/>
      <c r="C839" s="422"/>
      <c r="D839" s="422"/>
      <c r="E839" s="422"/>
      <c r="F839" s="422"/>
      <c r="G839" s="422"/>
      <c r="H839" s="422"/>
      <c r="I839" s="422"/>
      <c r="J839" s="422"/>
      <c r="K839" s="422"/>
      <c r="L839" s="422"/>
      <c r="M839" s="422"/>
      <c r="N839" s="422"/>
    </row>
    <row r="840" spans="2:14">
      <c r="B840" s="422"/>
      <c r="C840" s="422"/>
      <c r="D840" s="422"/>
      <c r="E840" s="422"/>
      <c r="F840" s="422"/>
      <c r="G840" s="422"/>
      <c r="H840" s="422"/>
      <c r="I840" s="422"/>
      <c r="J840" s="422"/>
      <c r="K840" s="422"/>
      <c r="L840" s="422"/>
      <c r="M840" s="422"/>
      <c r="N840" s="422"/>
    </row>
    <row r="841" spans="2:14">
      <c r="B841" s="422"/>
      <c r="C841" s="422"/>
      <c r="D841" s="422"/>
      <c r="E841" s="422"/>
      <c r="F841" s="422"/>
      <c r="G841" s="422"/>
      <c r="H841" s="422"/>
      <c r="I841" s="422"/>
      <c r="J841" s="422"/>
      <c r="K841" s="422"/>
      <c r="L841" s="422"/>
      <c r="M841" s="422"/>
      <c r="N841" s="422"/>
    </row>
    <row r="842" spans="2:14">
      <c r="B842" s="422"/>
      <c r="C842" s="422"/>
      <c r="D842" s="422"/>
      <c r="E842" s="422"/>
      <c r="F842" s="422"/>
      <c r="G842" s="422"/>
      <c r="H842" s="422"/>
      <c r="I842" s="422"/>
      <c r="J842" s="422"/>
      <c r="K842" s="422"/>
      <c r="L842" s="422"/>
      <c r="M842" s="422"/>
      <c r="N842" s="422"/>
    </row>
    <row r="843" spans="2:14">
      <c r="B843" s="422"/>
      <c r="C843" s="422"/>
      <c r="D843" s="422"/>
      <c r="E843" s="422"/>
      <c r="F843" s="422"/>
      <c r="G843" s="422"/>
      <c r="H843" s="422"/>
      <c r="I843" s="422"/>
      <c r="J843" s="422"/>
      <c r="K843" s="422"/>
      <c r="L843" s="422"/>
      <c r="M843" s="422"/>
      <c r="N843" s="422"/>
    </row>
    <row r="844" spans="2:14">
      <c r="B844" s="422"/>
      <c r="C844" s="422"/>
      <c r="D844" s="422"/>
      <c r="E844" s="422"/>
      <c r="F844" s="422"/>
      <c r="G844" s="422"/>
      <c r="H844" s="422"/>
      <c r="I844" s="422"/>
      <c r="J844" s="422"/>
      <c r="K844" s="422"/>
      <c r="L844" s="422"/>
      <c r="M844" s="422"/>
      <c r="N844" s="422"/>
    </row>
    <row r="845" spans="2:14">
      <c r="B845" s="422"/>
      <c r="C845" s="422"/>
      <c r="D845" s="422"/>
      <c r="E845" s="422"/>
      <c r="F845" s="422"/>
      <c r="G845" s="422"/>
      <c r="H845" s="422"/>
      <c r="I845" s="422"/>
      <c r="J845" s="422"/>
      <c r="K845" s="422"/>
      <c r="L845" s="422"/>
      <c r="M845" s="422"/>
      <c r="N845" s="422"/>
    </row>
    <row r="846" spans="2:14">
      <c r="B846" s="422"/>
      <c r="C846" s="422"/>
      <c r="D846" s="422"/>
      <c r="E846" s="422"/>
      <c r="F846" s="422"/>
      <c r="G846" s="422"/>
      <c r="H846" s="422"/>
      <c r="I846" s="422"/>
      <c r="J846" s="422"/>
      <c r="K846" s="422"/>
      <c r="L846" s="422"/>
      <c r="M846" s="422"/>
      <c r="N846" s="422"/>
    </row>
    <row r="847" spans="2:14">
      <c r="B847" s="422"/>
      <c r="C847" s="422"/>
      <c r="D847" s="422"/>
      <c r="E847" s="422"/>
      <c r="F847" s="422"/>
      <c r="G847" s="422"/>
      <c r="H847" s="422"/>
      <c r="I847" s="422"/>
      <c r="J847" s="422"/>
      <c r="K847" s="422"/>
      <c r="L847" s="422"/>
      <c r="M847" s="422"/>
      <c r="N847" s="422"/>
    </row>
    <row r="848" spans="2:14">
      <c r="B848" s="422"/>
      <c r="C848" s="422"/>
      <c r="D848" s="422"/>
      <c r="E848" s="422"/>
      <c r="F848" s="422"/>
      <c r="G848" s="422"/>
      <c r="H848" s="422"/>
      <c r="I848" s="422"/>
      <c r="J848" s="422"/>
      <c r="K848" s="422"/>
      <c r="L848" s="422"/>
      <c r="M848" s="422"/>
      <c r="N848" s="422"/>
    </row>
    <row r="849" spans="2:14">
      <c r="B849" s="422"/>
      <c r="C849" s="422"/>
      <c r="D849" s="422"/>
      <c r="E849" s="422"/>
      <c r="F849" s="422"/>
      <c r="G849" s="422"/>
      <c r="H849" s="422"/>
      <c r="I849" s="422"/>
      <c r="J849" s="422"/>
      <c r="K849" s="422"/>
      <c r="L849" s="422"/>
      <c r="M849" s="422"/>
      <c r="N849" s="422"/>
    </row>
    <row r="850" spans="2:14">
      <c r="B850" s="422"/>
      <c r="C850" s="422"/>
      <c r="D850" s="422"/>
      <c r="E850" s="422"/>
      <c r="F850" s="422"/>
      <c r="G850" s="422"/>
      <c r="H850" s="422"/>
      <c r="I850" s="422"/>
      <c r="J850" s="422"/>
      <c r="K850" s="422"/>
      <c r="L850" s="422"/>
      <c r="M850" s="422"/>
      <c r="N850" s="422"/>
    </row>
    <row r="851" spans="2:14">
      <c r="B851" s="422"/>
      <c r="C851" s="422"/>
      <c r="D851" s="422"/>
      <c r="E851" s="422"/>
      <c r="F851" s="422"/>
      <c r="G851" s="422"/>
      <c r="H851" s="422"/>
      <c r="I851" s="422"/>
      <c r="J851" s="422"/>
      <c r="K851" s="422"/>
      <c r="L851" s="422"/>
      <c r="M851" s="422"/>
      <c r="N851" s="422"/>
    </row>
    <row r="852" spans="2:14">
      <c r="B852" s="422"/>
      <c r="C852" s="422"/>
      <c r="D852" s="422"/>
      <c r="E852" s="422"/>
      <c r="F852" s="422"/>
      <c r="G852" s="422"/>
      <c r="H852" s="422"/>
      <c r="I852" s="422"/>
      <c r="J852" s="422"/>
      <c r="K852" s="422"/>
      <c r="L852" s="422"/>
      <c r="M852" s="422"/>
      <c r="N852" s="422"/>
    </row>
    <row r="853" spans="2:14">
      <c r="B853" s="422"/>
      <c r="C853" s="422"/>
      <c r="D853" s="422"/>
      <c r="E853" s="422"/>
      <c r="F853" s="422"/>
      <c r="G853" s="422"/>
      <c r="H853" s="422"/>
      <c r="I853" s="422"/>
      <c r="J853" s="422"/>
      <c r="K853" s="422"/>
      <c r="L853" s="422"/>
      <c r="M853" s="422"/>
      <c r="N853" s="422"/>
    </row>
    <row r="854" spans="2:14">
      <c r="B854" s="422"/>
      <c r="C854" s="422"/>
      <c r="D854" s="422"/>
      <c r="E854" s="422"/>
      <c r="F854" s="422"/>
      <c r="G854" s="422"/>
      <c r="H854" s="422"/>
      <c r="I854" s="422"/>
      <c r="J854" s="422"/>
      <c r="K854" s="422"/>
      <c r="L854" s="422"/>
      <c r="M854" s="422"/>
      <c r="N854" s="422"/>
    </row>
    <row r="855" spans="2:14">
      <c r="B855" s="422"/>
      <c r="C855" s="422"/>
      <c r="D855" s="422"/>
      <c r="E855" s="422"/>
      <c r="F855" s="422"/>
      <c r="G855" s="422"/>
      <c r="H855" s="422"/>
      <c r="I855" s="422"/>
      <c r="J855" s="422"/>
      <c r="K855" s="422"/>
      <c r="L855" s="422"/>
      <c r="M855" s="422"/>
      <c r="N855" s="422"/>
    </row>
    <row r="856" spans="2:14">
      <c r="B856" s="422"/>
      <c r="C856" s="422"/>
      <c r="D856" s="422"/>
      <c r="E856" s="422"/>
      <c r="F856" s="422"/>
      <c r="G856" s="422"/>
      <c r="H856" s="422"/>
      <c r="I856" s="422"/>
      <c r="J856" s="422"/>
      <c r="K856" s="422"/>
      <c r="L856" s="422"/>
      <c r="M856" s="422"/>
      <c r="N856" s="422"/>
    </row>
    <row r="857" spans="2:14">
      <c r="B857" s="422"/>
      <c r="C857" s="422"/>
      <c r="D857" s="422"/>
      <c r="E857" s="422"/>
      <c r="F857" s="422"/>
      <c r="G857" s="422"/>
      <c r="H857" s="422"/>
      <c r="I857" s="422"/>
      <c r="J857" s="422"/>
      <c r="K857" s="422"/>
      <c r="L857" s="422"/>
      <c r="M857" s="422"/>
      <c r="N857" s="422"/>
    </row>
    <row r="858" spans="2:14">
      <c r="B858" s="422"/>
      <c r="C858" s="422"/>
      <c r="D858" s="422"/>
      <c r="E858" s="422"/>
      <c r="F858" s="422"/>
      <c r="G858" s="422"/>
      <c r="H858" s="422"/>
      <c r="I858" s="422"/>
      <c r="J858" s="422"/>
      <c r="K858" s="422"/>
      <c r="L858" s="422"/>
      <c r="M858" s="422"/>
      <c r="N858" s="422"/>
    </row>
    <row r="859" spans="2:14">
      <c r="B859" s="422"/>
      <c r="C859" s="422"/>
      <c r="D859" s="422"/>
      <c r="E859" s="422"/>
      <c r="F859" s="422"/>
      <c r="G859" s="422"/>
      <c r="H859" s="422"/>
      <c r="I859" s="422"/>
      <c r="J859" s="422"/>
      <c r="K859" s="422"/>
      <c r="L859" s="422"/>
      <c r="M859" s="422"/>
      <c r="N859" s="422"/>
    </row>
    <row r="860" spans="2:14">
      <c r="B860" s="422"/>
      <c r="C860" s="422"/>
      <c r="D860" s="422"/>
      <c r="E860" s="422"/>
      <c r="F860" s="422"/>
      <c r="G860" s="422"/>
      <c r="H860" s="422"/>
      <c r="I860" s="422"/>
      <c r="J860" s="422"/>
      <c r="K860" s="422"/>
      <c r="L860" s="422"/>
      <c r="M860" s="422"/>
      <c r="N860" s="422"/>
    </row>
    <row r="861" spans="2:14">
      <c r="B861" s="422"/>
      <c r="C861" s="422"/>
      <c r="D861" s="422"/>
      <c r="E861" s="422"/>
      <c r="F861" s="422"/>
      <c r="G861" s="422"/>
      <c r="H861" s="422"/>
      <c r="I861" s="422"/>
      <c r="J861" s="422"/>
      <c r="K861" s="422"/>
      <c r="L861" s="422"/>
      <c r="M861" s="422"/>
      <c r="N861" s="422"/>
    </row>
    <row r="862" spans="2:14">
      <c r="B862" s="422"/>
      <c r="C862" s="422"/>
      <c r="D862" s="422"/>
      <c r="E862" s="422"/>
      <c r="F862" s="422"/>
      <c r="G862" s="422"/>
      <c r="H862" s="422"/>
      <c r="I862" s="422"/>
      <c r="J862" s="422"/>
      <c r="K862" s="422"/>
      <c r="L862" s="422"/>
      <c r="M862" s="422"/>
      <c r="N862" s="422"/>
    </row>
    <row r="863" spans="2:14">
      <c r="B863" s="422"/>
      <c r="C863" s="422"/>
      <c r="D863" s="422"/>
      <c r="E863" s="422"/>
      <c r="F863" s="422"/>
      <c r="G863" s="422"/>
      <c r="H863" s="422"/>
      <c r="I863" s="422"/>
      <c r="J863" s="422"/>
      <c r="K863" s="422"/>
      <c r="L863" s="422"/>
      <c r="M863" s="422"/>
      <c r="N863" s="422"/>
    </row>
    <row r="864" spans="2:14">
      <c r="B864" s="422"/>
      <c r="C864" s="422"/>
      <c r="D864" s="422"/>
      <c r="E864" s="422"/>
      <c r="F864" s="422"/>
      <c r="G864" s="422"/>
      <c r="H864" s="422"/>
      <c r="I864" s="422"/>
      <c r="J864" s="422"/>
      <c r="K864" s="422"/>
      <c r="L864" s="422"/>
      <c r="M864" s="422"/>
      <c r="N864" s="422"/>
    </row>
    <row r="865" spans="2:14">
      <c r="B865" s="422"/>
      <c r="C865" s="422"/>
      <c r="D865" s="422"/>
      <c r="E865" s="422"/>
      <c r="F865" s="422"/>
      <c r="G865" s="422"/>
      <c r="H865" s="422"/>
      <c r="I865" s="422"/>
      <c r="J865" s="422"/>
      <c r="K865" s="422"/>
      <c r="L865" s="422"/>
      <c r="M865" s="422"/>
      <c r="N865" s="422"/>
    </row>
    <row r="866" spans="2:14">
      <c r="B866" s="422"/>
      <c r="C866" s="422"/>
      <c r="D866" s="422"/>
      <c r="E866" s="422"/>
      <c r="F866" s="422"/>
      <c r="G866" s="422"/>
      <c r="H866" s="422"/>
      <c r="I866" s="422"/>
      <c r="J866" s="422"/>
      <c r="K866" s="422"/>
      <c r="L866" s="422"/>
      <c r="M866" s="422"/>
      <c r="N866" s="422"/>
    </row>
    <row r="867" spans="2:14">
      <c r="B867" s="422"/>
      <c r="C867" s="422"/>
      <c r="D867" s="422"/>
      <c r="E867" s="422"/>
      <c r="F867" s="422"/>
      <c r="G867" s="422"/>
      <c r="H867" s="422"/>
      <c r="I867" s="422"/>
      <c r="J867" s="422"/>
      <c r="K867" s="422"/>
      <c r="L867" s="422"/>
      <c r="M867" s="422"/>
      <c r="N867" s="422"/>
    </row>
    <row r="868" spans="2:14">
      <c r="B868" s="422"/>
      <c r="C868" s="422"/>
      <c r="D868" s="422"/>
      <c r="E868" s="422"/>
      <c r="F868" s="422"/>
      <c r="G868" s="422"/>
      <c r="H868" s="422"/>
      <c r="I868" s="422"/>
      <c r="J868" s="422"/>
      <c r="K868" s="422"/>
      <c r="L868" s="422"/>
      <c r="M868" s="422"/>
      <c r="N868" s="422"/>
    </row>
    <row r="869" spans="2:14">
      <c r="B869" s="422"/>
      <c r="C869" s="422"/>
      <c r="D869" s="422"/>
      <c r="E869" s="422"/>
      <c r="F869" s="422"/>
      <c r="G869" s="422"/>
      <c r="H869" s="422"/>
      <c r="I869" s="422"/>
      <c r="J869" s="422"/>
      <c r="K869" s="422"/>
      <c r="L869" s="422"/>
      <c r="M869" s="422"/>
      <c r="N869" s="422"/>
    </row>
    <row r="870" spans="2:14">
      <c r="B870" s="422"/>
      <c r="C870" s="422"/>
      <c r="D870" s="422"/>
      <c r="E870" s="422"/>
      <c r="F870" s="422"/>
      <c r="G870" s="422"/>
      <c r="H870" s="422"/>
      <c r="I870" s="422"/>
      <c r="J870" s="422"/>
      <c r="K870" s="422"/>
      <c r="L870" s="422"/>
      <c r="M870" s="422"/>
      <c r="N870" s="422"/>
    </row>
    <row r="871" spans="2:14">
      <c r="B871" s="422"/>
      <c r="C871" s="422"/>
      <c r="D871" s="422"/>
      <c r="E871" s="422"/>
      <c r="F871" s="422"/>
      <c r="G871" s="422"/>
      <c r="H871" s="422"/>
      <c r="I871" s="422"/>
      <c r="J871" s="422"/>
      <c r="K871" s="422"/>
      <c r="L871" s="422"/>
      <c r="M871" s="422"/>
      <c r="N871" s="422"/>
    </row>
    <row r="872" spans="2:14">
      <c r="B872" s="422"/>
      <c r="C872" s="422"/>
      <c r="D872" s="422"/>
      <c r="E872" s="422"/>
      <c r="F872" s="422"/>
      <c r="G872" s="422"/>
      <c r="H872" s="422"/>
      <c r="I872" s="422"/>
      <c r="J872" s="422"/>
      <c r="K872" s="422"/>
      <c r="L872" s="422"/>
      <c r="M872" s="422"/>
      <c r="N872" s="422"/>
    </row>
    <row r="873" spans="2:14">
      <c r="B873" s="422"/>
      <c r="C873" s="422"/>
      <c r="D873" s="422"/>
      <c r="E873" s="422"/>
      <c r="F873" s="422"/>
      <c r="G873" s="422"/>
      <c r="H873" s="422"/>
      <c r="I873" s="422"/>
      <c r="J873" s="422"/>
      <c r="K873" s="422"/>
      <c r="L873" s="422"/>
      <c r="M873" s="422"/>
      <c r="N873" s="422"/>
    </row>
    <row r="874" spans="2:14">
      <c r="B874" s="422"/>
      <c r="C874" s="422"/>
      <c r="D874" s="422"/>
      <c r="E874" s="422"/>
      <c r="F874" s="422"/>
      <c r="G874" s="422"/>
      <c r="H874" s="422"/>
      <c r="I874" s="422"/>
      <c r="J874" s="422"/>
      <c r="K874" s="422"/>
      <c r="L874" s="422"/>
      <c r="M874" s="422"/>
      <c r="N874" s="422"/>
    </row>
    <row r="875" spans="2:14">
      <c r="B875" s="422"/>
      <c r="C875" s="422"/>
      <c r="D875" s="422"/>
      <c r="E875" s="422"/>
      <c r="F875" s="422"/>
      <c r="G875" s="422"/>
      <c r="H875" s="422"/>
      <c r="I875" s="422"/>
      <c r="J875" s="422"/>
      <c r="K875" s="422"/>
      <c r="L875" s="422"/>
      <c r="M875" s="422"/>
      <c r="N875" s="422"/>
    </row>
    <row r="876" spans="2:14">
      <c r="B876" s="422"/>
      <c r="C876" s="422"/>
      <c r="D876" s="422"/>
      <c r="E876" s="422"/>
      <c r="F876" s="422"/>
      <c r="G876" s="422"/>
      <c r="H876" s="422"/>
      <c r="I876" s="422"/>
      <c r="J876" s="422"/>
      <c r="K876" s="422"/>
      <c r="L876" s="422"/>
      <c r="M876" s="422"/>
      <c r="N876" s="422"/>
    </row>
    <row r="877" spans="2:14">
      <c r="B877" s="422"/>
      <c r="C877" s="422"/>
      <c r="D877" s="422"/>
      <c r="E877" s="422"/>
      <c r="F877" s="422"/>
      <c r="G877" s="422"/>
      <c r="H877" s="422"/>
      <c r="I877" s="422"/>
      <c r="J877" s="422"/>
      <c r="K877" s="422"/>
      <c r="L877" s="422"/>
      <c r="M877" s="422"/>
      <c r="N877" s="422"/>
    </row>
    <row r="878" spans="2:14">
      <c r="B878" s="422"/>
      <c r="C878" s="422"/>
      <c r="D878" s="422"/>
      <c r="E878" s="422"/>
      <c r="F878" s="422"/>
      <c r="G878" s="422"/>
      <c r="H878" s="422"/>
      <c r="I878" s="422"/>
      <c r="J878" s="422"/>
      <c r="K878" s="422"/>
      <c r="L878" s="422"/>
      <c r="M878" s="422"/>
      <c r="N878" s="422"/>
    </row>
    <row r="879" spans="2:14">
      <c r="B879" s="422"/>
      <c r="C879" s="422"/>
      <c r="D879" s="422"/>
      <c r="E879" s="422"/>
      <c r="F879" s="422"/>
      <c r="G879" s="422"/>
      <c r="H879" s="422"/>
      <c r="I879" s="422"/>
      <c r="J879" s="422"/>
      <c r="K879" s="422"/>
      <c r="L879" s="422"/>
      <c r="M879" s="422"/>
      <c r="N879" s="422"/>
    </row>
  </sheetData>
  <mergeCells count="42">
    <mergeCell ref="B469:B471"/>
    <mergeCell ref="B474:B475"/>
    <mergeCell ref="B413:D413"/>
    <mergeCell ref="B432:D432"/>
    <mergeCell ref="B5:D5"/>
    <mergeCell ref="B7:K8"/>
    <mergeCell ref="B402:D402"/>
    <mergeCell ref="B60:N60"/>
    <mergeCell ref="B476:B478"/>
    <mergeCell ref="B479:B480"/>
    <mergeCell ref="B481:B482"/>
    <mergeCell ref="B483:B486"/>
    <mergeCell ref="B487:B488"/>
    <mergeCell ref="B499:B504"/>
    <mergeCell ref="B505:B509"/>
    <mergeCell ref="B510:B513"/>
    <mergeCell ref="B489:B490"/>
    <mergeCell ref="B491:B492"/>
    <mergeCell ref="B493:B494"/>
    <mergeCell ref="B495:B496"/>
    <mergeCell ref="B497:B498"/>
    <mergeCell ref="B519:B524"/>
    <mergeCell ref="B525:B529"/>
    <mergeCell ref="B530:B531"/>
    <mergeCell ref="B532:B537"/>
    <mergeCell ref="B538:B539"/>
    <mergeCell ref="B514:B518"/>
    <mergeCell ref="B630:B639"/>
    <mergeCell ref="B640:B650"/>
    <mergeCell ref="B585:B591"/>
    <mergeCell ref="B603:B612"/>
    <mergeCell ref="B620:B625"/>
    <mergeCell ref="B626:B629"/>
    <mergeCell ref="B592:B602"/>
    <mergeCell ref="B613:B619"/>
    <mergeCell ref="B566:B573"/>
    <mergeCell ref="B574:B584"/>
    <mergeCell ref="B540:B543"/>
    <mergeCell ref="B544:B547"/>
    <mergeCell ref="B548:B550"/>
    <mergeCell ref="B551:B559"/>
    <mergeCell ref="B560:B565"/>
  </mergeCells>
  <phoneticPr fontId="3" type="noConversion"/>
  <conditionalFormatting sqref="R482:AE519 R520:AD520">
    <cfRule type="cellIs" dxfId="11" priority="3" operator="between">
      <formula>0</formula>
      <formula>0</formula>
    </cfRule>
  </conditionalFormatting>
  <conditionalFormatting sqref="R587:AS627">
    <cfRule type="cellIs" dxfId="10" priority="1" operator="between">
      <formula>0</formula>
      <formula>0</formula>
    </cfRule>
  </conditionalFormatting>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7BB08-ECB9-5E48-8305-DA00A947E2A7}">
  <sheetPr codeName="Sheet8">
    <tabColor rgb="FFFF0000"/>
  </sheetPr>
  <dimension ref="B4:AS242"/>
  <sheetViews>
    <sheetView topLeftCell="AA116" zoomScale="110" zoomScaleNormal="69" workbookViewId="0">
      <selection activeCell="O237" sqref="O237"/>
    </sheetView>
  </sheetViews>
  <sheetFormatPr defaultColWidth="11" defaultRowHeight="15.75"/>
  <cols>
    <col min="3" max="3" width="12.625" customWidth="1"/>
    <col min="17" max="17" width="11.125" customWidth="1"/>
    <col min="18" max="18" width="11.375" customWidth="1"/>
    <col min="19" max="20" width="10.5" customWidth="1"/>
    <col min="21" max="21" width="9.875" customWidth="1"/>
    <col min="22" max="22" width="8.625" customWidth="1"/>
    <col min="23" max="23" width="11.125" customWidth="1"/>
    <col min="24" max="25" width="10.125" customWidth="1"/>
    <col min="26" max="26" width="10.625" customWidth="1"/>
    <col min="27" max="27" width="11.875" customWidth="1"/>
    <col min="28" max="29" width="12" customWidth="1"/>
    <col min="30" max="30" width="11.625" customWidth="1"/>
  </cols>
  <sheetData>
    <row r="4" spans="2:12" ht="33.75">
      <c r="B4" s="1722" t="s">
        <v>14</v>
      </c>
      <c r="C4" s="1722"/>
      <c r="D4" s="1722"/>
    </row>
    <row r="6" spans="2:12" ht="68.099999999999994" customHeight="1">
      <c r="B6" s="1701" t="s">
        <v>1532</v>
      </c>
      <c r="C6" s="1701"/>
      <c r="D6" s="1701"/>
      <c r="E6" s="1701"/>
      <c r="F6" s="1701"/>
      <c r="G6" s="1701"/>
      <c r="H6" s="1701"/>
      <c r="I6" s="1701"/>
      <c r="J6" s="1701"/>
      <c r="K6" s="1701"/>
      <c r="L6" s="1701"/>
    </row>
    <row r="8" spans="2:12" ht="18">
      <c r="B8" s="345" t="s">
        <v>1536</v>
      </c>
    </row>
    <row r="9" spans="2:12">
      <c r="B9" s="435" t="s">
        <v>183</v>
      </c>
      <c r="C9" s="341" t="s">
        <v>14</v>
      </c>
    </row>
    <row r="10" spans="2:12">
      <c r="B10" s="90" t="s">
        <v>126</v>
      </c>
      <c r="C10" s="342">
        <v>12</v>
      </c>
    </row>
    <row r="11" spans="2:12">
      <c r="B11" s="90" t="s">
        <v>127</v>
      </c>
      <c r="C11" s="342">
        <v>12</v>
      </c>
    </row>
    <row r="12" spans="2:12">
      <c r="B12" s="90" t="s">
        <v>128</v>
      </c>
      <c r="C12" s="342">
        <v>11</v>
      </c>
    </row>
    <row r="13" spans="2:12">
      <c r="B13" s="90" t="s">
        <v>129</v>
      </c>
      <c r="C13" s="342">
        <v>12</v>
      </c>
    </row>
    <row r="14" spans="2:12">
      <c r="B14" s="90" t="s">
        <v>130</v>
      </c>
      <c r="C14" s="342">
        <v>12</v>
      </c>
    </row>
    <row r="15" spans="2:12">
      <c r="B15" s="90" t="s">
        <v>131</v>
      </c>
      <c r="C15" s="342">
        <v>12</v>
      </c>
    </row>
    <row r="16" spans="2:12">
      <c r="B16" s="90" t="s">
        <v>132</v>
      </c>
      <c r="C16" s="342">
        <v>12</v>
      </c>
    </row>
    <row r="17" spans="2:3">
      <c r="B17" s="90" t="s">
        <v>133</v>
      </c>
      <c r="C17" s="342">
        <v>11</v>
      </c>
    </row>
    <row r="18" spans="2:3">
      <c r="B18" s="90" t="s">
        <v>134</v>
      </c>
      <c r="C18" s="342">
        <v>12</v>
      </c>
    </row>
    <row r="19" spans="2:3">
      <c r="B19" s="90" t="s">
        <v>135</v>
      </c>
      <c r="C19" s="342">
        <v>13</v>
      </c>
    </row>
    <row r="20" spans="2:3">
      <c r="B20" s="90" t="s">
        <v>136</v>
      </c>
      <c r="C20" s="342">
        <v>12</v>
      </c>
    </row>
    <row r="21" spans="2:3">
      <c r="B21" s="90" t="s">
        <v>137</v>
      </c>
      <c r="C21" s="342">
        <v>11</v>
      </c>
    </row>
    <row r="22" spans="2:3">
      <c r="B22" s="90" t="s">
        <v>138</v>
      </c>
      <c r="C22" s="342">
        <v>9</v>
      </c>
    </row>
    <row r="23" spans="2:3">
      <c r="B23" s="90" t="s">
        <v>139</v>
      </c>
      <c r="C23" s="342">
        <v>11</v>
      </c>
    </row>
    <row r="24" spans="2:3">
      <c r="B24" s="90" t="s">
        <v>140</v>
      </c>
      <c r="C24" s="342">
        <v>13</v>
      </c>
    </row>
    <row r="25" spans="2:3">
      <c r="B25" s="90" t="s">
        <v>141</v>
      </c>
      <c r="C25" s="342">
        <v>12</v>
      </c>
    </row>
    <row r="26" spans="2:3">
      <c r="B26" s="90" t="s">
        <v>142</v>
      </c>
      <c r="C26" s="342">
        <v>12</v>
      </c>
    </row>
    <row r="27" spans="2:3">
      <c r="B27" s="90" t="s">
        <v>143</v>
      </c>
      <c r="C27" s="342">
        <v>12</v>
      </c>
    </row>
    <row r="28" spans="2:3">
      <c r="B28" s="90" t="s">
        <v>144</v>
      </c>
      <c r="C28" s="342">
        <v>13</v>
      </c>
    </row>
    <row r="29" spans="2:3">
      <c r="B29" s="90" t="s">
        <v>145</v>
      </c>
      <c r="C29" s="342">
        <v>12</v>
      </c>
    </row>
    <row r="30" spans="2:3">
      <c r="B30" s="90" t="s">
        <v>146</v>
      </c>
      <c r="C30" s="342">
        <v>14</v>
      </c>
    </row>
    <row r="31" spans="2:3">
      <c r="B31" s="90" t="s">
        <v>147</v>
      </c>
      <c r="C31" s="342">
        <v>13</v>
      </c>
    </row>
    <row r="32" spans="2:3">
      <c r="B32" s="90" t="s">
        <v>148</v>
      </c>
      <c r="C32" s="342">
        <v>13</v>
      </c>
    </row>
    <row r="33" spans="2:11">
      <c r="B33" s="90" t="s">
        <v>125</v>
      </c>
      <c r="C33" s="342">
        <v>12</v>
      </c>
    </row>
    <row r="34" spans="2:11">
      <c r="B34" s="90" t="s">
        <v>116</v>
      </c>
      <c r="C34" s="342">
        <v>10</v>
      </c>
    </row>
    <row r="35" spans="2:11">
      <c r="B35" s="90" t="s">
        <v>104</v>
      </c>
      <c r="C35" s="342">
        <v>10</v>
      </c>
    </row>
    <row r="36" spans="2:11">
      <c r="B36" s="90" t="s">
        <v>95</v>
      </c>
      <c r="C36" s="342">
        <v>12</v>
      </c>
    </row>
    <row r="37" spans="2:11">
      <c r="B37" s="90" t="s">
        <v>85</v>
      </c>
      <c r="C37" s="342">
        <v>14</v>
      </c>
    </row>
    <row r="38" spans="2:11">
      <c r="B38" s="90" t="s">
        <v>66</v>
      </c>
      <c r="C38" s="342">
        <v>11</v>
      </c>
    </row>
    <row r="39" spans="2:11">
      <c r="B39" s="90" t="s">
        <v>65</v>
      </c>
      <c r="C39" s="342">
        <v>9</v>
      </c>
    </row>
    <row r="40" spans="2:11">
      <c r="B40" s="90" t="s">
        <v>60</v>
      </c>
      <c r="C40" s="342">
        <v>12</v>
      </c>
    </row>
    <row r="41" spans="2:11">
      <c r="B41" s="90" t="s">
        <v>35</v>
      </c>
      <c r="C41" s="342">
        <v>11</v>
      </c>
    </row>
    <row r="42" spans="2:11">
      <c r="B42" s="90" t="s">
        <v>11</v>
      </c>
      <c r="C42" s="342">
        <v>11</v>
      </c>
    </row>
    <row r="43" spans="2:11" ht="15.95" customHeight="1">
      <c r="B43" s="90" t="s">
        <v>198</v>
      </c>
      <c r="C43" s="342">
        <v>12</v>
      </c>
    </row>
    <row r="44" spans="2:11">
      <c r="B44" s="90" t="s">
        <v>184</v>
      </c>
      <c r="C44" s="342">
        <v>12</v>
      </c>
    </row>
    <row r="45" spans="2:11">
      <c r="B45" s="298" t="s">
        <v>563</v>
      </c>
      <c r="C45" s="343">
        <v>14</v>
      </c>
      <c r="E45" s="1701" t="s">
        <v>2610</v>
      </c>
      <c r="F45" s="1701"/>
      <c r="G45" s="1701"/>
      <c r="H45" s="1701"/>
      <c r="I45" s="1701"/>
      <c r="J45" s="1701"/>
      <c r="K45" s="1701"/>
    </row>
    <row r="46" spans="2:11">
      <c r="B46" s="163" t="s">
        <v>1742</v>
      </c>
      <c r="C46" s="8">
        <f>COUNTIF(Logs!$C$655:$N$664, C9)</f>
        <v>13</v>
      </c>
      <c r="E46" s="1701"/>
      <c r="F46" s="1701"/>
      <c r="G46" s="1701"/>
      <c r="H46" s="1701"/>
      <c r="I46" s="1701"/>
      <c r="J46" s="1701"/>
      <c r="K46" s="1701"/>
    </row>
    <row r="47" spans="2:11">
      <c r="B47" s="163" t="s">
        <v>2056</v>
      </c>
      <c r="C47" s="8">
        <f>COUNTIF(Logs!$C$671:$N$681, C9)</f>
        <v>13</v>
      </c>
    </row>
    <row r="48" spans="2:11">
      <c r="B48" s="336" t="s">
        <v>182</v>
      </c>
      <c r="C48" s="342">
        <f>SUM(C10:C47)</f>
        <v>452</v>
      </c>
    </row>
    <row r="49" spans="2:30">
      <c r="B49" s="163" t="s">
        <v>333</v>
      </c>
      <c r="C49" s="344">
        <f>AVERAGE(C10:C47)</f>
        <v>11.894736842105264</v>
      </c>
    </row>
    <row r="50" spans="2:30" ht="31.5">
      <c r="B50" s="436" t="s">
        <v>1939</v>
      </c>
      <c r="C50" s="438">
        <f>STDEV(C10:C47)</f>
        <v>1.1806886145601307</v>
      </c>
    </row>
    <row r="51" spans="2:30">
      <c r="B51" s="163" t="s">
        <v>1276</v>
      </c>
      <c r="C51" s="8">
        <f>MAX(C10:C47)</f>
        <v>14</v>
      </c>
    </row>
    <row r="52" spans="2:30">
      <c r="B52" s="163" t="s">
        <v>1530</v>
      </c>
      <c r="C52" s="8">
        <f>MIN(C10:C47)</f>
        <v>9</v>
      </c>
    </row>
    <row r="53" spans="2:30">
      <c r="B53" s="163" t="s">
        <v>1277</v>
      </c>
      <c r="C53" s="8">
        <f>MODE(C10:C47)</f>
        <v>12</v>
      </c>
    </row>
    <row r="54" spans="2:30" ht="32.1" customHeight="1"/>
    <row r="56" spans="2:30" ht="18.75">
      <c r="B56" s="40" t="s">
        <v>2611</v>
      </c>
    </row>
    <row r="57" spans="2:30">
      <c r="B57" t="s">
        <v>2620</v>
      </c>
    </row>
    <row r="58" spans="2:30" ht="18.75">
      <c r="B58" s="35" t="s">
        <v>2710</v>
      </c>
      <c r="Q58" s="69" t="s">
        <v>2615</v>
      </c>
    </row>
    <row r="59" spans="2:30" ht="16.5" thickBot="1">
      <c r="B59" s="973" t="s">
        <v>329</v>
      </c>
      <c r="C59" s="973" t="s">
        <v>1</v>
      </c>
      <c r="D59" s="973" t="s">
        <v>2</v>
      </c>
      <c r="E59" s="973" t="s">
        <v>3</v>
      </c>
      <c r="F59" s="973" t="s">
        <v>4</v>
      </c>
      <c r="G59" s="973" t="s">
        <v>5</v>
      </c>
      <c r="H59" s="973" t="s">
        <v>6</v>
      </c>
      <c r="I59" s="973" t="s">
        <v>7</v>
      </c>
      <c r="J59" s="973" t="s">
        <v>8</v>
      </c>
      <c r="K59" s="973" t="s">
        <v>9</v>
      </c>
      <c r="L59" s="973" t="s">
        <v>10</v>
      </c>
      <c r="M59" s="973" t="s">
        <v>36</v>
      </c>
      <c r="N59" s="973" t="s">
        <v>37</v>
      </c>
      <c r="O59" s="973" t="s">
        <v>344</v>
      </c>
      <c r="Q59" s="902" t="s">
        <v>1678</v>
      </c>
      <c r="R59" s="666" t="s">
        <v>1</v>
      </c>
      <c r="S59" s="666" t="s">
        <v>2</v>
      </c>
      <c r="T59" s="666" t="s">
        <v>3</v>
      </c>
      <c r="U59" s="666" t="s">
        <v>4</v>
      </c>
      <c r="V59" s="666" t="s">
        <v>5</v>
      </c>
      <c r="W59" s="666" t="s">
        <v>6</v>
      </c>
      <c r="X59" s="666" t="s">
        <v>7</v>
      </c>
      <c r="Y59" s="666" t="s">
        <v>8</v>
      </c>
      <c r="Z59" s="666" t="s">
        <v>9</v>
      </c>
      <c r="AA59" s="666" t="s">
        <v>10</v>
      </c>
      <c r="AB59" s="666" t="s">
        <v>36</v>
      </c>
      <c r="AC59" s="666" t="s">
        <v>37</v>
      </c>
      <c r="AD59" s="666" t="s">
        <v>344</v>
      </c>
    </row>
    <row r="60" spans="2:30">
      <c r="B60" s="1710" t="s">
        <v>126</v>
      </c>
      <c r="D60" s="964" t="s">
        <v>44</v>
      </c>
      <c r="E60" s="981" t="s">
        <v>1271</v>
      </c>
      <c r="F60" s="964" t="s">
        <v>44</v>
      </c>
      <c r="G60" s="967" t="s">
        <v>27</v>
      </c>
      <c r="H60" s="955" t="s">
        <v>234</v>
      </c>
      <c r="I60" s="964" t="s">
        <v>44</v>
      </c>
      <c r="J60" s="964" t="s">
        <v>44</v>
      </c>
      <c r="K60" s="967" t="s">
        <v>27</v>
      </c>
      <c r="L60" s="981" t="s">
        <v>1271</v>
      </c>
      <c r="M60" s="982" t="s">
        <v>29</v>
      </c>
      <c r="N60" s="981" t="s">
        <v>1271</v>
      </c>
      <c r="O60" s="983" t="s">
        <v>124</v>
      </c>
      <c r="Q60" s="858" t="s">
        <v>185</v>
      </c>
      <c r="R60" s="560" t="str">
        <f t="shared" ref="R60" si="0">IF(COUNTIF(C$60:C$241,$Q60)/COUNTIF(C$60:C$241, "*Challenge*")&gt;0, COUNTIF(C$60:C$241,$Q60)/COUNTIF(C$60:C$241, "*Challenge*"), "")</f>
        <v/>
      </c>
      <c r="S60" s="560" t="str">
        <f t="shared" ref="S60" si="1">IF(COUNTIF(D$60:D$241,$Q60)/COUNTIF(D$60:D$241, "*Challenge*")&gt;0, COUNTIF(D$60:D$241,$Q60)/COUNTIF(D$60:D$241, "*Challenge*"), "")</f>
        <v/>
      </c>
      <c r="T60" s="560" t="str">
        <f t="shared" ref="T60" si="2">IF(COUNTIF(E$60:E$241,$Q60)/COUNTIF(E$60:E$241, "*Challenge*")&gt;0, COUNTIF(E$60:E$241,$Q60)/COUNTIF(E$60:E$241, "*Challenge*"), "")</f>
        <v/>
      </c>
      <c r="U60" s="560">
        <f t="shared" ref="U60" si="3">IF(COUNTIF(F$60:F$241,$Q60)/COUNTIF(F$60:F$241, "*Challenge*")&gt;0, COUNTIF(F$60:F$241,$Q60)/COUNTIF(F$60:F$241, "*Challenge*"), "")</f>
        <v>2.7027027027027029E-2</v>
      </c>
      <c r="V60" s="560">
        <f t="shared" ref="V60" si="4">IF(COUNTIF(G$60:G$241,$Q60)/COUNTIF(G$60:G$241, "*Challenge*")&gt;0, COUNTIF(G$60:G$241,$Q60)/COUNTIF(G$60:G$241, "*Challenge*"), "")</f>
        <v>5.2631578947368418E-2</v>
      </c>
      <c r="W60" s="560">
        <f t="shared" ref="W60" si="5">IF(COUNTIF(H$60:H$241,$Q60)/COUNTIF(H$60:H$241, "*Challenge*")&gt;0, COUNTIF(H$60:H$241,$Q60)/COUNTIF(H$60:H$241, "*Challenge*"), "")</f>
        <v>2.3809523809523808E-2</v>
      </c>
      <c r="X60" s="560" t="str">
        <f t="shared" ref="X60" si="6">IF(COUNTIF(I$60:I$241,$Q60)/COUNTIF(I$60:I$241, "*Challenge*")&gt;0, COUNTIF(I$60:I$241,$Q60)/COUNTIF(I$60:I$241, "*Challenge*"), "")</f>
        <v/>
      </c>
      <c r="Y60" s="560" t="str">
        <f t="shared" ref="Y60" si="7">IF(COUNTIF(J$60:J$241,$Q60)/COUNTIF(J$60:J$241, "*Challenge*")&gt;0, COUNTIF(J$60:J$241,$Q60)/COUNTIF(J$60:J$241, "*Challenge*"), "")</f>
        <v/>
      </c>
      <c r="Z60" s="560" t="str">
        <f t="shared" ref="Z60" si="8">IF(COUNTIF(K$60:K$241,$Q60)/COUNTIF(K$60:K$241, "*Challenge*")&gt;0, COUNTIF(K$60:K$241,$Q60)/COUNTIF(K$60:K$241, "*Challenge*"), "")</f>
        <v/>
      </c>
      <c r="AA60" s="560" t="str">
        <f t="shared" ref="AA60" si="9">IF(COUNTIF(L$60:L$241,$Q60)/COUNTIF(L$60:L$241, "*Challenge*")&gt;0, COUNTIF(L$60:L$241,$Q60)/COUNTIF(L$60:L$241, "*Challenge*"), "")</f>
        <v/>
      </c>
      <c r="AB60" s="560" t="str">
        <f t="shared" ref="AB60" si="10">IF(COUNTIF(M$60:M$241,$Q60)/COUNTIF(M$60:M$241, "*Challenge*")&gt;0, COUNTIF(M$60:M$241,$Q60)/COUNTIF(M$60:M$241, "*Challenge*"), "")</f>
        <v/>
      </c>
      <c r="AC60" s="560" t="str">
        <f t="shared" ref="AC60" si="11">IF(COUNTIF(N$60:N$241,$Q60)/COUNTIF(N$60:N$241, "*Challenge*")&gt;0, COUNTIF(N$60:N$241,$Q60)/COUNTIF(N$60:N$241, "*Challenge*"), "")</f>
        <v/>
      </c>
      <c r="AD60" s="560" t="str">
        <f t="shared" ref="AD60" si="12">IF(COUNTIF(O$60:O$241,$Q60)/COUNTIF(O$60:O$241, "*Challenge*")&gt;0, COUNTIF(O$60:O$241,$Q60)/COUNTIF(O$60:O$241, "*Challenge*"), "")</f>
        <v/>
      </c>
    </row>
    <row r="61" spans="2:30">
      <c r="B61" s="1710"/>
      <c r="D61" s="981" t="s">
        <v>1271</v>
      </c>
      <c r="H61" s="984" t="s">
        <v>24</v>
      </c>
      <c r="I61" s="422"/>
      <c r="L61" s="962" t="s">
        <v>216</v>
      </c>
      <c r="Q61" s="858" t="s">
        <v>186</v>
      </c>
      <c r="R61" s="560">
        <f t="shared" ref="R61:R72" si="13">IF(COUNTIF(C$60:C$241,$Q61)/COUNTIF(C$60:C$241, "*Challenge*")&gt;0, COUNTIF(C$60:C$241,$Q61)/COUNTIF(C$60:C$241, "*Challenge*"), "")</f>
        <v>0.14814814814814814</v>
      </c>
      <c r="S61" s="560">
        <f t="shared" ref="S61:S72" si="14">IF(COUNTIF(D$60:D$241,$Q61)/COUNTIF(D$60:D$241, "*Challenge*")&gt;0, COUNTIF(D$60:D$241,$Q61)/COUNTIF(D$60:D$241, "*Challenge*"), "")</f>
        <v>0.33333333333333331</v>
      </c>
      <c r="T61" s="560">
        <f t="shared" ref="T61:T72" si="15">IF(COUNTIF(E$60:E$241,$Q61)/COUNTIF(E$60:E$241, "*Challenge*")&gt;0, COUNTIF(E$60:E$241,$Q61)/COUNTIF(E$60:E$241, "*Challenge*"), "")</f>
        <v>0.16666666666666666</v>
      </c>
      <c r="U61" s="560">
        <f t="shared" ref="U61:U72" si="16">IF(COUNTIF(F$60:F$241,$Q61)/COUNTIF(F$60:F$241, "*Challenge*")&gt;0, COUNTIF(F$60:F$241,$Q61)/COUNTIF(F$60:F$241, "*Challenge*"), "")</f>
        <v>0.13513513513513514</v>
      </c>
      <c r="V61" s="560">
        <f t="shared" ref="V61:V72" si="17">IF(COUNTIF(G$60:G$241,$Q61)/COUNTIF(G$60:G$241, "*Challenge*")&gt;0, COUNTIF(G$60:G$241,$Q61)/COUNTIF(G$60:G$241, "*Challenge*"), "")</f>
        <v>0.13157894736842105</v>
      </c>
      <c r="W61" s="560">
        <f t="shared" ref="W61:W72" si="18">IF(COUNTIF(H$60:H$241,$Q61)/COUNTIF(H$60:H$241, "*Challenge*")&gt;0, COUNTIF(H$60:H$241,$Q61)/COUNTIF(H$60:H$241, "*Challenge*"), "")</f>
        <v>0.19047619047619047</v>
      </c>
      <c r="X61" s="560">
        <f t="shared" ref="X61:X72" si="19">IF(COUNTIF(I$60:I$241,$Q61)/COUNTIF(I$60:I$241, "*Challenge*")&gt;0, COUNTIF(I$60:I$241,$Q61)/COUNTIF(I$60:I$241, "*Challenge*"), "")</f>
        <v>0.2</v>
      </c>
      <c r="Y61" s="560">
        <f t="shared" ref="Y61:Y72" si="20">IF(COUNTIF(J$60:J$241,$Q61)/COUNTIF(J$60:J$241, "*Challenge*")&gt;0, COUNTIF(J$60:J$241,$Q61)/COUNTIF(J$60:J$241, "*Challenge*"), "")</f>
        <v>0.17499999999999999</v>
      </c>
      <c r="Z61" s="560">
        <f t="shared" ref="Z61:Z72" si="21">IF(COUNTIF(K$60:K$241,$Q61)/COUNTIF(K$60:K$241, "*Challenge*")&gt;0, COUNTIF(K$60:K$241,$Q61)/COUNTIF(K$60:K$241, "*Challenge*"), "")</f>
        <v>0.2</v>
      </c>
      <c r="AA61" s="560">
        <f t="shared" ref="AA61:AA72" si="22">IF(COUNTIF(L$60:L$241,$Q61)/COUNTIF(L$60:L$241, "*Challenge*")&gt;0, COUNTIF(L$60:L$241,$Q61)/COUNTIF(L$60:L$241, "*Challenge*"), "")</f>
        <v>0.15789473684210525</v>
      </c>
      <c r="AB61" s="560">
        <f t="shared" ref="AB61:AB72" si="23">IF(COUNTIF(M$60:M$241,$Q61)/COUNTIF(M$60:M$241, "*Challenge*")&gt;0, COUNTIF(M$60:M$241,$Q61)/COUNTIF(M$60:M$241, "*Challenge*"), "")</f>
        <v>0.125</v>
      </c>
      <c r="AC61" s="560">
        <f t="shared" ref="AC61:AC72" si="24">IF(COUNTIF(N$60:N$241,$Q61)/COUNTIF(N$60:N$241, "*Challenge*")&gt;0, COUNTIF(N$60:N$241,$Q61)/COUNTIF(N$60:N$241, "*Challenge*"), "")</f>
        <v>0.25</v>
      </c>
      <c r="AD61" s="560" t="str">
        <f t="shared" ref="AD61:AD72" si="25">IF(COUNTIF(O$60:O$241,$Q61)/COUNTIF(O$60:O$241, "*Challenge*")&gt;0, COUNTIF(O$60:O$241,$Q61)/COUNTIF(O$60:O$241, "*Challenge*"), "")</f>
        <v/>
      </c>
    </row>
    <row r="62" spans="2:30" ht="16.5" thickBot="1">
      <c r="B62" s="1723"/>
      <c r="C62" s="985"/>
      <c r="D62" s="985" t="s">
        <v>189</v>
      </c>
      <c r="E62" s="985" t="s">
        <v>189</v>
      </c>
      <c r="F62" s="985" t="s">
        <v>188</v>
      </c>
      <c r="G62" s="985" t="s">
        <v>188</v>
      </c>
      <c r="H62" s="985" t="s">
        <v>190</v>
      </c>
      <c r="I62" s="985" t="s">
        <v>188</v>
      </c>
      <c r="J62" s="985" t="s">
        <v>190</v>
      </c>
      <c r="K62" s="985" t="s">
        <v>188</v>
      </c>
      <c r="L62" s="985" t="s">
        <v>188</v>
      </c>
      <c r="M62" s="986" t="s">
        <v>189</v>
      </c>
      <c r="N62" s="985" t="s">
        <v>191</v>
      </c>
      <c r="O62" s="985" t="s">
        <v>187</v>
      </c>
      <c r="Q62" s="858" t="s">
        <v>187</v>
      </c>
      <c r="R62" s="560">
        <f t="shared" si="13"/>
        <v>0.29629629629629628</v>
      </c>
      <c r="S62" s="560">
        <f t="shared" si="14"/>
        <v>8.3333333333333329E-2</v>
      </c>
      <c r="T62" s="560">
        <f t="shared" si="15"/>
        <v>0.27777777777777779</v>
      </c>
      <c r="U62" s="560">
        <f t="shared" si="16"/>
        <v>0.16216216216216217</v>
      </c>
      <c r="V62" s="560">
        <f t="shared" si="17"/>
        <v>0.15789473684210525</v>
      </c>
      <c r="W62" s="560">
        <f t="shared" si="18"/>
        <v>0.23809523809523808</v>
      </c>
      <c r="X62" s="560">
        <f t="shared" si="19"/>
        <v>0.17142857142857143</v>
      </c>
      <c r="Y62" s="560">
        <f t="shared" si="20"/>
        <v>0.17499999999999999</v>
      </c>
      <c r="Z62" s="560">
        <f t="shared" si="21"/>
        <v>0.1</v>
      </c>
      <c r="AA62" s="560">
        <f t="shared" si="22"/>
        <v>0.28947368421052633</v>
      </c>
      <c r="AB62" s="560">
        <f t="shared" si="23"/>
        <v>0.25</v>
      </c>
      <c r="AC62" s="560">
        <f t="shared" si="24"/>
        <v>0.1388888888888889</v>
      </c>
      <c r="AD62" s="560">
        <f t="shared" si="25"/>
        <v>0.16666666666666666</v>
      </c>
    </row>
    <row r="63" spans="2:30" ht="16.5" thickTop="1">
      <c r="B63" s="1721" t="s">
        <v>127</v>
      </c>
      <c r="D63" s="964" t="s">
        <v>44</v>
      </c>
      <c r="E63" s="964" t="s">
        <v>44</v>
      </c>
      <c r="G63" s="964" t="s">
        <v>44</v>
      </c>
      <c r="H63" s="967" t="s">
        <v>27</v>
      </c>
      <c r="I63" s="974" t="s">
        <v>1269</v>
      </c>
      <c r="J63" s="956" t="s">
        <v>109</v>
      </c>
      <c r="K63" s="974" t="s">
        <v>1269</v>
      </c>
      <c r="L63" s="974" t="s">
        <v>1269</v>
      </c>
      <c r="M63" s="984" t="s">
        <v>24</v>
      </c>
      <c r="N63" s="962" t="s">
        <v>216</v>
      </c>
      <c r="O63" s="981" t="s">
        <v>1271</v>
      </c>
      <c r="Q63" s="858" t="s">
        <v>188</v>
      </c>
      <c r="R63" s="560">
        <f t="shared" si="13"/>
        <v>0.25925925925925924</v>
      </c>
      <c r="S63" s="560">
        <f t="shared" si="14"/>
        <v>0.30555555555555558</v>
      </c>
      <c r="T63" s="560">
        <f t="shared" si="15"/>
        <v>0.1388888888888889</v>
      </c>
      <c r="U63" s="560">
        <f t="shared" si="16"/>
        <v>0.35135135135135137</v>
      </c>
      <c r="V63" s="560">
        <f t="shared" si="17"/>
        <v>0.13157894736842105</v>
      </c>
      <c r="W63" s="560">
        <f t="shared" si="18"/>
        <v>0.16666666666666666</v>
      </c>
      <c r="X63" s="560">
        <f t="shared" si="19"/>
        <v>0.25714285714285712</v>
      </c>
      <c r="Y63" s="560">
        <f t="shared" si="20"/>
        <v>0.05</v>
      </c>
      <c r="Z63" s="560">
        <f t="shared" si="21"/>
        <v>7.4999999999999997E-2</v>
      </c>
      <c r="AA63" s="560">
        <f t="shared" si="22"/>
        <v>0.23684210526315788</v>
      </c>
      <c r="AB63" s="560">
        <f t="shared" si="23"/>
        <v>0.15</v>
      </c>
      <c r="AC63" s="560">
        <f t="shared" si="24"/>
        <v>0.22222222222222221</v>
      </c>
      <c r="AD63" s="560" t="str">
        <f t="shared" si="25"/>
        <v/>
      </c>
    </row>
    <row r="64" spans="2:30">
      <c r="B64" s="1710"/>
      <c r="E64" s="982" t="s">
        <v>29</v>
      </c>
      <c r="L64" s="981" t="s">
        <v>1271</v>
      </c>
      <c r="M64" s="58"/>
      <c r="Q64" s="858" t="s">
        <v>189</v>
      </c>
      <c r="R64" s="560">
        <f t="shared" si="13"/>
        <v>0.18518518518518517</v>
      </c>
      <c r="S64" s="560">
        <f t="shared" si="14"/>
        <v>0.16666666666666666</v>
      </c>
      <c r="T64" s="560">
        <f t="shared" si="15"/>
        <v>0.27777777777777779</v>
      </c>
      <c r="U64" s="560">
        <f t="shared" si="16"/>
        <v>0.1891891891891892</v>
      </c>
      <c r="V64" s="560">
        <f t="shared" si="17"/>
        <v>0.31578947368421051</v>
      </c>
      <c r="W64" s="560">
        <f t="shared" si="18"/>
        <v>0.16666666666666666</v>
      </c>
      <c r="X64" s="560">
        <f t="shared" si="19"/>
        <v>0.17142857142857143</v>
      </c>
      <c r="Y64" s="560">
        <f t="shared" si="20"/>
        <v>0.25</v>
      </c>
      <c r="Z64" s="560">
        <f t="shared" si="21"/>
        <v>0.15</v>
      </c>
      <c r="AA64" s="560">
        <f t="shared" si="22"/>
        <v>0.15789473684210525</v>
      </c>
      <c r="AB64" s="560">
        <f t="shared" si="23"/>
        <v>0.25</v>
      </c>
      <c r="AC64" s="560">
        <f t="shared" si="24"/>
        <v>8.3333333333333329E-2</v>
      </c>
      <c r="AD64" s="560">
        <f t="shared" si="25"/>
        <v>0.16666666666666666</v>
      </c>
    </row>
    <row r="65" spans="2:30" ht="16.5" thickBot="1">
      <c r="B65" s="1723"/>
      <c r="C65" s="985"/>
      <c r="D65" s="985" t="s">
        <v>191</v>
      </c>
      <c r="E65" s="985" t="s">
        <v>190</v>
      </c>
      <c r="F65" s="985" t="s">
        <v>193</v>
      </c>
      <c r="G65" s="985" t="s">
        <v>188</v>
      </c>
      <c r="H65" s="985" t="s">
        <v>190</v>
      </c>
      <c r="I65" s="985" t="s">
        <v>191</v>
      </c>
      <c r="J65" s="985" t="s">
        <v>190</v>
      </c>
      <c r="K65" s="985" t="s">
        <v>190</v>
      </c>
      <c r="L65" s="985" t="s">
        <v>190</v>
      </c>
      <c r="M65" s="985" t="s">
        <v>190</v>
      </c>
      <c r="N65" s="985" t="s">
        <v>190</v>
      </c>
      <c r="O65" s="985" t="s">
        <v>191</v>
      </c>
      <c r="Q65" s="858" t="s">
        <v>190</v>
      </c>
      <c r="R65" s="560">
        <f t="shared" si="13"/>
        <v>3.7037037037037035E-2</v>
      </c>
      <c r="S65" s="560">
        <f t="shared" si="14"/>
        <v>8.3333333333333329E-2</v>
      </c>
      <c r="T65" s="560">
        <f t="shared" si="15"/>
        <v>0.1388888888888889</v>
      </c>
      <c r="U65" s="560">
        <f t="shared" si="16"/>
        <v>8.1081081081081086E-2</v>
      </c>
      <c r="V65" s="560">
        <f t="shared" si="17"/>
        <v>0.21052631578947367</v>
      </c>
      <c r="W65" s="560">
        <f t="shared" si="18"/>
        <v>0.14285714285714285</v>
      </c>
      <c r="X65" s="560">
        <f t="shared" si="19"/>
        <v>0.11428571428571428</v>
      </c>
      <c r="Y65" s="560">
        <f t="shared" si="20"/>
        <v>0.17499999999999999</v>
      </c>
      <c r="Z65" s="560">
        <f t="shared" si="21"/>
        <v>0.25</v>
      </c>
      <c r="AA65" s="560">
        <f t="shared" si="22"/>
        <v>0.10526315789473684</v>
      </c>
      <c r="AB65" s="560">
        <f t="shared" si="23"/>
        <v>0.125</v>
      </c>
      <c r="AC65" s="560">
        <f t="shared" si="24"/>
        <v>0.1388888888888889</v>
      </c>
      <c r="AD65" s="560">
        <f t="shared" si="25"/>
        <v>0.16666666666666666</v>
      </c>
    </row>
    <row r="66" spans="2:30" ht="16.5" thickTop="1">
      <c r="B66" s="1721" t="s">
        <v>128</v>
      </c>
      <c r="D66" s="964" t="s">
        <v>44</v>
      </c>
      <c r="E66" s="974" t="s">
        <v>1269</v>
      </c>
      <c r="F66" s="974" t="s">
        <v>1269</v>
      </c>
      <c r="G66" s="964" t="s">
        <v>44</v>
      </c>
      <c r="H66" s="961" t="s">
        <v>339</v>
      </c>
      <c r="I66" s="968" t="s">
        <v>26</v>
      </c>
      <c r="J66" s="974" t="s">
        <v>1269</v>
      </c>
      <c r="K66" s="189" t="s">
        <v>47</v>
      </c>
      <c r="L66" s="981" t="s">
        <v>1271</v>
      </c>
      <c r="M66" s="979" t="s">
        <v>120</v>
      </c>
      <c r="N66" s="981" t="s">
        <v>1271</v>
      </c>
      <c r="O66" s="980" t="s">
        <v>1272</v>
      </c>
      <c r="Q66" s="858" t="s">
        <v>191</v>
      </c>
      <c r="R66" s="560">
        <f t="shared" si="13"/>
        <v>3.7037037037037035E-2</v>
      </c>
      <c r="S66" s="560">
        <f t="shared" si="14"/>
        <v>2.7777777777777776E-2</v>
      </c>
      <c r="T66" s="560" t="str">
        <f t="shared" si="15"/>
        <v/>
      </c>
      <c r="U66" s="560">
        <f t="shared" si="16"/>
        <v>2.7027027027027029E-2</v>
      </c>
      <c r="V66" s="560" t="str">
        <f t="shared" si="17"/>
        <v/>
      </c>
      <c r="W66" s="560">
        <f t="shared" si="18"/>
        <v>4.7619047619047616E-2</v>
      </c>
      <c r="X66" s="560">
        <f t="shared" si="19"/>
        <v>5.7142857142857141E-2</v>
      </c>
      <c r="Y66" s="560">
        <f t="shared" si="20"/>
        <v>7.4999999999999997E-2</v>
      </c>
      <c r="Z66" s="560">
        <f t="shared" si="21"/>
        <v>0.125</v>
      </c>
      <c r="AA66" s="560" t="str">
        <f t="shared" si="22"/>
        <v/>
      </c>
      <c r="AB66" s="560">
        <f t="shared" si="23"/>
        <v>0.1</v>
      </c>
      <c r="AC66" s="560">
        <f t="shared" si="24"/>
        <v>0.1111111111111111</v>
      </c>
      <c r="AD66" s="560">
        <f t="shared" si="25"/>
        <v>0.33333333333333331</v>
      </c>
    </row>
    <row r="67" spans="2:30">
      <c r="B67" s="1710"/>
      <c r="D67" s="967" t="s">
        <v>27</v>
      </c>
      <c r="E67" s="981" t="s">
        <v>1271</v>
      </c>
      <c r="M67" s="981" t="s">
        <v>1271</v>
      </c>
      <c r="Q67" s="858" t="s">
        <v>192</v>
      </c>
      <c r="R67" s="560" t="str">
        <f t="shared" si="13"/>
        <v/>
      </c>
      <c r="S67" s="560" t="str">
        <f t="shared" si="14"/>
        <v/>
      </c>
      <c r="T67" s="560" t="str">
        <f t="shared" si="15"/>
        <v/>
      </c>
      <c r="U67" s="560" t="str">
        <f t="shared" si="16"/>
        <v/>
      </c>
      <c r="V67" s="560" t="str">
        <f t="shared" si="17"/>
        <v/>
      </c>
      <c r="W67" s="560" t="str">
        <f t="shared" si="18"/>
        <v/>
      </c>
      <c r="X67" s="560">
        <f t="shared" si="19"/>
        <v>2.8571428571428571E-2</v>
      </c>
      <c r="Y67" s="560">
        <f t="shared" si="20"/>
        <v>0.05</v>
      </c>
      <c r="Z67" s="560">
        <f t="shared" si="21"/>
        <v>7.4999999999999997E-2</v>
      </c>
      <c r="AA67" s="560">
        <f t="shared" si="22"/>
        <v>5.2631578947368418E-2</v>
      </c>
      <c r="AB67" s="560" t="str">
        <f t="shared" si="23"/>
        <v/>
      </c>
      <c r="AC67" s="560">
        <f t="shared" si="24"/>
        <v>2.7777777777777776E-2</v>
      </c>
      <c r="AD67" s="560">
        <f t="shared" si="25"/>
        <v>0.16666666666666666</v>
      </c>
    </row>
    <row r="68" spans="2:30" ht="16.5" thickBot="1">
      <c r="B68" s="1723"/>
      <c r="C68" s="985"/>
      <c r="D68" s="985" t="s">
        <v>190</v>
      </c>
      <c r="E68" s="985" t="s">
        <v>189</v>
      </c>
      <c r="F68" s="985" t="s">
        <v>189</v>
      </c>
      <c r="G68" s="985" t="s">
        <v>190</v>
      </c>
      <c r="H68" s="985" t="s">
        <v>190</v>
      </c>
      <c r="I68" s="985" t="s">
        <v>190</v>
      </c>
      <c r="J68" s="985" t="s">
        <v>191</v>
      </c>
      <c r="K68" s="985" t="s">
        <v>190</v>
      </c>
      <c r="L68" s="985" t="s">
        <v>192</v>
      </c>
      <c r="M68" s="985" t="s">
        <v>189</v>
      </c>
      <c r="N68" s="985" t="s">
        <v>189</v>
      </c>
      <c r="O68" s="985" t="s">
        <v>192</v>
      </c>
      <c r="Q68" s="858" t="s">
        <v>193</v>
      </c>
      <c r="R68" s="560">
        <f t="shared" si="13"/>
        <v>3.7037037037037035E-2</v>
      </c>
      <c r="S68" s="560" t="str">
        <f t="shared" si="14"/>
        <v/>
      </c>
      <c r="T68" s="560" t="str">
        <f t="shared" si="15"/>
        <v/>
      </c>
      <c r="U68" s="560">
        <f t="shared" si="16"/>
        <v>2.7027027027027029E-2</v>
      </c>
      <c r="V68" s="560" t="str">
        <f t="shared" si="17"/>
        <v/>
      </c>
      <c r="W68" s="560" t="str">
        <f t="shared" si="18"/>
        <v/>
      </c>
      <c r="X68" s="560" t="str">
        <f t="shared" si="19"/>
        <v/>
      </c>
      <c r="Y68" s="560">
        <f t="shared" si="20"/>
        <v>2.5000000000000001E-2</v>
      </c>
      <c r="Z68" s="560" t="str">
        <f t="shared" si="21"/>
        <v/>
      </c>
      <c r="AA68" s="560" t="str">
        <f t="shared" si="22"/>
        <v/>
      </c>
      <c r="AB68" s="560" t="str">
        <f t="shared" si="23"/>
        <v/>
      </c>
      <c r="AC68" s="560" t="str">
        <f t="shared" si="24"/>
        <v/>
      </c>
      <c r="AD68" s="560" t="str">
        <f t="shared" si="25"/>
        <v/>
      </c>
    </row>
    <row r="69" spans="2:30" ht="16.5" thickTop="1">
      <c r="B69" s="1721" t="s">
        <v>129</v>
      </c>
      <c r="D69" s="964" t="s">
        <v>44</v>
      </c>
      <c r="E69" s="968" t="s">
        <v>26</v>
      </c>
      <c r="F69" s="189" t="s">
        <v>47</v>
      </c>
      <c r="G69" s="967" t="s">
        <v>27</v>
      </c>
      <c r="H69" s="964" t="s">
        <v>44</v>
      </c>
      <c r="I69" s="967" t="s">
        <v>27</v>
      </c>
      <c r="J69" s="981" t="s">
        <v>1271</v>
      </c>
      <c r="K69" s="981" t="s">
        <v>1271</v>
      </c>
      <c r="L69" s="962" t="s">
        <v>216</v>
      </c>
      <c r="M69" s="967" t="s">
        <v>27</v>
      </c>
      <c r="N69" s="984" t="s">
        <v>24</v>
      </c>
      <c r="O69" s="962" t="s">
        <v>216</v>
      </c>
      <c r="Q69" s="858" t="s">
        <v>194</v>
      </c>
      <c r="R69" s="560" t="str">
        <f t="shared" si="13"/>
        <v/>
      </c>
      <c r="S69" s="560" t="str">
        <f t="shared" si="14"/>
        <v/>
      </c>
      <c r="T69" s="560" t="str">
        <f t="shared" si="15"/>
        <v/>
      </c>
      <c r="U69" s="560" t="str">
        <f t="shared" si="16"/>
        <v/>
      </c>
      <c r="V69" s="560" t="str">
        <f t="shared" si="17"/>
        <v/>
      </c>
      <c r="W69" s="560" t="str">
        <f t="shared" si="18"/>
        <v/>
      </c>
      <c r="X69" s="560" t="str">
        <f t="shared" si="19"/>
        <v/>
      </c>
      <c r="Y69" s="560">
        <f t="shared" si="20"/>
        <v>2.5000000000000001E-2</v>
      </c>
      <c r="Z69" s="560">
        <f t="shared" si="21"/>
        <v>2.5000000000000001E-2</v>
      </c>
      <c r="AA69" s="560" t="str">
        <f t="shared" si="22"/>
        <v/>
      </c>
      <c r="AB69" s="560" t="str">
        <f t="shared" si="23"/>
        <v/>
      </c>
      <c r="AC69" s="560" t="str">
        <f t="shared" si="24"/>
        <v/>
      </c>
      <c r="AD69" s="560" t="str">
        <f t="shared" si="25"/>
        <v/>
      </c>
    </row>
    <row r="70" spans="2:30">
      <c r="B70" s="1710"/>
      <c r="D70" s="977" t="s">
        <v>1270</v>
      </c>
      <c r="F70" s="422"/>
      <c r="H70" s="981" t="s">
        <v>1271</v>
      </c>
      <c r="J70" s="974" t="s">
        <v>1269</v>
      </c>
      <c r="K70" s="968" t="s">
        <v>26</v>
      </c>
      <c r="Q70" s="858" t="s">
        <v>1637</v>
      </c>
      <c r="R70" s="560" t="str">
        <f t="shared" si="13"/>
        <v/>
      </c>
      <c r="S70" s="560" t="str">
        <f t="shared" si="14"/>
        <v/>
      </c>
      <c r="T70" s="560" t="str">
        <f t="shared" si="15"/>
        <v/>
      </c>
      <c r="U70" s="560" t="str">
        <f t="shared" si="16"/>
        <v/>
      </c>
      <c r="V70" s="560" t="str">
        <f t="shared" si="17"/>
        <v/>
      </c>
      <c r="W70" s="560" t="str">
        <f t="shared" si="18"/>
        <v/>
      </c>
      <c r="X70" s="560" t="str">
        <f t="shared" si="19"/>
        <v/>
      </c>
      <c r="Y70" s="560" t="str">
        <f t="shared" si="20"/>
        <v/>
      </c>
      <c r="Z70" s="560" t="str">
        <f t="shared" si="21"/>
        <v/>
      </c>
      <c r="AA70" s="560" t="str">
        <f t="shared" si="22"/>
        <v/>
      </c>
      <c r="AB70" s="560" t="str">
        <f t="shared" si="23"/>
        <v/>
      </c>
      <c r="AC70" s="560" t="str">
        <f t="shared" si="24"/>
        <v/>
      </c>
      <c r="AD70" s="560" t="str">
        <f t="shared" si="25"/>
        <v/>
      </c>
    </row>
    <row r="71" spans="2:30" ht="16.5" thickBot="1">
      <c r="B71" s="1723"/>
      <c r="C71" s="985"/>
      <c r="D71" s="985" t="s">
        <v>190</v>
      </c>
      <c r="E71" s="985" t="s">
        <v>190</v>
      </c>
      <c r="F71" s="985" t="s">
        <v>186</v>
      </c>
      <c r="G71" s="985" t="s">
        <v>190</v>
      </c>
      <c r="H71" s="985" t="s">
        <v>189</v>
      </c>
      <c r="I71" s="985" t="s">
        <v>188</v>
      </c>
      <c r="J71" s="985" t="s">
        <v>190</v>
      </c>
      <c r="K71" s="985" t="s">
        <v>190</v>
      </c>
      <c r="L71" s="985" t="s">
        <v>189</v>
      </c>
      <c r="M71" s="985" t="s">
        <v>190</v>
      </c>
      <c r="N71" s="985" t="s">
        <v>191</v>
      </c>
      <c r="O71" s="985" t="s">
        <v>189</v>
      </c>
      <c r="Q71" s="858" t="s">
        <v>1638</v>
      </c>
      <c r="R71" s="560" t="str">
        <f t="shared" si="13"/>
        <v/>
      </c>
      <c r="S71" s="560" t="str">
        <f t="shared" si="14"/>
        <v/>
      </c>
      <c r="T71" s="560" t="str">
        <f t="shared" si="15"/>
        <v/>
      </c>
      <c r="U71" s="560" t="str">
        <f t="shared" si="16"/>
        <v/>
      </c>
      <c r="V71" s="560" t="str">
        <f t="shared" si="17"/>
        <v/>
      </c>
      <c r="W71" s="560">
        <f t="shared" si="18"/>
        <v>2.3809523809523808E-2</v>
      </c>
      <c r="X71" s="560" t="str">
        <f t="shared" si="19"/>
        <v/>
      </c>
      <c r="Y71" s="560" t="str">
        <f t="shared" si="20"/>
        <v/>
      </c>
      <c r="Z71" s="560" t="str">
        <f t="shared" si="21"/>
        <v/>
      </c>
      <c r="AA71" s="560" t="str">
        <f t="shared" si="22"/>
        <v/>
      </c>
      <c r="AB71" s="560" t="str">
        <f t="shared" si="23"/>
        <v/>
      </c>
      <c r="AC71" s="560">
        <f t="shared" si="24"/>
        <v>2.7777777777777776E-2</v>
      </c>
      <c r="AD71" s="560" t="str">
        <f t="shared" si="25"/>
        <v/>
      </c>
    </row>
    <row r="72" spans="2:30" ht="16.5" thickTop="1">
      <c r="B72" s="1721" t="s">
        <v>130</v>
      </c>
      <c r="D72" s="967" t="s">
        <v>27</v>
      </c>
      <c r="E72" s="982" t="s">
        <v>29</v>
      </c>
      <c r="F72" s="982" t="s">
        <v>29</v>
      </c>
      <c r="G72" s="981" t="s">
        <v>1271</v>
      </c>
      <c r="H72" s="964" t="s">
        <v>44</v>
      </c>
      <c r="I72" s="963" t="s">
        <v>46</v>
      </c>
      <c r="J72" s="964" t="s">
        <v>44</v>
      </c>
      <c r="K72" s="981" t="s">
        <v>1271</v>
      </c>
      <c r="L72" s="981" t="s">
        <v>1271</v>
      </c>
      <c r="M72" s="968" t="s">
        <v>26</v>
      </c>
      <c r="N72" s="981" t="s">
        <v>1271</v>
      </c>
      <c r="Q72" s="858" t="s">
        <v>1639</v>
      </c>
      <c r="R72" s="560" t="str">
        <f t="shared" si="13"/>
        <v/>
      </c>
      <c r="S72" s="560" t="str">
        <f t="shared" si="14"/>
        <v/>
      </c>
      <c r="T72" s="560" t="str">
        <f t="shared" si="15"/>
        <v/>
      </c>
      <c r="U72" s="560" t="str">
        <f t="shared" si="16"/>
        <v/>
      </c>
      <c r="V72" s="560" t="str">
        <f t="shared" si="17"/>
        <v/>
      </c>
      <c r="W72" s="560" t="str">
        <f t="shared" si="18"/>
        <v/>
      </c>
      <c r="X72" s="560" t="str">
        <f t="shared" si="19"/>
        <v/>
      </c>
      <c r="Y72" s="560" t="str">
        <f t="shared" si="20"/>
        <v/>
      </c>
      <c r="Z72" s="560" t="str">
        <f t="shared" si="21"/>
        <v/>
      </c>
      <c r="AA72" s="560" t="str">
        <f t="shared" si="22"/>
        <v/>
      </c>
      <c r="AB72" s="560" t="str">
        <f t="shared" si="23"/>
        <v/>
      </c>
      <c r="AC72" s="560" t="str">
        <f t="shared" si="24"/>
        <v/>
      </c>
      <c r="AD72" s="560" t="str">
        <f t="shared" si="25"/>
        <v/>
      </c>
    </row>
    <row r="73" spans="2:30">
      <c r="B73" s="1710"/>
      <c r="G73" s="964" t="s">
        <v>44</v>
      </c>
      <c r="I73" s="982" t="s">
        <v>29</v>
      </c>
      <c r="J73" s="977" t="s">
        <v>1270</v>
      </c>
      <c r="N73" s="968" t="s">
        <v>26</v>
      </c>
      <c r="R73" s="144"/>
      <c r="S73" s="144"/>
      <c r="T73" s="144"/>
      <c r="U73" s="144"/>
      <c r="V73" s="144"/>
      <c r="W73" s="144"/>
      <c r="X73" s="144"/>
      <c r="Y73" s="144"/>
      <c r="Z73" s="144"/>
      <c r="AA73" s="144"/>
      <c r="AB73" s="144"/>
      <c r="AC73" s="144"/>
      <c r="AD73" s="144"/>
    </row>
    <row r="74" spans="2:30" ht="19.5" thickBot="1">
      <c r="B74" s="1723"/>
      <c r="C74" s="985"/>
      <c r="D74" s="985" t="s">
        <v>189</v>
      </c>
      <c r="E74" s="985" t="s">
        <v>187</v>
      </c>
      <c r="F74" s="985" t="s">
        <v>189</v>
      </c>
      <c r="G74" s="985" t="s">
        <v>189</v>
      </c>
      <c r="H74" s="985" t="s">
        <v>189</v>
      </c>
      <c r="I74" s="985" t="s">
        <v>189</v>
      </c>
      <c r="J74" s="985" t="s">
        <v>188</v>
      </c>
      <c r="K74" s="985" t="s">
        <v>190</v>
      </c>
      <c r="L74" s="985" t="s">
        <v>188</v>
      </c>
      <c r="M74" s="985" t="s">
        <v>186</v>
      </c>
      <c r="N74" s="985" t="s">
        <v>190</v>
      </c>
      <c r="O74" s="985"/>
      <c r="Q74" s="69" t="s">
        <v>2617</v>
      </c>
    </row>
    <row r="75" spans="2:30" ht="16.5" thickTop="1">
      <c r="B75" s="1721" t="s">
        <v>131</v>
      </c>
      <c r="D75" s="968" t="s">
        <v>26</v>
      </c>
      <c r="E75" s="981" t="s">
        <v>1271</v>
      </c>
      <c r="F75" s="981" t="s">
        <v>1271</v>
      </c>
      <c r="G75" s="981" t="s">
        <v>1271</v>
      </c>
      <c r="H75" s="968" t="s">
        <v>26</v>
      </c>
      <c r="I75" s="981" t="s">
        <v>1271</v>
      </c>
      <c r="J75" s="964" t="s">
        <v>44</v>
      </c>
      <c r="K75" s="981" t="s">
        <v>1271</v>
      </c>
      <c r="L75" s="968" t="s">
        <v>26</v>
      </c>
      <c r="M75" s="964" t="s">
        <v>44</v>
      </c>
      <c r="N75" s="968" t="s">
        <v>26</v>
      </c>
      <c r="Q75" s="650" t="s">
        <v>183</v>
      </c>
      <c r="R75" s="650" t="s">
        <v>185</v>
      </c>
      <c r="S75" s="650" t="s">
        <v>186</v>
      </c>
      <c r="T75" s="650" t="s">
        <v>187</v>
      </c>
      <c r="U75" s="650" t="s">
        <v>188</v>
      </c>
      <c r="V75" s="650" t="s">
        <v>189</v>
      </c>
      <c r="W75" s="650" t="s">
        <v>190</v>
      </c>
      <c r="X75" s="650" t="s">
        <v>191</v>
      </c>
      <c r="Y75" s="650" t="s">
        <v>192</v>
      </c>
      <c r="Z75" s="650" t="s">
        <v>193</v>
      </c>
      <c r="AA75" s="650" t="s">
        <v>194</v>
      </c>
      <c r="AB75" s="650" t="s">
        <v>1637</v>
      </c>
      <c r="AC75" s="650" t="s">
        <v>1638</v>
      </c>
      <c r="AD75" s="650" t="s">
        <v>1639</v>
      </c>
    </row>
    <row r="76" spans="2:30">
      <c r="B76" s="1710"/>
      <c r="E76" s="964" t="s">
        <v>44</v>
      </c>
      <c r="G76" s="422"/>
      <c r="I76" s="982" t="s">
        <v>29</v>
      </c>
      <c r="J76" s="977" t="s">
        <v>1270</v>
      </c>
      <c r="K76" s="964" t="s">
        <v>44</v>
      </c>
      <c r="Q76" t="s">
        <v>126</v>
      </c>
      <c r="R76">
        <f>COUNTIF($C62:$O62, R$75)</f>
        <v>0</v>
      </c>
      <c r="S76">
        <f t="shared" ref="S76:AD76" si="26">COUNTIF($C62:$O62, S75)</f>
        <v>0</v>
      </c>
      <c r="T76">
        <f t="shared" si="26"/>
        <v>1</v>
      </c>
      <c r="U76">
        <f t="shared" si="26"/>
        <v>5</v>
      </c>
      <c r="V76">
        <f t="shared" si="26"/>
        <v>3</v>
      </c>
      <c r="W76">
        <f t="shared" si="26"/>
        <v>2</v>
      </c>
      <c r="X76">
        <f t="shared" si="26"/>
        <v>1</v>
      </c>
      <c r="Y76">
        <f t="shared" si="26"/>
        <v>0</v>
      </c>
      <c r="Z76">
        <f t="shared" si="26"/>
        <v>0</v>
      </c>
      <c r="AA76">
        <f t="shared" si="26"/>
        <v>0</v>
      </c>
      <c r="AB76">
        <f t="shared" si="26"/>
        <v>0</v>
      </c>
      <c r="AC76">
        <f t="shared" si="26"/>
        <v>0</v>
      </c>
      <c r="AD76">
        <f t="shared" si="26"/>
        <v>0</v>
      </c>
    </row>
    <row r="77" spans="2:30">
      <c r="B77" s="1710"/>
      <c r="E77" s="58"/>
      <c r="G77" s="987"/>
      <c r="I77" s="58"/>
      <c r="J77" s="58"/>
      <c r="K77" s="962" t="s">
        <v>216</v>
      </c>
      <c r="Q77" t="s">
        <v>127</v>
      </c>
      <c r="R77">
        <f>COUNTIF($C65:$O65, R$75)</f>
        <v>0</v>
      </c>
      <c r="S77">
        <f t="shared" ref="S77:AD77" si="27">COUNTIF($C65:$O65, S$75)</f>
        <v>0</v>
      </c>
      <c r="T77">
        <f t="shared" si="27"/>
        <v>0</v>
      </c>
      <c r="U77">
        <f t="shared" si="27"/>
        <v>1</v>
      </c>
      <c r="V77">
        <f t="shared" si="27"/>
        <v>0</v>
      </c>
      <c r="W77">
        <f t="shared" si="27"/>
        <v>7</v>
      </c>
      <c r="X77">
        <f t="shared" si="27"/>
        <v>3</v>
      </c>
      <c r="Y77">
        <f t="shared" si="27"/>
        <v>0</v>
      </c>
      <c r="Z77">
        <f t="shared" si="27"/>
        <v>1</v>
      </c>
      <c r="AA77">
        <f t="shared" si="27"/>
        <v>0</v>
      </c>
      <c r="AB77">
        <f t="shared" si="27"/>
        <v>0</v>
      </c>
      <c r="AC77">
        <f t="shared" si="27"/>
        <v>0</v>
      </c>
      <c r="AD77">
        <f t="shared" si="27"/>
        <v>0</v>
      </c>
    </row>
    <row r="78" spans="2:30">
      <c r="B78" s="1710"/>
      <c r="C78" s="988"/>
      <c r="D78" s="988" t="s">
        <v>186</v>
      </c>
      <c r="E78" s="988" t="s">
        <v>190</v>
      </c>
      <c r="F78" s="988" t="s">
        <v>191</v>
      </c>
      <c r="G78" s="988" t="s">
        <v>190</v>
      </c>
      <c r="H78" s="105" t="s">
        <v>187</v>
      </c>
      <c r="I78" s="988" t="s">
        <v>191</v>
      </c>
      <c r="J78" s="988" t="s">
        <v>190</v>
      </c>
      <c r="K78" s="988" t="s">
        <v>191</v>
      </c>
      <c r="L78" s="988" t="s">
        <v>187</v>
      </c>
      <c r="M78" s="988" t="s">
        <v>189</v>
      </c>
      <c r="N78" s="988" t="s">
        <v>188</v>
      </c>
      <c r="O78" s="988"/>
      <c r="Q78" t="s">
        <v>128</v>
      </c>
      <c r="R78">
        <f>COUNTIF($C68:$O68, R$75)</f>
        <v>0</v>
      </c>
      <c r="S78">
        <f t="shared" ref="S78:AD78" si="28">COUNTIF($C68:$O68, S$75)</f>
        <v>0</v>
      </c>
      <c r="T78">
        <f t="shared" si="28"/>
        <v>0</v>
      </c>
      <c r="U78">
        <f t="shared" si="28"/>
        <v>0</v>
      </c>
      <c r="V78">
        <f t="shared" si="28"/>
        <v>4</v>
      </c>
      <c r="W78">
        <f t="shared" si="28"/>
        <v>5</v>
      </c>
      <c r="X78">
        <f t="shared" si="28"/>
        <v>1</v>
      </c>
      <c r="Y78">
        <f t="shared" si="28"/>
        <v>2</v>
      </c>
      <c r="Z78">
        <f t="shared" si="28"/>
        <v>0</v>
      </c>
      <c r="AA78">
        <f t="shared" si="28"/>
        <v>0</v>
      </c>
      <c r="AB78">
        <f t="shared" si="28"/>
        <v>0</v>
      </c>
      <c r="AC78">
        <f t="shared" si="28"/>
        <v>0</v>
      </c>
      <c r="AD78">
        <f t="shared" si="28"/>
        <v>0</v>
      </c>
    </row>
    <row r="79" spans="2:30">
      <c r="B79" s="1710"/>
      <c r="E79" s="58"/>
      <c r="G79" s="987"/>
      <c r="H79" s="982" t="s">
        <v>29</v>
      </c>
      <c r="Q79" t="s">
        <v>129</v>
      </c>
      <c r="R79">
        <f>COUNTIF($C71:$O71, R$75)</f>
        <v>0</v>
      </c>
      <c r="S79">
        <f t="shared" ref="S79:AD79" si="29">COUNTIF($C71:$O71, S$75)</f>
        <v>1</v>
      </c>
      <c r="T79">
        <f t="shared" si="29"/>
        <v>0</v>
      </c>
      <c r="U79">
        <f t="shared" si="29"/>
        <v>1</v>
      </c>
      <c r="V79">
        <f t="shared" si="29"/>
        <v>3</v>
      </c>
      <c r="W79">
        <f t="shared" si="29"/>
        <v>6</v>
      </c>
      <c r="X79">
        <f t="shared" si="29"/>
        <v>1</v>
      </c>
      <c r="Y79">
        <f t="shared" si="29"/>
        <v>0</v>
      </c>
      <c r="Z79">
        <f t="shared" si="29"/>
        <v>0</v>
      </c>
      <c r="AA79">
        <f t="shared" si="29"/>
        <v>0</v>
      </c>
      <c r="AB79">
        <f t="shared" si="29"/>
        <v>0</v>
      </c>
      <c r="AC79">
        <f t="shared" si="29"/>
        <v>0</v>
      </c>
      <c r="AD79">
        <f t="shared" si="29"/>
        <v>0</v>
      </c>
    </row>
    <row r="80" spans="2:30" ht="16.5" thickBot="1">
      <c r="B80" s="1723"/>
      <c r="C80" s="985"/>
      <c r="D80" s="985"/>
      <c r="E80" s="985"/>
      <c r="F80" s="985"/>
      <c r="G80" s="985"/>
      <c r="H80" s="985" t="s">
        <v>1638</v>
      </c>
      <c r="I80" s="985"/>
      <c r="J80" s="985"/>
      <c r="K80" s="985"/>
      <c r="L80" s="985"/>
      <c r="M80" s="985"/>
      <c r="N80" s="985"/>
      <c r="O80" s="985"/>
      <c r="Q80" t="s">
        <v>130</v>
      </c>
      <c r="R80">
        <f>COUNTIF($C74:$O74, R$75)</f>
        <v>0</v>
      </c>
      <c r="S80">
        <f t="shared" ref="S80:AD80" si="30">COUNTIF($C74:$O74, S$75)</f>
        <v>1</v>
      </c>
      <c r="T80">
        <f t="shared" si="30"/>
        <v>1</v>
      </c>
      <c r="U80">
        <f t="shared" si="30"/>
        <v>2</v>
      </c>
      <c r="V80">
        <f t="shared" si="30"/>
        <v>5</v>
      </c>
      <c r="W80">
        <f t="shared" si="30"/>
        <v>2</v>
      </c>
      <c r="X80">
        <f t="shared" si="30"/>
        <v>0</v>
      </c>
      <c r="Y80">
        <f t="shared" si="30"/>
        <v>0</v>
      </c>
      <c r="Z80">
        <f t="shared" si="30"/>
        <v>0</v>
      </c>
      <c r="AA80">
        <f t="shared" si="30"/>
        <v>0</v>
      </c>
      <c r="AB80">
        <f t="shared" si="30"/>
        <v>0</v>
      </c>
      <c r="AC80">
        <f t="shared" si="30"/>
        <v>0</v>
      </c>
      <c r="AD80">
        <f t="shared" si="30"/>
        <v>0</v>
      </c>
    </row>
    <row r="81" spans="2:30" ht="17.100000000000001" customHeight="1" thickTop="1">
      <c r="B81" s="1721" t="s">
        <v>132</v>
      </c>
      <c r="D81" s="977" t="s">
        <v>1270</v>
      </c>
      <c r="E81" s="982" t="s">
        <v>29</v>
      </c>
      <c r="F81" s="967" t="s">
        <v>27</v>
      </c>
      <c r="G81" s="964" t="s">
        <v>44</v>
      </c>
      <c r="H81" s="974" t="s">
        <v>1269</v>
      </c>
      <c r="I81" s="984" t="s">
        <v>24</v>
      </c>
      <c r="J81" s="964" t="s">
        <v>44</v>
      </c>
      <c r="K81" s="967" t="s">
        <v>27</v>
      </c>
      <c r="L81" s="968" t="s">
        <v>26</v>
      </c>
      <c r="M81" s="984" t="s">
        <v>24</v>
      </c>
      <c r="N81" s="960" t="s">
        <v>43</v>
      </c>
      <c r="O81" s="968" t="s">
        <v>26</v>
      </c>
      <c r="Q81" t="s">
        <v>131</v>
      </c>
      <c r="R81">
        <f>COUNTIF($C78:$O78, R$75) + COUNTIF($C80:$O80, R$75)</f>
        <v>0</v>
      </c>
      <c r="S81">
        <f t="shared" ref="S81:AD81" si="31">COUNTIF($C78:$O78, S$75) + COUNTIF($C80:$O80, S$75)</f>
        <v>1</v>
      </c>
      <c r="T81">
        <f t="shared" si="31"/>
        <v>2</v>
      </c>
      <c r="U81">
        <f t="shared" si="31"/>
        <v>1</v>
      </c>
      <c r="V81">
        <f t="shared" si="31"/>
        <v>1</v>
      </c>
      <c r="W81">
        <f t="shared" si="31"/>
        <v>3</v>
      </c>
      <c r="X81">
        <f t="shared" si="31"/>
        <v>3</v>
      </c>
      <c r="Y81">
        <f t="shared" si="31"/>
        <v>0</v>
      </c>
      <c r="Z81">
        <f t="shared" si="31"/>
        <v>0</v>
      </c>
      <c r="AA81">
        <f t="shared" si="31"/>
        <v>0</v>
      </c>
      <c r="AB81">
        <f t="shared" si="31"/>
        <v>0</v>
      </c>
      <c r="AC81">
        <f t="shared" si="31"/>
        <v>1</v>
      </c>
      <c r="AD81">
        <f t="shared" si="31"/>
        <v>0</v>
      </c>
    </row>
    <row r="82" spans="2:30">
      <c r="B82" s="1710"/>
      <c r="D82" s="422"/>
      <c r="O82" s="962" t="s">
        <v>216</v>
      </c>
      <c r="Q82" t="s">
        <v>132</v>
      </c>
      <c r="R82">
        <f>COUNTIF($C83:$O83, R$75)</f>
        <v>0</v>
      </c>
      <c r="S82">
        <f t="shared" ref="S82:AD82" si="32">COUNTIF($C83:$O83, S$75)</f>
        <v>3</v>
      </c>
      <c r="T82">
        <f t="shared" si="32"/>
        <v>2</v>
      </c>
      <c r="U82">
        <f t="shared" si="32"/>
        <v>2</v>
      </c>
      <c r="V82">
        <f t="shared" si="32"/>
        <v>2</v>
      </c>
      <c r="W82">
        <f t="shared" si="32"/>
        <v>2</v>
      </c>
      <c r="X82">
        <f t="shared" si="32"/>
        <v>1</v>
      </c>
      <c r="Y82">
        <f t="shared" si="32"/>
        <v>0</v>
      </c>
      <c r="Z82">
        <f t="shared" si="32"/>
        <v>0</v>
      </c>
      <c r="AA82">
        <f t="shared" si="32"/>
        <v>0</v>
      </c>
      <c r="AB82">
        <f t="shared" si="32"/>
        <v>0</v>
      </c>
      <c r="AC82">
        <f t="shared" si="32"/>
        <v>0</v>
      </c>
      <c r="AD82">
        <f t="shared" si="32"/>
        <v>0</v>
      </c>
    </row>
    <row r="83" spans="2:30" ht="17.100000000000001" customHeight="1" thickBot="1">
      <c r="B83" s="1723"/>
      <c r="C83" s="985"/>
      <c r="D83" s="985" t="s">
        <v>186</v>
      </c>
      <c r="E83" s="985" t="s">
        <v>188</v>
      </c>
      <c r="F83" s="985" t="s">
        <v>186</v>
      </c>
      <c r="G83" s="985" t="s">
        <v>189</v>
      </c>
      <c r="H83" s="985" t="s">
        <v>187</v>
      </c>
      <c r="I83" s="985" t="s">
        <v>188</v>
      </c>
      <c r="J83" s="985" t="s">
        <v>187</v>
      </c>
      <c r="K83" s="985" t="s">
        <v>191</v>
      </c>
      <c r="L83" s="985" t="s">
        <v>189</v>
      </c>
      <c r="M83" s="985" t="s">
        <v>190</v>
      </c>
      <c r="N83" s="985" t="s">
        <v>186</v>
      </c>
      <c r="O83" s="985" t="s">
        <v>190</v>
      </c>
      <c r="Q83" t="s">
        <v>133</v>
      </c>
      <c r="R83">
        <f>COUNTIF($C86:$O86, R$75)+ COUNTIF(C89:O89, R$75)</f>
        <v>0</v>
      </c>
      <c r="S83">
        <f t="shared" ref="S83:AD83" si="33">COUNTIF($C86:$O86, S$75)+ COUNTIF(D89:P89, S$75)</f>
        <v>1</v>
      </c>
      <c r="T83">
        <f t="shared" si="33"/>
        <v>1</v>
      </c>
      <c r="U83">
        <f t="shared" si="33"/>
        <v>1</v>
      </c>
      <c r="V83">
        <f t="shared" si="33"/>
        <v>5</v>
      </c>
      <c r="W83">
        <f t="shared" si="33"/>
        <v>0</v>
      </c>
      <c r="X83">
        <f t="shared" si="33"/>
        <v>0</v>
      </c>
      <c r="Y83">
        <f t="shared" si="33"/>
        <v>2</v>
      </c>
      <c r="Z83">
        <f t="shared" si="33"/>
        <v>0</v>
      </c>
      <c r="AA83">
        <f t="shared" si="33"/>
        <v>0</v>
      </c>
      <c r="AB83">
        <f t="shared" si="33"/>
        <v>0</v>
      </c>
      <c r="AC83">
        <f t="shared" si="33"/>
        <v>1</v>
      </c>
      <c r="AD83">
        <f t="shared" si="33"/>
        <v>0</v>
      </c>
    </row>
    <row r="84" spans="2:30" ht="16.5" thickTop="1">
      <c r="B84" s="1721" t="s">
        <v>133</v>
      </c>
      <c r="D84" s="964" t="s">
        <v>44</v>
      </c>
      <c r="E84" s="983" t="s">
        <v>124</v>
      </c>
      <c r="G84" s="974" t="s">
        <v>1269</v>
      </c>
      <c r="H84" s="964" t="s">
        <v>44</v>
      </c>
      <c r="I84" s="984" t="s">
        <v>24</v>
      </c>
      <c r="J84" s="968" t="s">
        <v>26</v>
      </c>
      <c r="K84" s="968" t="s">
        <v>26</v>
      </c>
      <c r="L84" s="967" t="s">
        <v>27</v>
      </c>
      <c r="M84" s="964" t="s">
        <v>44</v>
      </c>
      <c r="N84" s="974" t="s">
        <v>1269</v>
      </c>
      <c r="Q84" t="s">
        <v>134</v>
      </c>
      <c r="R84">
        <f>COUNTIF($C93:$O93, R$75)</f>
        <v>0</v>
      </c>
      <c r="S84">
        <f t="shared" ref="S84:AD84" si="34">COUNTIF($C93:$O93, S$75)</f>
        <v>1</v>
      </c>
      <c r="T84">
        <f t="shared" si="34"/>
        <v>2</v>
      </c>
      <c r="U84">
        <f t="shared" si="34"/>
        <v>2</v>
      </c>
      <c r="V84">
        <f t="shared" si="34"/>
        <v>4</v>
      </c>
      <c r="W84">
        <f t="shared" si="34"/>
        <v>1</v>
      </c>
      <c r="X84">
        <f t="shared" si="34"/>
        <v>2</v>
      </c>
      <c r="Y84">
        <f t="shared" si="34"/>
        <v>0</v>
      </c>
      <c r="Z84">
        <f t="shared" si="34"/>
        <v>0</v>
      </c>
      <c r="AA84">
        <f t="shared" si="34"/>
        <v>0</v>
      </c>
      <c r="AB84">
        <f t="shared" si="34"/>
        <v>0</v>
      </c>
      <c r="AC84">
        <f t="shared" si="34"/>
        <v>0</v>
      </c>
      <c r="AD84">
        <f t="shared" si="34"/>
        <v>0</v>
      </c>
    </row>
    <row r="85" spans="2:30">
      <c r="B85" s="1710"/>
      <c r="J85" s="984" t="s">
        <v>24</v>
      </c>
      <c r="M85" s="984" t="s">
        <v>24</v>
      </c>
      <c r="Q85" t="s">
        <v>135</v>
      </c>
      <c r="R85">
        <f>COUNTIF($C98:$O98, R$75)+ COUNTIF($C96:$O96, R$75)</f>
        <v>0</v>
      </c>
      <c r="S85">
        <f t="shared" ref="S85:AD85" si="35">COUNTIF($C98:$O98, S$75)+ COUNTIF($C96:$O96, S$75)</f>
        <v>2</v>
      </c>
      <c r="T85">
        <f t="shared" si="35"/>
        <v>4</v>
      </c>
      <c r="U85">
        <f t="shared" si="35"/>
        <v>2</v>
      </c>
      <c r="V85">
        <f t="shared" si="35"/>
        <v>4</v>
      </c>
      <c r="W85">
        <f t="shared" si="35"/>
        <v>0</v>
      </c>
      <c r="X85">
        <f t="shared" si="35"/>
        <v>0</v>
      </c>
      <c r="Y85">
        <f t="shared" si="35"/>
        <v>0</v>
      </c>
      <c r="Z85">
        <f t="shared" si="35"/>
        <v>0</v>
      </c>
      <c r="AA85">
        <f t="shared" si="35"/>
        <v>1</v>
      </c>
      <c r="AB85">
        <f t="shared" si="35"/>
        <v>0</v>
      </c>
      <c r="AC85">
        <f t="shared" si="35"/>
        <v>0</v>
      </c>
      <c r="AD85">
        <f t="shared" si="35"/>
        <v>0</v>
      </c>
    </row>
    <row r="86" spans="2:30">
      <c r="B86" s="1710"/>
      <c r="C86" s="989"/>
      <c r="D86" s="989" t="s">
        <v>188</v>
      </c>
      <c r="E86" s="989" t="s">
        <v>189</v>
      </c>
      <c r="F86" s="989"/>
      <c r="G86" s="989" t="s">
        <v>189</v>
      </c>
      <c r="H86" s="989" t="s">
        <v>187</v>
      </c>
      <c r="I86" s="989" t="s">
        <v>189</v>
      </c>
      <c r="J86" s="989" t="s">
        <v>186</v>
      </c>
      <c r="K86" s="989" t="s">
        <v>192</v>
      </c>
      <c r="L86" s="989" t="s">
        <v>192</v>
      </c>
      <c r="M86" s="989" t="s">
        <v>189</v>
      </c>
      <c r="N86" s="989" t="s">
        <v>189</v>
      </c>
      <c r="O86" s="989"/>
      <c r="Q86" t="s">
        <v>136</v>
      </c>
      <c r="R86">
        <f>COUNTIF($C101:$O101, R$75)</f>
        <v>0</v>
      </c>
      <c r="S86">
        <f t="shared" ref="S86:AD86" si="36">COUNTIF($C101:$O101, S$75)</f>
        <v>1</v>
      </c>
      <c r="T86">
        <f t="shared" si="36"/>
        <v>3</v>
      </c>
      <c r="U86">
        <f t="shared" si="36"/>
        <v>3</v>
      </c>
      <c r="V86">
        <f t="shared" si="36"/>
        <v>3</v>
      </c>
      <c r="W86">
        <f t="shared" si="36"/>
        <v>1</v>
      </c>
      <c r="X86">
        <f t="shared" si="36"/>
        <v>0</v>
      </c>
      <c r="Y86">
        <f t="shared" si="36"/>
        <v>0</v>
      </c>
      <c r="Z86">
        <f t="shared" si="36"/>
        <v>0</v>
      </c>
      <c r="AA86">
        <f t="shared" si="36"/>
        <v>0</v>
      </c>
      <c r="AB86">
        <f t="shared" si="36"/>
        <v>0</v>
      </c>
      <c r="AC86">
        <f t="shared" si="36"/>
        <v>0</v>
      </c>
      <c r="AD86">
        <f t="shared" si="36"/>
        <v>0</v>
      </c>
    </row>
    <row r="87" spans="2:30">
      <c r="B87" s="1710"/>
      <c r="J87" s="987"/>
      <c r="M87" s="990"/>
      <c r="N87" s="981" t="s">
        <v>1271</v>
      </c>
      <c r="Q87" t="s">
        <v>137</v>
      </c>
      <c r="R87">
        <f>COUNTIF($C104:$O104, R$75)</f>
        <v>0</v>
      </c>
      <c r="S87">
        <f t="shared" ref="S87:AD87" si="37">COUNTIF($C104:$O104, S$75)</f>
        <v>2</v>
      </c>
      <c r="T87">
        <f t="shared" si="37"/>
        <v>3</v>
      </c>
      <c r="U87">
        <f t="shared" si="37"/>
        <v>3</v>
      </c>
      <c r="V87">
        <f t="shared" si="37"/>
        <v>0</v>
      </c>
      <c r="W87">
        <f t="shared" si="37"/>
        <v>2</v>
      </c>
      <c r="X87">
        <f t="shared" si="37"/>
        <v>1</v>
      </c>
      <c r="Y87">
        <f t="shared" si="37"/>
        <v>0</v>
      </c>
      <c r="Z87">
        <f t="shared" si="37"/>
        <v>0</v>
      </c>
      <c r="AA87">
        <f t="shared" si="37"/>
        <v>0</v>
      </c>
      <c r="AB87">
        <f t="shared" si="37"/>
        <v>0</v>
      </c>
      <c r="AC87">
        <f t="shared" si="37"/>
        <v>0</v>
      </c>
      <c r="AD87">
        <f t="shared" si="37"/>
        <v>0</v>
      </c>
    </row>
    <row r="88" spans="2:30">
      <c r="B88" s="1710"/>
      <c r="N88" s="991" t="s">
        <v>93</v>
      </c>
      <c r="Q88" t="s">
        <v>138</v>
      </c>
      <c r="R88">
        <f>COUNTIF($C107:$O107, R$75)</f>
        <v>0</v>
      </c>
      <c r="S88">
        <f t="shared" ref="S88:AD88" si="38">COUNTIF($C107:$O107, S$75)</f>
        <v>2</v>
      </c>
      <c r="T88">
        <f t="shared" si="38"/>
        <v>2</v>
      </c>
      <c r="U88">
        <f t="shared" si="38"/>
        <v>1</v>
      </c>
      <c r="V88">
        <f t="shared" si="38"/>
        <v>3</v>
      </c>
      <c r="W88">
        <f t="shared" si="38"/>
        <v>1</v>
      </c>
      <c r="X88">
        <f t="shared" si="38"/>
        <v>0</v>
      </c>
      <c r="Y88">
        <f t="shared" si="38"/>
        <v>0</v>
      </c>
      <c r="Z88">
        <f t="shared" si="38"/>
        <v>0</v>
      </c>
      <c r="AA88">
        <f t="shared" si="38"/>
        <v>0</v>
      </c>
      <c r="AB88">
        <f t="shared" si="38"/>
        <v>0</v>
      </c>
      <c r="AC88">
        <f t="shared" si="38"/>
        <v>0</v>
      </c>
      <c r="AD88">
        <f t="shared" si="38"/>
        <v>0</v>
      </c>
    </row>
    <row r="89" spans="2:30" ht="16.5" thickBot="1">
      <c r="B89" s="1723"/>
      <c r="C89" s="985"/>
      <c r="D89" s="985"/>
      <c r="E89" s="985"/>
      <c r="F89" s="985"/>
      <c r="G89" s="985"/>
      <c r="H89" s="985"/>
      <c r="I89" s="985"/>
      <c r="J89" s="985"/>
      <c r="K89" s="985"/>
      <c r="L89" s="985"/>
      <c r="M89" s="985"/>
      <c r="N89" s="985" t="s">
        <v>1638</v>
      </c>
      <c r="O89" s="985"/>
      <c r="Q89" t="s">
        <v>139</v>
      </c>
      <c r="R89">
        <f>COUNTIF($C111:$O111, R$75)</f>
        <v>0</v>
      </c>
      <c r="S89">
        <f t="shared" ref="S89:AD89" si="39">COUNTIF($C111:$O111, S$75)</f>
        <v>4</v>
      </c>
      <c r="T89">
        <f t="shared" si="39"/>
        <v>2</v>
      </c>
      <c r="U89">
        <f t="shared" si="39"/>
        <v>3</v>
      </c>
      <c r="V89">
        <f t="shared" si="39"/>
        <v>0</v>
      </c>
      <c r="W89">
        <f t="shared" si="39"/>
        <v>1</v>
      </c>
      <c r="X89">
        <f t="shared" si="39"/>
        <v>1</v>
      </c>
      <c r="Y89">
        <f t="shared" si="39"/>
        <v>0</v>
      </c>
      <c r="Z89">
        <f t="shared" si="39"/>
        <v>0</v>
      </c>
      <c r="AA89">
        <f t="shared" si="39"/>
        <v>0</v>
      </c>
      <c r="AB89">
        <f t="shared" si="39"/>
        <v>0</v>
      </c>
      <c r="AC89">
        <f t="shared" si="39"/>
        <v>0</v>
      </c>
      <c r="AD89">
        <f t="shared" si="39"/>
        <v>0</v>
      </c>
    </row>
    <row r="90" spans="2:30" ht="16.5" thickTop="1">
      <c r="B90" s="1721" t="s">
        <v>134</v>
      </c>
      <c r="D90" s="968" t="s">
        <v>26</v>
      </c>
      <c r="E90" s="962" t="s">
        <v>216</v>
      </c>
      <c r="F90" s="964" t="s">
        <v>44</v>
      </c>
      <c r="G90" s="189" t="s">
        <v>47</v>
      </c>
      <c r="H90" s="974" t="s">
        <v>1269</v>
      </c>
      <c r="I90" s="968" t="s">
        <v>26</v>
      </c>
      <c r="J90" s="964" t="s">
        <v>44</v>
      </c>
      <c r="K90" s="964" t="s">
        <v>44</v>
      </c>
      <c r="L90" s="968" t="s">
        <v>26</v>
      </c>
      <c r="M90" s="977" t="s">
        <v>1270</v>
      </c>
      <c r="N90" s="964" t="s">
        <v>44</v>
      </c>
      <c r="O90" s="964" t="s">
        <v>44</v>
      </c>
      <c r="Q90" t="s">
        <v>140</v>
      </c>
      <c r="R90">
        <f>COUNTIF($C116:$O116, R$75)+COUNTIF($C114:$O114, R$75)</f>
        <v>0</v>
      </c>
      <c r="S90">
        <f t="shared" ref="S90:AD90" si="40">COUNTIF($C116:$O116, S$75)+COUNTIF($C114:$O114, S$75)</f>
        <v>3</v>
      </c>
      <c r="T90">
        <f t="shared" si="40"/>
        <v>3</v>
      </c>
      <c r="U90">
        <f t="shared" si="40"/>
        <v>2</v>
      </c>
      <c r="V90">
        <f t="shared" si="40"/>
        <v>5</v>
      </c>
      <c r="W90">
        <f t="shared" si="40"/>
        <v>0</v>
      </c>
      <c r="X90">
        <f t="shared" si="40"/>
        <v>0</v>
      </c>
      <c r="Y90">
        <f t="shared" si="40"/>
        <v>0</v>
      </c>
      <c r="Z90">
        <f t="shared" si="40"/>
        <v>0</v>
      </c>
      <c r="AA90">
        <f t="shared" si="40"/>
        <v>0</v>
      </c>
      <c r="AB90">
        <f t="shared" si="40"/>
        <v>0</v>
      </c>
      <c r="AC90">
        <f t="shared" si="40"/>
        <v>0</v>
      </c>
      <c r="AD90">
        <f t="shared" si="40"/>
        <v>0</v>
      </c>
    </row>
    <row r="91" spans="2:30">
      <c r="B91" s="1710"/>
      <c r="D91" s="990"/>
      <c r="E91" s="58"/>
      <c r="F91" s="58"/>
      <c r="G91" s="12"/>
      <c r="H91" s="990"/>
      <c r="I91" s="990"/>
      <c r="J91" s="981" t="s">
        <v>1271</v>
      </c>
      <c r="K91" s="58"/>
      <c r="L91" s="990"/>
      <c r="M91" s="58"/>
      <c r="N91" s="58"/>
      <c r="O91" s="992" t="s">
        <v>23</v>
      </c>
      <c r="Q91" t="s">
        <v>141</v>
      </c>
      <c r="R91">
        <f>COUNTIF($C119:$O119, R$75)+COUNTIF($C122:$O122, R$75)</f>
        <v>0</v>
      </c>
      <c r="S91">
        <f t="shared" ref="S91:AD91" si="41">COUNTIF($C119:$O119, S$75)+COUNTIF($C122:$O122, S$75)</f>
        <v>3</v>
      </c>
      <c r="T91">
        <f t="shared" si="41"/>
        <v>3</v>
      </c>
      <c r="U91">
        <f t="shared" si="41"/>
        <v>2</v>
      </c>
      <c r="V91">
        <f t="shared" si="41"/>
        <v>2</v>
      </c>
      <c r="W91">
        <f t="shared" si="41"/>
        <v>2</v>
      </c>
      <c r="X91">
        <f t="shared" si="41"/>
        <v>0</v>
      </c>
      <c r="Y91">
        <f t="shared" si="41"/>
        <v>0</v>
      </c>
      <c r="Z91">
        <f t="shared" si="41"/>
        <v>0</v>
      </c>
      <c r="AA91">
        <f t="shared" si="41"/>
        <v>0</v>
      </c>
      <c r="AB91">
        <f t="shared" si="41"/>
        <v>0</v>
      </c>
      <c r="AC91">
        <f t="shared" si="41"/>
        <v>0</v>
      </c>
      <c r="AD91">
        <f t="shared" si="41"/>
        <v>0</v>
      </c>
    </row>
    <row r="92" spans="2:30">
      <c r="B92" s="1710"/>
      <c r="O92" s="980" t="s">
        <v>1272</v>
      </c>
      <c r="Q92" t="s">
        <v>142</v>
      </c>
      <c r="R92">
        <f>COUNTIF($C125:$O125, R$75)</f>
        <v>0</v>
      </c>
      <c r="S92">
        <f t="shared" ref="S92:AD92" si="42">COUNTIF($C125:$O125, S$75)</f>
        <v>1</v>
      </c>
      <c r="T92">
        <f t="shared" si="42"/>
        <v>3</v>
      </c>
      <c r="U92">
        <f t="shared" si="42"/>
        <v>5</v>
      </c>
      <c r="V92">
        <f t="shared" si="42"/>
        <v>2</v>
      </c>
      <c r="W92">
        <f t="shared" si="42"/>
        <v>1</v>
      </c>
      <c r="X92">
        <f t="shared" si="42"/>
        <v>0</v>
      </c>
      <c r="Y92">
        <f t="shared" si="42"/>
        <v>0</v>
      </c>
      <c r="Z92">
        <f t="shared" si="42"/>
        <v>0</v>
      </c>
      <c r="AA92">
        <f t="shared" si="42"/>
        <v>0</v>
      </c>
      <c r="AB92">
        <f t="shared" si="42"/>
        <v>0</v>
      </c>
      <c r="AC92">
        <f t="shared" si="42"/>
        <v>0</v>
      </c>
      <c r="AD92">
        <f t="shared" si="42"/>
        <v>0</v>
      </c>
    </row>
    <row r="93" spans="2:30" ht="16.5" thickBot="1">
      <c r="B93" s="1723"/>
      <c r="C93" s="985"/>
      <c r="D93" s="985" t="s">
        <v>186</v>
      </c>
      <c r="E93" s="985" t="s">
        <v>187</v>
      </c>
      <c r="F93" s="985" t="s">
        <v>188</v>
      </c>
      <c r="G93" s="985" t="s">
        <v>189</v>
      </c>
      <c r="H93" s="985" t="s">
        <v>189</v>
      </c>
      <c r="I93" s="985" t="s">
        <v>190</v>
      </c>
      <c r="J93" s="985" t="s">
        <v>189</v>
      </c>
      <c r="K93" s="985" t="s">
        <v>189</v>
      </c>
      <c r="L93" s="985" t="s">
        <v>188</v>
      </c>
      <c r="M93" s="985" t="s">
        <v>187</v>
      </c>
      <c r="N93" s="985" t="s">
        <v>191</v>
      </c>
      <c r="O93" s="985" t="s">
        <v>191</v>
      </c>
      <c r="Q93" t="s">
        <v>143</v>
      </c>
      <c r="R93">
        <f>COUNTIF($C131:$O131, R$75)+COUNTIF($C129:$O129, R$75)</f>
        <v>0</v>
      </c>
      <c r="S93">
        <f t="shared" ref="S93:AD93" si="43">COUNTIF($C131:$O131, S$75)+COUNTIF($C129:$O129, S$75)</f>
        <v>2</v>
      </c>
      <c r="T93">
        <f t="shared" si="43"/>
        <v>5</v>
      </c>
      <c r="U93">
        <f t="shared" si="43"/>
        <v>3</v>
      </c>
      <c r="V93">
        <f t="shared" si="43"/>
        <v>0</v>
      </c>
      <c r="W93">
        <f t="shared" si="43"/>
        <v>2</v>
      </c>
      <c r="X93">
        <f t="shared" si="43"/>
        <v>0</v>
      </c>
      <c r="Y93">
        <f t="shared" si="43"/>
        <v>0</v>
      </c>
      <c r="Z93">
        <f t="shared" si="43"/>
        <v>0</v>
      </c>
      <c r="AA93">
        <f t="shared" si="43"/>
        <v>0</v>
      </c>
      <c r="AB93">
        <f t="shared" si="43"/>
        <v>0</v>
      </c>
      <c r="AC93">
        <f t="shared" si="43"/>
        <v>0</v>
      </c>
      <c r="AD93">
        <f t="shared" si="43"/>
        <v>0</v>
      </c>
    </row>
    <row r="94" spans="2:30" ht="18" customHeight="1" thickTop="1">
      <c r="B94" s="1721" t="s">
        <v>135</v>
      </c>
      <c r="C94" s="982" t="s">
        <v>29</v>
      </c>
      <c r="D94" s="974" t="s">
        <v>1269</v>
      </c>
      <c r="E94" s="979" t="s">
        <v>120</v>
      </c>
      <c r="F94" s="968" t="s">
        <v>26</v>
      </c>
      <c r="G94" s="984" t="s">
        <v>24</v>
      </c>
      <c r="H94" s="968" t="s">
        <v>26</v>
      </c>
      <c r="I94" s="981" t="s">
        <v>1271</v>
      </c>
      <c r="J94" s="964" t="s">
        <v>44</v>
      </c>
      <c r="K94" s="979" t="s">
        <v>120</v>
      </c>
      <c r="L94" s="974" t="s">
        <v>1269</v>
      </c>
      <c r="M94" s="963" t="s">
        <v>46</v>
      </c>
      <c r="N94" s="968" t="s">
        <v>26</v>
      </c>
      <c r="Q94" t="s">
        <v>144</v>
      </c>
      <c r="R94">
        <f>COUNTIF($C137:$O137, R$75)+COUNTIF($C135:$O135, R$75)</f>
        <v>0</v>
      </c>
      <c r="S94">
        <f t="shared" ref="S94:AD94" si="44">COUNTIF($C137:$O137, S$75)+COUNTIF($C135:$O135, S$75)</f>
        <v>3</v>
      </c>
      <c r="T94">
        <f t="shared" si="44"/>
        <v>4</v>
      </c>
      <c r="U94">
        <f t="shared" si="44"/>
        <v>4</v>
      </c>
      <c r="V94">
        <f t="shared" si="44"/>
        <v>2</v>
      </c>
      <c r="W94">
        <f t="shared" si="44"/>
        <v>0</v>
      </c>
      <c r="X94">
        <f t="shared" si="44"/>
        <v>0</v>
      </c>
      <c r="Y94">
        <f t="shared" si="44"/>
        <v>0</v>
      </c>
      <c r="Z94">
        <f t="shared" si="44"/>
        <v>0</v>
      </c>
      <c r="AA94">
        <f t="shared" si="44"/>
        <v>0</v>
      </c>
      <c r="AB94">
        <f t="shared" si="44"/>
        <v>0</v>
      </c>
      <c r="AC94">
        <f t="shared" si="44"/>
        <v>0</v>
      </c>
      <c r="AD94">
        <f t="shared" si="44"/>
        <v>0</v>
      </c>
    </row>
    <row r="95" spans="2:30">
      <c r="B95" s="1710"/>
      <c r="D95" s="981" t="s">
        <v>1271</v>
      </c>
      <c r="E95" s="961" t="s">
        <v>339</v>
      </c>
      <c r="F95" s="422"/>
      <c r="H95" s="993" t="s">
        <v>20</v>
      </c>
      <c r="I95" s="422"/>
      <c r="K95" s="981" t="s">
        <v>1271</v>
      </c>
      <c r="M95" s="982" t="s">
        <v>29</v>
      </c>
      <c r="Q95" t="s">
        <v>145</v>
      </c>
      <c r="R95">
        <f>COUNTIF($C142:$O142, R$75)+COUNTIF($C140:$O140, R$75)</f>
        <v>0</v>
      </c>
      <c r="S95">
        <f t="shared" ref="S95:AD95" si="45">COUNTIF($C142:$O142, S$75)+COUNTIF($C140:$O140, S$75)</f>
        <v>1</v>
      </c>
      <c r="T95">
        <f t="shared" si="45"/>
        <v>3</v>
      </c>
      <c r="U95">
        <f t="shared" si="45"/>
        <v>4</v>
      </c>
      <c r="V95">
        <f t="shared" si="45"/>
        <v>1</v>
      </c>
      <c r="W95">
        <f t="shared" si="45"/>
        <v>2</v>
      </c>
      <c r="X95">
        <f t="shared" si="45"/>
        <v>0</v>
      </c>
      <c r="Y95">
        <f t="shared" si="45"/>
        <v>1</v>
      </c>
      <c r="Z95">
        <f t="shared" si="45"/>
        <v>0</v>
      </c>
      <c r="AA95">
        <f t="shared" si="45"/>
        <v>0</v>
      </c>
      <c r="AB95">
        <f t="shared" si="45"/>
        <v>0</v>
      </c>
      <c r="AC95">
        <f t="shared" si="45"/>
        <v>0</v>
      </c>
      <c r="AD95">
        <f t="shared" si="45"/>
        <v>0</v>
      </c>
    </row>
    <row r="96" spans="2:30" ht="16.5" thickBot="1">
      <c r="B96" s="1710"/>
      <c r="C96" s="985" t="s">
        <v>186</v>
      </c>
      <c r="D96" s="985" t="s">
        <v>189</v>
      </c>
      <c r="E96" s="985" t="s">
        <v>188</v>
      </c>
      <c r="F96" s="985" t="s">
        <v>187</v>
      </c>
      <c r="G96" s="985" t="s">
        <v>189</v>
      </c>
      <c r="H96" s="985" t="s">
        <v>187</v>
      </c>
      <c r="I96" s="985" t="s">
        <v>187</v>
      </c>
      <c r="J96" s="985" t="s">
        <v>189</v>
      </c>
      <c r="K96" s="985" t="s">
        <v>189</v>
      </c>
      <c r="L96" s="985" t="s">
        <v>187</v>
      </c>
      <c r="M96" s="985" t="s">
        <v>186</v>
      </c>
      <c r="N96" s="985" t="s">
        <v>188</v>
      </c>
      <c r="O96" s="985"/>
      <c r="Q96" t="s">
        <v>146</v>
      </c>
      <c r="R96">
        <f>COUNTIF($C148:$O148, R$75)+ COUNTIF($C145:$O145, R$75)</f>
        <v>0</v>
      </c>
      <c r="S96">
        <f t="shared" ref="S96:AD96" si="46">COUNTIF($C148:$O148, S$75)+ COUNTIF($C145:$O145, S$75)</f>
        <v>2</v>
      </c>
      <c r="T96">
        <f t="shared" si="46"/>
        <v>5</v>
      </c>
      <c r="U96">
        <f t="shared" si="46"/>
        <v>2</v>
      </c>
      <c r="V96">
        <f t="shared" si="46"/>
        <v>1</v>
      </c>
      <c r="W96">
        <f t="shared" si="46"/>
        <v>1</v>
      </c>
      <c r="X96">
        <f t="shared" si="46"/>
        <v>3</v>
      </c>
      <c r="Y96">
        <f t="shared" si="46"/>
        <v>0</v>
      </c>
      <c r="Z96">
        <f t="shared" si="46"/>
        <v>0</v>
      </c>
      <c r="AA96">
        <f t="shared" si="46"/>
        <v>0</v>
      </c>
      <c r="AB96">
        <f t="shared" si="46"/>
        <v>0</v>
      </c>
      <c r="AC96">
        <f t="shared" si="46"/>
        <v>0</v>
      </c>
      <c r="AD96">
        <f t="shared" si="46"/>
        <v>0</v>
      </c>
    </row>
    <row r="97" spans="2:30" ht="16.5" thickTop="1">
      <c r="B97" s="1710"/>
      <c r="D97" s="58"/>
      <c r="E97" s="990"/>
      <c r="F97" s="987"/>
      <c r="H97" s="990"/>
      <c r="K97" s="994" t="s">
        <v>24</v>
      </c>
      <c r="Q97" t="s">
        <v>147</v>
      </c>
      <c r="R97">
        <f>COUNTIF($C154:$O154, R$75)+COUNTIF($C152:$O152, R$75)</f>
        <v>0</v>
      </c>
      <c r="S97">
        <f t="shared" ref="S97:AD97" si="47">COUNTIF($C154:$O154, S$75)+COUNTIF($C152:$O152, S$75)</f>
        <v>3</v>
      </c>
      <c r="T97">
        <f t="shared" si="47"/>
        <v>1</v>
      </c>
      <c r="U97">
        <f t="shared" si="47"/>
        <v>4</v>
      </c>
      <c r="V97">
        <f t="shared" si="47"/>
        <v>3</v>
      </c>
      <c r="W97">
        <f t="shared" si="47"/>
        <v>2</v>
      </c>
      <c r="X97">
        <f t="shared" si="47"/>
        <v>0</v>
      </c>
      <c r="Y97">
        <f t="shared" si="47"/>
        <v>0</v>
      </c>
      <c r="Z97">
        <f t="shared" si="47"/>
        <v>0</v>
      </c>
      <c r="AA97">
        <f t="shared" si="47"/>
        <v>0</v>
      </c>
      <c r="AB97">
        <f t="shared" si="47"/>
        <v>0</v>
      </c>
      <c r="AC97">
        <f t="shared" si="47"/>
        <v>0</v>
      </c>
      <c r="AD97">
        <f t="shared" si="47"/>
        <v>0</v>
      </c>
    </row>
    <row r="98" spans="2:30" ht="16.5" thickBot="1">
      <c r="B98" s="1723"/>
      <c r="C98" s="985"/>
      <c r="D98" s="985"/>
      <c r="E98" s="985"/>
      <c r="F98" s="985"/>
      <c r="G98" s="985"/>
      <c r="H98" s="985"/>
      <c r="I98" s="985"/>
      <c r="J98" s="985"/>
      <c r="K98" s="985" t="s">
        <v>194</v>
      </c>
      <c r="L98" s="985"/>
      <c r="M98" s="985"/>
      <c r="N98" s="985"/>
      <c r="O98" s="985"/>
      <c r="Q98" t="s">
        <v>148</v>
      </c>
      <c r="R98">
        <f>COUNTIF($C160:$O160, R$75)+COUNTIF($C157:$O157, R$75)</f>
        <v>0</v>
      </c>
      <c r="S98">
        <f t="shared" ref="S98:AD98" si="48">COUNTIF($C160:$O160, S$75)+COUNTIF($C157:$O157, S$75)</f>
        <v>1</v>
      </c>
      <c r="T98">
        <f t="shared" si="48"/>
        <v>2</v>
      </c>
      <c r="U98">
        <f t="shared" si="48"/>
        <v>1</v>
      </c>
      <c r="V98">
        <f t="shared" si="48"/>
        <v>6</v>
      </c>
      <c r="W98">
        <f t="shared" si="48"/>
        <v>2</v>
      </c>
      <c r="X98">
        <f t="shared" si="48"/>
        <v>1</v>
      </c>
      <c r="Y98">
        <f t="shared" si="48"/>
        <v>0</v>
      </c>
      <c r="Z98">
        <f t="shared" si="48"/>
        <v>0</v>
      </c>
      <c r="AA98">
        <f t="shared" si="48"/>
        <v>0</v>
      </c>
      <c r="AB98">
        <f t="shared" si="48"/>
        <v>0</v>
      </c>
      <c r="AC98">
        <f t="shared" si="48"/>
        <v>0</v>
      </c>
      <c r="AD98">
        <f t="shared" si="48"/>
        <v>0</v>
      </c>
    </row>
    <row r="99" spans="2:30" ht="18" customHeight="1" thickTop="1">
      <c r="B99" s="1721" t="s">
        <v>136</v>
      </c>
      <c r="D99" s="27" t="s">
        <v>44</v>
      </c>
      <c r="E99" s="967" t="s">
        <v>27</v>
      </c>
      <c r="F99" s="27" t="s">
        <v>44</v>
      </c>
      <c r="G99" s="967" t="s">
        <v>27</v>
      </c>
      <c r="H99" s="981" t="s">
        <v>1271</v>
      </c>
      <c r="I99" s="981" t="s">
        <v>1271</v>
      </c>
      <c r="J99" s="967" t="s">
        <v>27</v>
      </c>
      <c r="K99" s="979" t="s">
        <v>120</v>
      </c>
      <c r="L99" s="27" t="s">
        <v>44</v>
      </c>
      <c r="M99" s="968" t="s">
        <v>26</v>
      </c>
      <c r="N99" s="198" t="s">
        <v>234</v>
      </c>
      <c r="O99" s="968" t="s">
        <v>26</v>
      </c>
      <c r="Q99" t="s">
        <v>125</v>
      </c>
      <c r="R99">
        <f>COUNTIF($C163:$O163, R$75)</f>
        <v>0</v>
      </c>
      <c r="S99">
        <f t="shared" ref="S99:AD99" si="49">COUNTIF($C163:$O163, S$75)</f>
        <v>3</v>
      </c>
      <c r="T99">
        <f t="shared" si="49"/>
        <v>4</v>
      </c>
      <c r="U99">
        <f t="shared" si="49"/>
        <v>0</v>
      </c>
      <c r="V99">
        <f t="shared" si="49"/>
        <v>3</v>
      </c>
      <c r="W99">
        <f t="shared" si="49"/>
        <v>1</v>
      </c>
      <c r="X99">
        <f t="shared" si="49"/>
        <v>0</v>
      </c>
      <c r="Y99">
        <f t="shared" si="49"/>
        <v>1</v>
      </c>
      <c r="Z99">
        <f t="shared" si="49"/>
        <v>0</v>
      </c>
      <c r="AA99">
        <f t="shared" si="49"/>
        <v>0</v>
      </c>
      <c r="AB99">
        <f t="shared" si="49"/>
        <v>0</v>
      </c>
      <c r="AC99">
        <f t="shared" si="49"/>
        <v>0</v>
      </c>
      <c r="AD99">
        <f t="shared" si="49"/>
        <v>0</v>
      </c>
    </row>
    <row r="100" spans="2:30">
      <c r="B100" s="1710"/>
      <c r="D100" s="14" t="s">
        <v>20</v>
      </c>
      <c r="E100" s="981" t="s">
        <v>1271</v>
      </c>
      <c r="H100" s="974" t="s">
        <v>1269</v>
      </c>
      <c r="I100" s="422"/>
      <c r="K100" s="27" t="s">
        <v>44</v>
      </c>
      <c r="L100" s="981" t="s">
        <v>1271</v>
      </c>
      <c r="N100" s="27" t="s">
        <v>44</v>
      </c>
      <c r="O100" s="962" t="s">
        <v>216</v>
      </c>
      <c r="Q100" t="s">
        <v>116</v>
      </c>
      <c r="R100">
        <f>COUNTIF($C166:$O166, R$75)+COUNTIF($C169:$O169, R$75)</f>
        <v>0</v>
      </c>
      <c r="S100">
        <f t="shared" ref="S100:AD100" si="50">COUNTIF($C166:$O166, S$75)+COUNTIF($C169:$O169, S$75)</f>
        <v>0</v>
      </c>
      <c r="T100">
        <f t="shared" si="50"/>
        <v>2</v>
      </c>
      <c r="U100">
        <f t="shared" si="50"/>
        <v>2</v>
      </c>
      <c r="V100">
        <f t="shared" si="50"/>
        <v>5</v>
      </c>
      <c r="W100">
        <f t="shared" si="50"/>
        <v>0</v>
      </c>
      <c r="X100">
        <f t="shared" si="50"/>
        <v>0</v>
      </c>
      <c r="Y100">
        <f t="shared" si="50"/>
        <v>1</v>
      </c>
      <c r="Z100">
        <f t="shared" si="50"/>
        <v>0</v>
      </c>
      <c r="AA100">
        <f t="shared" si="50"/>
        <v>0</v>
      </c>
      <c r="AB100">
        <f t="shared" si="50"/>
        <v>0</v>
      </c>
      <c r="AC100">
        <f t="shared" si="50"/>
        <v>0</v>
      </c>
      <c r="AD100">
        <f t="shared" si="50"/>
        <v>0</v>
      </c>
    </row>
    <row r="101" spans="2:30" ht="16.5" thickBot="1">
      <c r="B101" s="1723"/>
      <c r="C101" s="985"/>
      <c r="D101" s="985" t="s">
        <v>186</v>
      </c>
      <c r="E101" s="985" t="s">
        <v>187</v>
      </c>
      <c r="F101" s="985" t="s">
        <v>189</v>
      </c>
      <c r="G101" s="985" t="s">
        <v>187</v>
      </c>
      <c r="H101" s="985" t="s">
        <v>188</v>
      </c>
      <c r="I101" s="985" t="s">
        <v>188</v>
      </c>
      <c r="J101" s="985" t="s">
        <v>190</v>
      </c>
      <c r="K101" s="985" t="s">
        <v>189</v>
      </c>
      <c r="L101" s="985" t="s">
        <v>189</v>
      </c>
      <c r="M101" s="985" t="s">
        <v>187</v>
      </c>
      <c r="N101" s="985" t="s">
        <v>188</v>
      </c>
      <c r="O101" s="985"/>
      <c r="Q101" t="s">
        <v>104</v>
      </c>
      <c r="R101">
        <f>COUNTIF($C172:$O172, R$75)+COUNTIF($C175:$O175, R$75)</f>
        <v>0</v>
      </c>
      <c r="S101">
        <f t="shared" ref="S101:AD101" si="51">COUNTIF($C172:$O172, S$75)+COUNTIF($C175:$O175, S$75)</f>
        <v>5</v>
      </c>
      <c r="T101">
        <f t="shared" si="51"/>
        <v>1</v>
      </c>
      <c r="U101">
        <f t="shared" si="51"/>
        <v>3</v>
      </c>
      <c r="V101">
        <f t="shared" si="51"/>
        <v>0</v>
      </c>
      <c r="W101">
        <f t="shared" si="51"/>
        <v>1</v>
      </c>
      <c r="X101">
        <f t="shared" si="51"/>
        <v>0</v>
      </c>
      <c r="Y101">
        <f t="shared" si="51"/>
        <v>0</v>
      </c>
      <c r="Z101">
        <f t="shared" si="51"/>
        <v>0</v>
      </c>
      <c r="AA101">
        <f t="shared" si="51"/>
        <v>0</v>
      </c>
      <c r="AB101">
        <f t="shared" si="51"/>
        <v>0</v>
      </c>
      <c r="AC101">
        <f t="shared" si="51"/>
        <v>0</v>
      </c>
      <c r="AD101">
        <f t="shared" si="51"/>
        <v>0</v>
      </c>
    </row>
    <row r="102" spans="2:30" ht="17.100000000000001" customHeight="1" thickTop="1">
      <c r="B102" s="1721" t="s">
        <v>137</v>
      </c>
      <c r="C102" s="979" t="s">
        <v>120</v>
      </c>
      <c r="D102" s="981" t="s">
        <v>1271</v>
      </c>
      <c r="E102" s="967" t="s">
        <v>27</v>
      </c>
      <c r="F102" s="979" t="s">
        <v>120</v>
      </c>
      <c r="G102" s="981" t="s">
        <v>1271</v>
      </c>
      <c r="H102" s="27" t="s">
        <v>44</v>
      </c>
      <c r="I102" s="27" t="s">
        <v>44</v>
      </c>
      <c r="J102" s="981" t="s">
        <v>1271</v>
      </c>
      <c r="K102" s="984" t="s">
        <v>24</v>
      </c>
      <c r="L102" s="968" t="s">
        <v>26</v>
      </c>
      <c r="M102" s="980" t="s">
        <v>1272</v>
      </c>
      <c r="Q102" t="s">
        <v>95</v>
      </c>
      <c r="R102">
        <f>COUNTIF($C178:$O178, R$75)+COUNTIF($C181:$O181, R$75)</f>
        <v>1</v>
      </c>
      <c r="S102">
        <f t="shared" ref="S102:AD102" si="52">COUNTIF($C178:$O178, S$75)+COUNTIF($C181:$O181, S$75)</f>
        <v>5</v>
      </c>
      <c r="T102">
        <f t="shared" si="52"/>
        <v>3</v>
      </c>
      <c r="U102">
        <f t="shared" si="52"/>
        <v>2</v>
      </c>
      <c r="V102">
        <f t="shared" si="52"/>
        <v>1</v>
      </c>
      <c r="W102">
        <f t="shared" si="52"/>
        <v>0</v>
      </c>
      <c r="X102">
        <f t="shared" si="52"/>
        <v>0</v>
      </c>
      <c r="Y102">
        <f t="shared" si="52"/>
        <v>0</v>
      </c>
      <c r="Z102">
        <f t="shared" si="52"/>
        <v>0</v>
      </c>
      <c r="AA102">
        <f t="shared" si="52"/>
        <v>0</v>
      </c>
      <c r="AB102">
        <f t="shared" si="52"/>
        <v>0</v>
      </c>
      <c r="AC102">
        <f t="shared" si="52"/>
        <v>0</v>
      </c>
      <c r="AD102">
        <f t="shared" si="52"/>
        <v>0</v>
      </c>
    </row>
    <row r="103" spans="2:30">
      <c r="B103" s="1710"/>
      <c r="E103" s="982" t="s">
        <v>29</v>
      </c>
      <c r="J103" s="979" t="s">
        <v>120</v>
      </c>
      <c r="L103" s="983" t="s">
        <v>124</v>
      </c>
      <c r="Q103" t="s">
        <v>85</v>
      </c>
      <c r="R103">
        <f>COUNTIF($C184:$O184, R$75)+COUNTIF($C186:$O186, R$75)</f>
        <v>0</v>
      </c>
      <c r="S103">
        <f>COUNTIF($C184:$O184, S$75)+COUNTIF($C186:$O186, S$75)</f>
        <v>2</v>
      </c>
      <c r="T103">
        <f t="shared" ref="T103:AD103" si="53">COUNTIF($C184:$O184, T$75)+COUNTIF($C186:$O186, T$75)</f>
        <v>1</v>
      </c>
      <c r="U103">
        <f t="shared" si="53"/>
        <v>2</v>
      </c>
      <c r="V103">
        <f t="shared" si="53"/>
        <v>5</v>
      </c>
      <c r="W103">
        <f t="shared" si="53"/>
        <v>2</v>
      </c>
      <c r="X103">
        <f t="shared" si="53"/>
        <v>1</v>
      </c>
      <c r="Y103">
        <f t="shared" si="53"/>
        <v>1</v>
      </c>
      <c r="Z103">
        <f t="shared" si="53"/>
        <v>0</v>
      </c>
      <c r="AA103">
        <f t="shared" si="53"/>
        <v>0</v>
      </c>
      <c r="AB103">
        <f t="shared" si="53"/>
        <v>0</v>
      </c>
      <c r="AC103">
        <f t="shared" si="53"/>
        <v>0</v>
      </c>
      <c r="AD103">
        <f t="shared" si="53"/>
        <v>0</v>
      </c>
    </row>
    <row r="104" spans="2:30" ht="16.5" thickBot="1">
      <c r="B104" s="1723"/>
      <c r="C104" s="985" t="s">
        <v>187</v>
      </c>
      <c r="D104" s="985" t="s">
        <v>188</v>
      </c>
      <c r="E104" s="985" t="s">
        <v>187</v>
      </c>
      <c r="F104" s="985" t="s">
        <v>190</v>
      </c>
      <c r="G104" s="985" t="s">
        <v>186</v>
      </c>
      <c r="H104" s="985" t="s">
        <v>186</v>
      </c>
      <c r="I104" s="985" t="s">
        <v>188</v>
      </c>
      <c r="J104" s="985" t="s">
        <v>191</v>
      </c>
      <c r="K104" s="985" t="s">
        <v>187</v>
      </c>
      <c r="L104" s="985" t="s">
        <v>188</v>
      </c>
      <c r="M104" s="985" t="s">
        <v>190</v>
      </c>
      <c r="N104" s="985"/>
      <c r="O104" s="985"/>
      <c r="Q104" t="s">
        <v>66</v>
      </c>
      <c r="R104">
        <f>COUNTIF($C191:$O191, R$75)+COUNTIF($C189:$O189, R$75)</f>
        <v>0</v>
      </c>
      <c r="S104">
        <f t="shared" ref="S104:AD104" si="54">COUNTIF($C191:$O191, S$75)+COUNTIF($C189:$O189, S$75)</f>
        <v>2</v>
      </c>
      <c r="T104">
        <f t="shared" si="54"/>
        <v>2</v>
      </c>
      <c r="U104">
        <f t="shared" si="54"/>
        <v>4</v>
      </c>
      <c r="V104">
        <f t="shared" si="54"/>
        <v>1</v>
      </c>
      <c r="W104">
        <f t="shared" si="54"/>
        <v>1</v>
      </c>
      <c r="X104">
        <f t="shared" si="54"/>
        <v>1</v>
      </c>
      <c r="Y104">
        <f t="shared" si="54"/>
        <v>0</v>
      </c>
      <c r="Z104">
        <f t="shared" si="54"/>
        <v>0</v>
      </c>
      <c r="AA104">
        <f t="shared" si="54"/>
        <v>0</v>
      </c>
      <c r="AB104">
        <f t="shared" si="54"/>
        <v>0</v>
      </c>
      <c r="AC104">
        <f t="shared" si="54"/>
        <v>0</v>
      </c>
      <c r="AD104">
        <f t="shared" si="54"/>
        <v>0</v>
      </c>
    </row>
    <row r="105" spans="2:30" ht="16.5" thickTop="1">
      <c r="B105" s="1721" t="s">
        <v>138</v>
      </c>
      <c r="D105" s="27" t="s">
        <v>44</v>
      </c>
      <c r="E105" s="981" t="s">
        <v>1271</v>
      </c>
      <c r="F105" s="27" t="s">
        <v>44</v>
      </c>
      <c r="G105" s="27" t="s">
        <v>44</v>
      </c>
      <c r="H105" s="958" t="s">
        <v>74</v>
      </c>
      <c r="I105" s="27" t="s">
        <v>44</v>
      </c>
      <c r="J105" s="27" t="s">
        <v>44</v>
      </c>
      <c r="K105" s="981" t="s">
        <v>1271</v>
      </c>
      <c r="L105" s="275" t="s">
        <v>397</v>
      </c>
      <c r="Q105" t="s">
        <v>65</v>
      </c>
      <c r="R105">
        <f>COUNTIF($C194:$O194, R$75)</f>
        <v>0</v>
      </c>
      <c r="S105">
        <f t="shared" ref="S105:AD105" si="55">COUNTIF($C194:$O194, S$75)</f>
        <v>2</v>
      </c>
      <c r="T105">
        <f t="shared" si="55"/>
        <v>3</v>
      </c>
      <c r="U105">
        <f t="shared" si="55"/>
        <v>3</v>
      </c>
      <c r="V105">
        <f t="shared" si="55"/>
        <v>0</v>
      </c>
      <c r="W105">
        <f t="shared" si="55"/>
        <v>1</v>
      </c>
      <c r="X105">
        <f t="shared" si="55"/>
        <v>0</v>
      </c>
      <c r="Y105">
        <f t="shared" si="55"/>
        <v>0</v>
      </c>
      <c r="Z105">
        <f t="shared" si="55"/>
        <v>0</v>
      </c>
      <c r="AA105">
        <f t="shared" si="55"/>
        <v>0</v>
      </c>
      <c r="AB105">
        <f t="shared" si="55"/>
        <v>0</v>
      </c>
      <c r="AC105">
        <f t="shared" si="55"/>
        <v>0</v>
      </c>
      <c r="AD105">
        <f t="shared" si="55"/>
        <v>0</v>
      </c>
    </row>
    <row r="106" spans="2:30">
      <c r="B106" s="1710"/>
      <c r="D106" s="977" t="s">
        <v>1270</v>
      </c>
      <c r="F106" s="977" t="s">
        <v>1270</v>
      </c>
      <c r="L106" s="27" t="s">
        <v>44</v>
      </c>
      <c r="Q106" t="s">
        <v>60</v>
      </c>
      <c r="R106">
        <f>COUNTIF($C197:$O197, R$75)+COUNTIF($C200:$O200, R$75)</f>
        <v>0</v>
      </c>
      <c r="S106">
        <f t="shared" ref="S106:AD106" si="56">COUNTIF($C197:$O197, S$75)+COUNTIF($C200:$O200, S$75)</f>
        <v>2</v>
      </c>
      <c r="T106">
        <f t="shared" si="56"/>
        <v>2</v>
      </c>
      <c r="U106">
        <f t="shared" si="56"/>
        <v>1</v>
      </c>
      <c r="V106">
        <f t="shared" si="56"/>
        <v>4</v>
      </c>
      <c r="W106">
        <f t="shared" si="56"/>
        <v>2</v>
      </c>
      <c r="X106">
        <f t="shared" si="56"/>
        <v>1</v>
      </c>
      <c r="Y106">
        <f t="shared" si="56"/>
        <v>0</v>
      </c>
      <c r="Z106">
        <f t="shared" si="56"/>
        <v>0</v>
      </c>
      <c r="AA106">
        <f t="shared" si="56"/>
        <v>0</v>
      </c>
      <c r="AB106">
        <f t="shared" si="56"/>
        <v>0</v>
      </c>
      <c r="AC106">
        <f t="shared" si="56"/>
        <v>0</v>
      </c>
      <c r="AD106">
        <f t="shared" si="56"/>
        <v>0</v>
      </c>
    </row>
    <row r="107" spans="2:30" ht="16.5" thickBot="1">
      <c r="B107" s="1723"/>
      <c r="C107" s="985"/>
      <c r="D107" s="985" t="s">
        <v>189</v>
      </c>
      <c r="E107" s="985" t="s">
        <v>189</v>
      </c>
      <c r="F107" s="985" t="s">
        <v>188</v>
      </c>
      <c r="G107" s="985" t="s">
        <v>190</v>
      </c>
      <c r="H107" s="985" t="s">
        <v>186</v>
      </c>
      <c r="I107" s="985" t="s">
        <v>186</v>
      </c>
      <c r="J107" s="985" t="s">
        <v>187</v>
      </c>
      <c r="K107" s="985" t="s">
        <v>189</v>
      </c>
      <c r="L107" s="985" t="s">
        <v>187</v>
      </c>
      <c r="M107" s="985"/>
      <c r="N107" s="985"/>
      <c r="O107" s="985"/>
      <c r="Q107" t="s">
        <v>35</v>
      </c>
      <c r="R107">
        <f>COUNTIF($C206:$O206, R$75)+COUNTIF($C204:$O204, R$75)</f>
        <v>2</v>
      </c>
      <c r="S107">
        <f t="shared" ref="S107:AD107" si="57">COUNTIF($C206:$O206, S$75)+COUNTIF($C204:$O204, S$75)</f>
        <v>0</v>
      </c>
      <c r="T107">
        <f t="shared" si="57"/>
        <v>2</v>
      </c>
      <c r="U107">
        <f t="shared" si="57"/>
        <v>2</v>
      </c>
      <c r="V107">
        <f t="shared" si="57"/>
        <v>3</v>
      </c>
      <c r="W107">
        <f t="shared" si="57"/>
        <v>0</v>
      </c>
      <c r="X107">
        <f t="shared" si="57"/>
        <v>1</v>
      </c>
      <c r="Y107">
        <f t="shared" si="57"/>
        <v>0</v>
      </c>
      <c r="Z107">
        <f t="shared" si="57"/>
        <v>0</v>
      </c>
      <c r="AA107">
        <f t="shared" si="57"/>
        <v>1</v>
      </c>
      <c r="AB107">
        <f t="shared" si="57"/>
        <v>0</v>
      </c>
      <c r="AC107">
        <f t="shared" si="57"/>
        <v>0</v>
      </c>
      <c r="AD107">
        <f t="shared" si="57"/>
        <v>0</v>
      </c>
    </row>
    <row r="108" spans="2:30" ht="16.5" thickTop="1">
      <c r="B108" s="1721" t="s">
        <v>139</v>
      </c>
      <c r="C108" s="968" t="s">
        <v>26</v>
      </c>
      <c r="D108" s="981" t="s">
        <v>1271</v>
      </c>
      <c r="E108" s="981" t="s">
        <v>1271</v>
      </c>
      <c r="F108" s="14" t="s">
        <v>20</v>
      </c>
      <c r="G108" s="981" t="s">
        <v>1271</v>
      </c>
      <c r="H108" s="967" t="s">
        <v>27</v>
      </c>
      <c r="J108" s="189" t="s">
        <v>47</v>
      </c>
      <c r="K108" s="967" t="s">
        <v>27</v>
      </c>
      <c r="L108" s="982" t="s">
        <v>29</v>
      </c>
      <c r="M108" s="982" t="s">
        <v>29</v>
      </c>
      <c r="N108" s="980" t="s">
        <v>1272</v>
      </c>
      <c r="Q108" t="s">
        <v>11</v>
      </c>
      <c r="R108">
        <f>COUNTIF($C209:$O209, R$75)+COUNTIF($C211:$O211, R$75)</f>
        <v>1</v>
      </c>
      <c r="S108">
        <f>COUNTIF($C209:$O209, S$75)+COUNTIF($C211:$O211, S$75)</f>
        <v>3</v>
      </c>
      <c r="T108">
        <f t="shared" ref="T108:AD108" si="58">COUNTIF($C209:$O209, T$75)+COUNTIF($C211:$O211, T$75)</f>
        <v>3</v>
      </c>
      <c r="U108">
        <f t="shared" si="58"/>
        <v>2</v>
      </c>
      <c r="V108">
        <f t="shared" si="58"/>
        <v>1</v>
      </c>
      <c r="W108">
        <f t="shared" si="58"/>
        <v>1</v>
      </c>
      <c r="X108">
        <f t="shared" si="58"/>
        <v>0</v>
      </c>
      <c r="Y108">
        <f t="shared" si="58"/>
        <v>0</v>
      </c>
      <c r="Z108">
        <f t="shared" si="58"/>
        <v>0</v>
      </c>
      <c r="AA108">
        <f t="shared" si="58"/>
        <v>0</v>
      </c>
      <c r="AB108">
        <f t="shared" si="58"/>
        <v>0</v>
      </c>
      <c r="AC108">
        <f t="shared" si="58"/>
        <v>0</v>
      </c>
      <c r="AD108">
        <f t="shared" si="58"/>
        <v>0</v>
      </c>
    </row>
    <row r="109" spans="2:30">
      <c r="B109" s="1710"/>
      <c r="C109" s="990"/>
      <c r="D109" s="58" t="s">
        <v>2479</v>
      </c>
      <c r="E109" s="960" t="s">
        <v>43</v>
      </c>
      <c r="F109" s="980" t="s">
        <v>1272</v>
      </c>
      <c r="L109" s="983" t="s">
        <v>124</v>
      </c>
      <c r="Q109" t="s">
        <v>198</v>
      </c>
      <c r="R109">
        <f>COUNTIF($C214:$O214, R$75)+COUNTIF($C217:$O217, R$75)</f>
        <v>0</v>
      </c>
      <c r="S109">
        <f t="shared" ref="S109:AD109" si="59">COUNTIF($C214:$O214, S$75)+COUNTIF($C217:$O217, S$75)</f>
        <v>5</v>
      </c>
      <c r="T109">
        <f t="shared" si="59"/>
        <v>3</v>
      </c>
      <c r="U109">
        <f t="shared" si="59"/>
        <v>2</v>
      </c>
      <c r="V109">
        <f t="shared" si="59"/>
        <v>0</v>
      </c>
      <c r="W109">
        <f t="shared" si="59"/>
        <v>1</v>
      </c>
      <c r="X109">
        <f t="shared" si="59"/>
        <v>0</v>
      </c>
      <c r="Y109">
        <f t="shared" si="59"/>
        <v>1</v>
      </c>
      <c r="Z109">
        <f t="shared" si="59"/>
        <v>0</v>
      </c>
      <c r="AA109">
        <f t="shared" si="59"/>
        <v>0</v>
      </c>
      <c r="AB109">
        <f t="shared" si="59"/>
        <v>0</v>
      </c>
      <c r="AC109">
        <f t="shared" si="59"/>
        <v>0</v>
      </c>
      <c r="AD109">
        <f t="shared" si="59"/>
        <v>0</v>
      </c>
    </row>
    <row r="110" spans="2:30">
      <c r="B110" s="1710"/>
      <c r="D110" s="968" t="s">
        <v>26</v>
      </c>
      <c r="Q110" t="s">
        <v>184</v>
      </c>
      <c r="R110">
        <f>COUNTIF($C220:$O220, R$75)+COUNTIF($C223:$O223, R$75)</f>
        <v>0</v>
      </c>
      <c r="S110">
        <f t="shared" ref="S110:AD110" si="60">COUNTIF($C220:$O220, S$75)+COUNTIF($C223:$O223, S$75)</f>
        <v>6</v>
      </c>
      <c r="T110">
        <f t="shared" si="60"/>
        <v>1</v>
      </c>
      <c r="U110">
        <f t="shared" si="60"/>
        <v>1</v>
      </c>
      <c r="V110">
        <f t="shared" si="60"/>
        <v>2</v>
      </c>
      <c r="W110">
        <f t="shared" si="60"/>
        <v>2</v>
      </c>
      <c r="X110">
        <f t="shared" si="60"/>
        <v>0</v>
      </c>
      <c r="Y110">
        <f t="shared" si="60"/>
        <v>0</v>
      </c>
      <c r="Z110">
        <f t="shared" si="60"/>
        <v>0</v>
      </c>
      <c r="AA110">
        <f t="shared" si="60"/>
        <v>0</v>
      </c>
      <c r="AB110">
        <f t="shared" si="60"/>
        <v>0</v>
      </c>
      <c r="AC110">
        <f t="shared" si="60"/>
        <v>0</v>
      </c>
      <c r="AD110">
        <f t="shared" si="60"/>
        <v>0</v>
      </c>
    </row>
    <row r="111" spans="2:30" ht="16.5" thickBot="1">
      <c r="B111" s="1723"/>
      <c r="C111" s="985" t="s">
        <v>187</v>
      </c>
      <c r="D111" s="985" t="s">
        <v>186</v>
      </c>
      <c r="E111" s="985" t="s">
        <v>186</v>
      </c>
      <c r="F111" s="985" t="s">
        <v>190</v>
      </c>
      <c r="G111" s="985" t="s">
        <v>188</v>
      </c>
      <c r="H111" s="985" t="s">
        <v>187</v>
      </c>
      <c r="I111" s="985"/>
      <c r="J111" s="985" t="s">
        <v>186</v>
      </c>
      <c r="K111" s="985" t="s">
        <v>188</v>
      </c>
      <c r="L111" s="985" t="s">
        <v>186</v>
      </c>
      <c r="M111" s="985" t="s">
        <v>191</v>
      </c>
      <c r="N111" s="985" t="s">
        <v>188</v>
      </c>
      <c r="O111" s="985"/>
      <c r="Q111" t="s">
        <v>563</v>
      </c>
      <c r="R111">
        <f>COUNTIF($C230:$O230, R$75)+COUNTIF($C227:$O227, R$75)</f>
        <v>0</v>
      </c>
      <c r="S111">
        <f t="shared" ref="S111:AD111" si="61">COUNTIF($C230:$O230, S$75)+COUNTIF($C227:$O227, S$75)</f>
        <v>4</v>
      </c>
      <c r="T111">
        <f t="shared" si="61"/>
        <v>2</v>
      </c>
      <c r="U111">
        <f t="shared" si="61"/>
        <v>5</v>
      </c>
      <c r="V111">
        <f t="shared" si="61"/>
        <v>0</v>
      </c>
      <c r="W111">
        <f t="shared" si="61"/>
        <v>2</v>
      </c>
      <c r="X111">
        <f t="shared" si="61"/>
        <v>1</v>
      </c>
      <c r="Y111">
        <f t="shared" si="61"/>
        <v>0</v>
      </c>
      <c r="Z111">
        <f t="shared" si="61"/>
        <v>0</v>
      </c>
      <c r="AA111">
        <f t="shared" si="61"/>
        <v>0</v>
      </c>
      <c r="AB111">
        <f t="shared" si="61"/>
        <v>0</v>
      </c>
      <c r="AC111">
        <f t="shared" si="61"/>
        <v>0</v>
      </c>
      <c r="AD111">
        <f t="shared" si="61"/>
        <v>0</v>
      </c>
    </row>
    <row r="112" spans="2:30" ht="18" customHeight="1" thickTop="1">
      <c r="B112" s="1721" t="s">
        <v>140</v>
      </c>
      <c r="C112" s="982" t="s">
        <v>29</v>
      </c>
      <c r="D112" s="981" t="s">
        <v>1271</v>
      </c>
      <c r="E112" s="977" t="s">
        <v>1270</v>
      </c>
      <c r="F112" s="959" t="s">
        <v>155</v>
      </c>
      <c r="G112" s="27" t="s">
        <v>44</v>
      </c>
      <c r="H112" s="14" t="s">
        <v>20</v>
      </c>
      <c r="I112" s="275" t="s">
        <v>397</v>
      </c>
      <c r="J112" s="981" t="s">
        <v>1271</v>
      </c>
      <c r="K112" s="27" t="s">
        <v>44</v>
      </c>
      <c r="L112" s="27" t="s">
        <v>44</v>
      </c>
      <c r="M112" s="11" t="s">
        <v>46</v>
      </c>
      <c r="N112" s="968" t="s">
        <v>26</v>
      </c>
      <c r="Q112" t="s">
        <v>1742</v>
      </c>
      <c r="R112">
        <f>COUNTIF($C233:$O233, R$75)+COUNTIF($C235:$O235, R$75)</f>
        <v>0</v>
      </c>
      <c r="S112">
        <f t="shared" ref="S112:AD112" si="62">COUNTIF($C233:$O233, S$75)+COUNTIF($C235:$O235, S$75)</f>
        <v>1</v>
      </c>
      <c r="T112">
        <f t="shared" si="62"/>
        <v>5</v>
      </c>
      <c r="U112">
        <f t="shared" si="62"/>
        <v>1</v>
      </c>
      <c r="V112">
        <f t="shared" si="62"/>
        <v>2</v>
      </c>
      <c r="W112">
        <f t="shared" si="62"/>
        <v>0</v>
      </c>
      <c r="X112">
        <f t="shared" si="62"/>
        <v>2</v>
      </c>
      <c r="Y112">
        <f t="shared" si="62"/>
        <v>1</v>
      </c>
      <c r="Z112">
        <f t="shared" si="62"/>
        <v>1</v>
      </c>
      <c r="AA112">
        <f t="shared" si="62"/>
        <v>0</v>
      </c>
      <c r="AB112">
        <f t="shared" si="62"/>
        <v>0</v>
      </c>
      <c r="AC112">
        <f t="shared" si="62"/>
        <v>0</v>
      </c>
      <c r="AD112">
        <f t="shared" si="62"/>
        <v>0</v>
      </c>
    </row>
    <row r="113" spans="2:32">
      <c r="B113" s="1710"/>
      <c r="C113" s="422"/>
      <c r="F113" s="422"/>
      <c r="J113" s="27" t="s">
        <v>44</v>
      </c>
      <c r="K113" s="14" t="s">
        <v>20</v>
      </c>
      <c r="M113" s="982" t="s">
        <v>29</v>
      </c>
      <c r="Q113" t="s">
        <v>2056</v>
      </c>
      <c r="R113">
        <f>COUNTIF($C241:$O241, R$75)+COUNTIF($C238:$O238, R$75)</f>
        <v>0</v>
      </c>
      <c r="S113">
        <f t="shared" ref="S113:AD113" si="63">COUNTIF($C241:$O241, S$75)+COUNTIF($C238:$O238, S$75)</f>
        <v>4</v>
      </c>
      <c r="T113">
        <f t="shared" si="63"/>
        <v>1</v>
      </c>
      <c r="U113">
        <f t="shared" si="63"/>
        <v>1</v>
      </c>
      <c r="V113">
        <f t="shared" si="63"/>
        <v>3</v>
      </c>
      <c r="W113">
        <f t="shared" si="63"/>
        <v>3</v>
      </c>
      <c r="X113">
        <f t="shared" si="63"/>
        <v>0</v>
      </c>
      <c r="Y113">
        <f t="shared" si="63"/>
        <v>0</v>
      </c>
      <c r="Z113">
        <f t="shared" si="63"/>
        <v>1</v>
      </c>
      <c r="AA113">
        <f t="shared" si="63"/>
        <v>0</v>
      </c>
      <c r="AB113">
        <f t="shared" si="63"/>
        <v>0</v>
      </c>
      <c r="AC113">
        <f t="shared" si="63"/>
        <v>0</v>
      </c>
      <c r="AD113">
        <f t="shared" si="63"/>
        <v>0</v>
      </c>
    </row>
    <row r="114" spans="2:32">
      <c r="B114" s="1710"/>
      <c r="C114" s="861" t="s">
        <v>186</v>
      </c>
      <c r="D114" s="861" t="s">
        <v>189</v>
      </c>
      <c r="E114" s="861" t="s">
        <v>189</v>
      </c>
      <c r="F114" s="861" t="s">
        <v>189</v>
      </c>
      <c r="G114" s="861" t="s">
        <v>188</v>
      </c>
      <c r="H114" s="861" t="s">
        <v>186</v>
      </c>
      <c r="I114" s="861" t="s">
        <v>187</v>
      </c>
      <c r="J114" s="861" t="s">
        <v>189</v>
      </c>
      <c r="K114" s="861" t="s">
        <v>187</v>
      </c>
      <c r="L114" s="861" t="s">
        <v>189</v>
      </c>
      <c r="M114" s="861" t="s">
        <v>186</v>
      </c>
      <c r="N114" s="861" t="s">
        <v>187</v>
      </c>
      <c r="O114" s="861"/>
      <c r="Q114" s="287" t="s">
        <v>200</v>
      </c>
      <c r="R114" s="35">
        <f>SUM(R76:R113)</f>
        <v>4</v>
      </c>
      <c r="S114" s="35">
        <f t="shared" ref="S114:AD114" si="64">SUM(S76:S113)</f>
        <v>82</v>
      </c>
      <c r="T114" s="35">
        <f t="shared" si="64"/>
        <v>87</v>
      </c>
      <c r="U114" s="35">
        <f t="shared" si="64"/>
        <v>85</v>
      </c>
      <c r="V114" s="35">
        <f t="shared" si="64"/>
        <v>89</v>
      </c>
      <c r="W114" s="35">
        <f t="shared" si="64"/>
        <v>62</v>
      </c>
      <c r="X114" s="35">
        <f t="shared" si="64"/>
        <v>25</v>
      </c>
      <c r="Y114" s="35">
        <f t="shared" si="64"/>
        <v>10</v>
      </c>
      <c r="Z114" s="35">
        <f t="shared" si="64"/>
        <v>3</v>
      </c>
      <c r="AA114" s="35">
        <f t="shared" si="64"/>
        <v>2</v>
      </c>
      <c r="AB114" s="35">
        <f t="shared" si="64"/>
        <v>0</v>
      </c>
      <c r="AC114" s="35">
        <f t="shared" si="64"/>
        <v>2</v>
      </c>
      <c r="AD114" s="35">
        <f t="shared" si="64"/>
        <v>0</v>
      </c>
    </row>
    <row r="115" spans="2:32">
      <c r="B115" s="1710"/>
      <c r="C115" s="987"/>
      <c r="F115" s="987"/>
      <c r="K115" s="12"/>
      <c r="M115" s="14" t="s">
        <v>20</v>
      </c>
    </row>
    <row r="116" spans="2:32" ht="19.5" thickBot="1">
      <c r="B116" s="1723"/>
      <c r="C116" s="985"/>
      <c r="D116" s="985"/>
      <c r="E116" s="985"/>
      <c r="F116" s="985"/>
      <c r="G116" s="985"/>
      <c r="H116" s="985"/>
      <c r="I116" s="985"/>
      <c r="J116" s="985"/>
      <c r="K116" s="985"/>
      <c r="L116" s="985"/>
      <c r="M116" s="985" t="s">
        <v>188</v>
      </c>
      <c r="N116" s="985"/>
      <c r="O116" s="860"/>
      <c r="Q116" s="69" t="s">
        <v>2616</v>
      </c>
    </row>
    <row r="117" spans="2:32" ht="16.5" thickTop="1">
      <c r="B117" s="1721" t="s">
        <v>141</v>
      </c>
      <c r="C117" s="968" t="s">
        <v>26</v>
      </c>
      <c r="D117" s="967" t="s">
        <v>27</v>
      </c>
      <c r="E117" s="974" t="s">
        <v>1269</v>
      </c>
      <c r="F117" s="968" t="s">
        <v>26</v>
      </c>
      <c r="H117" s="27" t="s">
        <v>44</v>
      </c>
      <c r="I117" s="962" t="s">
        <v>216</v>
      </c>
      <c r="J117" s="981" t="s">
        <v>1271</v>
      </c>
      <c r="K117" s="196" t="s">
        <v>114</v>
      </c>
      <c r="L117" s="11" t="s">
        <v>46</v>
      </c>
      <c r="M117" s="275" t="s">
        <v>397</v>
      </c>
      <c r="N117" s="968" t="s">
        <v>26</v>
      </c>
      <c r="Q117" s="650" t="s">
        <v>19</v>
      </c>
      <c r="R117" s="650" t="s">
        <v>1</v>
      </c>
      <c r="S117" s="650" t="s">
        <v>2</v>
      </c>
      <c r="T117" s="650" t="s">
        <v>3</v>
      </c>
      <c r="U117" s="650" t="s">
        <v>4</v>
      </c>
      <c r="V117" s="650" t="s">
        <v>5</v>
      </c>
      <c r="W117" s="650" t="s">
        <v>6</v>
      </c>
      <c r="X117" s="650" t="s">
        <v>7</v>
      </c>
      <c r="Y117" s="650" t="s">
        <v>8</v>
      </c>
      <c r="Z117" s="650" t="s">
        <v>9</v>
      </c>
      <c r="AA117" s="650" t="s">
        <v>10</v>
      </c>
      <c r="AB117" s="650" t="s">
        <v>36</v>
      </c>
      <c r="AC117" s="650" t="s">
        <v>37</v>
      </c>
      <c r="AD117" s="650" t="s">
        <v>344</v>
      </c>
      <c r="AE117" s="928" t="s">
        <v>200</v>
      </c>
    </row>
    <row r="118" spans="2:32">
      <c r="B118" s="1710"/>
      <c r="J118" s="189" t="s">
        <v>47</v>
      </c>
      <c r="Q118" s="903" t="s">
        <v>27</v>
      </c>
      <c r="R118" s="319" t="str">
        <f t="shared" ref="R118:R145" si="65">IF(COUNTIF(C$60:C$241,$Q118)&gt;0,COUNTIF(C$60:C$241,$Q118), "")</f>
        <v/>
      </c>
      <c r="S118" s="319">
        <f t="shared" ref="S118:S145" si="66">IF(COUNTIF(D$60:D$241,$Q118)&gt;0,COUNTIF(D$60:D$241,$Q118), "")</f>
        <v>4</v>
      </c>
      <c r="T118" s="319">
        <f t="shared" ref="T118:T145" si="67">IF(COUNTIF(E$60:E$241,$Q118)&gt;0,COUNTIF(E$60:E$241,$Q118), "")</f>
        <v>2</v>
      </c>
      <c r="U118" s="319">
        <f t="shared" ref="U118:U145" si="68">IF(COUNTIF(F$60:F$241,$Q118)&gt;0,COUNTIF(F$60:F$241,$Q118), "")</f>
        <v>3</v>
      </c>
      <c r="V118" s="319">
        <f t="shared" ref="V118:V145" si="69">IF(COUNTIF(G$60:G$241,$Q118)&gt;0,COUNTIF(G$60:G$241,$Q118), "")</f>
        <v>3</v>
      </c>
      <c r="W118" s="319">
        <f t="shared" ref="W118:W145" si="70">IF(COUNTIF(H$60:H$241,$Q118)&gt;0,COUNTIF(H$60:H$241,$Q118), "")</f>
        <v>3</v>
      </c>
      <c r="X118" s="319">
        <f t="shared" ref="X118:X145" si="71">IF(COUNTIF(I$60:I$241,$Q118)&gt;0,COUNTIF(I$60:I$241,$Q118), "")</f>
        <v>3</v>
      </c>
      <c r="Y118" s="319">
        <f t="shared" ref="Y118:Y145" si="72">IF(COUNTIF(J$60:J$241,$Q118)&gt;0,COUNTIF(J$60:J$241,$Q118), "")</f>
        <v>2</v>
      </c>
      <c r="Z118" s="319">
        <f t="shared" ref="Z118:Z145" si="73">IF(COUNTIF(K$60:K$241,$Q118)&gt;0,COUNTIF(K$60:K$241,$Q118), "")</f>
        <v>4</v>
      </c>
      <c r="AA118" s="319">
        <f t="shared" ref="AA118:AA145" si="74">IF(COUNTIF(L$60:L$241,$Q118)&gt;0,COUNTIF(L$60:L$241,$Q118), "")</f>
        <v>1</v>
      </c>
      <c r="AB118" s="319">
        <f t="shared" ref="AB118:AB145" si="75">IF(COUNTIF(M$60:M$241,$Q118)&gt;0,COUNTIF(M$60:M$241,$Q118), "")</f>
        <v>1</v>
      </c>
      <c r="AC118" s="319" t="str">
        <f t="shared" ref="AC118:AC145" si="76">IF(COUNTIF(N$60:N$241,$Q118)&gt;0,COUNTIF(N$60:N$241,$Q118), "")</f>
        <v/>
      </c>
      <c r="AD118" s="319" t="str">
        <f t="shared" ref="AD118:AD145" si="77">IF(COUNTIF(O$60:O$241,$Q118)&gt;0,COUNTIF(O$60:O$241,$Q118), "")</f>
        <v/>
      </c>
      <c r="AE118" s="929">
        <f>SUM(R118:AD118)</f>
        <v>26</v>
      </c>
      <c r="AF118" s="592"/>
    </row>
    <row r="119" spans="2:32">
      <c r="B119" s="1710"/>
      <c r="C119" s="861" t="s">
        <v>186</v>
      </c>
      <c r="D119" s="861" t="s">
        <v>188</v>
      </c>
      <c r="E119" s="861" t="s">
        <v>187</v>
      </c>
      <c r="F119" s="861" t="s">
        <v>186</v>
      </c>
      <c r="G119" s="861"/>
      <c r="H119" s="861" t="s">
        <v>187</v>
      </c>
      <c r="I119" s="861" t="s">
        <v>189</v>
      </c>
      <c r="J119" s="861" t="s">
        <v>189</v>
      </c>
      <c r="K119" s="861" t="s">
        <v>190</v>
      </c>
      <c r="L119" s="861" t="s">
        <v>186</v>
      </c>
      <c r="M119" s="861" t="s">
        <v>188</v>
      </c>
      <c r="N119" s="861" t="s">
        <v>187</v>
      </c>
      <c r="O119" s="861"/>
      <c r="Q119" s="904" t="s">
        <v>1270</v>
      </c>
      <c r="R119" s="33">
        <f t="shared" si="65"/>
        <v>1</v>
      </c>
      <c r="S119" s="33">
        <f t="shared" si="66"/>
        <v>7</v>
      </c>
      <c r="T119" s="33">
        <f t="shared" si="67"/>
        <v>4</v>
      </c>
      <c r="U119" s="33">
        <f t="shared" si="68"/>
        <v>4</v>
      </c>
      <c r="V119" s="33">
        <f t="shared" si="69"/>
        <v>6</v>
      </c>
      <c r="W119" s="33">
        <f t="shared" si="70"/>
        <v>2</v>
      </c>
      <c r="X119" s="33">
        <f t="shared" si="71"/>
        <v>3</v>
      </c>
      <c r="Y119" s="33">
        <f t="shared" si="72"/>
        <v>8</v>
      </c>
      <c r="Z119" s="33">
        <f t="shared" si="73"/>
        <v>4</v>
      </c>
      <c r="AA119" s="33">
        <f t="shared" si="74"/>
        <v>5</v>
      </c>
      <c r="AB119" s="33">
        <f t="shared" si="75"/>
        <v>2</v>
      </c>
      <c r="AC119" s="33">
        <f t="shared" si="76"/>
        <v>1</v>
      </c>
      <c r="AD119" s="33" t="str">
        <f t="shared" si="77"/>
        <v/>
      </c>
      <c r="AE119" s="929">
        <f t="shared" ref="AE119:AE145" si="78">SUM(R119:AD119)</f>
        <v>47</v>
      </c>
      <c r="AF119" s="591"/>
    </row>
    <row r="120" spans="2:32">
      <c r="B120" s="1710"/>
      <c r="L120" s="27" t="s">
        <v>44</v>
      </c>
      <c r="Q120" s="896" t="s">
        <v>43</v>
      </c>
      <c r="R120" s="587">
        <f t="shared" si="65"/>
        <v>1</v>
      </c>
      <c r="S120" s="587">
        <f t="shared" si="66"/>
        <v>2</v>
      </c>
      <c r="T120" s="587">
        <f t="shared" si="67"/>
        <v>4</v>
      </c>
      <c r="U120" s="587" t="str">
        <f t="shared" si="68"/>
        <v/>
      </c>
      <c r="V120" s="587">
        <f t="shared" si="69"/>
        <v>1</v>
      </c>
      <c r="W120" s="587">
        <f t="shared" si="70"/>
        <v>2</v>
      </c>
      <c r="X120" s="587" t="str">
        <f t="shared" si="71"/>
        <v/>
      </c>
      <c r="Y120" s="587">
        <f t="shared" si="72"/>
        <v>2</v>
      </c>
      <c r="Z120" s="587">
        <f t="shared" si="73"/>
        <v>1</v>
      </c>
      <c r="AA120" s="587">
        <f t="shared" si="74"/>
        <v>2</v>
      </c>
      <c r="AB120" s="587">
        <f t="shared" si="75"/>
        <v>1</v>
      </c>
      <c r="AC120" s="587">
        <f t="shared" si="76"/>
        <v>2</v>
      </c>
      <c r="AD120" s="587" t="str">
        <f t="shared" si="77"/>
        <v/>
      </c>
      <c r="AE120" s="929">
        <f t="shared" si="78"/>
        <v>18</v>
      </c>
      <c r="AF120" s="723"/>
    </row>
    <row r="121" spans="2:32">
      <c r="B121" s="1710"/>
      <c r="L121" s="14" t="s">
        <v>20</v>
      </c>
      <c r="Q121" s="905" t="s">
        <v>120</v>
      </c>
      <c r="R121" s="66">
        <f t="shared" si="65"/>
        <v>1</v>
      </c>
      <c r="S121" s="66" t="str">
        <f t="shared" si="66"/>
        <v/>
      </c>
      <c r="T121" s="66">
        <f t="shared" si="67"/>
        <v>1</v>
      </c>
      <c r="U121" s="66">
        <f t="shared" si="68"/>
        <v>1</v>
      </c>
      <c r="V121" s="66" t="str">
        <f t="shared" si="69"/>
        <v/>
      </c>
      <c r="W121" s="66" t="str">
        <f t="shared" si="70"/>
        <v/>
      </c>
      <c r="X121" s="66">
        <f t="shared" si="71"/>
        <v>1</v>
      </c>
      <c r="Y121" s="66">
        <f t="shared" si="72"/>
        <v>1</v>
      </c>
      <c r="Z121" s="66">
        <f t="shared" si="73"/>
        <v>4</v>
      </c>
      <c r="AA121" s="66">
        <f t="shared" si="74"/>
        <v>2</v>
      </c>
      <c r="AB121" s="66">
        <f t="shared" si="75"/>
        <v>1</v>
      </c>
      <c r="AC121" s="66" t="str">
        <f t="shared" si="76"/>
        <v/>
      </c>
      <c r="AD121" s="66" t="str">
        <f t="shared" si="77"/>
        <v/>
      </c>
      <c r="AE121" s="929">
        <f t="shared" si="78"/>
        <v>12</v>
      </c>
      <c r="AF121" s="592"/>
    </row>
    <row r="122" spans="2:32" ht="16.5" thickBot="1">
      <c r="B122" s="1723"/>
      <c r="C122" s="985"/>
      <c r="D122" s="985"/>
      <c r="E122" s="985"/>
      <c r="F122" s="985"/>
      <c r="G122" s="985"/>
      <c r="H122" s="985"/>
      <c r="I122" s="985"/>
      <c r="J122" s="985"/>
      <c r="K122" s="985"/>
      <c r="L122" s="985" t="s">
        <v>190</v>
      </c>
      <c r="M122" s="985"/>
      <c r="N122" s="985"/>
      <c r="O122" s="985"/>
      <c r="Q122" s="906" t="s">
        <v>47</v>
      </c>
      <c r="R122" s="642" t="str">
        <f t="shared" si="65"/>
        <v/>
      </c>
      <c r="S122" s="642">
        <f t="shared" si="66"/>
        <v>1</v>
      </c>
      <c r="T122" s="642">
        <f t="shared" si="67"/>
        <v>2</v>
      </c>
      <c r="U122" s="642">
        <f t="shared" si="68"/>
        <v>5</v>
      </c>
      <c r="V122" s="642">
        <f t="shared" si="69"/>
        <v>9</v>
      </c>
      <c r="W122" s="642">
        <f t="shared" si="70"/>
        <v>2</v>
      </c>
      <c r="X122" s="642">
        <f t="shared" si="71"/>
        <v>2</v>
      </c>
      <c r="Y122" s="642">
        <f t="shared" si="72"/>
        <v>3</v>
      </c>
      <c r="Z122" s="642">
        <f t="shared" si="73"/>
        <v>5</v>
      </c>
      <c r="AA122" s="642">
        <f t="shared" si="74"/>
        <v>1</v>
      </c>
      <c r="AB122" s="642">
        <f t="shared" si="75"/>
        <v>1</v>
      </c>
      <c r="AC122" s="642" t="str">
        <f t="shared" si="76"/>
        <v/>
      </c>
      <c r="AD122" s="642" t="str">
        <f t="shared" si="77"/>
        <v/>
      </c>
      <c r="AE122" s="929">
        <f t="shared" si="78"/>
        <v>31</v>
      </c>
      <c r="AF122" s="722"/>
    </row>
    <row r="123" spans="2:32" ht="18" customHeight="1" thickTop="1">
      <c r="B123" s="1721" t="s">
        <v>142</v>
      </c>
      <c r="C123" s="974" t="s">
        <v>1269</v>
      </c>
      <c r="D123" s="961" t="s">
        <v>339</v>
      </c>
      <c r="E123" s="981" t="s">
        <v>1271</v>
      </c>
      <c r="F123" s="967" t="s">
        <v>27</v>
      </c>
      <c r="G123" s="968" t="s">
        <v>26</v>
      </c>
      <c r="H123" s="27" t="s">
        <v>44</v>
      </c>
      <c r="I123" s="974" t="s">
        <v>1269</v>
      </c>
      <c r="J123" s="968" t="s">
        <v>26</v>
      </c>
      <c r="K123" s="977" t="s">
        <v>1270</v>
      </c>
      <c r="L123" s="27" t="s">
        <v>44</v>
      </c>
      <c r="M123" s="27" t="s">
        <v>44</v>
      </c>
      <c r="N123" s="977" t="s">
        <v>1270</v>
      </c>
      <c r="Q123" s="907" t="s">
        <v>46</v>
      </c>
      <c r="R123" t="str">
        <f t="shared" si="65"/>
        <v/>
      </c>
      <c r="S123" t="str">
        <f t="shared" si="66"/>
        <v/>
      </c>
      <c r="T123">
        <f t="shared" si="67"/>
        <v>1</v>
      </c>
      <c r="U123" t="str">
        <f t="shared" si="68"/>
        <v/>
      </c>
      <c r="V123" t="str">
        <f t="shared" si="69"/>
        <v/>
      </c>
      <c r="W123" t="str">
        <f t="shared" si="70"/>
        <v/>
      </c>
      <c r="X123">
        <f t="shared" si="71"/>
        <v>1</v>
      </c>
      <c r="Y123">
        <f t="shared" si="72"/>
        <v>1</v>
      </c>
      <c r="Z123">
        <f t="shared" si="73"/>
        <v>1</v>
      </c>
      <c r="AA123">
        <f t="shared" si="74"/>
        <v>2</v>
      </c>
      <c r="AB123">
        <f t="shared" si="75"/>
        <v>2</v>
      </c>
      <c r="AC123" t="str">
        <f t="shared" si="76"/>
        <v/>
      </c>
      <c r="AD123" t="str">
        <f t="shared" si="77"/>
        <v/>
      </c>
      <c r="AE123" s="929">
        <f t="shared" si="78"/>
        <v>8</v>
      </c>
      <c r="AF123" s="592"/>
    </row>
    <row r="124" spans="2:32">
      <c r="B124" s="1710"/>
      <c r="E124" s="974" t="s">
        <v>1269</v>
      </c>
      <c r="H124" s="981" t="s">
        <v>1271</v>
      </c>
      <c r="J124" s="27" t="s">
        <v>44</v>
      </c>
      <c r="K124" s="189" t="s">
        <v>47</v>
      </c>
      <c r="M124" s="977" t="s">
        <v>1270</v>
      </c>
      <c r="Q124" s="908" t="s">
        <v>397</v>
      </c>
      <c r="R124" s="588" t="str">
        <f t="shared" si="65"/>
        <v/>
      </c>
      <c r="S124" s="588" t="str">
        <f t="shared" si="66"/>
        <v/>
      </c>
      <c r="T124" s="588" t="str">
        <f t="shared" si="67"/>
        <v/>
      </c>
      <c r="U124" s="588" t="str">
        <f t="shared" si="68"/>
        <v/>
      </c>
      <c r="V124" s="588" t="str">
        <f t="shared" si="69"/>
        <v/>
      </c>
      <c r="W124" s="588" t="str">
        <f t="shared" si="70"/>
        <v/>
      </c>
      <c r="X124" s="588">
        <f t="shared" si="71"/>
        <v>2</v>
      </c>
      <c r="Y124" s="588" t="str">
        <f t="shared" si="72"/>
        <v/>
      </c>
      <c r="Z124" s="588" t="str">
        <f t="shared" si="73"/>
        <v/>
      </c>
      <c r="AA124" s="588">
        <f t="shared" si="74"/>
        <v>2</v>
      </c>
      <c r="AB124" s="588">
        <f t="shared" si="75"/>
        <v>1</v>
      </c>
      <c r="AC124" s="588" t="str">
        <f t="shared" si="76"/>
        <v/>
      </c>
      <c r="AD124" s="588" t="str">
        <f t="shared" si="77"/>
        <v/>
      </c>
      <c r="AE124" s="929">
        <f t="shared" si="78"/>
        <v>5</v>
      </c>
      <c r="AF124" s="591"/>
    </row>
    <row r="125" spans="2:32" ht="16.5" thickBot="1">
      <c r="B125" s="1723"/>
      <c r="C125" s="995" t="s">
        <v>188</v>
      </c>
      <c r="D125" s="995" t="s">
        <v>187</v>
      </c>
      <c r="E125" s="995" t="s">
        <v>186</v>
      </c>
      <c r="F125" s="996" t="s">
        <v>188</v>
      </c>
      <c r="G125" s="995" t="s">
        <v>188</v>
      </c>
      <c r="H125" s="995" t="s">
        <v>189</v>
      </c>
      <c r="I125" s="995" t="s">
        <v>190</v>
      </c>
      <c r="J125" s="995" t="s">
        <v>187</v>
      </c>
      <c r="K125" s="995" t="s">
        <v>189</v>
      </c>
      <c r="L125" s="995" t="s">
        <v>187</v>
      </c>
      <c r="M125" s="995" t="s">
        <v>188</v>
      </c>
      <c r="N125" s="995" t="s">
        <v>188</v>
      </c>
      <c r="O125" s="995"/>
      <c r="Q125" s="909" t="s">
        <v>155</v>
      </c>
      <c r="R125" s="233" t="str">
        <f t="shared" si="65"/>
        <v/>
      </c>
      <c r="S125" s="233">
        <f t="shared" si="66"/>
        <v>1</v>
      </c>
      <c r="T125" s="233">
        <f t="shared" si="67"/>
        <v>2</v>
      </c>
      <c r="U125" s="233">
        <f t="shared" si="68"/>
        <v>1</v>
      </c>
      <c r="V125" s="233">
        <f t="shared" si="69"/>
        <v>1</v>
      </c>
      <c r="W125" s="233" t="str">
        <f t="shared" si="70"/>
        <v/>
      </c>
      <c r="X125" s="233">
        <f t="shared" si="71"/>
        <v>1</v>
      </c>
      <c r="Y125" s="233">
        <f t="shared" si="72"/>
        <v>3</v>
      </c>
      <c r="Z125" s="233">
        <f t="shared" si="73"/>
        <v>1</v>
      </c>
      <c r="AA125" s="233" t="str">
        <f t="shared" si="74"/>
        <v/>
      </c>
      <c r="AB125" s="233">
        <f t="shared" si="75"/>
        <v>2</v>
      </c>
      <c r="AC125" s="233" t="str">
        <f t="shared" si="76"/>
        <v/>
      </c>
      <c r="AD125" s="233" t="str">
        <f t="shared" si="77"/>
        <v/>
      </c>
      <c r="AE125" s="929">
        <f t="shared" si="78"/>
        <v>12</v>
      </c>
      <c r="AF125" s="723"/>
    </row>
    <row r="126" spans="2:32" ht="17.100000000000001" customHeight="1" thickTop="1">
      <c r="B126" s="1721" t="s">
        <v>143</v>
      </c>
      <c r="C126" s="997" t="s">
        <v>44</v>
      </c>
      <c r="D126" s="998"/>
      <c r="E126" s="959" t="s">
        <v>155</v>
      </c>
      <c r="F126" s="27" t="s">
        <v>44</v>
      </c>
      <c r="G126" s="999" t="s">
        <v>47</v>
      </c>
      <c r="H126" s="1000" t="s">
        <v>29</v>
      </c>
      <c r="I126" s="997" t="s">
        <v>44</v>
      </c>
      <c r="J126" s="977" t="s">
        <v>1270</v>
      </c>
      <c r="K126" s="1001" t="s">
        <v>120</v>
      </c>
      <c r="L126" s="977" t="s">
        <v>1270</v>
      </c>
      <c r="M126" s="1002" t="s">
        <v>155</v>
      </c>
      <c r="N126" s="984" t="s">
        <v>24</v>
      </c>
      <c r="O126" s="998"/>
      <c r="Q126" s="897" t="s">
        <v>24</v>
      </c>
      <c r="R126" s="36">
        <f t="shared" si="65"/>
        <v>1</v>
      </c>
      <c r="S126" s="36" t="str">
        <f t="shared" si="66"/>
        <v/>
      </c>
      <c r="T126" s="36" t="str">
        <f t="shared" si="67"/>
        <v/>
      </c>
      <c r="U126" s="36">
        <f t="shared" si="68"/>
        <v>2</v>
      </c>
      <c r="V126" s="36">
        <f t="shared" si="69"/>
        <v>2</v>
      </c>
      <c r="W126" s="36">
        <f t="shared" si="70"/>
        <v>1</v>
      </c>
      <c r="X126" s="36">
        <f t="shared" si="71"/>
        <v>3</v>
      </c>
      <c r="Y126" s="36">
        <f t="shared" si="72"/>
        <v>1</v>
      </c>
      <c r="Z126" s="36">
        <f t="shared" si="73"/>
        <v>2</v>
      </c>
      <c r="AA126" s="36">
        <f t="shared" si="74"/>
        <v>1</v>
      </c>
      <c r="AB126" s="36">
        <f t="shared" si="75"/>
        <v>3</v>
      </c>
      <c r="AC126" s="36">
        <f t="shared" si="76"/>
        <v>2</v>
      </c>
      <c r="AD126" s="36" t="str">
        <f t="shared" si="77"/>
        <v/>
      </c>
      <c r="AE126" s="929">
        <f t="shared" si="78"/>
        <v>18</v>
      </c>
      <c r="AF126" s="592"/>
    </row>
    <row r="127" spans="2:32" ht="17.100000000000001" customHeight="1">
      <c r="B127" s="1710"/>
      <c r="C127" s="14" t="s">
        <v>20</v>
      </c>
      <c r="E127" s="974" t="s">
        <v>1269</v>
      </c>
      <c r="F127" s="977" t="s">
        <v>1270</v>
      </c>
      <c r="G127" s="977" t="s">
        <v>1270</v>
      </c>
      <c r="H127" s="980" t="s">
        <v>1272</v>
      </c>
      <c r="I127" s="14" t="s">
        <v>20</v>
      </c>
      <c r="J127" s="422"/>
      <c r="K127" s="981" t="s">
        <v>1271</v>
      </c>
      <c r="L127" s="422"/>
      <c r="N127" s="422"/>
      <c r="Q127" s="910" t="s">
        <v>23</v>
      </c>
      <c r="R127" s="577" t="str">
        <f t="shared" si="65"/>
        <v/>
      </c>
      <c r="S127" s="577" t="str">
        <f t="shared" si="66"/>
        <v/>
      </c>
      <c r="T127" s="577" t="str">
        <f t="shared" si="67"/>
        <v/>
      </c>
      <c r="U127" s="577">
        <f t="shared" si="68"/>
        <v>1</v>
      </c>
      <c r="V127" s="577" t="str">
        <f t="shared" si="69"/>
        <v/>
      </c>
      <c r="W127" s="577" t="str">
        <f t="shared" si="70"/>
        <v/>
      </c>
      <c r="X127" s="577" t="str">
        <f t="shared" si="71"/>
        <v/>
      </c>
      <c r="Y127" s="577" t="str">
        <f t="shared" si="72"/>
        <v/>
      </c>
      <c r="Z127" s="577" t="str">
        <f t="shared" si="73"/>
        <v/>
      </c>
      <c r="AA127" s="577" t="str">
        <f t="shared" si="74"/>
        <v/>
      </c>
      <c r="AB127" s="577" t="str">
        <f t="shared" si="75"/>
        <v/>
      </c>
      <c r="AC127" s="577" t="str">
        <f t="shared" si="76"/>
        <v/>
      </c>
      <c r="AD127" s="577">
        <f t="shared" si="77"/>
        <v>1</v>
      </c>
      <c r="AE127" s="929">
        <f t="shared" si="78"/>
        <v>2</v>
      </c>
      <c r="AF127" s="592"/>
    </row>
    <row r="128" spans="2:32">
      <c r="B128" s="1710"/>
      <c r="K128" s="1003" t="s">
        <v>114</v>
      </c>
      <c r="Q128" s="895" t="s">
        <v>29</v>
      </c>
      <c r="R128">
        <f t="shared" si="65"/>
        <v>4</v>
      </c>
      <c r="S128" t="str">
        <f t="shared" si="66"/>
        <v/>
      </c>
      <c r="T128">
        <f t="shared" si="67"/>
        <v>4</v>
      </c>
      <c r="U128">
        <f t="shared" si="68"/>
        <v>1</v>
      </c>
      <c r="V128" t="str">
        <f t="shared" si="69"/>
        <v/>
      </c>
      <c r="W128">
        <f t="shared" si="70"/>
        <v>3</v>
      </c>
      <c r="X128">
        <f t="shared" si="71"/>
        <v>3</v>
      </c>
      <c r="Y128" t="str">
        <f t="shared" si="72"/>
        <v/>
      </c>
      <c r="Z128" t="str">
        <f t="shared" si="73"/>
        <v/>
      </c>
      <c r="AA128">
        <f t="shared" si="74"/>
        <v>2</v>
      </c>
      <c r="AB128">
        <f t="shared" si="75"/>
        <v>5</v>
      </c>
      <c r="AC128" t="str">
        <f t="shared" si="76"/>
        <v/>
      </c>
      <c r="AD128" t="str">
        <f t="shared" si="77"/>
        <v/>
      </c>
      <c r="AE128" s="929">
        <f t="shared" si="78"/>
        <v>22</v>
      </c>
      <c r="AF128" s="592"/>
    </row>
    <row r="129" spans="2:36">
      <c r="B129" s="1710"/>
      <c r="C129" s="1004" t="s">
        <v>187</v>
      </c>
      <c r="D129" s="1004"/>
      <c r="E129" s="1004" t="s">
        <v>187</v>
      </c>
      <c r="F129" s="1004" t="s">
        <v>188</v>
      </c>
      <c r="G129" s="1004" t="s">
        <v>190</v>
      </c>
      <c r="H129" s="1004" t="s">
        <v>187</v>
      </c>
      <c r="I129" s="1004" t="s">
        <v>186</v>
      </c>
      <c r="J129" s="1004" t="s">
        <v>190</v>
      </c>
      <c r="K129" s="1004" t="s">
        <v>187</v>
      </c>
      <c r="L129" s="1004" t="s">
        <v>188</v>
      </c>
      <c r="M129" s="1004" t="s">
        <v>187</v>
      </c>
      <c r="N129" s="1004" t="s">
        <v>186</v>
      </c>
      <c r="O129" s="1004"/>
      <c r="Q129" s="911" t="s">
        <v>93</v>
      </c>
      <c r="R129" t="str">
        <f t="shared" si="65"/>
        <v/>
      </c>
      <c r="S129" t="str">
        <f t="shared" si="66"/>
        <v/>
      </c>
      <c r="T129" t="str">
        <f t="shared" si="67"/>
        <v/>
      </c>
      <c r="U129" t="str">
        <f t="shared" si="68"/>
        <v/>
      </c>
      <c r="V129" t="str">
        <f t="shared" si="69"/>
        <v/>
      </c>
      <c r="W129" t="str">
        <f t="shared" si="70"/>
        <v/>
      </c>
      <c r="X129" t="str">
        <f t="shared" si="71"/>
        <v/>
      </c>
      <c r="Y129" t="str">
        <f t="shared" si="72"/>
        <v/>
      </c>
      <c r="Z129" t="str">
        <f t="shared" si="73"/>
        <v/>
      </c>
      <c r="AA129" t="str">
        <f t="shared" si="74"/>
        <v/>
      </c>
      <c r="AB129">
        <f t="shared" si="75"/>
        <v>1</v>
      </c>
      <c r="AC129">
        <f t="shared" si="76"/>
        <v>1</v>
      </c>
      <c r="AD129" t="str">
        <f t="shared" si="77"/>
        <v/>
      </c>
      <c r="AE129" s="929">
        <f t="shared" si="78"/>
        <v>2</v>
      </c>
      <c r="AF129" s="591"/>
    </row>
    <row r="130" spans="2:36">
      <c r="B130" s="1710"/>
      <c r="C130" s="12"/>
      <c r="E130" s="987"/>
      <c r="F130" s="58"/>
      <c r="G130" s="58"/>
      <c r="H130" s="58"/>
      <c r="I130" s="12"/>
      <c r="J130" s="987"/>
      <c r="K130" s="58"/>
      <c r="L130" s="987"/>
      <c r="N130" s="27" t="s">
        <v>44</v>
      </c>
      <c r="Q130" s="912" t="s">
        <v>1269</v>
      </c>
      <c r="R130" s="242">
        <f t="shared" si="65"/>
        <v>3</v>
      </c>
      <c r="S130" s="242">
        <f t="shared" si="66"/>
        <v>2</v>
      </c>
      <c r="T130" s="242">
        <f t="shared" si="67"/>
        <v>7</v>
      </c>
      <c r="U130" s="242">
        <f t="shared" si="68"/>
        <v>1</v>
      </c>
      <c r="V130" s="242">
        <f t="shared" si="69"/>
        <v>3</v>
      </c>
      <c r="W130" s="242">
        <f t="shared" si="70"/>
        <v>4</v>
      </c>
      <c r="X130" s="242">
        <f t="shared" si="71"/>
        <v>3</v>
      </c>
      <c r="Y130" s="242">
        <f t="shared" si="72"/>
        <v>5</v>
      </c>
      <c r="Z130" s="242">
        <f t="shared" si="73"/>
        <v>2</v>
      </c>
      <c r="AA130" s="242">
        <f t="shared" si="74"/>
        <v>5</v>
      </c>
      <c r="AB130" s="242">
        <f t="shared" si="75"/>
        <v>7</v>
      </c>
      <c r="AC130" s="242">
        <f t="shared" si="76"/>
        <v>3</v>
      </c>
      <c r="AD130" s="242" t="str">
        <f t="shared" si="77"/>
        <v/>
      </c>
      <c r="AE130" s="929">
        <f t="shared" si="78"/>
        <v>45</v>
      </c>
      <c r="AF130" s="591"/>
    </row>
    <row r="131" spans="2:36" ht="16.5" thickBot="1">
      <c r="B131" s="1723"/>
      <c r="C131" s="1005"/>
      <c r="D131" s="1005"/>
      <c r="E131" s="1005"/>
      <c r="F131" s="1005"/>
      <c r="G131" s="1005"/>
      <c r="H131" s="1005"/>
      <c r="I131" s="1005"/>
      <c r="J131" s="1005"/>
      <c r="K131" s="1005"/>
      <c r="L131" s="1005"/>
      <c r="M131" s="1005"/>
      <c r="N131" s="1005" t="s">
        <v>188</v>
      </c>
      <c r="O131" s="1006"/>
      <c r="Q131" s="913" t="s">
        <v>26</v>
      </c>
      <c r="R131" s="8">
        <f t="shared" si="65"/>
        <v>8</v>
      </c>
      <c r="S131" s="8">
        <f t="shared" si="66"/>
        <v>6</v>
      </c>
      <c r="T131" s="8">
        <f t="shared" si="67"/>
        <v>1</v>
      </c>
      <c r="U131" s="8">
        <f t="shared" si="68"/>
        <v>7</v>
      </c>
      <c r="V131" s="8">
        <f t="shared" si="69"/>
        <v>4</v>
      </c>
      <c r="W131" s="8">
        <f t="shared" si="70"/>
        <v>6</v>
      </c>
      <c r="X131" s="8">
        <f t="shared" si="71"/>
        <v>6</v>
      </c>
      <c r="Y131" s="8">
        <f t="shared" si="72"/>
        <v>4</v>
      </c>
      <c r="Z131" s="8">
        <f t="shared" si="73"/>
        <v>4</v>
      </c>
      <c r="AA131" s="8">
        <f t="shared" si="74"/>
        <v>6</v>
      </c>
      <c r="AB131" s="8">
        <f t="shared" si="75"/>
        <v>4</v>
      </c>
      <c r="AC131" s="8">
        <f t="shared" si="76"/>
        <v>12</v>
      </c>
      <c r="AD131" s="8">
        <f t="shared" si="77"/>
        <v>2</v>
      </c>
      <c r="AE131" s="929">
        <f t="shared" si="78"/>
        <v>70</v>
      </c>
      <c r="AF131" s="592"/>
    </row>
    <row r="132" spans="2:36" ht="17.100000000000001" customHeight="1" thickTop="1">
      <c r="B132" s="1721" t="s">
        <v>144</v>
      </c>
      <c r="C132" s="980" t="s">
        <v>1272</v>
      </c>
      <c r="D132" s="997" t="s">
        <v>44</v>
      </c>
      <c r="E132" s="27" t="s">
        <v>44</v>
      </c>
      <c r="F132" s="1007" t="s">
        <v>26</v>
      </c>
      <c r="G132" s="27" t="s">
        <v>44</v>
      </c>
      <c r="H132" s="981" t="s">
        <v>1271</v>
      </c>
      <c r="I132" s="981" t="s">
        <v>1271</v>
      </c>
      <c r="J132" s="1002" t="s">
        <v>155</v>
      </c>
      <c r="K132" s="979" t="s">
        <v>120</v>
      </c>
      <c r="L132" s="1008" t="s">
        <v>24</v>
      </c>
      <c r="M132" s="1007" t="s">
        <v>26</v>
      </c>
      <c r="N132" s="974" t="s">
        <v>1269</v>
      </c>
      <c r="Q132" s="914" t="s">
        <v>109</v>
      </c>
      <c r="R132" s="576" t="str">
        <f t="shared" si="65"/>
        <v/>
      </c>
      <c r="S132" s="576" t="str">
        <f t="shared" si="66"/>
        <v/>
      </c>
      <c r="T132" s="576">
        <f t="shared" si="67"/>
        <v>2</v>
      </c>
      <c r="U132" s="576" t="str">
        <f t="shared" si="68"/>
        <v/>
      </c>
      <c r="V132" s="576">
        <f t="shared" si="69"/>
        <v>1</v>
      </c>
      <c r="W132" s="576">
        <f t="shared" si="70"/>
        <v>1</v>
      </c>
      <c r="X132" s="576" t="str">
        <f t="shared" si="71"/>
        <v/>
      </c>
      <c r="Y132" s="576">
        <f t="shared" si="72"/>
        <v>2</v>
      </c>
      <c r="Z132" s="576">
        <f t="shared" si="73"/>
        <v>1</v>
      </c>
      <c r="AA132" s="576" t="str">
        <f t="shared" si="74"/>
        <v/>
      </c>
      <c r="AB132" s="576">
        <f t="shared" si="75"/>
        <v>2</v>
      </c>
      <c r="AC132" s="576">
        <f t="shared" si="76"/>
        <v>2</v>
      </c>
      <c r="AD132" s="576" t="str">
        <f t="shared" si="77"/>
        <v/>
      </c>
      <c r="AE132" s="929">
        <f t="shared" si="78"/>
        <v>11</v>
      </c>
      <c r="AF132" s="592"/>
    </row>
    <row r="133" spans="2:36">
      <c r="B133" s="1710"/>
      <c r="C133" s="58"/>
      <c r="F133" s="981" t="s">
        <v>1271</v>
      </c>
      <c r="I133" s="979" t="s">
        <v>120</v>
      </c>
      <c r="J133" s="52"/>
      <c r="K133" s="198" t="s">
        <v>234</v>
      </c>
      <c r="M133" s="194" t="s">
        <v>43</v>
      </c>
      <c r="N133" s="975" t="s">
        <v>109</v>
      </c>
      <c r="Q133" s="915" t="s">
        <v>114</v>
      </c>
      <c r="R133" s="498" t="str">
        <f t="shared" si="65"/>
        <v/>
      </c>
      <c r="S133" s="498">
        <f t="shared" si="66"/>
        <v>1</v>
      </c>
      <c r="T133" s="498" t="str">
        <f t="shared" si="67"/>
        <v/>
      </c>
      <c r="U133" s="498" t="str">
        <f t="shared" si="68"/>
        <v/>
      </c>
      <c r="V133" s="498" t="str">
        <f t="shared" si="69"/>
        <v/>
      </c>
      <c r="W133" s="498" t="str">
        <f t="shared" si="70"/>
        <v/>
      </c>
      <c r="X133" s="498">
        <f t="shared" si="71"/>
        <v>2</v>
      </c>
      <c r="Y133" s="498">
        <f t="shared" si="72"/>
        <v>1</v>
      </c>
      <c r="Z133" s="498">
        <f t="shared" si="73"/>
        <v>2</v>
      </c>
      <c r="AA133" s="498" t="str">
        <f t="shared" si="74"/>
        <v/>
      </c>
      <c r="AB133" s="498" t="str">
        <f t="shared" si="75"/>
        <v/>
      </c>
      <c r="AC133" s="498" t="str">
        <f t="shared" si="76"/>
        <v/>
      </c>
      <c r="AD133" s="498" t="str">
        <f t="shared" si="77"/>
        <v/>
      </c>
      <c r="AE133" s="929">
        <f t="shared" si="78"/>
        <v>6</v>
      </c>
      <c r="AF133" s="901"/>
    </row>
    <row r="134" spans="2:36">
      <c r="B134" s="1710"/>
      <c r="E134" s="58"/>
      <c r="K134" s="980" t="s">
        <v>1272</v>
      </c>
      <c r="Q134" s="916" t="s">
        <v>1272</v>
      </c>
      <c r="R134" s="142">
        <f t="shared" si="65"/>
        <v>2</v>
      </c>
      <c r="S134" s="142" t="str">
        <f t="shared" si="66"/>
        <v/>
      </c>
      <c r="T134" s="142" t="str">
        <f t="shared" si="67"/>
        <v/>
      </c>
      <c r="U134" s="142">
        <f t="shared" si="68"/>
        <v>4</v>
      </c>
      <c r="V134" s="142">
        <f t="shared" si="69"/>
        <v>2</v>
      </c>
      <c r="W134" s="142">
        <f t="shared" si="70"/>
        <v>4</v>
      </c>
      <c r="X134" s="142">
        <f t="shared" si="71"/>
        <v>1</v>
      </c>
      <c r="Y134" s="142">
        <f t="shared" si="72"/>
        <v>2</v>
      </c>
      <c r="Z134" s="142">
        <f t="shared" si="73"/>
        <v>4</v>
      </c>
      <c r="AA134" s="142" t="str">
        <f t="shared" si="74"/>
        <v/>
      </c>
      <c r="AB134" s="142">
        <f t="shared" si="75"/>
        <v>3</v>
      </c>
      <c r="AC134" s="142">
        <f t="shared" si="76"/>
        <v>6</v>
      </c>
      <c r="AD134" s="142">
        <f t="shared" si="77"/>
        <v>2</v>
      </c>
      <c r="AE134" s="929">
        <f t="shared" si="78"/>
        <v>30</v>
      </c>
      <c r="AF134" s="592"/>
    </row>
    <row r="135" spans="2:36">
      <c r="B135" s="1710"/>
      <c r="C135" s="1004" t="s">
        <v>187</v>
      </c>
      <c r="D135" s="1004" t="s">
        <v>188</v>
      </c>
      <c r="E135" s="1004" t="s">
        <v>189</v>
      </c>
      <c r="F135" s="1004" t="s">
        <v>188</v>
      </c>
      <c r="G135" s="1004" t="s">
        <v>187</v>
      </c>
      <c r="H135" s="1004" t="s">
        <v>186</v>
      </c>
      <c r="I135" s="1004" t="s">
        <v>187</v>
      </c>
      <c r="J135" s="1004" t="s">
        <v>187</v>
      </c>
      <c r="K135" s="1004" t="s">
        <v>186</v>
      </c>
      <c r="L135" s="1004" t="s">
        <v>186</v>
      </c>
      <c r="M135" s="1004" t="s">
        <v>188</v>
      </c>
      <c r="N135" s="1004" t="s">
        <v>188</v>
      </c>
      <c r="O135" s="1004"/>
      <c r="Q135" s="917" t="s">
        <v>68</v>
      </c>
      <c r="R135" s="329">
        <f t="shared" si="65"/>
        <v>1</v>
      </c>
      <c r="S135" s="329">
        <f t="shared" si="66"/>
        <v>1</v>
      </c>
      <c r="T135" s="329">
        <f t="shared" si="67"/>
        <v>1</v>
      </c>
      <c r="U135" s="329" t="str">
        <f t="shared" si="68"/>
        <v/>
      </c>
      <c r="V135" s="329" t="str">
        <f t="shared" si="69"/>
        <v/>
      </c>
      <c r="W135" s="329" t="str">
        <f t="shared" si="70"/>
        <v/>
      </c>
      <c r="X135" s="329" t="str">
        <f t="shared" si="71"/>
        <v/>
      </c>
      <c r="Y135" s="329" t="str">
        <f t="shared" si="72"/>
        <v/>
      </c>
      <c r="Z135" s="329">
        <f t="shared" si="73"/>
        <v>1</v>
      </c>
      <c r="AA135" s="329">
        <f t="shared" si="74"/>
        <v>1</v>
      </c>
      <c r="AB135" s="329" t="str">
        <f t="shared" si="75"/>
        <v/>
      </c>
      <c r="AC135" s="329" t="str">
        <f t="shared" si="76"/>
        <v/>
      </c>
      <c r="AD135" s="329" t="str">
        <f t="shared" si="77"/>
        <v/>
      </c>
      <c r="AE135" s="929">
        <f t="shared" si="78"/>
        <v>5</v>
      </c>
      <c r="AF135" s="591"/>
      <c r="AJ135" t="s">
        <v>1569</v>
      </c>
    </row>
    <row r="136" spans="2:36">
      <c r="B136" s="1710"/>
      <c r="E136" s="58"/>
      <c r="F136" s="58"/>
      <c r="G136" s="189" t="s">
        <v>47</v>
      </c>
      <c r="Q136" s="918" t="s">
        <v>234</v>
      </c>
      <c r="R136" s="33" t="str">
        <f t="shared" si="65"/>
        <v/>
      </c>
      <c r="S136" s="33" t="str">
        <f t="shared" si="66"/>
        <v/>
      </c>
      <c r="T136" s="33" t="str">
        <f t="shared" si="67"/>
        <v/>
      </c>
      <c r="U136" s="33" t="str">
        <f t="shared" si="68"/>
        <v/>
      </c>
      <c r="V136" s="33" t="str">
        <f t="shared" si="69"/>
        <v/>
      </c>
      <c r="W136" s="33">
        <f t="shared" si="70"/>
        <v>2</v>
      </c>
      <c r="X136" s="33" t="str">
        <f t="shared" si="71"/>
        <v/>
      </c>
      <c r="Y136" s="33" t="str">
        <f t="shared" si="72"/>
        <v/>
      </c>
      <c r="Z136" s="33">
        <f t="shared" si="73"/>
        <v>1</v>
      </c>
      <c r="AA136" s="33" t="str">
        <f t="shared" si="74"/>
        <v/>
      </c>
      <c r="AB136" s="33" t="str">
        <f t="shared" si="75"/>
        <v/>
      </c>
      <c r="AC136" s="33">
        <f t="shared" si="76"/>
        <v>1</v>
      </c>
      <c r="AD136" s="33" t="str">
        <f t="shared" si="77"/>
        <v/>
      </c>
      <c r="AE136" s="929">
        <f t="shared" si="78"/>
        <v>4</v>
      </c>
      <c r="AF136" s="591"/>
    </row>
    <row r="137" spans="2:36" ht="16.5" thickBot="1">
      <c r="B137" s="1711"/>
      <c r="C137" s="985"/>
      <c r="D137" s="985"/>
      <c r="E137" s="985"/>
      <c r="F137" s="985"/>
      <c r="G137" s="985" t="s">
        <v>189</v>
      </c>
      <c r="H137" s="985"/>
      <c r="I137" s="985"/>
      <c r="J137" s="985"/>
      <c r="K137" s="985"/>
      <c r="L137" s="985"/>
      <c r="M137" s="985"/>
      <c r="N137" s="985"/>
      <c r="O137" s="985"/>
      <c r="Q137" s="919" t="s">
        <v>124</v>
      </c>
      <c r="R137" s="501" t="str">
        <f t="shared" si="65"/>
        <v/>
      </c>
      <c r="S137" s="501" t="str">
        <f t="shared" si="66"/>
        <v/>
      </c>
      <c r="T137" s="501">
        <f t="shared" si="67"/>
        <v>1</v>
      </c>
      <c r="U137" s="501" t="str">
        <f t="shared" si="68"/>
        <v/>
      </c>
      <c r="V137" s="501" t="str">
        <f t="shared" si="69"/>
        <v/>
      </c>
      <c r="W137" s="501" t="str">
        <f t="shared" si="70"/>
        <v/>
      </c>
      <c r="X137" s="501" t="str">
        <f t="shared" si="71"/>
        <v/>
      </c>
      <c r="Y137" s="501" t="str">
        <f t="shared" si="72"/>
        <v/>
      </c>
      <c r="Z137" s="501" t="str">
        <f t="shared" si="73"/>
        <v/>
      </c>
      <c r="AA137" s="501">
        <f t="shared" si="74"/>
        <v>2</v>
      </c>
      <c r="AB137" s="501" t="str">
        <f t="shared" si="75"/>
        <v/>
      </c>
      <c r="AC137" s="501" t="str">
        <f t="shared" si="76"/>
        <v/>
      </c>
      <c r="AD137" s="501">
        <f t="shared" si="77"/>
        <v>1</v>
      </c>
      <c r="AE137" s="929">
        <f t="shared" si="78"/>
        <v>4</v>
      </c>
      <c r="AF137" s="592"/>
    </row>
    <row r="138" spans="2:36" ht="17.100000000000001" customHeight="1" thickTop="1">
      <c r="B138" s="1709" t="s">
        <v>145</v>
      </c>
      <c r="C138" s="984" t="s">
        <v>24</v>
      </c>
      <c r="D138" s="1009" t="s">
        <v>114</v>
      </c>
      <c r="E138" s="959" t="s">
        <v>155</v>
      </c>
      <c r="F138" s="968" t="s">
        <v>26</v>
      </c>
      <c r="G138" s="974" t="s">
        <v>1269</v>
      </c>
      <c r="H138" s="981" t="s">
        <v>1271</v>
      </c>
      <c r="J138" s="967" t="s">
        <v>27</v>
      </c>
      <c r="K138" s="959" t="s">
        <v>155</v>
      </c>
      <c r="L138" s="977" t="s">
        <v>1270</v>
      </c>
      <c r="M138" s="981" t="s">
        <v>1271</v>
      </c>
      <c r="N138" s="981" t="s">
        <v>1271</v>
      </c>
      <c r="Q138" s="920" t="s">
        <v>74</v>
      </c>
      <c r="R138" s="276" t="str">
        <f t="shared" si="65"/>
        <v/>
      </c>
      <c r="S138" s="276">
        <f t="shared" si="66"/>
        <v>1</v>
      </c>
      <c r="T138" s="276" t="str">
        <f t="shared" si="67"/>
        <v/>
      </c>
      <c r="U138" s="276" t="str">
        <f t="shared" si="68"/>
        <v/>
      </c>
      <c r="V138" s="276" t="str">
        <f t="shared" si="69"/>
        <v/>
      </c>
      <c r="W138" s="276">
        <f t="shared" si="70"/>
        <v>1</v>
      </c>
      <c r="X138" s="276">
        <f t="shared" si="71"/>
        <v>1</v>
      </c>
      <c r="Y138" s="276" t="str">
        <f t="shared" si="72"/>
        <v/>
      </c>
      <c r="Z138" s="276" t="str">
        <f t="shared" si="73"/>
        <v/>
      </c>
      <c r="AA138" s="276" t="str">
        <f t="shared" si="74"/>
        <v/>
      </c>
      <c r="AB138" s="276" t="str">
        <f t="shared" si="75"/>
        <v/>
      </c>
      <c r="AC138" s="276" t="str">
        <f t="shared" si="76"/>
        <v/>
      </c>
      <c r="AD138" s="276" t="str">
        <f t="shared" si="77"/>
        <v/>
      </c>
      <c r="AE138" s="929">
        <f t="shared" si="78"/>
        <v>3</v>
      </c>
      <c r="AF138" s="591"/>
    </row>
    <row r="139" spans="2:36">
      <c r="B139" s="1710"/>
      <c r="C139" s="968" t="s">
        <v>26</v>
      </c>
      <c r="E139" s="194" t="s">
        <v>43</v>
      </c>
      <c r="G139" s="422"/>
      <c r="M139" s="974" t="s">
        <v>1269</v>
      </c>
      <c r="Q139" s="921" t="s">
        <v>1271</v>
      </c>
      <c r="R139" s="927">
        <f t="shared" si="65"/>
        <v>5</v>
      </c>
      <c r="S139" s="927">
        <f t="shared" si="66"/>
        <v>6</v>
      </c>
      <c r="T139" s="927">
        <f t="shared" si="67"/>
        <v>12</v>
      </c>
      <c r="U139" s="927">
        <f t="shared" si="68"/>
        <v>7</v>
      </c>
      <c r="V139" s="927">
        <f t="shared" si="69"/>
        <v>5</v>
      </c>
      <c r="W139" s="927">
        <f t="shared" si="70"/>
        <v>8</v>
      </c>
      <c r="X139" s="927">
        <f t="shared" si="71"/>
        <v>5</v>
      </c>
      <c r="Y139" s="927">
        <f t="shared" si="72"/>
        <v>6</v>
      </c>
      <c r="Z139" s="927">
        <f t="shared" si="73"/>
        <v>13</v>
      </c>
      <c r="AA139" s="927">
        <f t="shared" si="74"/>
        <v>10</v>
      </c>
      <c r="AB139" s="927">
        <f t="shared" si="75"/>
        <v>6</v>
      </c>
      <c r="AC139" s="927">
        <f t="shared" si="76"/>
        <v>8</v>
      </c>
      <c r="AD139" s="927">
        <f t="shared" si="77"/>
        <v>1</v>
      </c>
      <c r="AE139" s="929">
        <f t="shared" si="78"/>
        <v>92</v>
      </c>
      <c r="AF139" s="592"/>
    </row>
    <row r="140" spans="2:36">
      <c r="B140" s="1710"/>
      <c r="C140" s="988" t="s">
        <v>188</v>
      </c>
      <c r="D140" s="988" t="s">
        <v>188</v>
      </c>
      <c r="E140" s="988" t="s">
        <v>188</v>
      </c>
      <c r="F140" s="988" t="s">
        <v>187</v>
      </c>
      <c r="G140" s="988" t="s">
        <v>190</v>
      </c>
      <c r="H140" s="988" t="s">
        <v>188</v>
      </c>
      <c r="I140" s="988"/>
      <c r="J140" s="988" t="s">
        <v>192</v>
      </c>
      <c r="K140" s="988" t="s">
        <v>186</v>
      </c>
      <c r="L140" s="988" t="s">
        <v>189</v>
      </c>
      <c r="M140" s="988" t="s">
        <v>187</v>
      </c>
      <c r="N140" s="988" t="s">
        <v>187</v>
      </c>
      <c r="O140" s="988"/>
      <c r="Q140" s="922" t="s">
        <v>20</v>
      </c>
      <c r="R140" s="10">
        <f t="shared" si="65"/>
        <v>3</v>
      </c>
      <c r="S140" s="10">
        <f t="shared" si="66"/>
        <v>2</v>
      </c>
      <c r="T140" s="10" t="str">
        <f t="shared" si="67"/>
        <v/>
      </c>
      <c r="U140" s="10">
        <f t="shared" si="68"/>
        <v>1</v>
      </c>
      <c r="V140" s="10" t="str">
        <f t="shared" si="69"/>
        <v/>
      </c>
      <c r="W140" s="10">
        <f t="shared" si="70"/>
        <v>4</v>
      </c>
      <c r="X140" s="10">
        <f t="shared" si="71"/>
        <v>2</v>
      </c>
      <c r="Y140" s="10">
        <f t="shared" si="72"/>
        <v>2</v>
      </c>
      <c r="Z140" s="10">
        <f t="shared" si="73"/>
        <v>2</v>
      </c>
      <c r="AA140" s="10">
        <f t="shared" si="74"/>
        <v>1</v>
      </c>
      <c r="AB140" s="10">
        <f t="shared" si="75"/>
        <v>4</v>
      </c>
      <c r="AC140" s="10">
        <f t="shared" si="76"/>
        <v>1</v>
      </c>
      <c r="AD140" s="10" t="str">
        <f t="shared" si="77"/>
        <v/>
      </c>
      <c r="AE140" s="929">
        <f t="shared" si="78"/>
        <v>22</v>
      </c>
      <c r="AF140" s="591"/>
    </row>
    <row r="141" spans="2:36">
      <c r="B141" s="1710"/>
      <c r="C141" s="990"/>
      <c r="E141" s="37"/>
      <c r="G141" s="987"/>
      <c r="M141" s="987"/>
      <c r="N141" s="981" t="s">
        <v>1271</v>
      </c>
      <c r="Q141" s="894" t="s">
        <v>44</v>
      </c>
      <c r="R141" s="39">
        <f t="shared" si="65"/>
        <v>7</v>
      </c>
      <c r="S141" s="39">
        <f t="shared" si="66"/>
        <v>10</v>
      </c>
      <c r="T141" s="39">
        <f t="shared" si="67"/>
        <v>6</v>
      </c>
      <c r="U141" s="39">
        <f t="shared" si="68"/>
        <v>9</v>
      </c>
      <c r="V141" s="39">
        <f t="shared" si="69"/>
        <v>11</v>
      </c>
      <c r="W141" s="39">
        <f t="shared" si="70"/>
        <v>12</v>
      </c>
      <c r="X141" s="39">
        <f t="shared" si="71"/>
        <v>7</v>
      </c>
      <c r="Y141" s="39">
        <f t="shared" si="72"/>
        <v>13</v>
      </c>
      <c r="Z141" s="39">
        <f t="shared" si="73"/>
        <v>7</v>
      </c>
      <c r="AA141" s="39">
        <f t="shared" si="74"/>
        <v>6</v>
      </c>
      <c r="AB141" s="39">
        <f t="shared" si="75"/>
        <v>7</v>
      </c>
      <c r="AC141" s="39">
        <f t="shared" si="76"/>
        <v>6</v>
      </c>
      <c r="AD141" s="39">
        <f t="shared" si="77"/>
        <v>1</v>
      </c>
      <c r="AE141" s="929">
        <f t="shared" si="78"/>
        <v>102</v>
      </c>
      <c r="AF141" s="592"/>
    </row>
    <row r="142" spans="2:36" ht="16.5" thickBot="1">
      <c r="B142" s="1711"/>
      <c r="C142" s="860"/>
      <c r="D142" s="860"/>
      <c r="E142" s="860"/>
      <c r="F142" s="860"/>
      <c r="G142" s="860"/>
      <c r="H142" s="860"/>
      <c r="I142" s="860"/>
      <c r="J142" s="860"/>
      <c r="K142" s="860"/>
      <c r="L142" s="860"/>
      <c r="M142" s="860"/>
      <c r="N142" s="860" t="s">
        <v>190</v>
      </c>
      <c r="O142" s="860"/>
      <c r="Q142" s="923" t="s">
        <v>339</v>
      </c>
      <c r="R142" s="277" t="str">
        <f t="shared" si="65"/>
        <v/>
      </c>
      <c r="S142" s="277">
        <f t="shared" si="66"/>
        <v>1</v>
      </c>
      <c r="T142" s="277">
        <f t="shared" si="67"/>
        <v>1</v>
      </c>
      <c r="U142" s="277" t="str">
        <f t="shared" si="68"/>
        <v/>
      </c>
      <c r="V142" s="277" t="str">
        <f t="shared" si="69"/>
        <v/>
      </c>
      <c r="W142" s="277">
        <f t="shared" si="70"/>
        <v>2</v>
      </c>
      <c r="X142" s="277" t="str">
        <f t="shared" si="71"/>
        <v/>
      </c>
      <c r="Y142" s="277" t="str">
        <f t="shared" si="72"/>
        <v/>
      </c>
      <c r="Z142" s="277" t="str">
        <f t="shared" si="73"/>
        <v/>
      </c>
      <c r="AA142" s="277" t="str">
        <f t="shared" si="74"/>
        <v/>
      </c>
      <c r="AB142" s="277" t="str">
        <f t="shared" si="75"/>
        <v/>
      </c>
      <c r="AC142" s="277" t="str">
        <f t="shared" si="76"/>
        <v/>
      </c>
      <c r="AD142" s="277" t="str">
        <f t="shared" si="77"/>
        <v/>
      </c>
      <c r="AE142" s="929">
        <f t="shared" si="78"/>
        <v>4</v>
      </c>
      <c r="AF142" s="591"/>
    </row>
    <row r="143" spans="2:36" ht="17.100000000000001" customHeight="1" thickTop="1">
      <c r="B143" s="1709" t="s">
        <v>146</v>
      </c>
      <c r="C143" s="974" t="s">
        <v>1269</v>
      </c>
      <c r="D143" s="977" t="s">
        <v>1270</v>
      </c>
      <c r="E143" s="194" t="s">
        <v>43</v>
      </c>
      <c r="F143" s="981" t="s">
        <v>1271</v>
      </c>
      <c r="G143" s="189" t="s">
        <v>47</v>
      </c>
      <c r="H143" s="961" t="s">
        <v>339</v>
      </c>
      <c r="I143" s="27" t="s">
        <v>44</v>
      </c>
      <c r="J143" s="196" t="s">
        <v>114</v>
      </c>
      <c r="K143" s="981" t="s">
        <v>1271</v>
      </c>
      <c r="L143" s="974" t="s">
        <v>1269</v>
      </c>
      <c r="M143" s="27" t="s">
        <v>44</v>
      </c>
      <c r="N143" s="968" t="s">
        <v>26</v>
      </c>
      <c r="Q143" s="924" t="s">
        <v>73</v>
      </c>
      <c r="R143" t="str">
        <f t="shared" si="65"/>
        <v/>
      </c>
      <c r="S143">
        <f t="shared" si="66"/>
        <v>1</v>
      </c>
      <c r="T143">
        <f t="shared" si="67"/>
        <v>1</v>
      </c>
      <c r="U143" t="str">
        <f t="shared" si="68"/>
        <v/>
      </c>
      <c r="V143">
        <f t="shared" si="69"/>
        <v>1</v>
      </c>
      <c r="W143">
        <f t="shared" si="70"/>
        <v>1</v>
      </c>
      <c r="X143" t="str">
        <f t="shared" si="71"/>
        <v/>
      </c>
      <c r="Y143" t="str">
        <f t="shared" si="72"/>
        <v/>
      </c>
      <c r="Z143" t="str">
        <f t="shared" si="73"/>
        <v/>
      </c>
      <c r="AA143" t="str">
        <f t="shared" si="74"/>
        <v/>
      </c>
      <c r="AB143" t="str">
        <f t="shared" si="75"/>
        <v/>
      </c>
      <c r="AC143" t="str">
        <f t="shared" si="76"/>
        <v/>
      </c>
      <c r="AD143" t="str">
        <f t="shared" si="77"/>
        <v/>
      </c>
      <c r="AE143" s="929">
        <f t="shared" si="78"/>
        <v>4</v>
      </c>
      <c r="AF143" s="592"/>
    </row>
    <row r="144" spans="2:36">
      <c r="B144" s="1710"/>
      <c r="D144" s="422"/>
      <c r="F144" s="189" t="s">
        <v>47</v>
      </c>
      <c r="G144" s="977" t="s">
        <v>1270</v>
      </c>
      <c r="L144" s="981" t="s">
        <v>1271</v>
      </c>
      <c r="N144" s="14" t="s">
        <v>20</v>
      </c>
      <c r="Q144" s="925" t="s">
        <v>216</v>
      </c>
      <c r="R144" s="279" t="str">
        <f>IF(COUNTIF(C$60:C$241,$Q144)&gt;0,COUNTIF(C$60:C$241,$Q144), "")</f>
        <v/>
      </c>
      <c r="S144" s="279">
        <f t="shared" si="66"/>
        <v>1</v>
      </c>
      <c r="T144" s="279">
        <f t="shared" si="67"/>
        <v>1</v>
      </c>
      <c r="U144" s="279">
        <f t="shared" si="68"/>
        <v>1</v>
      </c>
      <c r="V144" s="279">
        <f t="shared" si="69"/>
        <v>1</v>
      </c>
      <c r="W144" s="279" t="str">
        <f t="shared" si="70"/>
        <v/>
      </c>
      <c r="X144" s="279">
        <f t="shared" si="71"/>
        <v>1</v>
      </c>
      <c r="Y144" s="279" t="str">
        <f t="shared" si="72"/>
        <v/>
      </c>
      <c r="Z144" s="279">
        <f t="shared" si="73"/>
        <v>3</v>
      </c>
      <c r="AA144" s="279">
        <f t="shared" si="74"/>
        <v>4</v>
      </c>
      <c r="AB144" s="279">
        <f t="shared" si="75"/>
        <v>3</v>
      </c>
      <c r="AC144" s="279">
        <f t="shared" si="76"/>
        <v>1</v>
      </c>
      <c r="AD144" s="279">
        <f t="shared" si="77"/>
        <v>3</v>
      </c>
      <c r="AE144" s="929">
        <f t="shared" si="78"/>
        <v>19</v>
      </c>
      <c r="AF144" s="591"/>
    </row>
    <row r="145" spans="2:33">
      <c r="B145" s="1710"/>
      <c r="C145" s="989" t="s">
        <v>187</v>
      </c>
      <c r="D145" s="989" t="s">
        <v>188</v>
      </c>
      <c r="E145" s="989" t="s">
        <v>186</v>
      </c>
      <c r="F145" s="989" t="s">
        <v>187</v>
      </c>
      <c r="G145" s="989" t="s">
        <v>187</v>
      </c>
      <c r="H145" s="989" t="s">
        <v>191</v>
      </c>
      <c r="I145" s="989" t="s">
        <v>188</v>
      </c>
      <c r="J145" s="989" t="s">
        <v>187</v>
      </c>
      <c r="K145" s="989" t="s">
        <v>191</v>
      </c>
      <c r="L145" s="989" t="s">
        <v>187</v>
      </c>
      <c r="M145" s="989" t="s">
        <v>191</v>
      </c>
      <c r="N145" s="989" t="s">
        <v>186</v>
      </c>
      <c r="O145" s="989"/>
      <c r="Q145" s="926" t="s">
        <v>21</v>
      </c>
      <c r="R145" t="str">
        <f t="shared" si="65"/>
        <v/>
      </c>
      <c r="S145" t="str">
        <f t="shared" si="66"/>
        <v/>
      </c>
      <c r="T145" t="str">
        <f t="shared" si="67"/>
        <v/>
      </c>
      <c r="U145" t="str">
        <f t="shared" si="68"/>
        <v/>
      </c>
      <c r="V145" t="str">
        <f t="shared" si="69"/>
        <v/>
      </c>
      <c r="W145" t="str">
        <f t="shared" si="70"/>
        <v/>
      </c>
      <c r="X145" t="str">
        <f t="shared" si="71"/>
        <v/>
      </c>
      <c r="Y145" t="str">
        <f t="shared" si="72"/>
        <v/>
      </c>
      <c r="Z145" t="str">
        <f t="shared" si="73"/>
        <v/>
      </c>
      <c r="AA145" t="str">
        <f t="shared" si="74"/>
        <v/>
      </c>
      <c r="AB145" t="str">
        <f t="shared" si="75"/>
        <v/>
      </c>
      <c r="AC145" t="str">
        <f t="shared" si="76"/>
        <v/>
      </c>
      <c r="AD145" t="str">
        <f t="shared" si="77"/>
        <v/>
      </c>
      <c r="AE145" s="929">
        <f t="shared" si="78"/>
        <v>0</v>
      </c>
      <c r="AF145" s="591"/>
    </row>
    <row r="146" spans="2:33">
      <c r="B146" s="1710"/>
      <c r="C146" s="982" t="s">
        <v>29</v>
      </c>
      <c r="N146" s="980" t="s">
        <v>1272</v>
      </c>
      <c r="AF146" s="591"/>
    </row>
    <row r="147" spans="2:33" ht="18.75">
      <c r="B147" s="1710"/>
      <c r="N147" s="956" t="s">
        <v>109</v>
      </c>
      <c r="Q147" s="69" t="s">
        <v>2616</v>
      </c>
    </row>
    <row r="148" spans="2:33" ht="17.100000000000001" customHeight="1" thickBot="1">
      <c r="B148" s="1711"/>
      <c r="C148" s="1005" t="s">
        <v>189</v>
      </c>
      <c r="D148" s="1005"/>
      <c r="E148" s="1005"/>
      <c r="F148" s="1005"/>
      <c r="G148" s="1005"/>
      <c r="H148" s="1005"/>
      <c r="I148" s="1005"/>
      <c r="J148" s="1005"/>
      <c r="K148" s="1005"/>
      <c r="L148" s="1005"/>
      <c r="M148" s="1005"/>
      <c r="N148" s="985" t="s">
        <v>190</v>
      </c>
      <c r="O148" s="1005"/>
      <c r="Q148" s="650" t="s">
        <v>19</v>
      </c>
      <c r="R148" s="650" t="s">
        <v>1</v>
      </c>
      <c r="S148" s="650" t="s">
        <v>2</v>
      </c>
      <c r="T148" s="650" t="s">
        <v>3</v>
      </c>
      <c r="U148" s="650" t="s">
        <v>4</v>
      </c>
      <c r="V148" s="650" t="s">
        <v>5</v>
      </c>
      <c r="W148" s="650" t="s">
        <v>6</v>
      </c>
      <c r="X148" s="650" t="s">
        <v>7</v>
      </c>
      <c r="Y148" s="650" t="s">
        <v>8</v>
      </c>
      <c r="Z148" s="650" t="s">
        <v>9</v>
      </c>
      <c r="AA148" s="650" t="s">
        <v>10</v>
      </c>
      <c r="AB148" s="650" t="s">
        <v>36</v>
      </c>
      <c r="AC148" s="650" t="s">
        <v>37</v>
      </c>
      <c r="AD148" s="650" t="s">
        <v>344</v>
      </c>
      <c r="AF148" s="69" t="s">
        <v>2624</v>
      </c>
    </row>
    <row r="149" spans="2:33" ht="17.100000000000001" customHeight="1" thickTop="1">
      <c r="B149" s="1709" t="s">
        <v>147</v>
      </c>
      <c r="C149" s="1010" t="s">
        <v>26</v>
      </c>
      <c r="D149" s="1011" t="s">
        <v>1269</v>
      </c>
      <c r="E149" s="1012" t="s">
        <v>1271</v>
      </c>
      <c r="F149" s="1013" t="s">
        <v>44</v>
      </c>
      <c r="G149" s="1013" t="s">
        <v>44</v>
      </c>
      <c r="H149" s="1014" t="s">
        <v>27</v>
      </c>
      <c r="I149" s="1014" t="s">
        <v>27</v>
      </c>
      <c r="J149" s="1012" t="s">
        <v>1271</v>
      </c>
      <c r="K149" s="1013" t="s">
        <v>44</v>
      </c>
      <c r="L149" s="1015" t="s">
        <v>68</v>
      </c>
      <c r="M149" s="962" t="s">
        <v>216</v>
      </c>
      <c r="N149" s="1013" t="s">
        <v>44</v>
      </c>
      <c r="O149" s="1016"/>
      <c r="Q149" s="903" t="s">
        <v>27</v>
      </c>
      <c r="R149" s="930" t="str">
        <f t="shared" ref="R149:R176" si="79">IF(COUNTIF(C$60:C$241, $Q149)&gt;0, COUNTIF(C$60:C$241, $Q149)/COUNTIF(C$60:C$241, "*Challenge*"), "")</f>
        <v/>
      </c>
      <c r="S149" s="930">
        <f t="shared" ref="S149:S176" si="80">IF(COUNTIF(D$60:D$241, $Q149)&gt;0, COUNTIF(D$60:D$241, $Q149)/COUNTIF(D$60:D$241, "*Challenge*"), "")</f>
        <v>0.1111111111111111</v>
      </c>
      <c r="T149" s="930">
        <f t="shared" ref="T149:T176" si="81">IF(COUNTIF(E$60:E$241, $Q149)&gt;0, COUNTIF(E$60:E$241, $Q149)/COUNTIF(E$60:E$241, "*Challenge*"), "")</f>
        <v>5.5555555555555552E-2</v>
      </c>
      <c r="U149" s="930">
        <f t="shared" ref="U149:U176" si="82">IF(COUNTIF(F$60:F$241, $Q149)&gt;0, COUNTIF(F$60:F$241, $Q149)/COUNTIF(F$60:F$241, "*Challenge*"), "")</f>
        <v>8.1081081081081086E-2</v>
      </c>
      <c r="V149" s="930">
        <f t="shared" ref="V149:V176" si="83">IF(COUNTIF(G$60:G$241, $Q149)&gt;0, COUNTIF(G$60:G$241, $Q149)/COUNTIF(G$60:G$241, "*Challenge*"), "")</f>
        <v>7.8947368421052627E-2</v>
      </c>
      <c r="W149" s="930">
        <f t="shared" ref="W149:W176" si="84">IF(COUNTIF(H$60:H$241, $Q149)&gt;0, COUNTIF(H$60:H$241, $Q149)/COUNTIF(H$60:H$241, "*Challenge*"), "")</f>
        <v>7.1428571428571425E-2</v>
      </c>
      <c r="X149" s="930">
        <f t="shared" ref="X149:X176" si="85">IF(COUNTIF(I$60:I$241, $Q149)&gt;0, COUNTIF(I$60:I$241, $Q149)/COUNTIF(I$60:I$241, "*Challenge*"), "")</f>
        <v>8.5714285714285715E-2</v>
      </c>
      <c r="Y149" s="930">
        <f t="shared" ref="Y149:Y176" si="86">IF(COUNTIF(J$60:J$241, $Q149)&gt;0, COUNTIF(J$60:J$241, $Q149)/COUNTIF(J$60:J$241, "*Challenge*"), "")</f>
        <v>0.05</v>
      </c>
      <c r="Z149" s="930">
        <f t="shared" ref="Z149:Z176" si="87">IF(COUNTIF(K$60:K$241, $Q149)&gt;0, COUNTIF(K$60:K$241, $Q149)/COUNTIF(K$60:K$241, "*Challenge*"), "")</f>
        <v>0.1</v>
      </c>
      <c r="AA149" s="930">
        <f t="shared" ref="AA149:AA176" si="88">IF(COUNTIF(L$60:L$241, $Q149)&gt;0, COUNTIF(L$60:L$241, $Q149)/COUNTIF(L$60:L$241, "*Challenge*"), "")</f>
        <v>2.6315789473684209E-2</v>
      </c>
      <c r="AB149" s="930">
        <f t="shared" ref="AB149:AB176" si="89">IF(COUNTIF(M$60:M$241, $Q149)&gt;0, COUNTIF(M$60:M$241, $Q149)/COUNTIF(M$60:M$241, "*Challenge*"), "")</f>
        <v>2.5000000000000001E-2</v>
      </c>
      <c r="AC149" s="930" t="str">
        <f t="shared" ref="AC149:AC176" si="90">IF(COUNTIF(N$60:N$241, $Q149)&gt;0, COUNTIF(N$60:N$241, $Q149)/COUNTIF(N$60:N$241, "*Challenge*"), "")</f>
        <v/>
      </c>
      <c r="AD149" s="930" t="str">
        <f t="shared" ref="AD149:AD176" si="91">IF(COUNTIF(O$60:O$241, $Q149)&gt;0, COUNTIF(O$60:O$241, $Q149)/COUNTIF(O$60:O$241, "*Challenge*"), "")</f>
        <v/>
      </c>
      <c r="AF149" s="953" t="s">
        <v>1591</v>
      </c>
      <c r="AG149" s="953" t="s">
        <v>195</v>
      </c>
    </row>
    <row r="150" spans="2:33">
      <c r="B150" s="1710"/>
      <c r="D150" s="194" t="s">
        <v>43</v>
      </c>
      <c r="E150" s="422"/>
      <c r="F150" s="980" t="s">
        <v>1272</v>
      </c>
      <c r="G150" s="977" t="s">
        <v>1270</v>
      </c>
      <c r="J150" s="968" t="s">
        <v>26</v>
      </c>
      <c r="M150" s="422"/>
      <c r="Q150" s="904" t="s">
        <v>1270</v>
      </c>
      <c r="R150" s="931">
        <f t="shared" si="79"/>
        <v>3.7037037037037035E-2</v>
      </c>
      <c r="S150" s="931">
        <f t="shared" si="80"/>
        <v>0.19444444444444445</v>
      </c>
      <c r="T150" s="931">
        <f t="shared" si="81"/>
        <v>0.1111111111111111</v>
      </c>
      <c r="U150" s="931">
        <f t="shared" si="82"/>
        <v>0.10810810810810811</v>
      </c>
      <c r="V150" s="931">
        <f t="shared" si="83"/>
        <v>0.15789473684210525</v>
      </c>
      <c r="W150" s="931">
        <f t="shared" si="84"/>
        <v>4.7619047619047616E-2</v>
      </c>
      <c r="X150" s="931">
        <f t="shared" si="85"/>
        <v>8.5714285714285715E-2</v>
      </c>
      <c r="Y150" s="931">
        <f t="shared" si="86"/>
        <v>0.2</v>
      </c>
      <c r="Z150" s="931">
        <f t="shared" si="87"/>
        <v>0.1</v>
      </c>
      <c r="AA150" s="931">
        <f t="shared" si="88"/>
        <v>0.13157894736842105</v>
      </c>
      <c r="AB150" s="931">
        <f t="shared" si="89"/>
        <v>0.05</v>
      </c>
      <c r="AC150" s="931">
        <f t="shared" si="90"/>
        <v>2.7777777777777776E-2</v>
      </c>
      <c r="AD150" s="931" t="str">
        <f t="shared" si="91"/>
        <v/>
      </c>
      <c r="AF150" s="954" t="s">
        <v>27</v>
      </c>
      <c r="AG150" s="560">
        <f t="shared" ref="AG150:AG177" si="92">IF(COUNTIF($C$60:$O$241, AF150)&gt;0, COUNTIF($C$60:$O$241, AF150)/COUNTIF($C$60:$O$241, "*Challenge*"), "")</f>
        <v>5.7649667405764965E-2</v>
      </c>
    </row>
    <row r="151" spans="2:33">
      <c r="B151" s="1710"/>
      <c r="E151" s="422"/>
      <c r="G151" s="980" t="s">
        <v>1272</v>
      </c>
      <c r="M151" s="422"/>
      <c r="Q151" s="896" t="s">
        <v>43</v>
      </c>
      <c r="R151" s="932">
        <f t="shared" si="79"/>
        <v>3.7037037037037035E-2</v>
      </c>
      <c r="S151" s="932">
        <f t="shared" si="80"/>
        <v>5.5555555555555552E-2</v>
      </c>
      <c r="T151" s="932">
        <f t="shared" si="81"/>
        <v>0.1111111111111111</v>
      </c>
      <c r="U151" s="932" t="str">
        <f t="shared" si="82"/>
        <v/>
      </c>
      <c r="V151" s="932">
        <f t="shared" si="83"/>
        <v>2.6315789473684209E-2</v>
      </c>
      <c r="W151" s="932">
        <f t="shared" si="84"/>
        <v>4.7619047619047616E-2</v>
      </c>
      <c r="X151" s="932" t="str">
        <f t="shared" si="85"/>
        <v/>
      </c>
      <c r="Y151" s="932">
        <f t="shared" si="86"/>
        <v>0.05</v>
      </c>
      <c r="Z151" s="932">
        <f t="shared" si="87"/>
        <v>2.5000000000000001E-2</v>
      </c>
      <c r="AA151" s="932">
        <f t="shared" si="88"/>
        <v>5.2631578947368418E-2</v>
      </c>
      <c r="AB151" s="932">
        <f t="shared" si="89"/>
        <v>2.5000000000000001E-2</v>
      </c>
      <c r="AC151" s="932">
        <f t="shared" si="90"/>
        <v>5.5555555555555552E-2</v>
      </c>
      <c r="AD151" s="932" t="str">
        <f t="shared" si="91"/>
        <v/>
      </c>
      <c r="AF151" s="904" t="s">
        <v>1270</v>
      </c>
      <c r="AG151" s="560">
        <f t="shared" si="92"/>
        <v>0.10421286031042129</v>
      </c>
    </row>
    <row r="152" spans="2:33">
      <c r="B152" s="1710"/>
      <c r="C152" s="1004" t="s">
        <v>188</v>
      </c>
      <c r="D152" s="1004" t="s">
        <v>188</v>
      </c>
      <c r="E152" s="1004" t="s">
        <v>189</v>
      </c>
      <c r="F152" s="1004" t="s">
        <v>188</v>
      </c>
      <c r="G152" s="1004" t="s">
        <v>186</v>
      </c>
      <c r="H152" s="1004" t="s">
        <v>187</v>
      </c>
      <c r="I152" s="1004" t="s">
        <v>188</v>
      </c>
      <c r="J152" s="1004" t="s">
        <v>189</v>
      </c>
      <c r="K152" s="1004" t="s">
        <v>190</v>
      </c>
      <c r="L152" s="1004" t="s">
        <v>186</v>
      </c>
      <c r="M152" s="1004" t="s">
        <v>186</v>
      </c>
      <c r="N152" s="1004" t="s">
        <v>189</v>
      </c>
      <c r="O152" s="1004"/>
      <c r="Q152" s="905" t="s">
        <v>120</v>
      </c>
      <c r="R152" s="933">
        <f t="shared" si="79"/>
        <v>3.7037037037037035E-2</v>
      </c>
      <c r="S152" s="933" t="str">
        <f t="shared" si="80"/>
        <v/>
      </c>
      <c r="T152" s="933">
        <f t="shared" si="81"/>
        <v>2.7777777777777776E-2</v>
      </c>
      <c r="U152" s="933">
        <f t="shared" si="82"/>
        <v>2.7027027027027029E-2</v>
      </c>
      <c r="V152" s="933" t="str">
        <f t="shared" si="83"/>
        <v/>
      </c>
      <c r="W152" s="933" t="str">
        <f t="shared" si="84"/>
        <v/>
      </c>
      <c r="X152" s="933">
        <f t="shared" si="85"/>
        <v>2.8571428571428571E-2</v>
      </c>
      <c r="Y152" s="933">
        <f t="shared" si="86"/>
        <v>2.5000000000000001E-2</v>
      </c>
      <c r="Z152" s="933">
        <f t="shared" si="87"/>
        <v>0.1</v>
      </c>
      <c r="AA152" s="933">
        <f t="shared" si="88"/>
        <v>5.2631578947368418E-2</v>
      </c>
      <c r="AB152" s="933">
        <f t="shared" si="89"/>
        <v>2.5000000000000001E-2</v>
      </c>
      <c r="AC152" s="933" t="str">
        <f t="shared" si="90"/>
        <v/>
      </c>
      <c r="AD152" s="933" t="str">
        <f t="shared" si="91"/>
        <v/>
      </c>
      <c r="AF152" s="896" t="s">
        <v>43</v>
      </c>
      <c r="AG152" s="560">
        <f t="shared" si="92"/>
        <v>3.9911308203991129E-2</v>
      </c>
    </row>
    <row r="153" spans="2:33" ht="16.5" thickBot="1">
      <c r="B153" s="1710"/>
      <c r="C153" s="27" t="s">
        <v>44</v>
      </c>
      <c r="Q153" s="906" t="s">
        <v>47</v>
      </c>
      <c r="R153" s="934" t="str">
        <f t="shared" si="79"/>
        <v/>
      </c>
      <c r="S153" s="934">
        <f t="shared" si="80"/>
        <v>2.7777777777777776E-2</v>
      </c>
      <c r="T153" s="934">
        <f t="shared" si="81"/>
        <v>5.5555555555555552E-2</v>
      </c>
      <c r="U153" s="934">
        <f t="shared" si="82"/>
        <v>0.13513513513513514</v>
      </c>
      <c r="V153" s="934">
        <f t="shared" si="83"/>
        <v>0.23684210526315788</v>
      </c>
      <c r="W153" s="934">
        <f t="shared" si="84"/>
        <v>4.7619047619047616E-2</v>
      </c>
      <c r="X153" s="934">
        <f t="shared" si="85"/>
        <v>5.7142857142857141E-2</v>
      </c>
      <c r="Y153" s="934">
        <f t="shared" si="86"/>
        <v>7.4999999999999997E-2</v>
      </c>
      <c r="Z153" s="934">
        <f t="shared" si="87"/>
        <v>0.125</v>
      </c>
      <c r="AA153" s="934">
        <f t="shared" si="88"/>
        <v>2.6315789473684209E-2</v>
      </c>
      <c r="AB153" s="934">
        <f t="shared" si="89"/>
        <v>2.5000000000000001E-2</v>
      </c>
      <c r="AC153" s="934" t="str">
        <f t="shared" si="90"/>
        <v/>
      </c>
      <c r="AD153" s="934" t="str">
        <f t="shared" si="91"/>
        <v/>
      </c>
      <c r="AF153" s="905" t="s">
        <v>120</v>
      </c>
      <c r="AG153" s="560">
        <f t="shared" si="92"/>
        <v>2.6607538802660754E-2</v>
      </c>
    </row>
    <row r="154" spans="2:33" ht="16.5" thickBot="1">
      <c r="B154" s="1711"/>
      <c r="C154" s="985" t="s">
        <v>190</v>
      </c>
      <c r="D154" s="985"/>
      <c r="E154" s="985"/>
      <c r="F154" s="985"/>
      <c r="G154" s="985"/>
      <c r="H154" s="985"/>
      <c r="I154" s="985"/>
      <c r="J154" s="985"/>
      <c r="K154" s="985"/>
      <c r="L154" s="985"/>
      <c r="M154" s="985"/>
      <c r="N154" s="985"/>
      <c r="O154" s="985"/>
      <c r="Q154" s="907" t="s">
        <v>46</v>
      </c>
      <c r="R154" s="935" t="str">
        <f t="shared" si="79"/>
        <v/>
      </c>
      <c r="S154" s="935" t="str">
        <f t="shared" si="80"/>
        <v/>
      </c>
      <c r="T154" s="935">
        <f t="shared" si="81"/>
        <v>2.7777777777777776E-2</v>
      </c>
      <c r="U154" s="935" t="str">
        <f t="shared" si="82"/>
        <v/>
      </c>
      <c r="V154" s="935" t="str">
        <f t="shared" si="83"/>
        <v/>
      </c>
      <c r="W154" s="935" t="str">
        <f t="shared" si="84"/>
        <v/>
      </c>
      <c r="X154" s="935">
        <f t="shared" si="85"/>
        <v>2.8571428571428571E-2</v>
      </c>
      <c r="Y154" s="935">
        <f t="shared" si="86"/>
        <v>2.5000000000000001E-2</v>
      </c>
      <c r="Z154" s="935">
        <f t="shared" si="87"/>
        <v>2.5000000000000001E-2</v>
      </c>
      <c r="AA154" s="935">
        <f t="shared" si="88"/>
        <v>5.2631578947368418E-2</v>
      </c>
      <c r="AB154" s="935">
        <f t="shared" si="89"/>
        <v>0.05</v>
      </c>
      <c r="AC154" s="935" t="str">
        <f t="shared" si="90"/>
        <v/>
      </c>
      <c r="AD154" s="935" t="str">
        <f t="shared" si="91"/>
        <v/>
      </c>
      <c r="AF154" s="906" t="s">
        <v>47</v>
      </c>
      <c r="AG154" s="560">
        <f t="shared" si="92"/>
        <v>6.8736141906873618E-2</v>
      </c>
    </row>
    <row r="155" spans="2:33" ht="16.5" thickTop="1">
      <c r="B155" s="1709" t="s">
        <v>148</v>
      </c>
      <c r="C155" s="968" t="s">
        <v>26</v>
      </c>
      <c r="D155" s="977" t="s">
        <v>1270</v>
      </c>
      <c r="E155" s="974" t="s">
        <v>1269</v>
      </c>
      <c r="F155" s="968" t="s">
        <v>26</v>
      </c>
      <c r="G155" s="27" t="s">
        <v>44</v>
      </c>
      <c r="H155" s="956" t="s">
        <v>109</v>
      </c>
      <c r="I155" s="968" t="s">
        <v>26</v>
      </c>
      <c r="J155" s="974" t="s">
        <v>1269</v>
      </c>
      <c r="K155" s="189" t="s">
        <v>47</v>
      </c>
      <c r="L155" s="963" t="s">
        <v>46</v>
      </c>
      <c r="M155" s="189" t="s">
        <v>47</v>
      </c>
      <c r="N155" s="968" t="s">
        <v>26</v>
      </c>
      <c r="Q155" s="908" t="s">
        <v>397</v>
      </c>
      <c r="R155" s="936" t="str">
        <f t="shared" si="79"/>
        <v/>
      </c>
      <c r="S155" s="936" t="str">
        <f t="shared" si="80"/>
        <v/>
      </c>
      <c r="T155" s="936" t="str">
        <f t="shared" si="81"/>
        <v/>
      </c>
      <c r="U155" s="936" t="str">
        <f t="shared" si="82"/>
        <v/>
      </c>
      <c r="V155" s="936" t="str">
        <f t="shared" si="83"/>
        <v/>
      </c>
      <c r="W155" s="936" t="str">
        <f t="shared" si="84"/>
        <v/>
      </c>
      <c r="X155" s="936">
        <f t="shared" si="85"/>
        <v>5.7142857142857141E-2</v>
      </c>
      <c r="Y155" s="936" t="str">
        <f t="shared" si="86"/>
        <v/>
      </c>
      <c r="Z155" s="936" t="str">
        <f t="shared" si="87"/>
        <v/>
      </c>
      <c r="AA155" s="936">
        <f t="shared" si="88"/>
        <v>5.2631578947368418E-2</v>
      </c>
      <c r="AB155" s="936">
        <f t="shared" si="89"/>
        <v>2.5000000000000001E-2</v>
      </c>
      <c r="AC155" s="936" t="str">
        <f t="shared" si="90"/>
        <v/>
      </c>
      <c r="AD155" s="936" t="str">
        <f t="shared" si="91"/>
        <v/>
      </c>
      <c r="AF155" s="907" t="s">
        <v>46</v>
      </c>
      <c r="AG155" s="560">
        <f t="shared" si="92"/>
        <v>1.7738359201773836E-2</v>
      </c>
    </row>
    <row r="156" spans="2:33">
      <c r="B156" s="1710"/>
      <c r="D156" s="981" t="s">
        <v>1271</v>
      </c>
      <c r="E156" s="422"/>
      <c r="F156" s="962" t="s">
        <v>216</v>
      </c>
      <c r="H156" s="966" t="s">
        <v>73</v>
      </c>
      <c r="I156" s="980" t="s">
        <v>1272</v>
      </c>
      <c r="K156" s="970" t="s">
        <v>68</v>
      </c>
      <c r="Q156" s="909" t="s">
        <v>155</v>
      </c>
      <c r="R156" s="937" t="str">
        <f t="shared" si="79"/>
        <v/>
      </c>
      <c r="S156" s="937">
        <f t="shared" si="80"/>
        <v>2.7777777777777776E-2</v>
      </c>
      <c r="T156" s="937">
        <f t="shared" si="81"/>
        <v>5.5555555555555552E-2</v>
      </c>
      <c r="U156" s="937">
        <f t="shared" si="82"/>
        <v>2.7027027027027029E-2</v>
      </c>
      <c r="V156" s="937">
        <f t="shared" si="83"/>
        <v>2.6315789473684209E-2</v>
      </c>
      <c r="W156" s="937" t="str">
        <f t="shared" si="84"/>
        <v/>
      </c>
      <c r="X156" s="937">
        <f t="shared" si="85"/>
        <v>2.8571428571428571E-2</v>
      </c>
      <c r="Y156" s="937">
        <f t="shared" si="86"/>
        <v>7.4999999999999997E-2</v>
      </c>
      <c r="Z156" s="937">
        <f t="shared" si="87"/>
        <v>2.5000000000000001E-2</v>
      </c>
      <c r="AA156" s="937" t="str">
        <f t="shared" si="88"/>
        <v/>
      </c>
      <c r="AB156" s="937">
        <f t="shared" si="89"/>
        <v>0.05</v>
      </c>
      <c r="AC156" s="937" t="str">
        <f t="shared" si="90"/>
        <v/>
      </c>
      <c r="AD156" s="937" t="str">
        <f t="shared" si="91"/>
        <v/>
      </c>
      <c r="AF156" s="908" t="s">
        <v>397</v>
      </c>
      <c r="AG156" s="560">
        <f t="shared" si="92"/>
        <v>1.1086474501108648E-2</v>
      </c>
    </row>
    <row r="157" spans="2:33">
      <c r="B157" s="1710"/>
      <c r="C157" s="988" t="s">
        <v>187</v>
      </c>
      <c r="D157" s="988" t="s">
        <v>189</v>
      </c>
      <c r="E157" s="988" t="s">
        <v>189</v>
      </c>
      <c r="F157" s="988" t="s">
        <v>188</v>
      </c>
      <c r="G157" s="988" t="s">
        <v>190</v>
      </c>
      <c r="H157" s="988" t="s">
        <v>189</v>
      </c>
      <c r="I157" s="988" t="s">
        <v>189</v>
      </c>
      <c r="J157" s="988" t="s">
        <v>191</v>
      </c>
      <c r="K157" s="988" t="s">
        <v>190</v>
      </c>
      <c r="L157" s="988" t="s">
        <v>187</v>
      </c>
      <c r="M157" s="988" t="s">
        <v>189</v>
      </c>
      <c r="N157" s="988" t="s">
        <v>186</v>
      </c>
      <c r="O157" s="988"/>
      <c r="Q157" s="897" t="s">
        <v>24</v>
      </c>
      <c r="R157" s="938">
        <f t="shared" si="79"/>
        <v>3.7037037037037035E-2</v>
      </c>
      <c r="S157" s="938" t="str">
        <f t="shared" si="80"/>
        <v/>
      </c>
      <c r="T157" s="938" t="str">
        <f t="shared" si="81"/>
        <v/>
      </c>
      <c r="U157" s="938">
        <f t="shared" si="82"/>
        <v>5.4054054054054057E-2</v>
      </c>
      <c r="V157" s="938">
        <f t="shared" si="83"/>
        <v>5.2631578947368418E-2</v>
      </c>
      <c r="W157" s="938">
        <f t="shared" si="84"/>
        <v>2.3809523809523808E-2</v>
      </c>
      <c r="X157" s="938">
        <f t="shared" si="85"/>
        <v>8.5714285714285715E-2</v>
      </c>
      <c r="Y157" s="938">
        <f t="shared" si="86"/>
        <v>2.5000000000000001E-2</v>
      </c>
      <c r="Z157" s="938">
        <f t="shared" si="87"/>
        <v>0.05</v>
      </c>
      <c r="AA157" s="938">
        <f t="shared" si="88"/>
        <v>2.6315789473684209E-2</v>
      </c>
      <c r="AB157" s="938">
        <f t="shared" si="89"/>
        <v>7.4999999999999997E-2</v>
      </c>
      <c r="AC157" s="938">
        <f t="shared" si="90"/>
        <v>5.5555555555555552E-2</v>
      </c>
      <c r="AD157" s="938" t="str">
        <f t="shared" si="91"/>
        <v/>
      </c>
      <c r="AF157" s="909" t="s">
        <v>155</v>
      </c>
      <c r="AG157" s="560">
        <f t="shared" si="92"/>
        <v>2.6607538802660754E-2</v>
      </c>
    </row>
    <row r="158" spans="2:33">
      <c r="B158" s="1710"/>
      <c r="C158" s="981" t="s">
        <v>1271</v>
      </c>
      <c r="Q158" s="910" t="s">
        <v>23</v>
      </c>
      <c r="R158" s="939" t="str">
        <f t="shared" si="79"/>
        <v/>
      </c>
      <c r="S158" s="939" t="str">
        <f t="shared" si="80"/>
        <v/>
      </c>
      <c r="T158" s="939" t="str">
        <f t="shared" si="81"/>
        <v/>
      </c>
      <c r="U158" s="939">
        <f t="shared" si="82"/>
        <v>2.7027027027027029E-2</v>
      </c>
      <c r="V158" s="939" t="str">
        <f t="shared" si="83"/>
        <v/>
      </c>
      <c r="W158" s="939" t="str">
        <f t="shared" si="84"/>
        <v/>
      </c>
      <c r="X158" s="939" t="str">
        <f t="shared" si="85"/>
        <v/>
      </c>
      <c r="Y158" s="939" t="str">
        <f t="shared" si="86"/>
        <v/>
      </c>
      <c r="Z158" s="939" t="str">
        <f t="shared" si="87"/>
        <v/>
      </c>
      <c r="AA158" s="939" t="str">
        <f t="shared" si="88"/>
        <v/>
      </c>
      <c r="AB158" s="939" t="str">
        <f t="shared" si="89"/>
        <v/>
      </c>
      <c r="AC158" s="939" t="str">
        <f t="shared" si="90"/>
        <v/>
      </c>
      <c r="AD158" s="939">
        <f t="shared" si="91"/>
        <v>0.16666666666666666</v>
      </c>
      <c r="AF158" s="897" t="s">
        <v>24</v>
      </c>
      <c r="AG158" s="560">
        <f t="shared" si="92"/>
        <v>3.9911308203991129E-2</v>
      </c>
    </row>
    <row r="159" spans="2:33">
      <c r="B159" s="1710"/>
      <c r="C159" s="27" t="s">
        <v>44</v>
      </c>
      <c r="Q159" s="895" t="s">
        <v>29</v>
      </c>
      <c r="R159" s="935">
        <f t="shared" si="79"/>
        <v>0.14814814814814814</v>
      </c>
      <c r="S159" s="935" t="str">
        <f t="shared" si="80"/>
        <v/>
      </c>
      <c r="T159" s="935">
        <f t="shared" si="81"/>
        <v>0.1111111111111111</v>
      </c>
      <c r="U159" s="935">
        <f t="shared" si="82"/>
        <v>2.7027027027027029E-2</v>
      </c>
      <c r="V159" s="935" t="str">
        <f t="shared" si="83"/>
        <v/>
      </c>
      <c r="W159" s="935">
        <f t="shared" si="84"/>
        <v>7.1428571428571425E-2</v>
      </c>
      <c r="X159" s="935">
        <f t="shared" si="85"/>
        <v>8.5714285714285715E-2</v>
      </c>
      <c r="Y159" s="935" t="str">
        <f t="shared" si="86"/>
        <v/>
      </c>
      <c r="Z159" s="935" t="str">
        <f t="shared" si="87"/>
        <v/>
      </c>
      <c r="AA159" s="935">
        <f t="shared" si="88"/>
        <v>5.2631578947368418E-2</v>
      </c>
      <c r="AB159" s="935">
        <f t="shared" si="89"/>
        <v>0.125</v>
      </c>
      <c r="AC159" s="935" t="str">
        <f t="shared" si="90"/>
        <v/>
      </c>
      <c r="AD159" s="935" t="str">
        <f t="shared" si="91"/>
        <v/>
      </c>
      <c r="AF159" s="910" t="s">
        <v>23</v>
      </c>
      <c r="AG159" s="560">
        <f t="shared" si="92"/>
        <v>4.434589800443459E-3</v>
      </c>
    </row>
    <row r="160" spans="2:33" ht="16.5" thickBot="1">
      <c r="B160" s="1711"/>
      <c r="C160" s="1005" t="s">
        <v>189</v>
      </c>
      <c r="D160" s="1005"/>
      <c r="E160" s="1005"/>
      <c r="F160" s="1005"/>
      <c r="G160" s="1005"/>
      <c r="H160" s="1005"/>
      <c r="I160" s="1005"/>
      <c r="J160" s="1005"/>
      <c r="K160" s="1005"/>
      <c r="L160" s="1005"/>
      <c r="M160" s="1005"/>
      <c r="N160" s="1005"/>
      <c r="O160" s="1005"/>
      <c r="Q160" s="911" t="s">
        <v>93</v>
      </c>
      <c r="R160" s="935" t="str">
        <f t="shared" si="79"/>
        <v/>
      </c>
      <c r="S160" s="935" t="str">
        <f t="shared" si="80"/>
        <v/>
      </c>
      <c r="T160" s="935" t="str">
        <f t="shared" si="81"/>
        <v/>
      </c>
      <c r="U160" s="935" t="str">
        <f t="shared" si="82"/>
        <v/>
      </c>
      <c r="V160" s="935" t="str">
        <f t="shared" si="83"/>
        <v/>
      </c>
      <c r="W160" s="935" t="str">
        <f t="shared" si="84"/>
        <v/>
      </c>
      <c r="X160" s="935" t="str">
        <f t="shared" si="85"/>
        <v/>
      </c>
      <c r="Y160" s="935" t="str">
        <f t="shared" si="86"/>
        <v/>
      </c>
      <c r="Z160" s="935" t="str">
        <f t="shared" si="87"/>
        <v/>
      </c>
      <c r="AA160" s="935" t="str">
        <f t="shared" si="88"/>
        <v/>
      </c>
      <c r="AB160" s="935">
        <f t="shared" si="89"/>
        <v>2.5000000000000001E-2</v>
      </c>
      <c r="AC160" s="935">
        <f t="shared" si="90"/>
        <v>2.7777777777777776E-2</v>
      </c>
      <c r="AD160" s="935" t="str">
        <f t="shared" si="91"/>
        <v/>
      </c>
      <c r="AF160" s="895" t="s">
        <v>29</v>
      </c>
      <c r="AG160" s="560">
        <f t="shared" si="92"/>
        <v>4.878048780487805E-2</v>
      </c>
    </row>
    <row r="161" spans="2:33" ht="16.5" thickTop="1">
      <c r="B161" s="1709" t="s">
        <v>125</v>
      </c>
      <c r="C161" s="1010" t="s">
        <v>26</v>
      </c>
      <c r="D161" s="976" t="s">
        <v>47</v>
      </c>
      <c r="E161" s="1012" t="s">
        <v>1271</v>
      </c>
      <c r="F161" s="1012" t="s">
        <v>1271</v>
      </c>
      <c r="G161" s="977" t="s">
        <v>1270</v>
      </c>
      <c r="H161" s="1013" t="s">
        <v>44</v>
      </c>
      <c r="I161" s="1017" t="s">
        <v>397</v>
      </c>
      <c r="J161" s="1018" t="s">
        <v>1270</v>
      </c>
      <c r="K161" s="1012" t="s">
        <v>1271</v>
      </c>
      <c r="L161" s="1011" t="s">
        <v>1269</v>
      </c>
      <c r="M161" s="1019" t="s">
        <v>1272</v>
      </c>
      <c r="N161" s="1719" t="s">
        <v>2481</v>
      </c>
      <c r="O161" s="1016"/>
      <c r="Q161" s="912" t="s">
        <v>1269</v>
      </c>
      <c r="R161" s="940">
        <f t="shared" si="79"/>
        <v>0.1111111111111111</v>
      </c>
      <c r="S161" s="940">
        <f t="shared" si="80"/>
        <v>5.5555555555555552E-2</v>
      </c>
      <c r="T161" s="940">
        <f t="shared" si="81"/>
        <v>0.19444444444444445</v>
      </c>
      <c r="U161" s="940">
        <f t="shared" si="82"/>
        <v>2.7027027027027029E-2</v>
      </c>
      <c r="V161" s="940">
        <f t="shared" si="83"/>
        <v>7.8947368421052627E-2</v>
      </c>
      <c r="W161" s="940">
        <f t="shared" si="84"/>
        <v>9.5238095238095233E-2</v>
      </c>
      <c r="X161" s="940">
        <f t="shared" si="85"/>
        <v>8.5714285714285715E-2</v>
      </c>
      <c r="Y161" s="940">
        <f t="shared" si="86"/>
        <v>0.125</v>
      </c>
      <c r="Z161" s="940">
        <f t="shared" si="87"/>
        <v>0.05</v>
      </c>
      <c r="AA161" s="940">
        <f t="shared" si="88"/>
        <v>0.13157894736842105</v>
      </c>
      <c r="AB161" s="940">
        <f t="shared" si="89"/>
        <v>0.17499999999999999</v>
      </c>
      <c r="AC161" s="940">
        <f t="shared" si="90"/>
        <v>8.3333333333333329E-2</v>
      </c>
      <c r="AD161" s="940" t="str">
        <f t="shared" si="91"/>
        <v/>
      </c>
      <c r="AF161" s="911" t="s">
        <v>93</v>
      </c>
      <c r="AG161" s="560">
        <f t="shared" si="92"/>
        <v>4.434589800443459E-3</v>
      </c>
    </row>
    <row r="162" spans="2:33">
      <c r="B162" s="1710"/>
      <c r="D162" s="977" t="s">
        <v>1270</v>
      </c>
      <c r="E162" s="422"/>
      <c r="I162" s="196" t="s">
        <v>114</v>
      </c>
      <c r="K162" s="967" t="s">
        <v>27</v>
      </c>
      <c r="M162" s="956" t="s">
        <v>109</v>
      </c>
      <c r="N162" s="1720"/>
      <c r="Q162" s="913" t="s">
        <v>26</v>
      </c>
      <c r="R162" s="941">
        <f t="shared" si="79"/>
        <v>0.29629629629629628</v>
      </c>
      <c r="S162" s="941">
        <f t="shared" si="80"/>
        <v>0.16666666666666666</v>
      </c>
      <c r="T162" s="941">
        <f t="shared" si="81"/>
        <v>2.7777777777777776E-2</v>
      </c>
      <c r="U162" s="941">
        <f t="shared" si="82"/>
        <v>0.1891891891891892</v>
      </c>
      <c r="V162" s="941">
        <f t="shared" si="83"/>
        <v>0.10526315789473684</v>
      </c>
      <c r="W162" s="941">
        <f t="shared" si="84"/>
        <v>0.14285714285714285</v>
      </c>
      <c r="X162" s="941">
        <f t="shared" si="85"/>
        <v>0.17142857142857143</v>
      </c>
      <c r="Y162" s="941">
        <f t="shared" si="86"/>
        <v>0.1</v>
      </c>
      <c r="Z162" s="941">
        <f t="shared" si="87"/>
        <v>0.1</v>
      </c>
      <c r="AA162" s="941">
        <f t="shared" si="88"/>
        <v>0.15789473684210525</v>
      </c>
      <c r="AB162" s="941">
        <f t="shared" si="89"/>
        <v>0.1</v>
      </c>
      <c r="AC162" s="941">
        <f t="shared" si="90"/>
        <v>0.33333333333333331</v>
      </c>
      <c r="AD162" s="941">
        <f t="shared" si="91"/>
        <v>0.33333333333333331</v>
      </c>
      <c r="AF162" s="912" t="s">
        <v>1269</v>
      </c>
      <c r="AG162" s="560">
        <f t="shared" si="92"/>
        <v>9.9778270509977826E-2</v>
      </c>
    </row>
    <row r="163" spans="2:33" ht="16.5" thickBot="1">
      <c r="B163" s="1711"/>
      <c r="C163" s="1005" t="s">
        <v>189</v>
      </c>
      <c r="D163" s="1005" t="s">
        <v>187</v>
      </c>
      <c r="E163" s="1005" t="s">
        <v>186</v>
      </c>
      <c r="F163" s="1005" t="s">
        <v>186</v>
      </c>
      <c r="G163" s="1005" t="s">
        <v>190</v>
      </c>
      <c r="H163" s="1005" t="s">
        <v>187</v>
      </c>
      <c r="I163" s="1005" t="s">
        <v>189</v>
      </c>
      <c r="J163" s="1005" t="s">
        <v>189</v>
      </c>
      <c r="K163" s="1005" t="s">
        <v>192</v>
      </c>
      <c r="L163" s="1005" t="s">
        <v>187</v>
      </c>
      <c r="M163" s="1005" t="s">
        <v>187</v>
      </c>
      <c r="N163" s="1005" t="s">
        <v>186</v>
      </c>
      <c r="O163" s="1005"/>
      <c r="Q163" s="914" t="s">
        <v>109</v>
      </c>
      <c r="R163" s="942" t="str">
        <f t="shared" si="79"/>
        <v/>
      </c>
      <c r="S163" s="942" t="str">
        <f t="shared" si="80"/>
        <v/>
      </c>
      <c r="T163" s="942">
        <f t="shared" si="81"/>
        <v>5.5555555555555552E-2</v>
      </c>
      <c r="U163" s="942" t="str">
        <f t="shared" si="82"/>
        <v/>
      </c>
      <c r="V163" s="942">
        <f t="shared" si="83"/>
        <v>2.6315789473684209E-2</v>
      </c>
      <c r="W163" s="942">
        <f t="shared" si="84"/>
        <v>2.3809523809523808E-2</v>
      </c>
      <c r="X163" s="942" t="str">
        <f t="shared" si="85"/>
        <v/>
      </c>
      <c r="Y163" s="942">
        <f t="shared" si="86"/>
        <v>0.05</v>
      </c>
      <c r="Z163" s="942">
        <f t="shared" si="87"/>
        <v>2.5000000000000001E-2</v>
      </c>
      <c r="AA163" s="942" t="str">
        <f t="shared" si="88"/>
        <v/>
      </c>
      <c r="AB163" s="942">
        <f t="shared" si="89"/>
        <v>0.05</v>
      </c>
      <c r="AC163" s="942">
        <f t="shared" si="90"/>
        <v>5.5555555555555552E-2</v>
      </c>
      <c r="AD163" s="942" t="str">
        <f t="shared" si="91"/>
        <v/>
      </c>
      <c r="AF163" s="913" t="s">
        <v>26</v>
      </c>
      <c r="AG163" s="560">
        <f t="shared" si="92"/>
        <v>0.15521064301552107</v>
      </c>
    </row>
    <row r="164" spans="2:33" ht="17.100000000000001" customHeight="1" thickTop="1">
      <c r="B164" s="1709" t="s">
        <v>116</v>
      </c>
      <c r="C164" s="1013" t="s">
        <v>44</v>
      </c>
      <c r="D164" s="1016"/>
      <c r="E164" s="1016"/>
      <c r="F164" s="1019" t="s">
        <v>1272</v>
      </c>
      <c r="G164" s="1018" t="s">
        <v>1270</v>
      </c>
      <c r="H164" s="726" t="s">
        <v>20</v>
      </c>
      <c r="I164" s="1020" t="s">
        <v>24</v>
      </c>
      <c r="J164" s="1010" t="s">
        <v>26</v>
      </c>
      <c r="K164" s="1010" t="s">
        <v>26</v>
      </c>
      <c r="L164" s="1016"/>
      <c r="M164" s="1012" t="s">
        <v>1271</v>
      </c>
      <c r="N164" s="1010" t="s">
        <v>26</v>
      </c>
      <c r="O164" s="1016"/>
      <c r="Q164" s="915" t="s">
        <v>114</v>
      </c>
      <c r="R164" s="943" t="str">
        <f t="shared" si="79"/>
        <v/>
      </c>
      <c r="S164" s="943">
        <f t="shared" si="80"/>
        <v>2.7777777777777776E-2</v>
      </c>
      <c r="T164" s="943" t="str">
        <f t="shared" si="81"/>
        <v/>
      </c>
      <c r="U164" s="943" t="str">
        <f t="shared" si="82"/>
        <v/>
      </c>
      <c r="V164" s="943" t="str">
        <f t="shared" si="83"/>
        <v/>
      </c>
      <c r="W164" s="943" t="str">
        <f t="shared" si="84"/>
        <v/>
      </c>
      <c r="X164" s="943">
        <f t="shared" si="85"/>
        <v>5.7142857142857141E-2</v>
      </c>
      <c r="Y164" s="943">
        <f t="shared" si="86"/>
        <v>2.5000000000000001E-2</v>
      </c>
      <c r="Z164" s="943">
        <f t="shared" si="87"/>
        <v>0.05</v>
      </c>
      <c r="AA164" s="943" t="str">
        <f t="shared" si="88"/>
        <v/>
      </c>
      <c r="AB164" s="943" t="str">
        <f t="shared" si="89"/>
        <v/>
      </c>
      <c r="AC164" s="943" t="str">
        <f t="shared" si="90"/>
        <v/>
      </c>
      <c r="AD164" s="943" t="str">
        <f t="shared" si="91"/>
        <v/>
      </c>
      <c r="AF164" s="914" t="s">
        <v>109</v>
      </c>
      <c r="AG164" s="560">
        <f t="shared" si="92"/>
        <v>2.4390243902439025E-2</v>
      </c>
    </row>
    <row r="165" spans="2:33">
      <c r="B165" s="1710"/>
      <c r="G165" s="981" t="s">
        <v>1271</v>
      </c>
      <c r="H165" s="981" t="s">
        <v>1271</v>
      </c>
      <c r="J165" s="27" t="s">
        <v>44</v>
      </c>
      <c r="K165" s="194" t="s">
        <v>43</v>
      </c>
      <c r="Q165" s="916" t="s">
        <v>1272</v>
      </c>
      <c r="R165" s="944">
        <f t="shared" si="79"/>
        <v>7.407407407407407E-2</v>
      </c>
      <c r="S165" s="944" t="str">
        <f t="shared" si="80"/>
        <v/>
      </c>
      <c r="T165" s="944" t="str">
        <f t="shared" si="81"/>
        <v/>
      </c>
      <c r="U165" s="944">
        <f t="shared" si="82"/>
        <v>0.10810810810810811</v>
      </c>
      <c r="V165" s="944">
        <f t="shared" si="83"/>
        <v>5.2631578947368418E-2</v>
      </c>
      <c r="W165" s="944">
        <f t="shared" si="84"/>
        <v>9.5238095238095233E-2</v>
      </c>
      <c r="X165" s="944">
        <f t="shared" si="85"/>
        <v>2.8571428571428571E-2</v>
      </c>
      <c r="Y165" s="944">
        <f t="shared" si="86"/>
        <v>0.05</v>
      </c>
      <c r="Z165" s="944">
        <f t="shared" si="87"/>
        <v>0.1</v>
      </c>
      <c r="AA165" s="944" t="str">
        <f t="shared" si="88"/>
        <v/>
      </c>
      <c r="AB165" s="944">
        <f t="shared" si="89"/>
        <v>7.4999999999999997E-2</v>
      </c>
      <c r="AC165" s="944">
        <f t="shared" si="90"/>
        <v>0.16666666666666666</v>
      </c>
      <c r="AD165" s="944">
        <f t="shared" si="91"/>
        <v>0.33333333333333331</v>
      </c>
      <c r="AF165" s="915" t="s">
        <v>114</v>
      </c>
      <c r="AG165" s="560">
        <f t="shared" si="92"/>
        <v>1.3303769401330377E-2</v>
      </c>
    </row>
    <row r="166" spans="2:33">
      <c r="B166" s="1710"/>
      <c r="C166" s="1004" t="s">
        <v>189</v>
      </c>
      <c r="D166" s="1004"/>
      <c r="E166" s="1004"/>
      <c r="F166" s="1004" t="s">
        <v>189</v>
      </c>
      <c r="G166" s="1004" t="s">
        <v>189</v>
      </c>
      <c r="H166" s="1004" t="s">
        <v>189</v>
      </c>
      <c r="I166" s="1004" t="s">
        <v>187</v>
      </c>
      <c r="J166" s="1004" t="s">
        <v>187</v>
      </c>
      <c r="K166" s="1004" t="s">
        <v>188</v>
      </c>
      <c r="L166" s="1004"/>
      <c r="M166" s="1004" t="s">
        <v>189</v>
      </c>
      <c r="N166" s="1004" t="s">
        <v>188</v>
      </c>
      <c r="O166" s="1004"/>
      <c r="Q166" s="917" t="s">
        <v>68</v>
      </c>
      <c r="R166" s="945">
        <f t="shared" si="79"/>
        <v>3.7037037037037035E-2</v>
      </c>
      <c r="S166" s="945">
        <f t="shared" si="80"/>
        <v>2.7777777777777776E-2</v>
      </c>
      <c r="T166" s="945">
        <f t="shared" si="81"/>
        <v>2.7777777777777776E-2</v>
      </c>
      <c r="U166" s="945" t="str">
        <f t="shared" si="82"/>
        <v/>
      </c>
      <c r="V166" s="945" t="str">
        <f t="shared" si="83"/>
        <v/>
      </c>
      <c r="W166" s="945" t="str">
        <f t="shared" si="84"/>
        <v/>
      </c>
      <c r="X166" s="945" t="str">
        <f t="shared" si="85"/>
        <v/>
      </c>
      <c r="Y166" s="945" t="str">
        <f t="shared" si="86"/>
        <v/>
      </c>
      <c r="Z166" s="945">
        <f t="shared" si="87"/>
        <v>2.5000000000000001E-2</v>
      </c>
      <c r="AA166" s="945">
        <f t="shared" si="88"/>
        <v>2.6315789473684209E-2</v>
      </c>
      <c r="AB166" s="945" t="str">
        <f t="shared" si="89"/>
        <v/>
      </c>
      <c r="AC166" s="945" t="str">
        <f t="shared" si="90"/>
        <v/>
      </c>
      <c r="AD166" s="945" t="str">
        <f t="shared" si="91"/>
        <v/>
      </c>
      <c r="AF166" s="916" t="s">
        <v>1272</v>
      </c>
      <c r="AG166" s="560">
        <f t="shared" si="92"/>
        <v>6.6518847006651879E-2</v>
      </c>
    </row>
    <row r="167" spans="2:33">
      <c r="B167" s="1710"/>
      <c r="N167" s="27" t="s">
        <v>44</v>
      </c>
      <c r="Q167" s="918" t="s">
        <v>234</v>
      </c>
      <c r="R167" s="931" t="str">
        <f t="shared" si="79"/>
        <v/>
      </c>
      <c r="S167" s="931" t="str">
        <f t="shared" si="80"/>
        <v/>
      </c>
      <c r="T167" s="931" t="str">
        <f t="shared" si="81"/>
        <v/>
      </c>
      <c r="U167" s="931" t="str">
        <f t="shared" si="82"/>
        <v/>
      </c>
      <c r="V167" s="931" t="str">
        <f t="shared" si="83"/>
        <v/>
      </c>
      <c r="W167" s="931">
        <f t="shared" si="84"/>
        <v>4.7619047619047616E-2</v>
      </c>
      <c r="X167" s="931" t="str">
        <f t="shared" si="85"/>
        <v/>
      </c>
      <c r="Y167" s="931" t="str">
        <f t="shared" si="86"/>
        <v/>
      </c>
      <c r="Z167" s="931">
        <f t="shared" si="87"/>
        <v>2.5000000000000001E-2</v>
      </c>
      <c r="AA167" s="931" t="str">
        <f t="shared" si="88"/>
        <v/>
      </c>
      <c r="AB167" s="931" t="str">
        <f t="shared" si="89"/>
        <v/>
      </c>
      <c r="AC167" s="931">
        <f t="shared" si="90"/>
        <v>2.7777777777777776E-2</v>
      </c>
      <c r="AD167" s="931" t="str">
        <f t="shared" si="91"/>
        <v/>
      </c>
      <c r="AF167" s="917" t="s">
        <v>68</v>
      </c>
      <c r="AG167" s="560">
        <f t="shared" si="92"/>
        <v>1.1086474501108648E-2</v>
      </c>
    </row>
    <row r="168" spans="2:33">
      <c r="B168" s="1710"/>
      <c r="N168" s="980" t="s">
        <v>1272</v>
      </c>
      <c r="Q168" s="919" t="s">
        <v>124</v>
      </c>
      <c r="R168" s="946" t="str">
        <f t="shared" si="79"/>
        <v/>
      </c>
      <c r="S168" s="946" t="str">
        <f t="shared" si="80"/>
        <v/>
      </c>
      <c r="T168" s="946">
        <f t="shared" si="81"/>
        <v>2.7777777777777776E-2</v>
      </c>
      <c r="U168" s="946" t="str">
        <f t="shared" si="82"/>
        <v/>
      </c>
      <c r="V168" s="946" t="str">
        <f t="shared" si="83"/>
        <v/>
      </c>
      <c r="W168" s="946" t="str">
        <f t="shared" si="84"/>
        <v/>
      </c>
      <c r="X168" s="946" t="str">
        <f t="shared" si="85"/>
        <v/>
      </c>
      <c r="Y168" s="946" t="str">
        <f t="shared" si="86"/>
        <v/>
      </c>
      <c r="Z168" s="946" t="str">
        <f t="shared" si="87"/>
        <v/>
      </c>
      <c r="AA168" s="946">
        <f t="shared" si="88"/>
        <v>5.2631578947368418E-2</v>
      </c>
      <c r="AB168" s="946" t="str">
        <f t="shared" si="89"/>
        <v/>
      </c>
      <c r="AC168" s="946" t="str">
        <f t="shared" si="90"/>
        <v/>
      </c>
      <c r="AD168" s="946">
        <f t="shared" si="91"/>
        <v>0.16666666666666666</v>
      </c>
      <c r="AF168" s="918" t="s">
        <v>234</v>
      </c>
      <c r="AG168" s="560">
        <f t="shared" si="92"/>
        <v>8.869179600886918E-3</v>
      </c>
    </row>
    <row r="169" spans="2:33" ht="16.5" thickBot="1">
      <c r="B169" s="1711"/>
      <c r="C169" s="985"/>
      <c r="D169" s="985"/>
      <c r="E169" s="985"/>
      <c r="F169" s="985"/>
      <c r="G169" s="985"/>
      <c r="H169" s="985"/>
      <c r="I169" s="985"/>
      <c r="J169" s="985"/>
      <c r="K169" s="985"/>
      <c r="L169" s="985"/>
      <c r="M169" s="985"/>
      <c r="N169" s="985" t="s">
        <v>192</v>
      </c>
      <c r="O169" s="985"/>
      <c r="Q169" s="920" t="s">
        <v>74</v>
      </c>
      <c r="R169" s="947" t="str">
        <f t="shared" si="79"/>
        <v/>
      </c>
      <c r="S169" s="947">
        <f t="shared" si="80"/>
        <v>2.7777777777777776E-2</v>
      </c>
      <c r="T169" s="947" t="str">
        <f t="shared" si="81"/>
        <v/>
      </c>
      <c r="U169" s="947" t="str">
        <f t="shared" si="82"/>
        <v/>
      </c>
      <c r="V169" s="947" t="str">
        <f t="shared" si="83"/>
        <v/>
      </c>
      <c r="W169" s="947">
        <f t="shared" si="84"/>
        <v>2.3809523809523808E-2</v>
      </c>
      <c r="X169" s="947">
        <f t="shared" si="85"/>
        <v>2.8571428571428571E-2</v>
      </c>
      <c r="Y169" s="947" t="str">
        <f t="shared" si="86"/>
        <v/>
      </c>
      <c r="Z169" s="947" t="str">
        <f t="shared" si="87"/>
        <v/>
      </c>
      <c r="AA169" s="947" t="str">
        <f t="shared" si="88"/>
        <v/>
      </c>
      <c r="AB169" s="947" t="str">
        <f t="shared" si="89"/>
        <v/>
      </c>
      <c r="AC169" s="947" t="str">
        <f t="shared" si="90"/>
        <v/>
      </c>
      <c r="AD169" s="947" t="str">
        <f t="shared" si="91"/>
        <v/>
      </c>
      <c r="AF169" s="919" t="s">
        <v>124</v>
      </c>
      <c r="AG169" s="560">
        <f t="shared" si="92"/>
        <v>8.869179600886918E-3</v>
      </c>
    </row>
    <row r="170" spans="2:33" ht="17.100000000000001" customHeight="1" thickTop="1">
      <c r="B170" s="1709" t="s">
        <v>104</v>
      </c>
      <c r="D170" s="14" t="s">
        <v>20</v>
      </c>
      <c r="F170" s="189" t="s">
        <v>47</v>
      </c>
      <c r="G170" s="956" t="s">
        <v>109</v>
      </c>
      <c r="H170" s="981" t="s">
        <v>1271</v>
      </c>
      <c r="I170" s="189" t="s">
        <v>47</v>
      </c>
      <c r="J170" s="27" t="s">
        <v>44</v>
      </c>
      <c r="K170" s="27" t="s">
        <v>44</v>
      </c>
      <c r="L170" s="981" t="s">
        <v>1271</v>
      </c>
      <c r="M170" s="962" t="s">
        <v>216</v>
      </c>
      <c r="N170" s="974" t="s">
        <v>1269</v>
      </c>
      <c r="Q170" s="921" t="s">
        <v>1271</v>
      </c>
      <c r="R170" s="948">
        <f t="shared" si="79"/>
        <v>0.18518518518518517</v>
      </c>
      <c r="S170" s="948">
        <f t="shared" si="80"/>
        <v>0.16666666666666666</v>
      </c>
      <c r="T170" s="948">
        <f t="shared" si="81"/>
        <v>0.33333333333333331</v>
      </c>
      <c r="U170" s="948">
        <f t="shared" si="82"/>
        <v>0.1891891891891892</v>
      </c>
      <c r="V170" s="948">
        <f t="shared" si="83"/>
        <v>0.13157894736842105</v>
      </c>
      <c r="W170" s="948">
        <f t="shared" si="84"/>
        <v>0.19047619047619047</v>
      </c>
      <c r="X170" s="948">
        <f t="shared" si="85"/>
        <v>0.14285714285714285</v>
      </c>
      <c r="Y170" s="948">
        <f t="shared" si="86"/>
        <v>0.15</v>
      </c>
      <c r="Z170" s="948">
        <f t="shared" si="87"/>
        <v>0.32500000000000001</v>
      </c>
      <c r="AA170" s="948">
        <f t="shared" si="88"/>
        <v>0.26315789473684209</v>
      </c>
      <c r="AB170" s="948">
        <f t="shared" si="89"/>
        <v>0.15</v>
      </c>
      <c r="AC170" s="948">
        <f t="shared" si="90"/>
        <v>0.22222222222222221</v>
      </c>
      <c r="AD170" s="948">
        <f t="shared" si="91"/>
        <v>0.16666666666666666</v>
      </c>
      <c r="AF170" s="920" t="s">
        <v>74</v>
      </c>
      <c r="AG170" s="560">
        <f t="shared" si="92"/>
        <v>6.6518847006651885E-3</v>
      </c>
    </row>
    <row r="171" spans="2:33">
      <c r="B171" s="1710"/>
      <c r="F171" s="422"/>
      <c r="G171" s="966" t="s">
        <v>73</v>
      </c>
      <c r="H171" s="422"/>
      <c r="K171" s="977" t="s">
        <v>1270</v>
      </c>
      <c r="Q171" s="922" t="s">
        <v>20</v>
      </c>
      <c r="R171" s="949">
        <f t="shared" si="79"/>
        <v>0.1111111111111111</v>
      </c>
      <c r="S171" s="949">
        <f t="shared" si="80"/>
        <v>5.5555555555555552E-2</v>
      </c>
      <c r="T171" s="949" t="str">
        <f t="shared" si="81"/>
        <v/>
      </c>
      <c r="U171" s="949">
        <f t="shared" si="82"/>
        <v>2.7027027027027029E-2</v>
      </c>
      <c r="V171" s="949" t="str">
        <f t="shared" si="83"/>
        <v/>
      </c>
      <c r="W171" s="949">
        <f t="shared" si="84"/>
        <v>9.5238095238095233E-2</v>
      </c>
      <c r="X171" s="949">
        <f t="shared" si="85"/>
        <v>5.7142857142857141E-2</v>
      </c>
      <c r="Y171" s="949">
        <f t="shared" si="86"/>
        <v>0.05</v>
      </c>
      <c r="Z171" s="949">
        <f t="shared" si="87"/>
        <v>0.05</v>
      </c>
      <c r="AA171" s="949">
        <f t="shared" si="88"/>
        <v>2.6315789473684209E-2</v>
      </c>
      <c r="AB171" s="949">
        <f t="shared" si="89"/>
        <v>0.1</v>
      </c>
      <c r="AC171" s="949">
        <f t="shared" si="90"/>
        <v>2.7777777777777776E-2</v>
      </c>
      <c r="AD171" s="949" t="str">
        <f t="shared" si="91"/>
        <v/>
      </c>
      <c r="AF171" s="921" t="s">
        <v>1271</v>
      </c>
      <c r="AG171" s="560">
        <f t="shared" si="92"/>
        <v>0.2039911308203991</v>
      </c>
    </row>
    <row r="172" spans="2:33">
      <c r="B172" s="1710"/>
      <c r="C172" s="988"/>
      <c r="D172" s="988" t="s">
        <v>186</v>
      </c>
      <c r="E172" s="988"/>
      <c r="F172" s="988" t="s">
        <v>188</v>
      </c>
      <c r="G172" s="988" t="s">
        <v>2480</v>
      </c>
      <c r="H172" s="988" t="s">
        <v>186</v>
      </c>
      <c r="I172" s="988" t="s">
        <v>187</v>
      </c>
      <c r="J172" s="988" t="s">
        <v>186</v>
      </c>
      <c r="K172" s="988" t="s">
        <v>186</v>
      </c>
      <c r="L172" s="988" t="s">
        <v>188</v>
      </c>
      <c r="M172" s="988" t="s">
        <v>188</v>
      </c>
      <c r="N172" s="988" t="s">
        <v>186</v>
      </c>
      <c r="O172" s="988"/>
      <c r="Q172" s="894" t="s">
        <v>44</v>
      </c>
      <c r="R172" s="950">
        <f t="shared" si="79"/>
        <v>0.25925925925925924</v>
      </c>
      <c r="S172" s="950">
        <f t="shared" si="80"/>
        <v>0.27777777777777779</v>
      </c>
      <c r="T172" s="950">
        <f t="shared" si="81"/>
        <v>0.16666666666666666</v>
      </c>
      <c r="U172" s="950">
        <f t="shared" si="82"/>
        <v>0.24324324324324326</v>
      </c>
      <c r="V172" s="950">
        <f t="shared" si="83"/>
        <v>0.28947368421052633</v>
      </c>
      <c r="W172" s="950">
        <f t="shared" si="84"/>
        <v>0.2857142857142857</v>
      </c>
      <c r="X172" s="950">
        <f t="shared" si="85"/>
        <v>0.2</v>
      </c>
      <c r="Y172" s="950">
        <f t="shared" si="86"/>
        <v>0.32500000000000001</v>
      </c>
      <c r="Z172" s="950">
        <f t="shared" si="87"/>
        <v>0.17499999999999999</v>
      </c>
      <c r="AA172" s="950">
        <f t="shared" si="88"/>
        <v>0.15789473684210525</v>
      </c>
      <c r="AB172" s="950">
        <f t="shared" si="89"/>
        <v>0.17499999999999999</v>
      </c>
      <c r="AC172" s="950">
        <f t="shared" si="90"/>
        <v>0.16666666666666666</v>
      </c>
      <c r="AD172" s="950">
        <f t="shared" si="91"/>
        <v>0.16666666666666666</v>
      </c>
      <c r="AF172" s="922" t="s">
        <v>20</v>
      </c>
      <c r="AG172" s="560">
        <f t="shared" si="92"/>
        <v>4.878048780487805E-2</v>
      </c>
    </row>
    <row r="173" spans="2:33">
      <c r="B173" s="1710"/>
      <c r="N173" s="27" t="s">
        <v>44</v>
      </c>
      <c r="Q173" s="923" t="s">
        <v>339</v>
      </c>
      <c r="R173" s="951" t="str">
        <f t="shared" si="79"/>
        <v/>
      </c>
      <c r="S173" s="951">
        <f t="shared" si="80"/>
        <v>2.7777777777777776E-2</v>
      </c>
      <c r="T173" s="951">
        <f t="shared" si="81"/>
        <v>2.7777777777777776E-2</v>
      </c>
      <c r="U173" s="951" t="str">
        <f t="shared" si="82"/>
        <v/>
      </c>
      <c r="V173" s="951" t="str">
        <f t="shared" si="83"/>
        <v/>
      </c>
      <c r="W173" s="951">
        <f t="shared" si="84"/>
        <v>4.7619047619047616E-2</v>
      </c>
      <c r="X173" s="951" t="str">
        <f t="shared" si="85"/>
        <v/>
      </c>
      <c r="Y173" s="951" t="str">
        <f t="shared" si="86"/>
        <v/>
      </c>
      <c r="Z173" s="951" t="str">
        <f t="shared" si="87"/>
        <v/>
      </c>
      <c r="AA173" s="951" t="str">
        <f t="shared" si="88"/>
        <v/>
      </c>
      <c r="AB173" s="951" t="str">
        <f t="shared" si="89"/>
        <v/>
      </c>
      <c r="AC173" s="951" t="str">
        <f t="shared" si="90"/>
        <v/>
      </c>
      <c r="AD173" s="951" t="str">
        <f t="shared" si="91"/>
        <v/>
      </c>
      <c r="AF173" s="894" t="s">
        <v>44</v>
      </c>
      <c r="AG173" s="560">
        <f t="shared" si="92"/>
        <v>0.22616407982261641</v>
      </c>
    </row>
    <row r="174" spans="2:33">
      <c r="B174" s="1710"/>
      <c r="N174" s="968" t="s">
        <v>26</v>
      </c>
      <c r="Q174" s="924" t="s">
        <v>73</v>
      </c>
      <c r="R174" s="935" t="str">
        <f t="shared" si="79"/>
        <v/>
      </c>
      <c r="S174" s="935">
        <f t="shared" si="80"/>
        <v>2.7777777777777776E-2</v>
      </c>
      <c r="T174" s="935">
        <f t="shared" si="81"/>
        <v>2.7777777777777776E-2</v>
      </c>
      <c r="U174" s="935" t="str">
        <f t="shared" si="82"/>
        <v/>
      </c>
      <c r="V174" s="935">
        <f t="shared" si="83"/>
        <v>2.6315789473684209E-2</v>
      </c>
      <c r="W174" s="935">
        <f t="shared" si="84"/>
        <v>2.3809523809523808E-2</v>
      </c>
      <c r="X174" s="935" t="str">
        <f t="shared" si="85"/>
        <v/>
      </c>
      <c r="Y174" s="935" t="str">
        <f t="shared" si="86"/>
        <v/>
      </c>
      <c r="Z174" s="935" t="str">
        <f t="shared" si="87"/>
        <v/>
      </c>
      <c r="AA174" s="935" t="str">
        <f t="shared" si="88"/>
        <v/>
      </c>
      <c r="AB174" s="935" t="str">
        <f t="shared" si="89"/>
        <v/>
      </c>
      <c r="AC174" s="935" t="str">
        <f t="shared" si="90"/>
        <v/>
      </c>
      <c r="AD174" s="935" t="str">
        <f t="shared" si="91"/>
        <v/>
      </c>
      <c r="AF174" s="923" t="s">
        <v>339</v>
      </c>
      <c r="AG174" s="560">
        <f t="shared" si="92"/>
        <v>8.869179600886918E-3</v>
      </c>
    </row>
    <row r="175" spans="2:33" ht="16.5" thickBot="1">
      <c r="B175" s="1710"/>
      <c r="C175" s="1005"/>
      <c r="D175" s="1005"/>
      <c r="E175" s="1005"/>
      <c r="F175" s="1005"/>
      <c r="G175" s="1005"/>
      <c r="H175" s="1005"/>
      <c r="I175" s="1005"/>
      <c r="J175" s="1005"/>
      <c r="K175" s="1005"/>
      <c r="L175" s="1005"/>
      <c r="M175" s="1005"/>
      <c r="N175" s="1005" t="s">
        <v>190</v>
      </c>
      <c r="O175" s="1005"/>
      <c r="Q175" s="925" t="s">
        <v>216</v>
      </c>
      <c r="R175" s="952" t="str">
        <f t="shared" si="79"/>
        <v/>
      </c>
      <c r="S175" s="952">
        <f t="shared" si="80"/>
        <v>2.7777777777777776E-2</v>
      </c>
      <c r="T175" s="952">
        <f t="shared" si="81"/>
        <v>2.7777777777777776E-2</v>
      </c>
      <c r="U175" s="952">
        <f t="shared" si="82"/>
        <v>2.7027027027027029E-2</v>
      </c>
      <c r="V175" s="952">
        <f t="shared" si="83"/>
        <v>2.6315789473684209E-2</v>
      </c>
      <c r="W175" s="952" t="str">
        <f t="shared" si="84"/>
        <v/>
      </c>
      <c r="X175" s="952">
        <f t="shared" si="85"/>
        <v>2.8571428571428571E-2</v>
      </c>
      <c r="Y175" s="952" t="str">
        <f t="shared" si="86"/>
        <v/>
      </c>
      <c r="Z175" s="952">
        <f t="shared" si="87"/>
        <v>7.4999999999999997E-2</v>
      </c>
      <c r="AA175" s="952">
        <f t="shared" si="88"/>
        <v>0.10526315789473684</v>
      </c>
      <c r="AB175" s="952">
        <f t="shared" si="89"/>
        <v>7.4999999999999997E-2</v>
      </c>
      <c r="AC175" s="952">
        <f t="shared" si="90"/>
        <v>2.7777777777777776E-2</v>
      </c>
      <c r="AD175" s="952">
        <f t="shared" si="91"/>
        <v>0.5</v>
      </c>
      <c r="AF175" s="924" t="s">
        <v>73</v>
      </c>
      <c r="AG175" s="560">
        <f t="shared" si="92"/>
        <v>8.869179600886918E-3</v>
      </c>
    </row>
    <row r="176" spans="2:33" ht="17.100000000000001" customHeight="1" thickTop="1">
      <c r="B176" s="1709" t="s">
        <v>95</v>
      </c>
      <c r="C176" s="1016"/>
      <c r="D176" s="1021" t="s">
        <v>155</v>
      </c>
      <c r="E176" s="1018" t="s">
        <v>1270</v>
      </c>
      <c r="F176" s="1013" t="s">
        <v>44</v>
      </c>
      <c r="G176" s="1010" t="s">
        <v>26</v>
      </c>
      <c r="H176" s="1010" t="s">
        <v>26</v>
      </c>
      <c r="I176" s="1018" t="s">
        <v>1270</v>
      </c>
      <c r="J176" s="956" t="s">
        <v>109</v>
      </c>
      <c r="K176" s="1018" t="s">
        <v>1270</v>
      </c>
      <c r="L176" s="1022" t="s">
        <v>120</v>
      </c>
      <c r="M176" s="1013" t="s">
        <v>44</v>
      </c>
      <c r="N176" s="1012" t="s">
        <v>1271</v>
      </c>
      <c r="O176" s="1016"/>
      <c r="Q176" s="926" t="s">
        <v>21</v>
      </c>
      <c r="R176" s="935" t="str">
        <f t="shared" si="79"/>
        <v/>
      </c>
      <c r="S176" s="935" t="str">
        <f t="shared" si="80"/>
        <v/>
      </c>
      <c r="T176" s="935" t="str">
        <f t="shared" si="81"/>
        <v/>
      </c>
      <c r="U176" s="935" t="str">
        <f t="shared" si="82"/>
        <v/>
      </c>
      <c r="V176" s="935" t="str">
        <f t="shared" si="83"/>
        <v/>
      </c>
      <c r="W176" s="935" t="str">
        <f t="shared" si="84"/>
        <v/>
      </c>
      <c r="X176" s="935" t="str">
        <f t="shared" si="85"/>
        <v/>
      </c>
      <c r="Y176" s="935" t="str">
        <f t="shared" si="86"/>
        <v/>
      </c>
      <c r="Z176" s="935" t="str">
        <f t="shared" si="87"/>
        <v/>
      </c>
      <c r="AA176" s="935" t="str">
        <f t="shared" si="88"/>
        <v/>
      </c>
      <c r="AB176" s="935" t="str">
        <f t="shared" si="89"/>
        <v/>
      </c>
      <c r="AC176" s="935" t="str">
        <f t="shared" si="90"/>
        <v/>
      </c>
      <c r="AD176" s="935" t="str">
        <f t="shared" si="91"/>
        <v/>
      </c>
      <c r="AF176" s="925" t="s">
        <v>216</v>
      </c>
      <c r="AG176" s="560">
        <f t="shared" si="92"/>
        <v>4.2128603104212861E-2</v>
      </c>
    </row>
    <row r="177" spans="2:45">
      <c r="B177" s="1710"/>
      <c r="E177" s="1023" t="s">
        <v>46</v>
      </c>
      <c r="F177" s="968" t="s">
        <v>26</v>
      </c>
      <c r="I177" s="27" t="s">
        <v>44</v>
      </c>
      <c r="J177" s="194" t="s">
        <v>43</v>
      </c>
      <c r="K177" s="422"/>
      <c r="M177" s="962" t="s">
        <v>216</v>
      </c>
      <c r="N177" s="980" t="s">
        <v>1272</v>
      </c>
      <c r="AF177" s="926" t="s">
        <v>21</v>
      </c>
      <c r="AG177" s="560" t="str">
        <f t="shared" si="92"/>
        <v/>
      </c>
    </row>
    <row r="178" spans="2:45">
      <c r="B178" s="1710"/>
      <c r="C178" s="1004"/>
      <c r="D178" s="1004" t="s">
        <v>188</v>
      </c>
      <c r="E178" s="1004" t="s">
        <v>186</v>
      </c>
      <c r="F178" s="1004" t="s">
        <v>187</v>
      </c>
      <c r="G178" s="1004" t="s">
        <v>186</v>
      </c>
      <c r="H178" s="1004" t="s">
        <v>185</v>
      </c>
      <c r="I178" s="1004" t="s">
        <v>187</v>
      </c>
      <c r="J178" s="1004" t="s">
        <v>189</v>
      </c>
      <c r="K178" s="1004" t="s">
        <v>186</v>
      </c>
      <c r="L178" s="1004" t="s">
        <v>186</v>
      </c>
      <c r="M178" s="1004" t="s">
        <v>188</v>
      </c>
      <c r="N178" s="1004" t="s">
        <v>186</v>
      </c>
      <c r="O178" s="1004"/>
    </row>
    <row r="179" spans="2:45">
      <c r="B179" s="1710"/>
      <c r="H179" s="968" t="s">
        <v>26</v>
      </c>
    </row>
    <row r="180" spans="2:45">
      <c r="B180" s="1710"/>
      <c r="H180" s="27" t="s">
        <v>44</v>
      </c>
    </row>
    <row r="181" spans="2:45" ht="18" customHeight="1" thickBot="1">
      <c r="B181" s="1711"/>
      <c r="C181" s="985"/>
      <c r="D181" s="985"/>
      <c r="E181" s="985"/>
      <c r="F181" s="985"/>
      <c r="G181" s="985"/>
      <c r="H181" s="985" t="s">
        <v>187</v>
      </c>
      <c r="I181" s="985"/>
      <c r="J181" s="985"/>
      <c r="K181" s="985"/>
      <c r="L181" s="985"/>
      <c r="M181" s="985"/>
      <c r="N181" s="985"/>
      <c r="O181" s="985"/>
    </row>
    <row r="182" spans="2:45" ht="16.5" thickTop="1">
      <c r="B182" s="1709" t="s">
        <v>85</v>
      </c>
      <c r="C182" s="27" t="s">
        <v>44</v>
      </c>
      <c r="D182" s="27" t="s">
        <v>44</v>
      </c>
      <c r="E182" s="27" t="s">
        <v>44</v>
      </c>
      <c r="F182" s="992" t="s">
        <v>23</v>
      </c>
      <c r="G182" s="968" t="s">
        <v>26</v>
      </c>
      <c r="H182" s="189" t="s">
        <v>47</v>
      </c>
      <c r="I182" s="959" t="s">
        <v>155</v>
      </c>
      <c r="J182" s="14" t="s">
        <v>20</v>
      </c>
      <c r="K182" s="981" t="s">
        <v>1271</v>
      </c>
      <c r="L182" s="968" t="s">
        <v>26</v>
      </c>
      <c r="M182" s="14" t="s">
        <v>20</v>
      </c>
      <c r="N182" s="968" t="s">
        <v>26</v>
      </c>
    </row>
    <row r="183" spans="2:45" ht="18.75">
      <c r="B183" s="1710"/>
      <c r="D183" s="962" t="s">
        <v>216</v>
      </c>
      <c r="E183" s="977" t="s">
        <v>1270</v>
      </c>
      <c r="G183" s="980" t="s">
        <v>1272</v>
      </c>
      <c r="H183" s="977" t="s">
        <v>1270</v>
      </c>
      <c r="L183" s="962" t="s">
        <v>216</v>
      </c>
      <c r="M183" s="991" t="s">
        <v>93</v>
      </c>
      <c r="Q183" s="69" t="s">
        <v>2626</v>
      </c>
    </row>
    <row r="184" spans="2:45" ht="16.5" thickBot="1">
      <c r="B184" s="1710"/>
      <c r="C184" s="988" t="s">
        <v>188</v>
      </c>
      <c r="D184" s="988" t="s">
        <v>186</v>
      </c>
      <c r="E184" s="988" t="s">
        <v>189</v>
      </c>
      <c r="F184" s="988" t="s">
        <v>189</v>
      </c>
      <c r="G184" s="988" t="s">
        <v>189</v>
      </c>
      <c r="H184" s="988" t="s">
        <v>190</v>
      </c>
      <c r="I184" s="988" t="s">
        <v>189</v>
      </c>
      <c r="J184" s="988" t="s">
        <v>188</v>
      </c>
      <c r="K184" s="105" t="s">
        <v>189</v>
      </c>
      <c r="L184" s="988" t="s">
        <v>190</v>
      </c>
      <c r="M184" s="988" t="s">
        <v>187</v>
      </c>
      <c r="N184" s="988" t="s">
        <v>186</v>
      </c>
      <c r="O184" s="988"/>
      <c r="Q184" s="650" t="s">
        <v>183</v>
      </c>
      <c r="R184" s="903" t="s">
        <v>27</v>
      </c>
      <c r="S184" s="904" t="s">
        <v>1270</v>
      </c>
      <c r="T184" s="896" t="s">
        <v>43</v>
      </c>
      <c r="U184" s="905" t="s">
        <v>120</v>
      </c>
      <c r="V184" s="906" t="s">
        <v>47</v>
      </c>
      <c r="W184" s="907" t="s">
        <v>46</v>
      </c>
      <c r="X184" s="908" t="s">
        <v>397</v>
      </c>
      <c r="Y184" s="909" t="s">
        <v>155</v>
      </c>
      <c r="Z184" s="897" t="s">
        <v>24</v>
      </c>
      <c r="AA184" s="910" t="s">
        <v>23</v>
      </c>
      <c r="AB184" s="895" t="s">
        <v>29</v>
      </c>
      <c r="AC184" s="911" t="s">
        <v>93</v>
      </c>
      <c r="AD184" s="912" t="s">
        <v>1269</v>
      </c>
      <c r="AE184" s="913" t="s">
        <v>26</v>
      </c>
      <c r="AF184" s="914" t="s">
        <v>109</v>
      </c>
      <c r="AG184" s="915" t="s">
        <v>114</v>
      </c>
      <c r="AH184" s="916" t="s">
        <v>1272</v>
      </c>
      <c r="AI184" s="917" t="s">
        <v>68</v>
      </c>
      <c r="AJ184" s="918" t="s">
        <v>234</v>
      </c>
      <c r="AK184" s="919" t="s">
        <v>124</v>
      </c>
      <c r="AL184" s="920" t="s">
        <v>74</v>
      </c>
      <c r="AM184" s="921" t="s">
        <v>1271</v>
      </c>
      <c r="AN184" s="922" t="s">
        <v>20</v>
      </c>
      <c r="AO184" s="894" t="s">
        <v>44</v>
      </c>
      <c r="AP184" s="923" t="s">
        <v>339</v>
      </c>
      <c r="AQ184" s="924" t="s">
        <v>73</v>
      </c>
      <c r="AR184" s="925" t="s">
        <v>216</v>
      </c>
      <c r="AS184" s="926" t="s">
        <v>21</v>
      </c>
    </row>
    <row r="185" spans="2:45">
      <c r="B185" s="1710"/>
      <c r="K185" s="1024" t="s">
        <v>47</v>
      </c>
      <c r="N185" s="980" t="s">
        <v>1272</v>
      </c>
      <c r="Q185" t="s">
        <v>126</v>
      </c>
      <c r="R185" s="319">
        <f>COUNTIF($C60:$O61, R$184)</f>
        <v>2</v>
      </c>
      <c r="S185" s="33">
        <f t="shared" ref="S185:AS185" si="93">COUNTIF($C60:$O61, S$184)</f>
        <v>0</v>
      </c>
      <c r="T185" s="587">
        <f t="shared" si="93"/>
        <v>0</v>
      </c>
      <c r="U185" s="1081">
        <f t="shared" si="93"/>
        <v>0</v>
      </c>
      <c r="V185" s="642">
        <f t="shared" si="93"/>
        <v>0</v>
      </c>
      <c r="W185" s="37">
        <f t="shared" si="93"/>
        <v>0</v>
      </c>
      <c r="X185" s="588">
        <f t="shared" si="93"/>
        <v>0</v>
      </c>
      <c r="Y185" s="233">
        <f t="shared" si="93"/>
        <v>0</v>
      </c>
      <c r="Z185" s="1099">
        <f t="shared" si="93"/>
        <v>1</v>
      </c>
      <c r="AA185" s="577">
        <f t="shared" si="93"/>
        <v>0</v>
      </c>
      <c r="AB185">
        <f t="shared" si="93"/>
        <v>1</v>
      </c>
      <c r="AC185">
        <f t="shared" si="93"/>
        <v>0</v>
      </c>
      <c r="AD185" s="242">
        <f t="shared" si="93"/>
        <v>0</v>
      </c>
      <c r="AE185" s="8">
        <f t="shared" si="93"/>
        <v>0</v>
      </c>
      <c r="AF185" s="238">
        <f t="shared" si="93"/>
        <v>0</v>
      </c>
      <c r="AG185" s="1094">
        <f t="shared" si="93"/>
        <v>0</v>
      </c>
      <c r="AH185" s="1088">
        <f t="shared" si="93"/>
        <v>0</v>
      </c>
      <c r="AI185" s="1092">
        <f t="shared" si="93"/>
        <v>0</v>
      </c>
      <c r="AJ185" s="1090">
        <f t="shared" si="93"/>
        <v>1</v>
      </c>
      <c r="AK185" s="1088">
        <f t="shared" si="93"/>
        <v>1</v>
      </c>
      <c r="AL185" s="1086">
        <f t="shared" si="93"/>
        <v>0</v>
      </c>
      <c r="AM185" s="1101">
        <f t="shared" si="93"/>
        <v>4</v>
      </c>
      <c r="AN185" s="10">
        <f t="shared" si="93"/>
        <v>0</v>
      </c>
      <c r="AO185" s="1094">
        <f t="shared" si="93"/>
        <v>4</v>
      </c>
      <c r="AP185" s="361">
        <f t="shared" si="93"/>
        <v>0</v>
      </c>
      <c r="AQ185">
        <f t="shared" si="93"/>
        <v>0</v>
      </c>
      <c r="AR185" s="590">
        <f t="shared" si="93"/>
        <v>1</v>
      </c>
      <c r="AS185">
        <f t="shared" si="93"/>
        <v>0</v>
      </c>
    </row>
    <row r="186" spans="2:45" ht="16.5" thickBot="1">
      <c r="B186" s="1711"/>
      <c r="C186" s="1005"/>
      <c r="D186" s="1005"/>
      <c r="E186" s="1005"/>
      <c r="F186" s="1005"/>
      <c r="G186" s="1005"/>
      <c r="H186" s="1005"/>
      <c r="I186" s="1005"/>
      <c r="J186" s="1005"/>
      <c r="K186" s="996" t="s">
        <v>192</v>
      </c>
      <c r="L186" s="1005"/>
      <c r="M186" s="1005"/>
      <c r="N186" s="1005" t="s">
        <v>191</v>
      </c>
      <c r="O186" s="1005"/>
      <c r="Q186" t="s">
        <v>127</v>
      </c>
      <c r="R186" s="319">
        <f>COUNTIF($C63:$O64, R$184)</f>
        <v>1</v>
      </c>
      <c r="S186" s="33">
        <f t="shared" ref="S186:AS186" si="94">COUNTIF($C63:$O64, S$184)</f>
        <v>0</v>
      </c>
      <c r="T186" s="587">
        <f t="shared" si="94"/>
        <v>0</v>
      </c>
      <c r="U186" s="1081">
        <f t="shared" si="94"/>
        <v>0</v>
      </c>
      <c r="V186" s="642">
        <f t="shared" si="94"/>
        <v>0</v>
      </c>
      <c r="W186" s="37">
        <f t="shared" si="94"/>
        <v>0</v>
      </c>
      <c r="X186" s="588">
        <f t="shared" si="94"/>
        <v>0</v>
      </c>
      <c r="Y186" s="233">
        <f t="shared" si="94"/>
        <v>0</v>
      </c>
      <c r="Z186" s="1099">
        <f t="shared" si="94"/>
        <v>1</v>
      </c>
      <c r="AA186" s="577">
        <f t="shared" si="94"/>
        <v>0</v>
      </c>
      <c r="AB186">
        <f t="shared" si="94"/>
        <v>1</v>
      </c>
      <c r="AC186">
        <f t="shared" si="94"/>
        <v>0</v>
      </c>
      <c r="AD186" s="242">
        <f t="shared" si="94"/>
        <v>3</v>
      </c>
      <c r="AE186" s="8">
        <f t="shared" si="94"/>
        <v>0</v>
      </c>
      <c r="AF186" s="238">
        <f t="shared" si="94"/>
        <v>1</v>
      </c>
      <c r="AG186" s="1094">
        <f t="shared" si="94"/>
        <v>0</v>
      </c>
      <c r="AH186" s="1088">
        <f t="shared" si="94"/>
        <v>0</v>
      </c>
      <c r="AI186" s="1092">
        <f t="shared" si="94"/>
        <v>0</v>
      </c>
      <c r="AJ186" s="1090">
        <f t="shared" si="94"/>
        <v>0</v>
      </c>
      <c r="AK186" s="1088">
        <f t="shared" si="94"/>
        <v>0</v>
      </c>
      <c r="AL186" s="1086">
        <f t="shared" si="94"/>
        <v>0</v>
      </c>
      <c r="AM186" s="1101">
        <f t="shared" si="94"/>
        <v>2</v>
      </c>
      <c r="AN186" s="10">
        <f t="shared" si="94"/>
        <v>0</v>
      </c>
      <c r="AO186" s="1094">
        <f t="shared" si="94"/>
        <v>3</v>
      </c>
      <c r="AP186" s="361">
        <f t="shared" si="94"/>
        <v>0</v>
      </c>
      <c r="AQ186">
        <f t="shared" si="94"/>
        <v>0</v>
      </c>
      <c r="AR186" s="590">
        <f t="shared" si="94"/>
        <v>1</v>
      </c>
      <c r="AS186">
        <f t="shared" si="94"/>
        <v>0</v>
      </c>
    </row>
    <row r="187" spans="2:45" ht="17.100000000000001" customHeight="1" thickTop="1">
      <c r="B187" s="1709" t="s">
        <v>66</v>
      </c>
      <c r="C187" s="1016"/>
      <c r="D187" s="1010" t="s">
        <v>26</v>
      </c>
      <c r="E187" s="27" t="s">
        <v>44</v>
      </c>
      <c r="F187" s="1012" t="s">
        <v>1271</v>
      </c>
      <c r="G187" s="976" t="s">
        <v>47</v>
      </c>
      <c r="H187" s="1025" t="s">
        <v>29</v>
      </c>
      <c r="I187" s="1018" t="s">
        <v>1270</v>
      </c>
      <c r="J187" s="1021" t="s">
        <v>155</v>
      </c>
      <c r="K187" s="1010" t="s">
        <v>26</v>
      </c>
      <c r="L187" s="1012" t="s">
        <v>1271</v>
      </c>
      <c r="M187" s="1011" t="s">
        <v>1269</v>
      </c>
      <c r="N187" s="1016"/>
      <c r="O187" s="1016"/>
      <c r="Q187" t="s">
        <v>128</v>
      </c>
      <c r="R187" s="319">
        <f>COUNTIF($C66:$O67, R$184)</f>
        <v>1</v>
      </c>
      <c r="S187" s="33">
        <f t="shared" ref="S187:AS187" si="95">COUNTIF($C66:$O67, S$184)</f>
        <v>0</v>
      </c>
      <c r="T187" s="587">
        <f t="shared" si="95"/>
        <v>0</v>
      </c>
      <c r="U187" s="1081">
        <f t="shared" si="95"/>
        <v>1</v>
      </c>
      <c r="V187" s="642">
        <f t="shared" si="95"/>
        <v>1</v>
      </c>
      <c r="W187" s="37">
        <f t="shared" si="95"/>
        <v>0</v>
      </c>
      <c r="X187" s="588">
        <f t="shared" si="95"/>
        <v>0</v>
      </c>
      <c r="Y187" s="233">
        <f t="shared" si="95"/>
        <v>0</v>
      </c>
      <c r="Z187" s="1099">
        <f t="shared" si="95"/>
        <v>0</v>
      </c>
      <c r="AA187" s="577">
        <f t="shared" si="95"/>
        <v>0</v>
      </c>
      <c r="AB187">
        <f t="shared" si="95"/>
        <v>0</v>
      </c>
      <c r="AC187">
        <f t="shared" si="95"/>
        <v>0</v>
      </c>
      <c r="AD187" s="242">
        <f t="shared" si="95"/>
        <v>3</v>
      </c>
      <c r="AE187" s="8">
        <f t="shared" si="95"/>
        <v>1</v>
      </c>
      <c r="AF187" s="238">
        <f t="shared" si="95"/>
        <v>0</v>
      </c>
      <c r="AG187" s="1094">
        <f t="shared" si="95"/>
        <v>0</v>
      </c>
      <c r="AH187" s="1088">
        <f t="shared" si="95"/>
        <v>1</v>
      </c>
      <c r="AI187" s="1092">
        <f t="shared" si="95"/>
        <v>0</v>
      </c>
      <c r="AJ187" s="1090">
        <f t="shared" si="95"/>
        <v>0</v>
      </c>
      <c r="AK187" s="1088">
        <f t="shared" si="95"/>
        <v>0</v>
      </c>
      <c r="AL187" s="1086">
        <f t="shared" si="95"/>
        <v>0</v>
      </c>
      <c r="AM187" s="1101">
        <f t="shared" si="95"/>
        <v>4</v>
      </c>
      <c r="AN187" s="10">
        <f t="shared" si="95"/>
        <v>0</v>
      </c>
      <c r="AO187" s="1094">
        <f t="shared" si="95"/>
        <v>2</v>
      </c>
      <c r="AP187" s="361">
        <f t="shared" si="95"/>
        <v>1</v>
      </c>
      <c r="AQ187">
        <f t="shared" si="95"/>
        <v>0</v>
      </c>
      <c r="AR187" s="590">
        <f t="shared" si="95"/>
        <v>0</v>
      </c>
      <c r="AS187">
        <f t="shared" si="95"/>
        <v>0</v>
      </c>
    </row>
    <row r="188" spans="2:45">
      <c r="B188" s="1710"/>
      <c r="D188" s="990"/>
      <c r="E188" s="956" t="s">
        <v>109</v>
      </c>
      <c r="F188" s="189" t="s">
        <v>47</v>
      </c>
      <c r="H188" s="27" t="s">
        <v>44</v>
      </c>
      <c r="I188" s="1026" t="s">
        <v>74</v>
      </c>
      <c r="L188" s="979" t="s">
        <v>120</v>
      </c>
      <c r="Q188" t="s">
        <v>129</v>
      </c>
      <c r="R188" s="319">
        <f>COUNTIF($C69:$O70, R$184)</f>
        <v>3</v>
      </c>
      <c r="S188" s="33">
        <f t="shared" ref="S188:AS188" si="96">COUNTIF($C69:$O70, S$184)</f>
        <v>1</v>
      </c>
      <c r="T188" s="587">
        <f t="shared" si="96"/>
        <v>0</v>
      </c>
      <c r="U188" s="1081">
        <f t="shared" si="96"/>
        <v>0</v>
      </c>
      <c r="V188" s="642">
        <f t="shared" si="96"/>
        <v>1</v>
      </c>
      <c r="W188" s="37">
        <f t="shared" si="96"/>
        <v>0</v>
      </c>
      <c r="X188" s="588">
        <f t="shared" si="96"/>
        <v>0</v>
      </c>
      <c r="Y188" s="233">
        <f t="shared" si="96"/>
        <v>0</v>
      </c>
      <c r="Z188" s="1099">
        <f t="shared" si="96"/>
        <v>1</v>
      </c>
      <c r="AA188" s="577">
        <f t="shared" si="96"/>
        <v>0</v>
      </c>
      <c r="AB188">
        <f t="shared" si="96"/>
        <v>0</v>
      </c>
      <c r="AC188">
        <f t="shared" si="96"/>
        <v>0</v>
      </c>
      <c r="AD188" s="242">
        <f t="shared" si="96"/>
        <v>1</v>
      </c>
      <c r="AE188" s="8">
        <f t="shared" si="96"/>
        <v>2</v>
      </c>
      <c r="AF188" s="238">
        <f t="shared" si="96"/>
        <v>0</v>
      </c>
      <c r="AG188" s="1094">
        <f t="shared" si="96"/>
        <v>0</v>
      </c>
      <c r="AH188" s="1088">
        <f t="shared" si="96"/>
        <v>0</v>
      </c>
      <c r="AI188" s="1092">
        <f t="shared" si="96"/>
        <v>0</v>
      </c>
      <c r="AJ188" s="1090">
        <f t="shared" si="96"/>
        <v>0</v>
      </c>
      <c r="AK188" s="1088">
        <f t="shared" si="96"/>
        <v>0</v>
      </c>
      <c r="AL188" s="1086">
        <f t="shared" si="96"/>
        <v>0</v>
      </c>
      <c r="AM188" s="1101">
        <f t="shared" si="96"/>
        <v>3</v>
      </c>
      <c r="AN188" s="10">
        <f t="shared" si="96"/>
        <v>0</v>
      </c>
      <c r="AO188" s="1094">
        <f t="shared" si="96"/>
        <v>2</v>
      </c>
      <c r="AP188" s="361">
        <f t="shared" si="96"/>
        <v>0</v>
      </c>
      <c r="AQ188">
        <f t="shared" si="96"/>
        <v>0</v>
      </c>
      <c r="AR188" s="590">
        <f t="shared" si="96"/>
        <v>2</v>
      </c>
      <c r="AS188">
        <f t="shared" si="96"/>
        <v>0</v>
      </c>
    </row>
    <row r="189" spans="2:45">
      <c r="B189" s="1710"/>
      <c r="C189" s="1004"/>
      <c r="D189" s="1004" t="s">
        <v>188</v>
      </c>
      <c r="E189" s="1004" t="s">
        <v>189</v>
      </c>
      <c r="F189" s="1004" t="s">
        <v>188</v>
      </c>
      <c r="G189" s="1004" t="s">
        <v>187</v>
      </c>
      <c r="H189" s="1004" t="s">
        <v>186</v>
      </c>
      <c r="I189" s="1004" t="s">
        <v>188</v>
      </c>
      <c r="J189" s="1004" t="s">
        <v>190</v>
      </c>
      <c r="K189" s="1004" t="s">
        <v>186</v>
      </c>
      <c r="L189" s="1004" t="s">
        <v>188</v>
      </c>
      <c r="M189" s="1004" t="s">
        <v>187</v>
      </c>
      <c r="N189" s="1004"/>
      <c r="O189" s="1004"/>
      <c r="Q189" t="s">
        <v>130</v>
      </c>
      <c r="R189" s="319">
        <f>COUNTIF($C72:$O73, R$184)</f>
        <v>1</v>
      </c>
      <c r="S189" s="33">
        <f t="shared" ref="S189:AS189" si="97">COUNTIF($C72:$O73, S$184)</f>
        <v>1</v>
      </c>
      <c r="T189" s="587">
        <f t="shared" si="97"/>
        <v>0</v>
      </c>
      <c r="U189" s="1081">
        <f t="shared" si="97"/>
        <v>0</v>
      </c>
      <c r="V189" s="642">
        <f t="shared" si="97"/>
        <v>0</v>
      </c>
      <c r="W189" s="37">
        <f t="shared" si="97"/>
        <v>1</v>
      </c>
      <c r="X189" s="588">
        <f t="shared" si="97"/>
        <v>0</v>
      </c>
      <c r="Y189" s="233">
        <f t="shared" si="97"/>
        <v>0</v>
      </c>
      <c r="Z189" s="1099">
        <f t="shared" si="97"/>
        <v>0</v>
      </c>
      <c r="AA189" s="577">
        <f t="shared" si="97"/>
        <v>0</v>
      </c>
      <c r="AB189">
        <f t="shared" si="97"/>
        <v>3</v>
      </c>
      <c r="AC189">
        <f t="shared" si="97"/>
        <v>0</v>
      </c>
      <c r="AD189" s="242">
        <f t="shared" si="97"/>
        <v>0</v>
      </c>
      <c r="AE189" s="8">
        <f t="shared" si="97"/>
        <v>2</v>
      </c>
      <c r="AF189" s="238">
        <f t="shared" si="97"/>
        <v>0</v>
      </c>
      <c r="AG189" s="1094">
        <f t="shared" si="97"/>
        <v>0</v>
      </c>
      <c r="AH189" s="1088">
        <f t="shared" si="97"/>
        <v>0</v>
      </c>
      <c r="AI189" s="1092">
        <f t="shared" si="97"/>
        <v>0</v>
      </c>
      <c r="AJ189" s="1090">
        <f t="shared" si="97"/>
        <v>0</v>
      </c>
      <c r="AK189" s="1088">
        <f t="shared" si="97"/>
        <v>0</v>
      </c>
      <c r="AL189" s="1086">
        <f t="shared" si="97"/>
        <v>0</v>
      </c>
      <c r="AM189" s="1101">
        <f t="shared" si="97"/>
        <v>4</v>
      </c>
      <c r="AN189" s="10">
        <f t="shared" si="97"/>
        <v>0</v>
      </c>
      <c r="AO189" s="1094">
        <f t="shared" si="97"/>
        <v>3</v>
      </c>
      <c r="AP189" s="361">
        <f t="shared" si="97"/>
        <v>0</v>
      </c>
      <c r="AQ189">
        <f t="shared" si="97"/>
        <v>0</v>
      </c>
      <c r="AR189" s="590">
        <f t="shared" si="97"/>
        <v>0</v>
      </c>
      <c r="AS189">
        <f t="shared" si="97"/>
        <v>0</v>
      </c>
    </row>
    <row r="190" spans="2:45">
      <c r="B190" s="1710"/>
      <c r="M190" s="974" t="s">
        <v>1269</v>
      </c>
      <c r="Q190" t="s">
        <v>131</v>
      </c>
      <c r="R190" s="319">
        <f>COUNTIF($C79:$O79, R$184)+ COUNTIF($C75:$O77, R$184)</f>
        <v>0</v>
      </c>
      <c r="S190" s="33">
        <f t="shared" ref="S190:AS190" si="98">COUNTIF($C79:$O79, S$184)+ COUNTIF($C75:$O77, S$184)</f>
        <v>1</v>
      </c>
      <c r="T190" s="587">
        <f t="shared" si="98"/>
        <v>0</v>
      </c>
      <c r="U190" s="1081">
        <f t="shared" si="98"/>
        <v>0</v>
      </c>
      <c r="V190" s="642">
        <f t="shared" si="98"/>
        <v>0</v>
      </c>
      <c r="W190" s="37">
        <f t="shared" si="98"/>
        <v>0</v>
      </c>
      <c r="X190" s="588">
        <f t="shared" si="98"/>
        <v>0</v>
      </c>
      <c r="Y190" s="233">
        <f t="shared" si="98"/>
        <v>0</v>
      </c>
      <c r="Z190" s="1099">
        <f t="shared" si="98"/>
        <v>0</v>
      </c>
      <c r="AA190" s="577">
        <f t="shared" si="98"/>
        <v>0</v>
      </c>
      <c r="AB190">
        <f t="shared" si="98"/>
        <v>2</v>
      </c>
      <c r="AC190">
        <f t="shared" si="98"/>
        <v>0</v>
      </c>
      <c r="AD190" s="242">
        <f t="shared" si="98"/>
        <v>0</v>
      </c>
      <c r="AE190" s="8">
        <f t="shared" si="98"/>
        <v>4</v>
      </c>
      <c r="AF190" s="238">
        <f t="shared" si="98"/>
        <v>0</v>
      </c>
      <c r="AG190" s="1094">
        <f t="shared" si="98"/>
        <v>0</v>
      </c>
      <c r="AH190" s="1088">
        <f t="shared" si="98"/>
        <v>0</v>
      </c>
      <c r="AI190" s="1092">
        <f t="shared" si="98"/>
        <v>0</v>
      </c>
      <c r="AJ190" s="1090">
        <f t="shared" si="98"/>
        <v>0</v>
      </c>
      <c r="AK190" s="1088">
        <f t="shared" si="98"/>
        <v>0</v>
      </c>
      <c r="AL190" s="1086">
        <f t="shared" si="98"/>
        <v>0</v>
      </c>
      <c r="AM190" s="1101">
        <f t="shared" si="98"/>
        <v>5</v>
      </c>
      <c r="AN190" s="10">
        <f t="shared" si="98"/>
        <v>0</v>
      </c>
      <c r="AO190" s="1094">
        <f t="shared" si="98"/>
        <v>4</v>
      </c>
      <c r="AP190" s="361">
        <f t="shared" si="98"/>
        <v>0</v>
      </c>
      <c r="AQ190">
        <f t="shared" si="98"/>
        <v>0</v>
      </c>
      <c r="AR190" s="590">
        <f t="shared" si="98"/>
        <v>1</v>
      </c>
      <c r="AS190">
        <f t="shared" si="98"/>
        <v>0</v>
      </c>
    </row>
    <row r="191" spans="2:45" ht="16.5" thickBot="1">
      <c r="B191" s="1717"/>
      <c r="C191" s="1027"/>
      <c r="D191" s="1027"/>
      <c r="E191" s="1027"/>
      <c r="F191" s="1027"/>
      <c r="G191" s="1027"/>
      <c r="H191" s="1027"/>
      <c r="I191" s="1027"/>
      <c r="J191" s="1027"/>
      <c r="K191" s="1027"/>
      <c r="L191" s="1027"/>
      <c r="M191" s="1027" t="s">
        <v>191</v>
      </c>
      <c r="N191" s="1027"/>
      <c r="O191" s="1027"/>
      <c r="Q191" t="s">
        <v>132</v>
      </c>
      <c r="R191" s="319">
        <f>COUNTIF($C81:$O82, R$184)</f>
        <v>2</v>
      </c>
      <c r="S191" s="33">
        <f t="shared" ref="S191:AS191" si="99">COUNTIF($C81:$O82, S$184)</f>
        <v>1</v>
      </c>
      <c r="T191" s="587">
        <f t="shared" si="99"/>
        <v>1</v>
      </c>
      <c r="U191" s="1081">
        <f t="shared" si="99"/>
        <v>0</v>
      </c>
      <c r="V191" s="642">
        <f t="shared" si="99"/>
        <v>0</v>
      </c>
      <c r="W191" s="37">
        <f t="shared" si="99"/>
        <v>0</v>
      </c>
      <c r="X191" s="588">
        <f t="shared" si="99"/>
        <v>0</v>
      </c>
      <c r="Y191" s="233">
        <f t="shared" si="99"/>
        <v>0</v>
      </c>
      <c r="Z191" s="1099">
        <f t="shared" si="99"/>
        <v>2</v>
      </c>
      <c r="AA191" s="577">
        <f t="shared" si="99"/>
        <v>0</v>
      </c>
      <c r="AB191">
        <f t="shared" si="99"/>
        <v>1</v>
      </c>
      <c r="AC191">
        <f t="shared" si="99"/>
        <v>0</v>
      </c>
      <c r="AD191" s="242">
        <f t="shared" si="99"/>
        <v>1</v>
      </c>
      <c r="AE191" s="8">
        <f t="shared" si="99"/>
        <v>2</v>
      </c>
      <c r="AF191" s="238">
        <f t="shared" si="99"/>
        <v>0</v>
      </c>
      <c r="AG191" s="1094">
        <f t="shared" si="99"/>
        <v>0</v>
      </c>
      <c r="AH191" s="1088">
        <f t="shared" si="99"/>
        <v>0</v>
      </c>
      <c r="AI191" s="1092">
        <f t="shared" si="99"/>
        <v>0</v>
      </c>
      <c r="AJ191" s="1090">
        <f t="shared" si="99"/>
        <v>0</v>
      </c>
      <c r="AK191" s="1088">
        <f t="shared" si="99"/>
        <v>0</v>
      </c>
      <c r="AL191" s="1086">
        <f t="shared" si="99"/>
        <v>0</v>
      </c>
      <c r="AM191" s="1101">
        <f t="shared" si="99"/>
        <v>0</v>
      </c>
      <c r="AN191" s="10">
        <f t="shared" si="99"/>
        <v>0</v>
      </c>
      <c r="AO191" s="1094">
        <f t="shared" si="99"/>
        <v>2</v>
      </c>
      <c r="AP191" s="361">
        <f t="shared" si="99"/>
        <v>0</v>
      </c>
      <c r="AQ191">
        <f t="shared" si="99"/>
        <v>0</v>
      </c>
      <c r="AR191" s="590">
        <f t="shared" si="99"/>
        <v>1</v>
      </c>
      <c r="AS191">
        <f t="shared" si="99"/>
        <v>0</v>
      </c>
    </row>
    <row r="192" spans="2:45" ht="17.100000000000001" customHeight="1" thickTop="1">
      <c r="B192" s="1710" t="s">
        <v>65</v>
      </c>
      <c r="C192" s="980" t="s">
        <v>1272</v>
      </c>
      <c r="D192" s="968" t="s">
        <v>26</v>
      </c>
      <c r="E192" s="27" t="s">
        <v>44</v>
      </c>
      <c r="F192" s="1020" t="s">
        <v>24</v>
      </c>
      <c r="G192" s="189" t="s">
        <v>47</v>
      </c>
      <c r="H192" s="27" t="s">
        <v>44</v>
      </c>
      <c r="L192" s="982" t="s">
        <v>29</v>
      </c>
      <c r="M192" s="27" t="s">
        <v>44</v>
      </c>
      <c r="N192" s="981" t="s">
        <v>1271</v>
      </c>
      <c r="Q192" t="s">
        <v>133</v>
      </c>
      <c r="R192" s="319">
        <f>COUNTIF($C87:$O88, R$184)+COUNTIF($C84:$O85, R$184)</f>
        <v>1</v>
      </c>
      <c r="S192" s="33">
        <f t="shared" ref="S192:AS192" si="100">COUNTIF($C87:$O88, S$184)+COUNTIF($C84:$O85, S$184)</f>
        <v>0</v>
      </c>
      <c r="T192" s="587">
        <f t="shared" si="100"/>
        <v>0</v>
      </c>
      <c r="U192" s="1081">
        <f t="shared" si="100"/>
        <v>0</v>
      </c>
      <c r="V192" s="642">
        <f t="shared" si="100"/>
        <v>0</v>
      </c>
      <c r="W192" s="37">
        <f t="shared" si="100"/>
        <v>0</v>
      </c>
      <c r="X192" s="588">
        <f t="shared" si="100"/>
        <v>0</v>
      </c>
      <c r="Y192" s="233">
        <f t="shared" si="100"/>
        <v>0</v>
      </c>
      <c r="Z192" s="1099">
        <f t="shared" si="100"/>
        <v>3</v>
      </c>
      <c r="AA192" s="577">
        <f t="shared" si="100"/>
        <v>0</v>
      </c>
      <c r="AB192">
        <f t="shared" si="100"/>
        <v>0</v>
      </c>
      <c r="AC192">
        <f t="shared" si="100"/>
        <v>1</v>
      </c>
      <c r="AD192" s="242">
        <f t="shared" si="100"/>
        <v>2</v>
      </c>
      <c r="AE192" s="8">
        <f t="shared" si="100"/>
        <v>2</v>
      </c>
      <c r="AF192" s="238">
        <f t="shared" si="100"/>
        <v>0</v>
      </c>
      <c r="AG192" s="1094">
        <f t="shared" si="100"/>
        <v>0</v>
      </c>
      <c r="AH192" s="1088">
        <f t="shared" si="100"/>
        <v>0</v>
      </c>
      <c r="AI192" s="1092">
        <f t="shared" si="100"/>
        <v>0</v>
      </c>
      <c r="AJ192" s="1090">
        <f t="shared" si="100"/>
        <v>0</v>
      </c>
      <c r="AK192" s="1088">
        <f t="shared" si="100"/>
        <v>1</v>
      </c>
      <c r="AL192" s="1086">
        <f t="shared" si="100"/>
        <v>0</v>
      </c>
      <c r="AM192" s="1101">
        <f t="shared" si="100"/>
        <v>1</v>
      </c>
      <c r="AN192" s="10">
        <f t="shared" si="100"/>
        <v>0</v>
      </c>
      <c r="AO192" s="1094">
        <f t="shared" si="100"/>
        <v>3</v>
      </c>
      <c r="AP192" s="361">
        <f t="shared" si="100"/>
        <v>0</v>
      </c>
      <c r="AQ192">
        <f t="shared" si="100"/>
        <v>0</v>
      </c>
      <c r="AR192" s="590">
        <f t="shared" si="100"/>
        <v>0</v>
      </c>
      <c r="AS192">
        <f t="shared" si="100"/>
        <v>0</v>
      </c>
    </row>
    <row r="193" spans="2:45">
      <c r="B193" s="1710"/>
      <c r="C193" s="14" t="s">
        <v>20</v>
      </c>
      <c r="F193" s="422"/>
      <c r="G193" s="58"/>
      <c r="M193" s="981" t="s">
        <v>1271</v>
      </c>
      <c r="N193" s="968" t="s">
        <v>26</v>
      </c>
      <c r="Q193" t="s">
        <v>134</v>
      </c>
      <c r="R193" s="319">
        <f>COUNTIF($C90:$O92, R$184)</f>
        <v>0</v>
      </c>
      <c r="S193" s="33">
        <f t="shared" ref="S193:AS193" si="101">COUNTIF($C90:$O92, S$184)</f>
        <v>1</v>
      </c>
      <c r="T193" s="587">
        <f t="shared" si="101"/>
        <v>0</v>
      </c>
      <c r="U193" s="1081">
        <f t="shared" si="101"/>
        <v>0</v>
      </c>
      <c r="V193" s="642">
        <f t="shared" si="101"/>
        <v>1</v>
      </c>
      <c r="W193" s="37">
        <f t="shared" si="101"/>
        <v>0</v>
      </c>
      <c r="X193" s="588">
        <f t="shared" si="101"/>
        <v>0</v>
      </c>
      <c r="Y193" s="233">
        <f t="shared" si="101"/>
        <v>0</v>
      </c>
      <c r="Z193" s="1099">
        <f t="shared" si="101"/>
        <v>0</v>
      </c>
      <c r="AA193" s="577">
        <f t="shared" si="101"/>
        <v>1</v>
      </c>
      <c r="AB193">
        <f t="shared" si="101"/>
        <v>0</v>
      </c>
      <c r="AC193">
        <f t="shared" si="101"/>
        <v>0</v>
      </c>
      <c r="AD193" s="242">
        <f t="shared" si="101"/>
        <v>1</v>
      </c>
      <c r="AE193" s="8">
        <f t="shared" si="101"/>
        <v>3</v>
      </c>
      <c r="AF193" s="238">
        <f t="shared" si="101"/>
        <v>0</v>
      </c>
      <c r="AG193" s="1094">
        <f t="shared" si="101"/>
        <v>0</v>
      </c>
      <c r="AH193" s="1088">
        <f t="shared" si="101"/>
        <v>1</v>
      </c>
      <c r="AI193" s="1092">
        <f t="shared" si="101"/>
        <v>0</v>
      </c>
      <c r="AJ193" s="1090">
        <f t="shared" si="101"/>
        <v>0</v>
      </c>
      <c r="AK193" s="1088">
        <f t="shared" si="101"/>
        <v>0</v>
      </c>
      <c r="AL193" s="1086">
        <f t="shared" si="101"/>
        <v>0</v>
      </c>
      <c r="AM193" s="1101">
        <f t="shared" si="101"/>
        <v>1</v>
      </c>
      <c r="AN193" s="10">
        <f t="shared" si="101"/>
        <v>0</v>
      </c>
      <c r="AO193" s="1094">
        <f t="shared" si="101"/>
        <v>5</v>
      </c>
      <c r="AP193" s="361">
        <f t="shared" si="101"/>
        <v>0</v>
      </c>
      <c r="AQ193">
        <f t="shared" si="101"/>
        <v>0</v>
      </c>
      <c r="AR193" s="590">
        <f t="shared" si="101"/>
        <v>1</v>
      </c>
      <c r="AS193">
        <f t="shared" si="101"/>
        <v>0</v>
      </c>
    </row>
    <row r="194" spans="2:45" ht="16.5" thickBot="1">
      <c r="B194" s="1717"/>
      <c r="C194" s="985" t="s">
        <v>188</v>
      </c>
      <c r="D194" s="985" t="s">
        <v>186</v>
      </c>
      <c r="E194" s="985" t="s">
        <v>187</v>
      </c>
      <c r="F194" s="985" t="s">
        <v>187</v>
      </c>
      <c r="G194" s="985" t="s">
        <v>186</v>
      </c>
      <c r="H194" s="985" t="s">
        <v>188</v>
      </c>
      <c r="I194" s="985"/>
      <c r="J194" s="985"/>
      <c r="K194" s="985"/>
      <c r="L194" s="985" t="s">
        <v>188</v>
      </c>
      <c r="M194" s="985" t="s">
        <v>190</v>
      </c>
      <c r="N194" s="985" t="s">
        <v>187</v>
      </c>
      <c r="O194" s="985"/>
      <c r="Q194" t="s">
        <v>135</v>
      </c>
      <c r="R194" s="319">
        <f>COUNTIF($C94:$O95, R$184)</f>
        <v>0</v>
      </c>
      <c r="S194" s="33">
        <f t="shared" ref="S194:AS194" si="102">COUNTIF($C94:$O95, S$184)</f>
        <v>0</v>
      </c>
      <c r="T194" s="587">
        <f t="shared" si="102"/>
        <v>0</v>
      </c>
      <c r="U194" s="1081">
        <f t="shared" si="102"/>
        <v>2</v>
      </c>
      <c r="V194" s="642">
        <f t="shared" si="102"/>
        <v>0</v>
      </c>
      <c r="W194" s="37">
        <f t="shared" si="102"/>
        <v>1</v>
      </c>
      <c r="X194" s="588">
        <f t="shared" si="102"/>
        <v>0</v>
      </c>
      <c r="Y194" s="233">
        <f t="shared" si="102"/>
        <v>0</v>
      </c>
      <c r="Z194" s="1099">
        <f t="shared" si="102"/>
        <v>1</v>
      </c>
      <c r="AA194" s="577">
        <f t="shared" si="102"/>
        <v>0</v>
      </c>
      <c r="AB194">
        <f t="shared" si="102"/>
        <v>2</v>
      </c>
      <c r="AC194">
        <f t="shared" si="102"/>
        <v>0</v>
      </c>
      <c r="AD194" s="242">
        <f t="shared" si="102"/>
        <v>2</v>
      </c>
      <c r="AE194" s="8">
        <f t="shared" si="102"/>
        <v>3</v>
      </c>
      <c r="AF194" s="238">
        <f t="shared" si="102"/>
        <v>0</v>
      </c>
      <c r="AG194" s="1094">
        <f t="shared" si="102"/>
        <v>0</v>
      </c>
      <c r="AH194" s="1088">
        <f t="shared" si="102"/>
        <v>0</v>
      </c>
      <c r="AI194" s="1092">
        <f t="shared" si="102"/>
        <v>0</v>
      </c>
      <c r="AJ194" s="1090">
        <f t="shared" si="102"/>
        <v>0</v>
      </c>
      <c r="AK194" s="1088">
        <f t="shared" si="102"/>
        <v>0</v>
      </c>
      <c r="AL194" s="1086">
        <f t="shared" si="102"/>
        <v>0</v>
      </c>
      <c r="AM194" s="1101">
        <f t="shared" si="102"/>
        <v>3</v>
      </c>
      <c r="AN194" s="10">
        <f t="shared" si="102"/>
        <v>1</v>
      </c>
      <c r="AO194" s="1094">
        <f t="shared" si="102"/>
        <v>1</v>
      </c>
      <c r="AP194" s="361">
        <f t="shared" si="102"/>
        <v>1</v>
      </c>
      <c r="AQ194">
        <f t="shared" si="102"/>
        <v>0</v>
      </c>
      <c r="AR194" s="590">
        <f t="shared" si="102"/>
        <v>0</v>
      </c>
      <c r="AS194">
        <f t="shared" si="102"/>
        <v>0</v>
      </c>
    </row>
    <row r="195" spans="2:45" ht="17.100000000000001" customHeight="1" thickTop="1">
      <c r="B195" s="1710" t="s">
        <v>60</v>
      </c>
      <c r="C195" s="27" t="s">
        <v>44</v>
      </c>
      <c r="D195" s="967" t="s">
        <v>27</v>
      </c>
      <c r="E195" s="956" t="s">
        <v>109</v>
      </c>
      <c r="F195" s="984" t="s">
        <v>24</v>
      </c>
      <c r="G195" s="27" t="s">
        <v>44</v>
      </c>
      <c r="H195" s="27" t="s">
        <v>44</v>
      </c>
      <c r="I195" s="968" t="s">
        <v>26</v>
      </c>
      <c r="J195" s="974" t="s">
        <v>1269</v>
      </c>
      <c r="K195" s="980" t="s">
        <v>1272</v>
      </c>
      <c r="M195" s="14" t="s">
        <v>20</v>
      </c>
      <c r="N195" s="968" t="s">
        <v>26</v>
      </c>
      <c r="Q195" t="s">
        <v>136</v>
      </c>
      <c r="R195" s="319">
        <f>COUNTIF($C99:$O100, R$184)</f>
        <v>3</v>
      </c>
      <c r="S195" s="33">
        <f t="shared" ref="S195:AS195" si="103">COUNTIF($C99:$O100, S$184)</f>
        <v>0</v>
      </c>
      <c r="T195" s="587">
        <f t="shared" si="103"/>
        <v>0</v>
      </c>
      <c r="U195" s="1081">
        <f t="shared" si="103"/>
        <v>1</v>
      </c>
      <c r="V195" s="642">
        <f t="shared" si="103"/>
        <v>0</v>
      </c>
      <c r="W195" s="37">
        <f t="shared" si="103"/>
        <v>0</v>
      </c>
      <c r="X195" s="588">
        <f t="shared" si="103"/>
        <v>0</v>
      </c>
      <c r="Y195" s="233">
        <f t="shared" si="103"/>
        <v>0</v>
      </c>
      <c r="Z195" s="1099">
        <f t="shared" si="103"/>
        <v>0</v>
      </c>
      <c r="AA195" s="577">
        <f t="shared" si="103"/>
        <v>0</v>
      </c>
      <c r="AB195">
        <f t="shared" si="103"/>
        <v>0</v>
      </c>
      <c r="AC195">
        <f t="shared" si="103"/>
        <v>0</v>
      </c>
      <c r="AD195" s="242">
        <f t="shared" si="103"/>
        <v>1</v>
      </c>
      <c r="AE195" s="8">
        <f t="shared" si="103"/>
        <v>2</v>
      </c>
      <c r="AF195" s="238">
        <f t="shared" si="103"/>
        <v>0</v>
      </c>
      <c r="AG195" s="1094">
        <f t="shared" si="103"/>
        <v>0</v>
      </c>
      <c r="AH195" s="1088">
        <f t="shared" si="103"/>
        <v>0</v>
      </c>
      <c r="AI195" s="1092">
        <f t="shared" si="103"/>
        <v>0</v>
      </c>
      <c r="AJ195" s="1090">
        <f t="shared" si="103"/>
        <v>1</v>
      </c>
      <c r="AK195" s="1088">
        <f t="shared" si="103"/>
        <v>0</v>
      </c>
      <c r="AL195" s="1086">
        <f t="shared" si="103"/>
        <v>0</v>
      </c>
      <c r="AM195" s="1101">
        <f t="shared" si="103"/>
        <v>4</v>
      </c>
      <c r="AN195" s="10">
        <f t="shared" si="103"/>
        <v>1</v>
      </c>
      <c r="AO195" s="1094">
        <f t="shared" si="103"/>
        <v>5</v>
      </c>
      <c r="AP195" s="361">
        <f t="shared" si="103"/>
        <v>0</v>
      </c>
      <c r="AQ195">
        <f t="shared" si="103"/>
        <v>0</v>
      </c>
      <c r="AR195" s="590">
        <f t="shared" si="103"/>
        <v>1</v>
      </c>
      <c r="AS195">
        <f t="shared" si="103"/>
        <v>0</v>
      </c>
    </row>
    <row r="196" spans="2:45">
      <c r="B196" s="1710"/>
      <c r="C196" s="982" t="s">
        <v>29</v>
      </c>
      <c r="E196" s="966" t="s">
        <v>73</v>
      </c>
      <c r="F196" s="422"/>
      <c r="H196" s="189" t="s">
        <v>47</v>
      </c>
      <c r="N196" s="980" t="s">
        <v>1272</v>
      </c>
      <c r="Q196" t="s">
        <v>137</v>
      </c>
      <c r="R196" s="319">
        <f>COUNTIF($C102:$O103, R$184)</f>
        <v>1</v>
      </c>
      <c r="S196" s="33">
        <f t="shared" ref="S196:AS196" si="104">COUNTIF($C102:$O103, S$184)</f>
        <v>0</v>
      </c>
      <c r="T196" s="587">
        <f t="shared" si="104"/>
        <v>0</v>
      </c>
      <c r="U196" s="1081">
        <f t="shared" si="104"/>
        <v>3</v>
      </c>
      <c r="V196" s="642">
        <f t="shared" si="104"/>
        <v>0</v>
      </c>
      <c r="W196" s="37">
        <f t="shared" si="104"/>
        <v>0</v>
      </c>
      <c r="X196" s="588">
        <f t="shared" si="104"/>
        <v>0</v>
      </c>
      <c r="Y196" s="233">
        <f t="shared" si="104"/>
        <v>0</v>
      </c>
      <c r="Z196" s="1099">
        <f t="shared" si="104"/>
        <v>1</v>
      </c>
      <c r="AA196" s="577">
        <f t="shared" si="104"/>
        <v>0</v>
      </c>
      <c r="AB196">
        <f t="shared" si="104"/>
        <v>1</v>
      </c>
      <c r="AC196">
        <f t="shared" si="104"/>
        <v>0</v>
      </c>
      <c r="AD196" s="242">
        <f t="shared" si="104"/>
        <v>0</v>
      </c>
      <c r="AE196" s="8">
        <f t="shared" si="104"/>
        <v>1</v>
      </c>
      <c r="AF196" s="238">
        <f t="shared" si="104"/>
        <v>0</v>
      </c>
      <c r="AG196" s="1094">
        <f t="shared" si="104"/>
        <v>0</v>
      </c>
      <c r="AH196" s="1088">
        <f t="shared" si="104"/>
        <v>1</v>
      </c>
      <c r="AI196" s="1092">
        <f t="shared" si="104"/>
        <v>0</v>
      </c>
      <c r="AJ196" s="1090">
        <f t="shared" si="104"/>
        <v>0</v>
      </c>
      <c r="AK196" s="1088">
        <f t="shared" si="104"/>
        <v>1</v>
      </c>
      <c r="AL196" s="1086">
        <f t="shared" si="104"/>
        <v>0</v>
      </c>
      <c r="AM196" s="1101">
        <f t="shared" si="104"/>
        <v>3</v>
      </c>
      <c r="AN196" s="10">
        <f t="shared" si="104"/>
        <v>0</v>
      </c>
      <c r="AO196" s="1094">
        <f t="shared" si="104"/>
        <v>2</v>
      </c>
      <c r="AP196" s="361">
        <f t="shared" si="104"/>
        <v>0</v>
      </c>
      <c r="AQ196">
        <f t="shared" si="104"/>
        <v>0</v>
      </c>
      <c r="AR196" s="590">
        <f t="shared" si="104"/>
        <v>0</v>
      </c>
      <c r="AS196">
        <f t="shared" si="104"/>
        <v>0</v>
      </c>
    </row>
    <row r="197" spans="2:45">
      <c r="B197" s="1710"/>
      <c r="C197" s="861" t="s">
        <v>189</v>
      </c>
      <c r="D197" s="861" t="s">
        <v>190</v>
      </c>
      <c r="E197" s="861" t="s">
        <v>187</v>
      </c>
      <c r="F197" s="861" t="s">
        <v>188</v>
      </c>
      <c r="G197" s="861" t="s">
        <v>189</v>
      </c>
      <c r="H197" s="861" t="s">
        <v>189</v>
      </c>
      <c r="I197" s="861" t="s">
        <v>186</v>
      </c>
      <c r="J197" s="861" t="s">
        <v>189</v>
      </c>
      <c r="K197" s="861" t="s">
        <v>190</v>
      </c>
      <c r="L197" s="861"/>
      <c r="M197" s="861" t="s">
        <v>187</v>
      </c>
      <c r="N197" s="861" t="s">
        <v>186</v>
      </c>
      <c r="O197" s="1004"/>
      <c r="Q197" t="s">
        <v>138</v>
      </c>
      <c r="R197" s="319">
        <f>COUNTIF($C105:$O106, R$184)</f>
        <v>0</v>
      </c>
      <c r="S197" s="33">
        <f t="shared" ref="S197:AS197" si="105">COUNTIF($C105:$O106, S$184)</f>
        <v>2</v>
      </c>
      <c r="T197" s="587">
        <f t="shared" si="105"/>
        <v>0</v>
      </c>
      <c r="U197" s="1081">
        <f t="shared" si="105"/>
        <v>0</v>
      </c>
      <c r="V197" s="642">
        <f t="shared" si="105"/>
        <v>0</v>
      </c>
      <c r="W197" s="37">
        <f t="shared" si="105"/>
        <v>0</v>
      </c>
      <c r="X197" s="588">
        <f t="shared" si="105"/>
        <v>1</v>
      </c>
      <c r="Y197" s="233">
        <f t="shared" si="105"/>
        <v>0</v>
      </c>
      <c r="Z197" s="1099">
        <f t="shared" si="105"/>
        <v>0</v>
      </c>
      <c r="AA197" s="577">
        <f t="shared" si="105"/>
        <v>0</v>
      </c>
      <c r="AB197">
        <f t="shared" si="105"/>
        <v>0</v>
      </c>
      <c r="AC197">
        <f t="shared" si="105"/>
        <v>0</v>
      </c>
      <c r="AD197" s="242">
        <f t="shared" si="105"/>
        <v>0</v>
      </c>
      <c r="AE197" s="8">
        <f t="shared" si="105"/>
        <v>0</v>
      </c>
      <c r="AF197" s="238">
        <f t="shared" si="105"/>
        <v>0</v>
      </c>
      <c r="AG197" s="1094">
        <f t="shared" si="105"/>
        <v>0</v>
      </c>
      <c r="AH197" s="1088">
        <f t="shared" si="105"/>
        <v>0</v>
      </c>
      <c r="AI197" s="1092">
        <f t="shared" si="105"/>
        <v>0</v>
      </c>
      <c r="AJ197" s="1090">
        <f t="shared" si="105"/>
        <v>0</v>
      </c>
      <c r="AK197" s="1088">
        <f t="shared" si="105"/>
        <v>0</v>
      </c>
      <c r="AL197" s="1086">
        <f t="shared" si="105"/>
        <v>1</v>
      </c>
      <c r="AM197" s="1101">
        <f t="shared" si="105"/>
        <v>2</v>
      </c>
      <c r="AN197" s="10">
        <f t="shared" si="105"/>
        <v>0</v>
      </c>
      <c r="AO197" s="1094">
        <f t="shared" si="105"/>
        <v>6</v>
      </c>
      <c r="AP197" s="361">
        <f t="shared" si="105"/>
        <v>0</v>
      </c>
      <c r="AQ197">
        <f t="shared" si="105"/>
        <v>0</v>
      </c>
      <c r="AR197" s="590">
        <f t="shared" si="105"/>
        <v>0</v>
      </c>
      <c r="AS197">
        <f t="shared" si="105"/>
        <v>0</v>
      </c>
    </row>
    <row r="198" spans="2:45">
      <c r="B198" s="1710"/>
      <c r="C198" s="981" t="s">
        <v>1271</v>
      </c>
      <c r="Q198" t="s">
        <v>139</v>
      </c>
      <c r="R198" s="319">
        <f>COUNTIF($C108:$O110, R$184)</f>
        <v>2</v>
      </c>
      <c r="S198" s="33">
        <f t="shared" ref="S198:AS198" si="106">COUNTIF($C108:$O110, S$184)</f>
        <v>0</v>
      </c>
      <c r="T198" s="587">
        <f t="shared" si="106"/>
        <v>1</v>
      </c>
      <c r="U198" s="1081">
        <f t="shared" si="106"/>
        <v>0</v>
      </c>
      <c r="V198" s="642">
        <f t="shared" si="106"/>
        <v>1</v>
      </c>
      <c r="W198" s="37">
        <f t="shared" si="106"/>
        <v>0</v>
      </c>
      <c r="X198" s="588">
        <f t="shared" si="106"/>
        <v>0</v>
      </c>
      <c r="Y198" s="233">
        <f t="shared" si="106"/>
        <v>0</v>
      </c>
      <c r="Z198" s="1099">
        <f t="shared" si="106"/>
        <v>0</v>
      </c>
      <c r="AA198" s="577">
        <f t="shared" si="106"/>
        <v>0</v>
      </c>
      <c r="AB198">
        <f t="shared" si="106"/>
        <v>2</v>
      </c>
      <c r="AC198">
        <f t="shared" si="106"/>
        <v>0</v>
      </c>
      <c r="AD198" s="242">
        <f t="shared" si="106"/>
        <v>0</v>
      </c>
      <c r="AE198" s="8">
        <f t="shared" si="106"/>
        <v>2</v>
      </c>
      <c r="AF198" s="238">
        <f t="shared" si="106"/>
        <v>0</v>
      </c>
      <c r="AG198" s="1094">
        <f t="shared" si="106"/>
        <v>0</v>
      </c>
      <c r="AH198" s="1088">
        <f t="shared" si="106"/>
        <v>2</v>
      </c>
      <c r="AI198" s="1092">
        <f t="shared" si="106"/>
        <v>0</v>
      </c>
      <c r="AJ198" s="1090">
        <f t="shared" si="106"/>
        <v>0</v>
      </c>
      <c r="AK198" s="1088">
        <f t="shared" si="106"/>
        <v>1</v>
      </c>
      <c r="AL198" s="1086">
        <f t="shared" si="106"/>
        <v>0</v>
      </c>
      <c r="AM198" s="1101">
        <f t="shared" si="106"/>
        <v>3</v>
      </c>
      <c r="AN198" s="10">
        <f t="shared" si="106"/>
        <v>1</v>
      </c>
      <c r="AO198" s="1094">
        <f t="shared" si="106"/>
        <v>0</v>
      </c>
      <c r="AP198" s="361">
        <f t="shared" si="106"/>
        <v>0</v>
      </c>
      <c r="AQ198">
        <f t="shared" si="106"/>
        <v>0</v>
      </c>
      <c r="AR198" s="590">
        <f t="shared" si="106"/>
        <v>0</v>
      </c>
      <c r="AS198">
        <f t="shared" si="106"/>
        <v>0</v>
      </c>
    </row>
    <row r="199" spans="2:45">
      <c r="B199" s="1710"/>
      <c r="C199" s="194" t="s">
        <v>43</v>
      </c>
      <c r="Q199" t="s">
        <v>140</v>
      </c>
      <c r="R199" s="319">
        <f>COUNTIF($C115:$O115, R$184)+COUNTIF($C112:$O113, R$184)</f>
        <v>0</v>
      </c>
      <c r="S199" s="33">
        <f t="shared" ref="S199:AS199" si="107">COUNTIF($C115:$O115, S$184)+COUNTIF($C112:$O113, S$184)</f>
        <v>1</v>
      </c>
      <c r="T199" s="587">
        <f t="shared" si="107"/>
        <v>0</v>
      </c>
      <c r="U199" s="1081">
        <f t="shared" si="107"/>
        <v>0</v>
      </c>
      <c r="V199" s="642">
        <f t="shared" si="107"/>
        <v>0</v>
      </c>
      <c r="W199" s="37">
        <f t="shared" si="107"/>
        <v>1</v>
      </c>
      <c r="X199" s="588">
        <f t="shared" si="107"/>
        <v>1</v>
      </c>
      <c r="Y199" s="233">
        <f t="shared" si="107"/>
        <v>1</v>
      </c>
      <c r="Z199" s="1099">
        <f t="shared" si="107"/>
        <v>0</v>
      </c>
      <c r="AA199" s="577">
        <f t="shared" si="107"/>
        <v>0</v>
      </c>
      <c r="AB199">
        <f t="shared" si="107"/>
        <v>2</v>
      </c>
      <c r="AC199">
        <f t="shared" si="107"/>
        <v>0</v>
      </c>
      <c r="AD199" s="242">
        <f t="shared" si="107"/>
        <v>0</v>
      </c>
      <c r="AE199" s="8">
        <f t="shared" si="107"/>
        <v>1</v>
      </c>
      <c r="AF199" s="238">
        <f t="shared" si="107"/>
        <v>0</v>
      </c>
      <c r="AG199" s="1094">
        <f t="shared" si="107"/>
        <v>0</v>
      </c>
      <c r="AH199" s="1088">
        <f t="shared" si="107"/>
        <v>0</v>
      </c>
      <c r="AI199" s="1092">
        <f t="shared" si="107"/>
        <v>0</v>
      </c>
      <c r="AJ199" s="1090">
        <f t="shared" si="107"/>
        <v>0</v>
      </c>
      <c r="AK199" s="1088">
        <f t="shared" si="107"/>
        <v>0</v>
      </c>
      <c r="AL199" s="1086">
        <f t="shared" si="107"/>
        <v>0</v>
      </c>
      <c r="AM199" s="1101">
        <f t="shared" si="107"/>
        <v>2</v>
      </c>
      <c r="AN199" s="10">
        <f t="shared" si="107"/>
        <v>3</v>
      </c>
      <c r="AO199" s="1094">
        <f t="shared" si="107"/>
        <v>4</v>
      </c>
      <c r="AP199" s="361">
        <f t="shared" si="107"/>
        <v>0</v>
      </c>
      <c r="AQ199">
        <f t="shared" si="107"/>
        <v>0</v>
      </c>
      <c r="AR199" s="590">
        <f t="shared" si="107"/>
        <v>0</v>
      </c>
      <c r="AS199">
        <f t="shared" si="107"/>
        <v>0</v>
      </c>
    </row>
    <row r="200" spans="2:45" ht="16.5" thickBot="1">
      <c r="B200" s="1717"/>
      <c r="C200" s="985" t="s">
        <v>191</v>
      </c>
      <c r="D200" s="1027"/>
      <c r="E200" s="1027"/>
      <c r="F200" s="1027"/>
      <c r="G200" s="1027"/>
      <c r="H200" s="1027"/>
      <c r="I200" s="1027"/>
      <c r="J200" s="1027"/>
      <c r="K200" s="1027"/>
      <c r="L200" s="1027"/>
      <c r="M200" s="1027"/>
      <c r="N200" s="1027"/>
      <c r="O200" s="1027"/>
      <c r="Q200" t="s">
        <v>141</v>
      </c>
      <c r="R200" s="319">
        <f>COUNTIF($C120:$O121, R$184)+COUNTIF($C117:$O118, R$184)</f>
        <v>1</v>
      </c>
      <c r="S200" s="33">
        <f t="shared" ref="S200:AS200" si="108">COUNTIF($C120:$O121, S$184)+COUNTIF($C117:$O118, S$184)</f>
        <v>0</v>
      </c>
      <c r="T200" s="587">
        <f t="shared" si="108"/>
        <v>0</v>
      </c>
      <c r="U200" s="1081">
        <f t="shared" si="108"/>
        <v>0</v>
      </c>
      <c r="V200" s="642">
        <f t="shared" si="108"/>
        <v>1</v>
      </c>
      <c r="W200" s="37">
        <f t="shared" si="108"/>
        <v>1</v>
      </c>
      <c r="X200" s="588">
        <f t="shared" si="108"/>
        <v>1</v>
      </c>
      <c r="Y200" s="233">
        <f t="shared" si="108"/>
        <v>0</v>
      </c>
      <c r="Z200" s="1099">
        <f t="shared" si="108"/>
        <v>0</v>
      </c>
      <c r="AA200" s="577">
        <f t="shared" si="108"/>
        <v>0</v>
      </c>
      <c r="AB200">
        <f t="shared" si="108"/>
        <v>0</v>
      </c>
      <c r="AC200">
        <f t="shared" si="108"/>
        <v>0</v>
      </c>
      <c r="AD200" s="242">
        <f t="shared" si="108"/>
        <v>1</v>
      </c>
      <c r="AE200" s="8">
        <f t="shared" si="108"/>
        <v>3</v>
      </c>
      <c r="AF200" s="238">
        <f t="shared" si="108"/>
        <v>0</v>
      </c>
      <c r="AG200" s="1094">
        <f t="shared" si="108"/>
        <v>1</v>
      </c>
      <c r="AH200" s="1088">
        <f t="shared" si="108"/>
        <v>0</v>
      </c>
      <c r="AI200" s="1092">
        <f t="shared" si="108"/>
        <v>0</v>
      </c>
      <c r="AJ200" s="1090">
        <f t="shared" si="108"/>
        <v>0</v>
      </c>
      <c r="AK200" s="1088">
        <f t="shared" si="108"/>
        <v>0</v>
      </c>
      <c r="AL200" s="1086">
        <f t="shared" si="108"/>
        <v>0</v>
      </c>
      <c r="AM200" s="1101">
        <f t="shared" si="108"/>
        <v>1</v>
      </c>
      <c r="AN200" s="10">
        <f t="shared" si="108"/>
        <v>1</v>
      </c>
      <c r="AO200" s="1094">
        <f t="shared" si="108"/>
        <v>2</v>
      </c>
      <c r="AP200" s="361">
        <f t="shared" si="108"/>
        <v>0</v>
      </c>
      <c r="AQ200">
        <f t="shared" si="108"/>
        <v>0</v>
      </c>
      <c r="AR200" s="590">
        <f t="shared" si="108"/>
        <v>1</v>
      </c>
      <c r="AS200">
        <f t="shared" si="108"/>
        <v>0</v>
      </c>
    </row>
    <row r="201" spans="2:45" ht="16.5" thickTop="1">
      <c r="B201" s="1716" t="s">
        <v>35</v>
      </c>
      <c r="C201" s="970" t="s">
        <v>68</v>
      </c>
      <c r="D201" s="730" t="s">
        <v>43</v>
      </c>
      <c r="E201" s="1028"/>
      <c r="F201" s="1029" t="s">
        <v>47</v>
      </c>
      <c r="G201" s="1030" t="s">
        <v>44</v>
      </c>
      <c r="H201" s="1031" t="s">
        <v>26</v>
      </c>
      <c r="I201" s="1028"/>
      <c r="J201" s="1032" t="s">
        <v>1270</v>
      </c>
      <c r="K201" s="1032" t="s">
        <v>1270</v>
      </c>
      <c r="L201" s="1028"/>
      <c r="M201" s="1030" t="s">
        <v>44</v>
      </c>
      <c r="N201" s="1028"/>
      <c r="O201" s="1028"/>
      <c r="Q201" t="s">
        <v>142</v>
      </c>
      <c r="R201" s="319">
        <f>COUNTIF($C123:$O124, R$184)</f>
        <v>1</v>
      </c>
      <c r="S201" s="33">
        <f t="shared" ref="S201:AS201" si="109">COUNTIF($C123:$O124, S$184)</f>
        <v>3</v>
      </c>
      <c r="T201" s="587">
        <f t="shared" si="109"/>
        <v>0</v>
      </c>
      <c r="U201" s="1081">
        <f t="shared" si="109"/>
        <v>0</v>
      </c>
      <c r="V201" s="642">
        <f t="shared" si="109"/>
        <v>1</v>
      </c>
      <c r="W201" s="37">
        <f t="shared" si="109"/>
        <v>0</v>
      </c>
      <c r="X201" s="588">
        <f t="shared" si="109"/>
        <v>0</v>
      </c>
      <c r="Y201" s="233">
        <f t="shared" si="109"/>
        <v>0</v>
      </c>
      <c r="Z201" s="1099">
        <f t="shared" si="109"/>
        <v>0</v>
      </c>
      <c r="AA201" s="577">
        <f t="shared" si="109"/>
        <v>0</v>
      </c>
      <c r="AB201">
        <f t="shared" si="109"/>
        <v>0</v>
      </c>
      <c r="AC201">
        <f t="shared" si="109"/>
        <v>0</v>
      </c>
      <c r="AD201" s="242">
        <f t="shared" si="109"/>
        <v>3</v>
      </c>
      <c r="AE201" s="8">
        <f t="shared" si="109"/>
        <v>2</v>
      </c>
      <c r="AF201" s="238">
        <f t="shared" si="109"/>
        <v>0</v>
      </c>
      <c r="AG201" s="1094">
        <f t="shared" si="109"/>
        <v>0</v>
      </c>
      <c r="AH201" s="1088">
        <f t="shared" si="109"/>
        <v>0</v>
      </c>
      <c r="AI201" s="1092">
        <f t="shared" si="109"/>
        <v>0</v>
      </c>
      <c r="AJ201" s="1090">
        <f t="shared" si="109"/>
        <v>0</v>
      </c>
      <c r="AK201" s="1088">
        <f t="shared" si="109"/>
        <v>0</v>
      </c>
      <c r="AL201" s="1086">
        <f t="shared" si="109"/>
        <v>0</v>
      </c>
      <c r="AM201" s="1101">
        <f t="shared" si="109"/>
        <v>2</v>
      </c>
      <c r="AN201" s="10">
        <f t="shared" si="109"/>
        <v>0</v>
      </c>
      <c r="AO201" s="1094">
        <f t="shared" si="109"/>
        <v>4</v>
      </c>
      <c r="AP201" s="361">
        <f t="shared" si="109"/>
        <v>1</v>
      </c>
      <c r="AQ201">
        <f t="shared" si="109"/>
        <v>0</v>
      </c>
      <c r="AR201" s="590">
        <f t="shared" si="109"/>
        <v>0</v>
      </c>
      <c r="AS201">
        <f t="shared" si="109"/>
        <v>0</v>
      </c>
    </row>
    <row r="202" spans="2:45">
      <c r="B202" s="1710"/>
      <c r="C202" s="58"/>
      <c r="D202" s="37"/>
      <c r="F202" s="977" t="s">
        <v>1270</v>
      </c>
      <c r="H202" s="14" t="s">
        <v>20</v>
      </c>
      <c r="K202" s="189" t="s">
        <v>47</v>
      </c>
      <c r="M202" s="982" t="s">
        <v>29</v>
      </c>
      <c r="Q202" t="s">
        <v>143</v>
      </c>
      <c r="R202" s="319">
        <f>COUNTIF($C130:$O130, R$184)+ COUNTIF($C126:$O128, R$184)</f>
        <v>0</v>
      </c>
      <c r="S202" s="33">
        <f t="shared" ref="S202:AS202" si="110">COUNTIF($C130:$O130, S$184)+ COUNTIF($C126:$O128, S$184)</f>
        <v>4</v>
      </c>
      <c r="T202" s="587">
        <f t="shared" si="110"/>
        <v>0</v>
      </c>
      <c r="U202" s="1081">
        <f t="shared" si="110"/>
        <v>1</v>
      </c>
      <c r="V202" s="642">
        <f t="shared" si="110"/>
        <v>1</v>
      </c>
      <c r="W202" s="37">
        <f t="shared" si="110"/>
        <v>0</v>
      </c>
      <c r="X202" s="588">
        <f t="shared" si="110"/>
        <v>0</v>
      </c>
      <c r="Y202" s="233">
        <f t="shared" si="110"/>
        <v>2</v>
      </c>
      <c r="Z202" s="1099">
        <f t="shared" si="110"/>
        <v>1</v>
      </c>
      <c r="AA202" s="577">
        <f t="shared" si="110"/>
        <v>0</v>
      </c>
      <c r="AB202">
        <f t="shared" si="110"/>
        <v>1</v>
      </c>
      <c r="AC202">
        <f t="shared" si="110"/>
        <v>0</v>
      </c>
      <c r="AD202" s="242">
        <f t="shared" si="110"/>
        <v>1</v>
      </c>
      <c r="AE202" s="8">
        <f t="shared" si="110"/>
        <v>0</v>
      </c>
      <c r="AF202" s="238">
        <f t="shared" si="110"/>
        <v>0</v>
      </c>
      <c r="AG202" s="1094">
        <f t="shared" si="110"/>
        <v>1</v>
      </c>
      <c r="AH202" s="1088">
        <f t="shared" si="110"/>
        <v>1</v>
      </c>
      <c r="AI202" s="1092">
        <f t="shared" si="110"/>
        <v>0</v>
      </c>
      <c r="AJ202" s="1090">
        <f t="shared" si="110"/>
        <v>0</v>
      </c>
      <c r="AK202" s="1088">
        <f t="shared" si="110"/>
        <v>0</v>
      </c>
      <c r="AL202" s="1086">
        <f t="shared" si="110"/>
        <v>0</v>
      </c>
      <c r="AM202" s="1101">
        <f t="shared" si="110"/>
        <v>1</v>
      </c>
      <c r="AN202" s="10">
        <f t="shared" si="110"/>
        <v>2</v>
      </c>
      <c r="AO202" s="1094">
        <f t="shared" si="110"/>
        <v>4</v>
      </c>
      <c r="AP202" s="361">
        <f t="shared" si="110"/>
        <v>0</v>
      </c>
      <c r="AQ202">
        <f t="shared" si="110"/>
        <v>0</v>
      </c>
      <c r="AR202" s="590">
        <f t="shared" si="110"/>
        <v>0</v>
      </c>
      <c r="AS202">
        <f t="shared" si="110"/>
        <v>0</v>
      </c>
    </row>
    <row r="203" spans="2:45">
      <c r="B203" s="1710"/>
      <c r="K203" s="14" t="s">
        <v>20</v>
      </c>
      <c r="Q203" t="s">
        <v>144</v>
      </c>
      <c r="R203" s="319">
        <f>COUNTIF($C136:$O136,R$184)+COUNTIF($C132:$O134,R$184)</f>
        <v>0</v>
      </c>
      <c r="S203" s="33">
        <f t="shared" ref="S203:AS203" si="111">COUNTIF($C136:$O136,S$184)+COUNTIF($C132:$O134,S$184)</f>
        <v>0</v>
      </c>
      <c r="T203" s="587">
        <f t="shared" si="111"/>
        <v>1</v>
      </c>
      <c r="U203" s="1081">
        <f t="shared" si="111"/>
        <v>2</v>
      </c>
      <c r="V203" s="642">
        <f t="shared" si="111"/>
        <v>1</v>
      </c>
      <c r="W203" s="37">
        <f t="shared" si="111"/>
        <v>0</v>
      </c>
      <c r="X203" s="588">
        <f t="shared" si="111"/>
        <v>0</v>
      </c>
      <c r="Y203" s="233">
        <f t="shared" si="111"/>
        <v>1</v>
      </c>
      <c r="Z203" s="1099">
        <f t="shared" si="111"/>
        <v>1</v>
      </c>
      <c r="AA203" s="577">
        <f t="shared" si="111"/>
        <v>0</v>
      </c>
      <c r="AB203">
        <f t="shared" si="111"/>
        <v>0</v>
      </c>
      <c r="AC203">
        <f t="shared" si="111"/>
        <v>0</v>
      </c>
      <c r="AD203" s="242">
        <f t="shared" si="111"/>
        <v>1</v>
      </c>
      <c r="AE203" s="8">
        <f t="shared" si="111"/>
        <v>2</v>
      </c>
      <c r="AF203" s="238">
        <f t="shared" si="111"/>
        <v>1</v>
      </c>
      <c r="AG203" s="1094">
        <f t="shared" si="111"/>
        <v>0</v>
      </c>
      <c r="AH203" s="1088">
        <f t="shared" si="111"/>
        <v>2</v>
      </c>
      <c r="AI203" s="1092">
        <f t="shared" si="111"/>
        <v>0</v>
      </c>
      <c r="AJ203" s="1090">
        <f t="shared" si="111"/>
        <v>1</v>
      </c>
      <c r="AK203" s="1088">
        <f t="shared" si="111"/>
        <v>0</v>
      </c>
      <c r="AL203" s="1086">
        <f t="shared" si="111"/>
        <v>0</v>
      </c>
      <c r="AM203" s="1101">
        <f t="shared" si="111"/>
        <v>3</v>
      </c>
      <c r="AN203" s="10">
        <f t="shared" si="111"/>
        <v>0</v>
      </c>
      <c r="AO203" s="1094">
        <f t="shared" si="111"/>
        <v>3</v>
      </c>
      <c r="AP203" s="361">
        <f t="shared" si="111"/>
        <v>0</v>
      </c>
      <c r="AQ203">
        <f t="shared" si="111"/>
        <v>0</v>
      </c>
      <c r="AR203" s="590">
        <f t="shared" si="111"/>
        <v>0</v>
      </c>
      <c r="AS203">
        <f t="shared" si="111"/>
        <v>0</v>
      </c>
    </row>
    <row r="204" spans="2:45">
      <c r="B204" s="1710"/>
      <c r="C204" s="1004" t="s">
        <v>187</v>
      </c>
      <c r="D204" s="1004" t="s">
        <v>188</v>
      </c>
      <c r="E204" s="1004"/>
      <c r="F204" s="1004" t="s">
        <v>185</v>
      </c>
      <c r="G204" s="1004" t="s">
        <v>185</v>
      </c>
      <c r="H204" s="1004" t="s">
        <v>188</v>
      </c>
      <c r="I204" s="1004"/>
      <c r="J204" s="1004" t="s">
        <v>189</v>
      </c>
      <c r="K204" s="1004" t="s">
        <v>191</v>
      </c>
      <c r="L204" s="1004"/>
      <c r="M204" s="1004" t="s">
        <v>187</v>
      </c>
      <c r="N204" s="1004"/>
      <c r="O204" s="1004"/>
      <c r="Q204" t="s">
        <v>145</v>
      </c>
      <c r="R204" s="319">
        <f>COUNTIF($C141:$O141, R$184)+COUNTIF($C138:$O139, R$184)</f>
        <v>1</v>
      </c>
      <c r="S204" s="33">
        <f t="shared" ref="S204:AS204" si="112">COUNTIF($C141:$O141, S$184)+COUNTIF($C138:$O139, S$184)</f>
        <v>1</v>
      </c>
      <c r="T204" s="587">
        <f t="shared" si="112"/>
        <v>1</v>
      </c>
      <c r="U204" s="1081">
        <f t="shared" si="112"/>
        <v>0</v>
      </c>
      <c r="V204" s="642">
        <f t="shared" si="112"/>
        <v>0</v>
      </c>
      <c r="W204" s="37">
        <f t="shared" si="112"/>
        <v>0</v>
      </c>
      <c r="X204" s="588">
        <f t="shared" si="112"/>
        <v>0</v>
      </c>
      <c r="Y204" s="233">
        <f t="shared" si="112"/>
        <v>2</v>
      </c>
      <c r="Z204" s="1099">
        <f t="shared" si="112"/>
        <v>1</v>
      </c>
      <c r="AA204" s="577">
        <f t="shared" si="112"/>
        <v>0</v>
      </c>
      <c r="AB204">
        <f t="shared" si="112"/>
        <v>0</v>
      </c>
      <c r="AC204">
        <f t="shared" si="112"/>
        <v>0</v>
      </c>
      <c r="AD204" s="242">
        <f t="shared" si="112"/>
        <v>2</v>
      </c>
      <c r="AE204" s="8">
        <f t="shared" si="112"/>
        <v>2</v>
      </c>
      <c r="AF204" s="238">
        <f t="shared" si="112"/>
        <v>0</v>
      </c>
      <c r="AG204" s="1094">
        <f t="shared" si="112"/>
        <v>1</v>
      </c>
      <c r="AH204" s="1088">
        <f t="shared" si="112"/>
        <v>0</v>
      </c>
      <c r="AI204" s="1092">
        <f t="shared" si="112"/>
        <v>0</v>
      </c>
      <c r="AJ204" s="1090">
        <f t="shared" si="112"/>
        <v>0</v>
      </c>
      <c r="AK204" s="1088">
        <f t="shared" si="112"/>
        <v>0</v>
      </c>
      <c r="AL204" s="1086">
        <f t="shared" si="112"/>
        <v>0</v>
      </c>
      <c r="AM204" s="1101">
        <f t="shared" si="112"/>
        <v>4</v>
      </c>
      <c r="AN204" s="10">
        <f t="shared" si="112"/>
        <v>0</v>
      </c>
      <c r="AO204" s="1094">
        <f t="shared" si="112"/>
        <v>0</v>
      </c>
      <c r="AP204" s="361">
        <f t="shared" si="112"/>
        <v>0</v>
      </c>
      <c r="AQ204">
        <f t="shared" si="112"/>
        <v>0</v>
      </c>
      <c r="AR204" s="590">
        <f t="shared" si="112"/>
        <v>0</v>
      </c>
      <c r="AS204">
        <f t="shared" si="112"/>
        <v>0</v>
      </c>
    </row>
    <row r="205" spans="2:45">
      <c r="B205" s="1710"/>
      <c r="F205" s="58"/>
      <c r="G205" s="1033" t="s">
        <v>1269</v>
      </c>
      <c r="J205" s="977" t="s">
        <v>1270</v>
      </c>
      <c r="M205" s="968" t="s">
        <v>26</v>
      </c>
      <c r="Q205" t="s">
        <v>146</v>
      </c>
      <c r="R205" s="319">
        <f>COUNTIF($C146:$O147, R$184)+COUNTIF($C143:$O144, R$184)</f>
        <v>0</v>
      </c>
      <c r="S205" s="33">
        <f t="shared" ref="S205:AS205" si="113">COUNTIF($C146:$O147, S$184)+COUNTIF($C143:$O144, S$184)</f>
        <v>2</v>
      </c>
      <c r="T205" s="587">
        <f t="shared" si="113"/>
        <v>1</v>
      </c>
      <c r="U205" s="1081">
        <f t="shared" si="113"/>
        <v>0</v>
      </c>
      <c r="V205" s="642">
        <f t="shared" si="113"/>
        <v>2</v>
      </c>
      <c r="W205" s="37">
        <f t="shared" si="113"/>
        <v>0</v>
      </c>
      <c r="X205" s="588">
        <f t="shared" si="113"/>
        <v>0</v>
      </c>
      <c r="Y205" s="233">
        <f t="shared" si="113"/>
        <v>0</v>
      </c>
      <c r="Z205" s="1099">
        <f t="shared" si="113"/>
        <v>0</v>
      </c>
      <c r="AA205" s="577">
        <f t="shared" si="113"/>
        <v>0</v>
      </c>
      <c r="AB205">
        <f t="shared" si="113"/>
        <v>1</v>
      </c>
      <c r="AC205">
        <f t="shared" si="113"/>
        <v>0</v>
      </c>
      <c r="AD205" s="242">
        <f t="shared" si="113"/>
        <v>2</v>
      </c>
      <c r="AE205" s="8">
        <f t="shared" si="113"/>
        <v>1</v>
      </c>
      <c r="AF205" s="238">
        <f t="shared" si="113"/>
        <v>1</v>
      </c>
      <c r="AG205" s="1094">
        <f t="shared" si="113"/>
        <v>1</v>
      </c>
      <c r="AH205" s="1088">
        <f t="shared" si="113"/>
        <v>1</v>
      </c>
      <c r="AI205" s="1092">
        <f t="shared" si="113"/>
        <v>0</v>
      </c>
      <c r="AJ205" s="1090">
        <f t="shared" si="113"/>
        <v>0</v>
      </c>
      <c r="AK205" s="1088">
        <f t="shared" si="113"/>
        <v>0</v>
      </c>
      <c r="AL205" s="1086">
        <f t="shared" si="113"/>
        <v>0</v>
      </c>
      <c r="AM205" s="1101">
        <f t="shared" si="113"/>
        <v>3</v>
      </c>
      <c r="AN205" s="10">
        <f t="shared" si="113"/>
        <v>1</v>
      </c>
      <c r="AO205" s="1094">
        <f t="shared" si="113"/>
        <v>2</v>
      </c>
      <c r="AP205" s="361">
        <f t="shared" si="113"/>
        <v>1</v>
      </c>
      <c r="AQ205">
        <f t="shared" si="113"/>
        <v>0</v>
      </c>
      <c r="AR205" s="590">
        <f t="shared" si="113"/>
        <v>0</v>
      </c>
      <c r="AS205">
        <f t="shared" si="113"/>
        <v>0</v>
      </c>
    </row>
    <row r="206" spans="2:45" ht="16.5" thickBot="1">
      <c r="B206" s="1717"/>
      <c r="C206" s="985"/>
      <c r="D206" s="985"/>
      <c r="E206" s="985"/>
      <c r="F206" s="985"/>
      <c r="G206" s="985" t="s">
        <v>189</v>
      </c>
      <c r="H206" s="985"/>
      <c r="I206" s="985"/>
      <c r="J206" s="985" t="s">
        <v>194</v>
      </c>
      <c r="K206" s="985"/>
      <c r="L206" s="985"/>
      <c r="M206" s="985" t="s">
        <v>189</v>
      </c>
      <c r="N206" s="1027"/>
      <c r="O206" s="1027"/>
      <c r="Q206" t="s">
        <v>147</v>
      </c>
      <c r="R206" s="319">
        <f>COUNTIF($C153:$O153,R$184)+COUNTIF($C149:$O151,R$184)</f>
        <v>2</v>
      </c>
      <c r="S206" s="33">
        <f t="shared" ref="S206:AS206" si="114">COUNTIF($C153:$O153,S$184)+COUNTIF($C149:$O151,S$184)</f>
        <v>1</v>
      </c>
      <c r="T206" s="587">
        <f t="shared" si="114"/>
        <v>1</v>
      </c>
      <c r="U206" s="1081">
        <f t="shared" si="114"/>
        <v>0</v>
      </c>
      <c r="V206" s="642">
        <f t="shared" si="114"/>
        <v>0</v>
      </c>
      <c r="W206" s="37">
        <f t="shared" si="114"/>
        <v>0</v>
      </c>
      <c r="X206" s="588">
        <f t="shared" si="114"/>
        <v>0</v>
      </c>
      <c r="Y206" s="233">
        <f t="shared" si="114"/>
        <v>0</v>
      </c>
      <c r="Z206" s="1099">
        <f t="shared" si="114"/>
        <v>0</v>
      </c>
      <c r="AA206" s="577">
        <f t="shared" si="114"/>
        <v>0</v>
      </c>
      <c r="AB206">
        <f t="shared" si="114"/>
        <v>0</v>
      </c>
      <c r="AC206">
        <f t="shared" si="114"/>
        <v>0</v>
      </c>
      <c r="AD206" s="242">
        <f t="shared" si="114"/>
        <v>1</v>
      </c>
      <c r="AE206" s="8">
        <f t="shared" si="114"/>
        <v>2</v>
      </c>
      <c r="AF206" s="238">
        <f t="shared" si="114"/>
        <v>0</v>
      </c>
      <c r="AG206" s="1094">
        <f t="shared" si="114"/>
        <v>0</v>
      </c>
      <c r="AH206" s="1088">
        <f t="shared" si="114"/>
        <v>2</v>
      </c>
      <c r="AI206" s="1092">
        <f t="shared" si="114"/>
        <v>1</v>
      </c>
      <c r="AJ206" s="1090">
        <f t="shared" si="114"/>
        <v>0</v>
      </c>
      <c r="AK206" s="1088">
        <f t="shared" si="114"/>
        <v>0</v>
      </c>
      <c r="AL206" s="1086">
        <f t="shared" si="114"/>
        <v>0</v>
      </c>
      <c r="AM206" s="1101">
        <f t="shared" si="114"/>
        <v>2</v>
      </c>
      <c r="AN206" s="10">
        <f t="shared" si="114"/>
        <v>0</v>
      </c>
      <c r="AO206" s="1094">
        <f t="shared" si="114"/>
        <v>5</v>
      </c>
      <c r="AP206" s="361">
        <f t="shared" si="114"/>
        <v>0</v>
      </c>
      <c r="AQ206">
        <f t="shared" si="114"/>
        <v>0</v>
      </c>
      <c r="AR206" s="590">
        <f t="shared" si="114"/>
        <v>1</v>
      </c>
      <c r="AS206">
        <f t="shared" si="114"/>
        <v>0</v>
      </c>
    </row>
    <row r="207" spans="2:45" ht="17.100000000000001" customHeight="1" thickTop="1">
      <c r="B207" s="1716" t="s">
        <v>11</v>
      </c>
      <c r="D207" s="27" t="s">
        <v>44</v>
      </c>
      <c r="E207" s="189" t="s">
        <v>47</v>
      </c>
      <c r="F207" s="968" t="s">
        <v>26</v>
      </c>
      <c r="G207" s="984" t="s">
        <v>24</v>
      </c>
      <c r="H207" s="981" t="s">
        <v>1271</v>
      </c>
      <c r="I207" s="189" t="s">
        <v>47</v>
      </c>
      <c r="J207" s="963" t="s">
        <v>46</v>
      </c>
      <c r="K207" s="27" t="s">
        <v>44</v>
      </c>
      <c r="L207" s="27" t="s">
        <v>44</v>
      </c>
      <c r="Q207" t="s">
        <v>148</v>
      </c>
      <c r="R207" s="319">
        <f>COUNTIF($C158:$O159,R$184)+COUNTIF($C155:$O156,R$184)</f>
        <v>0</v>
      </c>
      <c r="S207" s="33">
        <f t="shared" ref="S207:AS207" si="115">COUNTIF($C158:$O159,S$184)+COUNTIF($C155:$O156,S$184)</f>
        <v>1</v>
      </c>
      <c r="T207" s="587">
        <f t="shared" si="115"/>
        <v>0</v>
      </c>
      <c r="U207" s="1081">
        <f t="shared" si="115"/>
        <v>0</v>
      </c>
      <c r="V207" s="642">
        <f t="shared" si="115"/>
        <v>2</v>
      </c>
      <c r="W207" s="37">
        <f t="shared" si="115"/>
        <v>1</v>
      </c>
      <c r="X207" s="588">
        <f t="shared" si="115"/>
        <v>0</v>
      </c>
      <c r="Y207" s="233">
        <f t="shared" si="115"/>
        <v>0</v>
      </c>
      <c r="Z207" s="1099">
        <f t="shared" si="115"/>
        <v>0</v>
      </c>
      <c r="AA207" s="577">
        <f t="shared" si="115"/>
        <v>0</v>
      </c>
      <c r="AB207">
        <f t="shared" si="115"/>
        <v>0</v>
      </c>
      <c r="AC207">
        <f t="shared" si="115"/>
        <v>0</v>
      </c>
      <c r="AD207" s="242">
        <f t="shared" si="115"/>
        <v>2</v>
      </c>
      <c r="AE207" s="8">
        <f t="shared" si="115"/>
        <v>4</v>
      </c>
      <c r="AF207" s="238">
        <f t="shared" si="115"/>
        <v>1</v>
      </c>
      <c r="AG207" s="1094">
        <f t="shared" si="115"/>
        <v>0</v>
      </c>
      <c r="AH207" s="1088">
        <f t="shared" si="115"/>
        <v>1</v>
      </c>
      <c r="AI207" s="1092">
        <f t="shared" si="115"/>
        <v>1</v>
      </c>
      <c r="AJ207" s="1090">
        <f t="shared" si="115"/>
        <v>0</v>
      </c>
      <c r="AK207" s="1088">
        <f t="shared" si="115"/>
        <v>0</v>
      </c>
      <c r="AL207" s="1086">
        <f t="shared" si="115"/>
        <v>0</v>
      </c>
      <c r="AM207" s="1101">
        <f t="shared" si="115"/>
        <v>2</v>
      </c>
      <c r="AN207" s="10">
        <f t="shared" si="115"/>
        <v>0</v>
      </c>
      <c r="AO207" s="1094">
        <f t="shared" si="115"/>
        <v>2</v>
      </c>
      <c r="AP207" s="361">
        <f t="shared" si="115"/>
        <v>0</v>
      </c>
      <c r="AQ207">
        <f t="shared" si="115"/>
        <v>1</v>
      </c>
      <c r="AR207" s="590">
        <f t="shared" si="115"/>
        <v>1</v>
      </c>
      <c r="AS207">
        <f t="shared" si="115"/>
        <v>0</v>
      </c>
    </row>
    <row r="208" spans="2:45">
      <c r="B208" s="1710"/>
      <c r="D208" s="422"/>
      <c r="E208" s="970" t="s">
        <v>68</v>
      </c>
      <c r="F208" s="981" t="s">
        <v>1271</v>
      </c>
      <c r="G208" s="968" t="s">
        <v>26</v>
      </c>
      <c r="H208" s="27" t="s">
        <v>44</v>
      </c>
      <c r="I208" s="422"/>
      <c r="L208" s="977" t="s">
        <v>1270</v>
      </c>
      <c r="Q208" t="s">
        <v>125</v>
      </c>
      <c r="R208" s="319">
        <f>COUNTIF($C161:$O162,R$184)</f>
        <v>1</v>
      </c>
      <c r="S208" s="33">
        <f t="shared" ref="S208:AS208" si="116">COUNTIF($C161:$O162,S$184)</f>
        <v>3</v>
      </c>
      <c r="T208" s="587">
        <f t="shared" si="116"/>
        <v>0</v>
      </c>
      <c r="U208" s="1081">
        <f t="shared" si="116"/>
        <v>0</v>
      </c>
      <c r="V208" s="642">
        <f t="shared" si="116"/>
        <v>1</v>
      </c>
      <c r="W208" s="37">
        <f t="shared" si="116"/>
        <v>0</v>
      </c>
      <c r="X208" s="588">
        <f t="shared" si="116"/>
        <v>1</v>
      </c>
      <c r="Y208" s="233">
        <f t="shared" si="116"/>
        <v>0</v>
      </c>
      <c r="Z208" s="1099">
        <f t="shared" si="116"/>
        <v>0</v>
      </c>
      <c r="AA208" s="577">
        <f t="shared" si="116"/>
        <v>0</v>
      </c>
      <c r="AB208">
        <f t="shared" si="116"/>
        <v>0</v>
      </c>
      <c r="AC208">
        <f t="shared" si="116"/>
        <v>0</v>
      </c>
      <c r="AD208" s="242">
        <f t="shared" si="116"/>
        <v>1</v>
      </c>
      <c r="AE208" s="8">
        <f t="shared" si="116"/>
        <v>1</v>
      </c>
      <c r="AF208" s="238">
        <f t="shared" si="116"/>
        <v>1</v>
      </c>
      <c r="AG208" s="1094">
        <f t="shared" si="116"/>
        <v>1</v>
      </c>
      <c r="AH208" s="1088">
        <f t="shared" si="116"/>
        <v>1</v>
      </c>
      <c r="AI208" s="1092">
        <f t="shared" si="116"/>
        <v>0</v>
      </c>
      <c r="AJ208" s="1090">
        <f t="shared" si="116"/>
        <v>0</v>
      </c>
      <c r="AK208" s="1088">
        <f t="shared" si="116"/>
        <v>0</v>
      </c>
      <c r="AL208" s="1086">
        <f t="shared" si="116"/>
        <v>0</v>
      </c>
      <c r="AM208" s="1101">
        <f t="shared" si="116"/>
        <v>3</v>
      </c>
      <c r="AN208" s="10">
        <f t="shared" si="116"/>
        <v>0</v>
      </c>
      <c r="AO208" s="1094">
        <f t="shared" si="116"/>
        <v>1</v>
      </c>
      <c r="AP208" s="361">
        <f t="shared" si="116"/>
        <v>0</v>
      </c>
      <c r="AQ208">
        <f t="shared" si="116"/>
        <v>0</v>
      </c>
      <c r="AR208" s="590">
        <f t="shared" si="116"/>
        <v>0</v>
      </c>
      <c r="AS208">
        <f t="shared" si="116"/>
        <v>0</v>
      </c>
    </row>
    <row r="209" spans="2:45">
      <c r="B209" s="1710"/>
      <c r="C209" s="988"/>
      <c r="D209" s="988" t="s">
        <v>186</v>
      </c>
      <c r="E209" s="988" t="s">
        <v>187</v>
      </c>
      <c r="F209" s="988" t="s">
        <v>187</v>
      </c>
      <c r="G209" s="988" t="s">
        <v>185</v>
      </c>
      <c r="H209" s="988" t="s">
        <v>188</v>
      </c>
      <c r="I209" s="988" t="s">
        <v>188</v>
      </c>
      <c r="J209" s="105" t="s">
        <v>187</v>
      </c>
      <c r="K209" s="105" t="s">
        <v>186</v>
      </c>
      <c r="L209" s="105" t="s">
        <v>186</v>
      </c>
      <c r="M209" s="988"/>
      <c r="N209" s="988"/>
      <c r="O209" s="988"/>
      <c r="Q209" t="s">
        <v>116</v>
      </c>
      <c r="R209" s="319">
        <f>COUNTIF($C167:$O168,R$184)+COUNTIF($C164:$O165,R$184)</f>
        <v>0</v>
      </c>
      <c r="S209" s="33">
        <f t="shared" ref="S209:AS209" si="117">COUNTIF($C167:$O168,S$184)+COUNTIF($C164:$O165,S$184)</f>
        <v>1</v>
      </c>
      <c r="T209" s="587">
        <f t="shared" si="117"/>
        <v>1</v>
      </c>
      <c r="U209" s="1081">
        <f t="shared" si="117"/>
        <v>0</v>
      </c>
      <c r="V209" s="642">
        <f t="shared" si="117"/>
        <v>0</v>
      </c>
      <c r="W209" s="37">
        <f t="shared" si="117"/>
        <v>0</v>
      </c>
      <c r="X209" s="588">
        <f t="shared" si="117"/>
        <v>0</v>
      </c>
      <c r="Y209" s="233">
        <f t="shared" si="117"/>
        <v>0</v>
      </c>
      <c r="Z209" s="1099">
        <f t="shared" si="117"/>
        <v>1</v>
      </c>
      <c r="AA209" s="577">
        <f t="shared" si="117"/>
        <v>0</v>
      </c>
      <c r="AB209">
        <f t="shared" si="117"/>
        <v>0</v>
      </c>
      <c r="AC209">
        <f t="shared" si="117"/>
        <v>0</v>
      </c>
      <c r="AD209" s="242">
        <f t="shared" si="117"/>
        <v>0</v>
      </c>
      <c r="AE209" s="8">
        <f t="shared" si="117"/>
        <v>3</v>
      </c>
      <c r="AF209" s="238">
        <f t="shared" si="117"/>
        <v>0</v>
      </c>
      <c r="AG209" s="1094">
        <f t="shared" si="117"/>
        <v>0</v>
      </c>
      <c r="AH209" s="1088">
        <f t="shared" si="117"/>
        <v>2</v>
      </c>
      <c r="AI209" s="1092">
        <f t="shared" si="117"/>
        <v>0</v>
      </c>
      <c r="AJ209" s="1090">
        <f t="shared" si="117"/>
        <v>0</v>
      </c>
      <c r="AK209" s="1088">
        <f t="shared" si="117"/>
        <v>0</v>
      </c>
      <c r="AL209" s="1086">
        <f t="shared" si="117"/>
        <v>0</v>
      </c>
      <c r="AM209" s="1101">
        <f t="shared" si="117"/>
        <v>3</v>
      </c>
      <c r="AN209" s="10">
        <f t="shared" si="117"/>
        <v>1</v>
      </c>
      <c r="AO209" s="1094">
        <f t="shared" si="117"/>
        <v>3</v>
      </c>
      <c r="AP209" s="361">
        <f t="shared" si="117"/>
        <v>0</v>
      </c>
      <c r="AQ209">
        <f t="shared" si="117"/>
        <v>0</v>
      </c>
      <c r="AR209" s="590">
        <f t="shared" si="117"/>
        <v>0</v>
      </c>
      <c r="AS209">
        <f t="shared" si="117"/>
        <v>0</v>
      </c>
    </row>
    <row r="210" spans="2:45">
      <c r="B210" s="1710"/>
      <c r="D210" s="987"/>
      <c r="E210" s="58"/>
      <c r="F210" s="58"/>
      <c r="G210" s="990"/>
      <c r="I210" s="987"/>
      <c r="J210" s="1034" t="s">
        <v>1272</v>
      </c>
      <c r="K210" s="105"/>
      <c r="L210" s="1035" t="s">
        <v>397</v>
      </c>
      <c r="Q210" t="s">
        <v>104</v>
      </c>
      <c r="R210" s="319">
        <f>COUNTIF($C173:$O174,R$184)+COUNTIF($C170:$O171,R$184)</f>
        <v>0</v>
      </c>
      <c r="S210" s="33">
        <f t="shared" ref="S210:AS210" si="118">COUNTIF($C173:$O174,S$184)+COUNTIF($C170:$O171,S$184)</f>
        <v>1</v>
      </c>
      <c r="T210" s="587">
        <f t="shared" si="118"/>
        <v>0</v>
      </c>
      <c r="U210" s="1081">
        <f t="shared" si="118"/>
        <v>0</v>
      </c>
      <c r="V210" s="642">
        <f t="shared" si="118"/>
        <v>2</v>
      </c>
      <c r="W210" s="37">
        <f t="shared" si="118"/>
        <v>0</v>
      </c>
      <c r="X210" s="588">
        <f t="shared" si="118"/>
        <v>0</v>
      </c>
      <c r="Y210" s="233">
        <f t="shared" si="118"/>
        <v>0</v>
      </c>
      <c r="Z210" s="1099">
        <f t="shared" si="118"/>
        <v>0</v>
      </c>
      <c r="AA210" s="577">
        <f t="shared" si="118"/>
        <v>0</v>
      </c>
      <c r="AB210">
        <f t="shared" si="118"/>
        <v>0</v>
      </c>
      <c r="AC210">
        <f t="shared" si="118"/>
        <v>0</v>
      </c>
      <c r="AD210" s="242">
        <f t="shared" si="118"/>
        <v>1</v>
      </c>
      <c r="AE210" s="8">
        <f t="shared" si="118"/>
        <v>1</v>
      </c>
      <c r="AF210" s="238">
        <f t="shared" si="118"/>
        <v>1</v>
      </c>
      <c r="AG210" s="1094">
        <f t="shared" si="118"/>
        <v>0</v>
      </c>
      <c r="AH210" s="1088">
        <f t="shared" si="118"/>
        <v>0</v>
      </c>
      <c r="AI210" s="1092">
        <f t="shared" si="118"/>
        <v>0</v>
      </c>
      <c r="AJ210" s="1090">
        <f t="shared" si="118"/>
        <v>0</v>
      </c>
      <c r="AK210" s="1088">
        <f t="shared" si="118"/>
        <v>0</v>
      </c>
      <c r="AL210" s="1086">
        <f t="shared" si="118"/>
        <v>0</v>
      </c>
      <c r="AM210" s="1101">
        <f t="shared" si="118"/>
        <v>2</v>
      </c>
      <c r="AN210" s="10">
        <f t="shared" si="118"/>
        <v>1</v>
      </c>
      <c r="AO210" s="1094">
        <f t="shared" si="118"/>
        <v>3</v>
      </c>
      <c r="AP210" s="361">
        <f t="shared" si="118"/>
        <v>0</v>
      </c>
      <c r="AQ210">
        <f t="shared" si="118"/>
        <v>1</v>
      </c>
      <c r="AR210" s="590">
        <f t="shared" si="118"/>
        <v>1</v>
      </c>
      <c r="AS210">
        <f t="shared" si="118"/>
        <v>0</v>
      </c>
    </row>
    <row r="211" spans="2:45" ht="16.5" thickBot="1">
      <c r="B211" s="1717"/>
      <c r="C211" s="985"/>
      <c r="D211" s="985"/>
      <c r="E211" s="985"/>
      <c r="F211" s="985"/>
      <c r="G211" s="985"/>
      <c r="H211" s="985"/>
      <c r="I211" s="985"/>
      <c r="J211" s="985" t="s">
        <v>189</v>
      </c>
      <c r="K211" s="985"/>
      <c r="L211" s="985" t="s">
        <v>190</v>
      </c>
      <c r="M211" s="985"/>
      <c r="N211" s="1027"/>
      <c r="O211" s="1027"/>
      <c r="Q211" t="s">
        <v>95</v>
      </c>
      <c r="R211" s="319">
        <f>COUNTIF($C179:$O180,R$184)+COUNTIF($C176:$O177,R$184)</f>
        <v>0</v>
      </c>
      <c r="S211" s="33">
        <f t="shared" ref="S211:AS211" si="119">COUNTIF($C179:$O180,S$184)+COUNTIF($C176:$O177,S$184)</f>
        <v>3</v>
      </c>
      <c r="T211" s="587">
        <f t="shared" si="119"/>
        <v>1</v>
      </c>
      <c r="U211" s="1081">
        <f t="shared" si="119"/>
        <v>1</v>
      </c>
      <c r="V211" s="642">
        <f t="shared" si="119"/>
        <v>0</v>
      </c>
      <c r="W211" s="37">
        <f t="shared" si="119"/>
        <v>1</v>
      </c>
      <c r="X211" s="588">
        <f t="shared" si="119"/>
        <v>0</v>
      </c>
      <c r="Y211" s="233">
        <f t="shared" si="119"/>
        <v>1</v>
      </c>
      <c r="Z211" s="1099">
        <f t="shared" si="119"/>
        <v>0</v>
      </c>
      <c r="AA211" s="577">
        <f t="shared" si="119"/>
        <v>0</v>
      </c>
      <c r="AB211">
        <f t="shared" si="119"/>
        <v>0</v>
      </c>
      <c r="AC211">
        <f t="shared" si="119"/>
        <v>0</v>
      </c>
      <c r="AD211" s="242">
        <f t="shared" si="119"/>
        <v>0</v>
      </c>
      <c r="AE211" s="8">
        <f t="shared" si="119"/>
        <v>4</v>
      </c>
      <c r="AF211" s="238">
        <f t="shared" si="119"/>
        <v>1</v>
      </c>
      <c r="AG211" s="1094">
        <f t="shared" si="119"/>
        <v>0</v>
      </c>
      <c r="AH211" s="1088">
        <f t="shared" si="119"/>
        <v>1</v>
      </c>
      <c r="AI211" s="1092">
        <f t="shared" si="119"/>
        <v>0</v>
      </c>
      <c r="AJ211" s="1090">
        <f t="shared" si="119"/>
        <v>0</v>
      </c>
      <c r="AK211" s="1088">
        <f t="shared" si="119"/>
        <v>0</v>
      </c>
      <c r="AL211" s="1086">
        <f t="shared" si="119"/>
        <v>0</v>
      </c>
      <c r="AM211" s="1101">
        <f t="shared" si="119"/>
        <v>1</v>
      </c>
      <c r="AN211" s="10">
        <f t="shared" si="119"/>
        <v>0</v>
      </c>
      <c r="AO211" s="1094">
        <f t="shared" si="119"/>
        <v>4</v>
      </c>
      <c r="AP211" s="361">
        <f t="shared" si="119"/>
        <v>0</v>
      </c>
      <c r="AQ211">
        <f t="shared" si="119"/>
        <v>0</v>
      </c>
      <c r="AR211" s="590">
        <f t="shared" si="119"/>
        <v>1</v>
      </c>
      <c r="AS211">
        <f t="shared" si="119"/>
        <v>0</v>
      </c>
    </row>
    <row r="212" spans="2:45" ht="16.5" thickTop="1">
      <c r="B212" s="1715" t="s">
        <v>198</v>
      </c>
      <c r="C212" s="981" t="s">
        <v>1271</v>
      </c>
      <c r="D212" s="966" t="s">
        <v>73</v>
      </c>
      <c r="E212" s="189" t="s">
        <v>47</v>
      </c>
      <c r="F212" s="27" t="s">
        <v>44</v>
      </c>
      <c r="G212" s="189" t="s">
        <v>47</v>
      </c>
      <c r="H212" s="980" t="s">
        <v>1272</v>
      </c>
      <c r="I212" s="981" t="s">
        <v>1271</v>
      </c>
      <c r="J212" s="189" t="s">
        <v>47</v>
      </c>
      <c r="K212" s="981" t="s">
        <v>1271</v>
      </c>
      <c r="L212" s="981" t="s">
        <v>1271</v>
      </c>
      <c r="N212" s="1028"/>
      <c r="O212" s="1028"/>
      <c r="Q212" t="s">
        <v>85</v>
      </c>
      <c r="R212" s="319">
        <f>COUNTIF($C185:$O185,R$184)+COUNTIF($C182:$O183,R$184)</f>
        <v>0</v>
      </c>
      <c r="S212" s="33">
        <f t="shared" ref="S212:AS212" si="120">COUNTIF($C185:$O185,S$184)+COUNTIF($C182:$O183,S$184)</f>
        <v>2</v>
      </c>
      <c r="T212" s="587">
        <f t="shared" si="120"/>
        <v>0</v>
      </c>
      <c r="U212" s="1081">
        <f t="shared" si="120"/>
        <v>0</v>
      </c>
      <c r="V212" s="642">
        <f t="shared" si="120"/>
        <v>2</v>
      </c>
      <c r="W212" s="37">
        <f t="shared" si="120"/>
        <v>0</v>
      </c>
      <c r="X212" s="588">
        <f t="shared" si="120"/>
        <v>0</v>
      </c>
      <c r="Y212" s="233">
        <f t="shared" si="120"/>
        <v>1</v>
      </c>
      <c r="Z212" s="1099">
        <f t="shared" si="120"/>
        <v>0</v>
      </c>
      <c r="AA212" s="577">
        <f t="shared" si="120"/>
        <v>1</v>
      </c>
      <c r="AB212">
        <f t="shared" si="120"/>
        <v>0</v>
      </c>
      <c r="AC212">
        <f t="shared" si="120"/>
        <v>1</v>
      </c>
      <c r="AD212" s="242">
        <f t="shared" si="120"/>
        <v>0</v>
      </c>
      <c r="AE212" s="8">
        <f t="shared" si="120"/>
        <v>3</v>
      </c>
      <c r="AF212" s="238">
        <f t="shared" si="120"/>
        <v>0</v>
      </c>
      <c r="AG212" s="1094">
        <f t="shared" si="120"/>
        <v>0</v>
      </c>
      <c r="AH212" s="1088">
        <f t="shared" si="120"/>
        <v>2</v>
      </c>
      <c r="AI212" s="1092">
        <f t="shared" si="120"/>
        <v>0</v>
      </c>
      <c r="AJ212" s="1090">
        <f t="shared" si="120"/>
        <v>0</v>
      </c>
      <c r="AK212" s="1088">
        <f t="shared" si="120"/>
        <v>0</v>
      </c>
      <c r="AL212" s="1086">
        <f t="shared" si="120"/>
        <v>0</v>
      </c>
      <c r="AM212" s="1101">
        <f t="shared" si="120"/>
        <v>1</v>
      </c>
      <c r="AN212" s="10">
        <f t="shared" si="120"/>
        <v>2</v>
      </c>
      <c r="AO212" s="1094">
        <f t="shared" si="120"/>
        <v>3</v>
      </c>
      <c r="AP212" s="361">
        <f t="shared" si="120"/>
        <v>0</v>
      </c>
      <c r="AQ212">
        <f t="shared" si="120"/>
        <v>0</v>
      </c>
      <c r="AR212" s="590">
        <f t="shared" si="120"/>
        <v>2</v>
      </c>
      <c r="AS212">
        <f t="shared" si="120"/>
        <v>0</v>
      </c>
    </row>
    <row r="213" spans="2:45">
      <c r="B213" s="1707"/>
      <c r="I213" s="974" t="s">
        <v>1269</v>
      </c>
      <c r="J213" s="977" t="s">
        <v>1270</v>
      </c>
      <c r="K213" s="962" t="s">
        <v>216</v>
      </c>
      <c r="L213" s="968" t="s">
        <v>26</v>
      </c>
      <c r="Q213" t="s">
        <v>66</v>
      </c>
      <c r="R213" s="319">
        <f>COUNTIF($C190:$O190,R$184)+COUNTIF($C187:$O188,R$184)</f>
        <v>0</v>
      </c>
      <c r="S213" s="33">
        <f t="shared" ref="S213:AS213" si="121">COUNTIF($C190:$O190,S$184)+COUNTIF($C187:$O188,S$184)</f>
        <v>1</v>
      </c>
      <c r="T213" s="587">
        <f t="shared" si="121"/>
        <v>0</v>
      </c>
      <c r="U213" s="1081">
        <f t="shared" si="121"/>
        <v>1</v>
      </c>
      <c r="V213" s="642">
        <f t="shared" si="121"/>
        <v>2</v>
      </c>
      <c r="W213" s="37">
        <f t="shared" si="121"/>
        <v>0</v>
      </c>
      <c r="X213" s="588">
        <f t="shared" si="121"/>
        <v>0</v>
      </c>
      <c r="Y213" s="233">
        <f t="shared" si="121"/>
        <v>1</v>
      </c>
      <c r="Z213" s="1099">
        <f t="shared" si="121"/>
        <v>0</v>
      </c>
      <c r="AA213" s="577">
        <f t="shared" si="121"/>
        <v>0</v>
      </c>
      <c r="AB213">
        <f t="shared" si="121"/>
        <v>1</v>
      </c>
      <c r="AC213">
        <f t="shared" si="121"/>
        <v>0</v>
      </c>
      <c r="AD213" s="242">
        <f t="shared" si="121"/>
        <v>2</v>
      </c>
      <c r="AE213" s="8">
        <f t="shared" si="121"/>
        <v>2</v>
      </c>
      <c r="AF213" s="238">
        <f t="shared" si="121"/>
        <v>1</v>
      </c>
      <c r="AG213" s="1094">
        <f t="shared" si="121"/>
        <v>0</v>
      </c>
      <c r="AH213" s="1088">
        <f t="shared" si="121"/>
        <v>0</v>
      </c>
      <c r="AI213" s="1092">
        <f t="shared" si="121"/>
        <v>0</v>
      </c>
      <c r="AJ213" s="1090">
        <f t="shared" si="121"/>
        <v>0</v>
      </c>
      <c r="AK213" s="1088">
        <f t="shared" si="121"/>
        <v>0</v>
      </c>
      <c r="AL213" s="1086">
        <f t="shared" si="121"/>
        <v>1</v>
      </c>
      <c r="AM213" s="1101">
        <f t="shared" si="121"/>
        <v>2</v>
      </c>
      <c r="AN213" s="10">
        <f t="shared" si="121"/>
        <v>0</v>
      </c>
      <c r="AO213" s="1094">
        <f t="shared" si="121"/>
        <v>2</v>
      </c>
      <c r="AP213" s="361">
        <f t="shared" si="121"/>
        <v>0</v>
      </c>
      <c r="AQ213">
        <f t="shared" si="121"/>
        <v>0</v>
      </c>
      <c r="AR213" s="590">
        <f t="shared" si="121"/>
        <v>0</v>
      </c>
      <c r="AS213">
        <f t="shared" si="121"/>
        <v>0</v>
      </c>
    </row>
    <row r="214" spans="2:45">
      <c r="B214" s="1707"/>
      <c r="C214" s="988" t="s">
        <v>188</v>
      </c>
      <c r="D214" s="988" t="s">
        <v>186</v>
      </c>
      <c r="E214" s="988" t="s">
        <v>188</v>
      </c>
      <c r="F214" s="988" t="s">
        <v>186</v>
      </c>
      <c r="G214" s="988" t="s">
        <v>187</v>
      </c>
      <c r="H214" s="988" t="s">
        <v>186</v>
      </c>
      <c r="I214" s="988" t="s">
        <v>186</v>
      </c>
      <c r="J214" s="988" t="s">
        <v>186</v>
      </c>
      <c r="K214" s="988" t="s">
        <v>187</v>
      </c>
      <c r="L214" s="988" t="s">
        <v>187</v>
      </c>
      <c r="M214" s="988"/>
      <c r="N214" s="988"/>
      <c r="O214" s="988"/>
      <c r="Q214" t="s">
        <v>65</v>
      </c>
      <c r="R214" s="319">
        <f>COUNTIF($C192:$O193,R$184)</f>
        <v>0</v>
      </c>
      <c r="S214" s="33">
        <f t="shared" ref="S214:AS214" si="122">COUNTIF($C192:$O193,S$184)</f>
        <v>0</v>
      </c>
      <c r="T214" s="587">
        <f t="shared" si="122"/>
        <v>0</v>
      </c>
      <c r="U214" s="1081">
        <f t="shared" si="122"/>
        <v>0</v>
      </c>
      <c r="V214" s="642">
        <f t="shared" si="122"/>
        <v>1</v>
      </c>
      <c r="W214" s="37">
        <f t="shared" si="122"/>
        <v>0</v>
      </c>
      <c r="X214" s="588">
        <f t="shared" si="122"/>
        <v>0</v>
      </c>
      <c r="Y214" s="233">
        <f t="shared" si="122"/>
        <v>0</v>
      </c>
      <c r="Z214" s="1099">
        <f t="shared" si="122"/>
        <v>1</v>
      </c>
      <c r="AA214" s="577">
        <f t="shared" si="122"/>
        <v>0</v>
      </c>
      <c r="AB214">
        <f t="shared" si="122"/>
        <v>1</v>
      </c>
      <c r="AC214">
        <f t="shared" si="122"/>
        <v>0</v>
      </c>
      <c r="AD214" s="242">
        <f t="shared" si="122"/>
        <v>0</v>
      </c>
      <c r="AE214" s="8">
        <f t="shared" si="122"/>
        <v>2</v>
      </c>
      <c r="AF214" s="238">
        <f t="shared" si="122"/>
        <v>0</v>
      </c>
      <c r="AG214" s="1094">
        <f t="shared" si="122"/>
        <v>0</v>
      </c>
      <c r="AH214" s="1088">
        <f t="shared" si="122"/>
        <v>1</v>
      </c>
      <c r="AI214" s="1092">
        <f t="shared" si="122"/>
        <v>0</v>
      </c>
      <c r="AJ214" s="1090">
        <f t="shared" si="122"/>
        <v>0</v>
      </c>
      <c r="AK214" s="1088">
        <f t="shared" si="122"/>
        <v>0</v>
      </c>
      <c r="AL214" s="1086">
        <f t="shared" si="122"/>
        <v>0</v>
      </c>
      <c r="AM214" s="1101">
        <f t="shared" si="122"/>
        <v>2</v>
      </c>
      <c r="AN214" s="10">
        <f t="shared" si="122"/>
        <v>1</v>
      </c>
      <c r="AO214" s="1094">
        <f t="shared" si="122"/>
        <v>3</v>
      </c>
      <c r="AP214" s="361">
        <f t="shared" si="122"/>
        <v>0</v>
      </c>
      <c r="AQ214">
        <f t="shared" si="122"/>
        <v>0</v>
      </c>
      <c r="AR214" s="590">
        <f t="shared" si="122"/>
        <v>0</v>
      </c>
      <c r="AS214">
        <f t="shared" si="122"/>
        <v>0</v>
      </c>
    </row>
    <row r="215" spans="2:45">
      <c r="B215" s="1707"/>
      <c r="E215" s="981" t="s">
        <v>1271</v>
      </c>
      <c r="J215" s="194" t="s">
        <v>43</v>
      </c>
      <c r="Q215" t="s">
        <v>60</v>
      </c>
      <c r="R215" s="319">
        <f>COUNTIF($C198:$O199,R$184)+COUNTIF($C195:$O196,R$184)</f>
        <v>1</v>
      </c>
      <c r="S215" s="33">
        <f t="shared" ref="S215:AS215" si="123">COUNTIF($C198:$O199,S$184)+COUNTIF($C195:$O196,S$184)</f>
        <v>0</v>
      </c>
      <c r="T215" s="587">
        <f t="shared" si="123"/>
        <v>1</v>
      </c>
      <c r="U215" s="1081">
        <f t="shared" si="123"/>
        <v>0</v>
      </c>
      <c r="V215" s="642">
        <f t="shared" si="123"/>
        <v>1</v>
      </c>
      <c r="W215" s="37">
        <f t="shared" si="123"/>
        <v>0</v>
      </c>
      <c r="X215" s="588">
        <f t="shared" si="123"/>
        <v>0</v>
      </c>
      <c r="Y215" s="233">
        <f t="shared" si="123"/>
        <v>0</v>
      </c>
      <c r="Z215" s="1099">
        <f t="shared" si="123"/>
        <v>1</v>
      </c>
      <c r="AA215" s="577">
        <f t="shared" si="123"/>
        <v>0</v>
      </c>
      <c r="AB215">
        <f t="shared" si="123"/>
        <v>1</v>
      </c>
      <c r="AC215">
        <f t="shared" si="123"/>
        <v>0</v>
      </c>
      <c r="AD215" s="242">
        <f t="shared" si="123"/>
        <v>1</v>
      </c>
      <c r="AE215" s="8">
        <f t="shared" si="123"/>
        <v>2</v>
      </c>
      <c r="AF215" s="238">
        <f t="shared" si="123"/>
        <v>1</v>
      </c>
      <c r="AG215" s="1094">
        <f t="shared" si="123"/>
        <v>0</v>
      </c>
      <c r="AH215" s="1088">
        <f t="shared" si="123"/>
        <v>2</v>
      </c>
      <c r="AI215" s="1092">
        <f t="shared" si="123"/>
        <v>0</v>
      </c>
      <c r="AJ215" s="1090">
        <f t="shared" si="123"/>
        <v>0</v>
      </c>
      <c r="AK215" s="1088">
        <f t="shared" si="123"/>
        <v>0</v>
      </c>
      <c r="AL215" s="1086">
        <f t="shared" si="123"/>
        <v>0</v>
      </c>
      <c r="AM215" s="1101">
        <f t="shared" si="123"/>
        <v>1</v>
      </c>
      <c r="AN215" s="10">
        <f t="shared" si="123"/>
        <v>1</v>
      </c>
      <c r="AO215" s="1094">
        <f t="shared" si="123"/>
        <v>3</v>
      </c>
      <c r="AP215" s="361">
        <f t="shared" si="123"/>
        <v>0</v>
      </c>
      <c r="AQ215">
        <f t="shared" si="123"/>
        <v>1</v>
      </c>
      <c r="AR215" s="590">
        <f t="shared" si="123"/>
        <v>0</v>
      </c>
      <c r="AS215">
        <f t="shared" si="123"/>
        <v>0</v>
      </c>
    </row>
    <row r="216" spans="2:45">
      <c r="B216" s="1707"/>
      <c r="E216" s="977" t="s">
        <v>1270</v>
      </c>
      <c r="J216" s="980" t="s">
        <v>1272</v>
      </c>
      <c r="Q216" t="s">
        <v>35</v>
      </c>
      <c r="R216" s="319">
        <f>COUNTIF($C205:$O205,R$184)+COUNTIF($C201:$O203,R$184)</f>
        <v>0</v>
      </c>
      <c r="S216" s="33">
        <f t="shared" ref="S216:AS216" si="124">COUNTIF($C205:$O205,S$184)+COUNTIF($C201:$O203,S$184)</f>
        <v>4</v>
      </c>
      <c r="T216" s="587">
        <f t="shared" si="124"/>
        <v>1</v>
      </c>
      <c r="U216" s="1081">
        <f t="shared" si="124"/>
        <v>0</v>
      </c>
      <c r="V216" s="642">
        <f t="shared" si="124"/>
        <v>2</v>
      </c>
      <c r="W216" s="37">
        <f t="shared" si="124"/>
        <v>0</v>
      </c>
      <c r="X216" s="588">
        <f t="shared" si="124"/>
        <v>0</v>
      </c>
      <c r="Y216" s="233">
        <f t="shared" si="124"/>
        <v>0</v>
      </c>
      <c r="Z216" s="1099">
        <f t="shared" si="124"/>
        <v>0</v>
      </c>
      <c r="AA216" s="577">
        <f t="shared" si="124"/>
        <v>0</v>
      </c>
      <c r="AB216">
        <f t="shared" si="124"/>
        <v>1</v>
      </c>
      <c r="AC216">
        <f t="shared" si="124"/>
        <v>0</v>
      </c>
      <c r="AD216" s="242">
        <f t="shared" si="124"/>
        <v>1</v>
      </c>
      <c r="AE216" s="8">
        <f t="shared" si="124"/>
        <v>2</v>
      </c>
      <c r="AF216" s="238">
        <f t="shared" si="124"/>
        <v>0</v>
      </c>
      <c r="AG216" s="1094">
        <f t="shared" si="124"/>
        <v>0</v>
      </c>
      <c r="AH216" s="1088">
        <f t="shared" si="124"/>
        <v>0</v>
      </c>
      <c r="AI216" s="1092">
        <f t="shared" si="124"/>
        <v>1</v>
      </c>
      <c r="AJ216" s="1090">
        <f t="shared" si="124"/>
        <v>0</v>
      </c>
      <c r="AK216" s="1088">
        <f t="shared" si="124"/>
        <v>0</v>
      </c>
      <c r="AL216" s="1086">
        <f t="shared" si="124"/>
        <v>0</v>
      </c>
      <c r="AM216" s="1101">
        <f t="shared" si="124"/>
        <v>0</v>
      </c>
      <c r="AN216" s="10">
        <f t="shared" si="124"/>
        <v>2</v>
      </c>
      <c r="AO216" s="1094">
        <f t="shared" si="124"/>
        <v>2</v>
      </c>
      <c r="AP216" s="361">
        <f t="shared" si="124"/>
        <v>0</v>
      </c>
      <c r="AQ216">
        <f t="shared" si="124"/>
        <v>0</v>
      </c>
      <c r="AR216" s="590">
        <f t="shared" si="124"/>
        <v>0</v>
      </c>
      <c r="AS216">
        <f t="shared" si="124"/>
        <v>0</v>
      </c>
    </row>
    <row r="217" spans="2:45" ht="16.5" thickBot="1">
      <c r="B217" s="1718"/>
      <c r="C217" s="985"/>
      <c r="D217" s="985"/>
      <c r="E217" s="985" t="s">
        <v>190</v>
      </c>
      <c r="F217" s="985"/>
      <c r="G217" s="985"/>
      <c r="H217" s="985"/>
      <c r="I217" s="985"/>
      <c r="J217" s="985" t="s">
        <v>192</v>
      </c>
      <c r="K217" s="985"/>
      <c r="L217" s="985"/>
      <c r="M217" s="985"/>
      <c r="N217" s="985"/>
      <c r="O217" s="1036"/>
      <c r="Q217" t="s">
        <v>11</v>
      </c>
      <c r="R217" s="319">
        <f>COUNTIF($C210:$O210,R$184)+COUNTIF($C207:$O208,R$184)</f>
        <v>0</v>
      </c>
      <c r="S217" s="33">
        <f t="shared" ref="S217:AS217" si="125">COUNTIF($C210:$O210,S$184)+COUNTIF($C207:$O208,S$184)</f>
        <v>1</v>
      </c>
      <c r="T217" s="587">
        <f t="shared" si="125"/>
        <v>0</v>
      </c>
      <c r="U217" s="1081">
        <f t="shared" si="125"/>
        <v>0</v>
      </c>
      <c r="V217" s="642">
        <f t="shared" si="125"/>
        <v>2</v>
      </c>
      <c r="W217" s="37">
        <f t="shared" si="125"/>
        <v>1</v>
      </c>
      <c r="X217" s="588">
        <f t="shared" si="125"/>
        <v>1</v>
      </c>
      <c r="Y217" s="233">
        <f t="shared" si="125"/>
        <v>0</v>
      </c>
      <c r="Z217" s="1099">
        <f t="shared" si="125"/>
        <v>1</v>
      </c>
      <c r="AA217" s="577">
        <f t="shared" si="125"/>
        <v>0</v>
      </c>
      <c r="AB217">
        <f t="shared" si="125"/>
        <v>0</v>
      </c>
      <c r="AC217">
        <f t="shared" si="125"/>
        <v>0</v>
      </c>
      <c r="AD217" s="242">
        <f t="shared" si="125"/>
        <v>0</v>
      </c>
      <c r="AE217" s="8">
        <f t="shared" si="125"/>
        <v>2</v>
      </c>
      <c r="AF217" s="238">
        <f t="shared" si="125"/>
        <v>0</v>
      </c>
      <c r="AG217" s="1094">
        <f t="shared" si="125"/>
        <v>0</v>
      </c>
      <c r="AH217" s="1088">
        <f t="shared" si="125"/>
        <v>1</v>
      </c>
      <c r="AI217" s="1092">
        <f t="shared" si="125"/>
        <v>1</v>
      </c>
      <c r="AJ217" s="1090">
        <f t="shared" si="125"/>
        <v>0</v>
      </c>
      <c r="AK217" s="1088">
        <f t="shared" si="125"/>
        <v>0</v>
      </c>
      <c r="AL217" s="1086">
        <f t="shared" si="125"/>
        <v>0</v>
      </c>
      <c r="AM217" s="1101">
        <f t="shared" si="125"/>
        <v>2</v>
      </c>
      <c r="AN217" s="10">
        <f t="shared" si="125"/>
        <v>0</v>
      </c>
      <c r="AO217" s="1094">
        <f t="shared" si="125"/>
        <v>4</v>
      </c>
      <c r="AP217" s="361">
        <f t="shared" si="125"/>
        <v>0</v>
      </c>
      <c r="AQ217">
        <f t="shared" si="125"/>
        <v>0</v>
      </c>
      <c r="AR217" s="590">
        <f t="shared" si="125"/>
        <v>0</v>
      </c>
      <c r="AS217">
        <f t="shared" si="125"/>
        <v>0</v>
      </c>
    </row>
    <row r="218" spans="2:45" ht="17.100000000000001" customHeight="1" thickTop="1">
      <c r="B218" s="1716" t="s">
        <v>184</v>
      </c>
      <c r="C218" s="968" t="s">
        <v>26</v>
      </c>
      <c r="D218" s="977" t="s">
        <v>1270</v>
      </c>
      <c r="F218" s="27" t="s">
        <v>44</v>
      </c>
      <c r="G218" s="194" t="s">
        <v>43</v>
      </c>
      <c r="H218" s="977" t="s">
        <v>1270</v>
      </c>
      <c r="I218" s="196" t="s">
        <v>114</v>
      </c>
      <c r="J218" s="27" t="s">
        <v>44</v>
      </c>
      <c r="K218" s="981" t="s">
        <v>1271</v>
      </c>
      <c r="L218" s="977" t="s">
        <v>1270</v>
      </c>
      <c r="M218" s="959" t="s">
        <v>155</v>
      </c>
      <c r="Q218" t="s">
        <v>198</v>
      </c>
      <c r="R218" s="319">
        <f>COUNTIF($C215:$O216,R$184)+COUNTIF($C212:$O213,R$184)</f>
        <v>0</v>
      </c>
      <c r="S218" s="33">
        <f t="shared" ref="S218:AS218" si="126">COUNTIF($C215:$O216,S$184)+COUNTIF($C212:$O213,S$184)</f>
        <v>2</v>
      </c>
      <c r="T218" s="587">
        <f t="shared" si="126"/>
        <v>1</v>
      </c>
      <c r="U218" s="1081">
        <f t="shared" si="126"/>
        <v>0</v>
      </c>
      <c r="V218" s="642">
        <f t="shared" si="126"/>
        <v>3</v>
      </c>
      <c r="W218" s="37">
        <f t="shared" si="126"/>
        <v>0</v>
      </c>
      <c r="X218" s="588">
        <f t="shared" si="126"/>
        <v>0</v>
      </c>
      <c r="Y218" s="233">
        <f t="shared" si="126"/>
        <v>0</v>
      </c>
      <c r="Z218" s="1099">
        <f t="shared" si="126"/>
        <v>0</v>
      </c>
      <c r="AA218" s="577">
        <f t="shared" si="126"/>
        <v>0</v>
      </c>
      <c r="AB218">
        <f t="shared" si="126"/>
        <v>0</v>
      </c>
      <c r="AC218">
        <f t="shared" si="126"/>
        <v>0</v>
      </c>
      <c r="AD218" s="242">
        <f t="shared" si="126"/>
        <v>1</v>
      </c>
      <c r="AE218" s="8">
        <f t="shared" si="126"/>
        <v>1</v>
      </c>
      <c r="AF218" s="238">
        <f t="shared" si="126"/>
        <v>0</v>
      </c>
      <c r="AG218" s="1094">
        <f t="shared" si="126"/>
        <v>0</v>
      </c>
      <c r="AH218" s="1088">
        <f t="shared" si="126"/>
        <v>2</v>
      </c>
      <c r="AI218" s="1092">
        <f t="shared" si="126"/>
        <v>0</v>
      </c>
      <c r="AJ218" s="1090">
        <f t="shared" si="126"/>
        <v>0</v>
      </c>
      <c r="AK218" s="1088">
        <f t="shared" si="126"/>
        <v>0</v>
      </c>
      <c r="AL218" s="1086">
        <f t="shared" si="126"/>
        <v>0</v>
      </c>
      <c r="AM218" s="1101">
        <f t="shared" si="126"/>
        <v>5</v>
      </c>
      <c r="AN218" s="10">
        <f t="shared" si="126"/>
        <v>0</v>
      </c>
      <c r="AO218" s="1094">
        <f t="shared" si="126"/>
        <v>1</v>
      </c>
      <c r="AP218" s="361">
        <f t="shared" si="126"/>
        <v>0</v>
      </c>
      <c r="AQ218">
        <f t="shared" si="126"/>
        <v>1</v>
      </c>
      <c r="AR218" s="590">
        <f t="shared" si="126"/>
        <v>1</v>
      </c>
      <c r="AS218">
        <f t="shared" si="126"/>
        <v>0</v>
      </c>
    </row>
    <row r="219" spans="2:45">
      <c r="B219" s="1710"/>
      <c r="C219" s="14" t="s">
        <v>20</v>
      </c>
      <c r="D219" s="422"/>
      <c r="F219" s="977" t="s">
        <v>1270</v>
      </c>
      <c r="G219" s="959" t="s">
        <v>155</v>
      </c>
      <c r="H219" s="422"/>
      <c r="I219" s="968" t="s">
        <v>26</v>
      </c>
      <c r="J219" s="14" t="s">
        <v>20</v>
      </c>
      <c r="L219" s="422"/>
      <c r="Q219" t="s">
        <v>184</v>
      </c>
      <c r="R219" s="319">
        <f>COUNTIF($C221:$O222,R$184)+COUNTIF($C218:$O219,R$184)</f>
        <v>0</v>
      </c>
      <c r="S219" s="33">
        <f t="shared" ref="S219:AS219" si="127">COUNTIF($C221:$O222,S$184)+COUNTIF($C218:$O219,S$184)</f>
        <v>4</v>
      </c>
      <c r="T219" s="587">
        <f t="shared" si="127"/>
        <v>1</v>
      </c>
      <c r="U219" s="1081">
        <f t="shared" si="127"/>
        <v>0</v>
      </c>
      <c r="V219" s="642">
        <f t="shared" si="127"/>
        <v>0</v>
      </c>
      <c r="W219" s="37">
        <f t="shared" si="127"/>
        <v>0</v>
      </c>
      <c r="X219" s="588">
        <f t="shared" si="127"/>
        <v>0</v>
      </c>
      <c r="Y219" s="233">
        <f t="shared" si="127"/>
        <v>2</v>
      </c>
      <c r="Z219" s="1099">
        <f t="shared" si="127"/>
        <v>0</v>
      </c>
      <c r="AA219" s="577">
        <f t="shared" si="127"/>
        <v>0</v>
      </c>
      <c r="AB219">
        <f t="shared" si="127"/>
        <v>0</v>
      </c>
      <c r="AC219">
        <f t="shared" si="127"/>
        <v>0</v>
      </c>
      <c r="AD219" s="242">
        <f t="shared" si="127"/>
        <v>1</v>
      </c>
      <c r="AE219" s="8">
        <f t="shared" si="127"/>
        <v>2</v>
      </c>
      <c r="AF219" s="238">
        <f t="shared" si="127"/>
        <v>0</v>
      </c>
      <c r="AG219" s="1094">
        <f t="shared" si="127"/>
        <v>1</v>
      </c>
      <c r="AH219" s="1088">
        <f t="shared" si="127"/>
        <v>0</v>
      </c>
      <c r="AI219" s="1092">
        <f t="shared" si="127"/>
        <v>0</v>
      </c>
      <c r="AJ219" s="1090">
        <f t="shared" si="127"/>
        <v>0</v>
      </c>
      <c r="AK219" s="1088">
        <f t="shared" si="127"/>
        <v>0</v>
      </c>
      <c r="AL219" s="1086">
        <f t="shared" si="127"/>
        <v>0</v>
      </c>
      <c r="AM219" s="1101">
        <f t="shared" si="127"/>
        <v>2</v>
      </c>
      <c r="AN219" s="10">
        <f t="shared" si="127"/>
        <v>3</v>
      </c>
      <c r="AO219" s="1094">
        <f t="shared" si="127"/>
        <v>3</v>
      </c>
      <c r="AP219" s="361">
        <f t="shared" si="127"/>
        <v>0</v>
      </c>
      <c r="AQ219">
        <f t="shared" si="127"/>
        <v>0</v>
      </c>
      <c r="AR219" s="590">
        <f t="shared" si="127"/>
        <v>0</v>
      </c>
      <c r="AS219">
        <f t="shared" si="127"/>
        <v>0</v>
      </c>
    </row>
    <row r="220" spans="2:45">
      <c r="B220" s="1710"/>
      <c r="C220" s="989" t="s">
        <v>186</v>
      </c>
      <c r="D220" s="989" t="s">
        <v>186</v>
      </c>
      <c r="E220" s="989"/>
      <c r="F220" s="989" t="s">
        <v>189</v>
      </c>
      <c r="G220" s="989" t="s">
        <v>186</v>
      </c>
      <c r="H220" s="989" t="s">
        <v>190</v>
      </c>
      <c r="I220" s="989" t="s">
        <v>186</v>
      </c>
      <c r="J220" s="989" t="s">
        <v>186</v>
      </c>
      <c r="K220" s="989" t="s">
        <v>186</v>
      </c>
      <c r="L220" s="989" t="s">
        <v>188</v>
      </c>
      <c r="M220" s="989" t="s">
        <v>187</v>
      </c>
      <c r="N220" s="989"/>
      <c r="O220" s="989"/>
      <c r="Q220" t="s">
        <v>563</v>
      </c>
      <c r="R220" s="319">
        <f>COUNTIF($C224:$O226,R$184)+COUNTIF($C228:$O229,R$184)</f>
        <v>0</v>
      </c>
      <c r="S220" s="33">
        <f t="shared" ref="S220:AS220" si="128">COUNTIF($C224:$O226,S$184)+COUNTIF($C228:$O229,S$184)</f>
        <v>1</v>
      </c>
      <c r="T220" s="587">
        <f t="shared" si="128"/>
        <v>2</v>
      </c>
      <c r="U220" s="1081">
        <f t="shared" si="128"/>
        <v>0</v>
      </c>
      <c r="V220" s="642">
        <f t="shared" si="128"/>
        <v>1</v>
      </c>
      <c r="W220" s="37">
        <f t="shared" si="128"/>
        <v>0</v>
      </c>
      <c r="X220" s="588">
        <f t="shared" si="128"/>
        <v>0</v>
      </c>
      <c r="Y220" s="233">
        <f t="shared" si="128"/>
        <v>0</v>
      </c>
      <c r="Z220" s="1099">
        <f t="shared" si="128"/>
        <v>0</v>
      </c>
      <c r="AA220" s="577">
        <f t="shared" si="128"/>
        <v>0</v>
      </c>
      <c r="AB220">
        <f t="shared" si="128"/>
        <v>0</v>
      </c>
      <c r="AC220">
        <f t="shared" si="128"/>
        <v>0</v>
      </c>
      <c r="AD220" s="242">
        <f t="shared" si="128"/>
        <v>5</v>
      </c>
      <c r="AE220" s="8">
        <f t="shared" si="128"/>
        <v>0</v>
      </c>
      <c r="AF220" s="238">
        <f t="shared" si="128"/>
        <v>0</v>
      </c>
      <c r="AG220" s="1094">
        <f t="shared" si="128"/>
        <v>0</v>
      </c>
      <c r="AH220" s="1088">
        <f t="shared" si="128"/>
        <v>4</v>
      </c>
      <c r="AI220" s="1092">
        <f t="shared" si="128"/>
        <v>0</v>
      </c>
      <c r="AJ220" s="1090">
        <f t="shared" si="128"/>
        <v>0</v>
      </c>
      <c r="AK220" s="1088">
        <f t="shared" si="128"/>
        <v>0</v>
      </c>
      <c r="AL220" s="1086">
        <f t="shared" si="128"/>
        <v>1</v>
      </c>
      <c r="AM220" s="1101">
        <f t="shared" si="128"/>
        <v>5</v>
      </c>
      <c r="AN220" s="10">
        <f t="shared" si="128"/>
        <v>1</v>
      </c>
      <c r="AO220" s="1094">
        <f t="shared" si="128"/>
        <v>0</v>
      </c>
      <c r="AP220" s="361">
        <f t="shared" si="128"/>
        <v>0</v>
      </c>
      <c r="AQ220">
        <f t="shared" si="128"/>
        <v>0</v>
      </c>
      <c r="AR220" s="590">
        <f t="shared" si="128"/>
        <v>2</v>
      </c>
      <c r="AS220">
        <f t="shared" si="128"/>
        <v>0</v>
      </c>
    </row>
    <row r="221" spans="2:45">
      <c r="B221" s="1710"/>
      <c r="I221" s="27" t="s">
        <v>44</v>
      </c>
      <c r="M221" s="1033" t="s">
        <v>1269</v>
      </c>
      <c r="Q221" t="s">
        <v>1742</v>
      </c>
      <c r="R221" s="319">
        <f>COUNTIF($C234:$O234,R$184)+COUNTIF($C231:$O232,R$184)</f>
        <v>1</v>
      </c>
      <c r="S221" s="33">
        <f t="shared" ref="S221:AS221" si="129">COUNTIF($C234:$O234,S$184)+COUNTIF($C231:$O232,S$184)</f>
        <v>1</v>
      </c>
      <c r="T221" s="587">
        <f t="shared" si="129"/>
        <v>3</v>
      </c>
      <c r="U221" s="1081">
        <f t="shared" si="129"/>
        <v>0</v>
      </c>
      <c r="V221" s="642">
        <f t="shared" si="129"/>
        <v>0</v>
      </c>
      <c r="W221" s="37">
        <f t="shared" si="129"/>
        <v>1</v>
      </c>
      <c r="X221" s="588">
        <f t="shared" si="129"/>
        <v>0</v>
      </c>
      <c r="Y221" s="233">
        <f t="shared" si="129"/>
        <v>1</v>
      </c>
      <c r="Z221" s="1099">
        <f t="shared" si="129"/>
        <v>0</v>
      </c>
      <c r="AA221" s="577">
        <f t="shared" si="129"/>
        <v>0</v>
      </c>
      <c r="AB221">
        <f t="shared" si="129"/>
        <v>1</v>
      </c>
      <c r="AC221">
        <f t="shared" si="129"/>
        <v>0</v>
      </c>
      <c r="AD221" s="242">
        <f t="shared" si="129"/>
        <v>2</v>
      </c>
      <c r="AE221" s="8">
        <f t="shared" si="129"/>
        <v>2</v>
      </c>
      <c r="AF221" s="238">
        <f t="shared" si="129"/>
        <v>0</v>
      </c>
      <c r="AG221" s="1094">
        <f t="shared" si="129"/>
        <v>0</v>
      </c>
      <c r="AH221" s="1088">
        <f t="shared" si="129"/>
        <v>0</v>
      </c>
      <c r="AI221" s="1092">
        <f t="shared" si="129"/>
        <v>1</v>
      </c>
      <c r="AJ221" s="1090">
        <f t="shared" si="129"/>
        <v>0</v>
      </c>
      <c r="AK221" s="1088">
        <f t="shared" si="129"/>
        <v>0</v>
      </c>
      <c r="AL221" s="1086">
        <f t="shared" si="129"/>
        <v>0</v>
      </c>
      <c r="AM221" s="1101">
        <f t="shared" si="129"/>
        <v>3</v>
      </c>
      <c r="AN221" s="10">
        <f t="shared" si="129"/>
        <v>0</v>
      </c>
      <c r="AO221" s="1094">
        <f t="shared" si="129"/>
        <v>0</v>
      </c>
      <c r="AP221" s="361">
        <f t="shared" si="129"/>
        <v>0</v>
      </c>
      <c r="AQ221">
        <f t="shared" si="129"/>
        <v>0</v>
      </c>
      <c r="AR221" s="590">
        <f t="shared" si="129"/>
        <v>1</v>
      </c>
      <c r="AS221">
        <f t="shared" si="129"/>
        <v>0</v>
      </c>
    </row>
    <row r="222" spans="2:45" ht="16.5" thickBot="1">
      <c r="B222" s="1710"/>
      <c r="I222" s="14" t="s">
        <v>20</v>
      </c>
      <c r="M222" s="981" t="s">
        <v>1271</v>
      </c>
      <c r="Q222" s="996" t="s">
        <v>2056</v>
      </c>
      <c r="R222" s="1190">
        <f>COUNTIF($C239:$O240,R$184)+COUNTIF($C236:$O237,R$184)</f>
        <v>1</v>
      </c>
      <c r="S222" s="1191">
        <f t="shared" ref="S222:AS222" si="130">COUNTIF($C239:$O240,S$184)+COUNTIF($C236:$O237,S$184)</f>
        <v>3</v>
      </c>
      <c r="T222" s="1192">
        <f t="shared" si="130"/>
        <v>1</v>
      </c>
      <c r="U222" s="1193">
        <f t="shared" si="130"/>
        <v>0</v>
      </c>
      <c r="V222" s="1194">
        <f t="shared" si="130"/>
        <v>2</v>
      </c>
      <c r="W222" s="1195">
        <f t="shared" si="130"/>
        <v>0</v>
      </c>
      <c r="X222" s="1196">
        <f t="shared" si="130"/>
        <v>0</v>
      </c>
      <c r="Y222" s="1197">
        <f t="shared" si="130"/>
        <v>0</v>
      </c>
      <c r="Z222" s="1198">
        <f t="shared" si="130"/>
        <v>0</v>
      </c>
      <c r="AA222" s="1199">
        <f t="shared" si="130"/>
        <v>0</v>
      </c>
      <c r="AB222" s="996">
        <f t="shared" si="130"/>
        <v>0</v>
      </c>
      <c r="AC222" s="996">
        <f t="shared" si="130"/>
        <v>0</v>
      </c>
      <c r="AD222" s="1200">
        <f t="shared" si="130"/>
        <v>3</v>
      </c>
      <c r="AE222" s="1201">
        <f t="shared" si="130"/>
        <v>2</v>
      </c>
      <c r="AF222" s="1202">
        <f t="shared" si="130"/>
        <v>2</v>
      </c>
      <c r="AG222" s="1203">
        <f t="shared" si="130"/>
        <v>0</v>
      </c>
      <c r="AH222" s="1204">
        <f t="shared" si="130"/>
        <v>2</v>
      </c>
      <c r="AI222" s="1205">
        <f t="shared" si="130"/>
        <v>0</v>
      </c>
      <c r="AJ222" s="1206">
        <f t="shared" si="130"/>
        <v>1</v>
      </c>
      <c r="AK222" s="1204">
        <f t="shared" si="130"/>
        <v>0</v>
      </c>
      <c r="AL222" s="1207">
        <f t="shared" si="130"/>
        <v>0</v>
      </c>
      <c r="AM222" s="1208">
        <f t="shared" si="130"/>
        <v>1</v>
      </c>
      <c r="AN222" s="1209">
        <f t="shared" si="130"/>
        <v>0</v>
      </c>
      <c r="AO222" s="1203">
        <f t="shared" si="130"/>
        <v>2</v>
      </c>
      <c r="AP222" s="1210">
        <f t="shared" si="130"/>
        <v>0</v>
      </c>
      <c r="AQ222" s="996">
        <f t="shared" si="130"/>
        <v>0</v>
      </c>
      <c r="AR222" s="1211">
        <f t="shared" si="130"/>
        <v>0</v>
      </c>
      <c r="AS222" s="996">
        <f t="shared" si="130"/>
        <v>0</v>
      </c>
    </row>
    <row r="223" spans="2:45" ht="17.25" thickTop="1" thickBot="1">
      <c r="B223" s="1717"/>
      <c r="C223" s="1027"/>
      <c r="D223" s="1027"/>
      <c r="E223" s="1027"/>
      <c r="F223" s="1027"/>
      <c r="G223" s="1027"/>
      <c r="H223" s="1027"/>
      <c r="I223" s="1027" t="s">
        <v>190</v>
      </c>
      <c r="J223" s="1027"/>
      <c r="K223" s="1027"/>
      <c r="L223" s="1027"/>
      <c r="M223" s="1027" t="s">
        <v>189</v>
      </c>
      <c r="N223" s="1027"/>
      <c r="O223" s="1027"/>
      <c r="Q223" s="287" t="s">
        <v>200</v>
      </c>
      <c r="R223" s="405">
        <f>SUM(R185:R222)</f>
        <v>26</v>
      </c>
      <c r="S223" s="559">
        <f t="shared" ref="S223:AS223" si="131">SUM(S185:S222)</f>
        <v>47</v>
      </c>
      <c r="T223" s="1080">
        <f t="shared" si="131"/>
        <v>18</v>
      </c>
      <c r="U223" s="1082">
        <f t="shared" si="131"/>
        <v>12</v>
      </c>
      <c r="V223" s="1083">
        <f t="shared" si="131"/>
        <v>31</v>
      </c>
      <c r="W223" s="564">
        <f t="shared" si="131"/>
        <v>8</v>
      </c>
      <c r="X223" s="1084">
        <f t="shared" si="131"/>
        <v>5</v>
      </c>
      <c r="Y223" s="1085">
        <f t="shared" si="131"/>
        <v>12</v>
      </c>
      <c r="Z223" s="1100">
        <f t="shared" si="131"/>
        <v>17</v>
      </c>
      <c r="AA223" s="1098">
        <f t="shared" si="131"/>
        <v>2</v>
      </c>
      <c r="AB223" s="35">
        <f t="shared" si="131"/>
        <v>22</v>
      </c>
      <c r="AC223" s="35">
        <f t="shared" si="131"/>
        <v>2</v>
      </c>
      <c r="AD223" s="1097">
        <f t="shared" si="131"/>
        <v>45</v>
      </c>
      <c r="AE223" s="558">
        <f t="shared" si="131"/>
        <v>70</v>
      </c>
      <c r="AF223" s="1096">
        <f t="shared" si="131"/>
        <v>11</v>
      </c>
      <c r="AG223" s="1095">
        <f t="shared" si="131"/>
        <v>6</v>
      </c>
      <c r="AH223" s="1089">
        <f t="shared" si="131"/>
        <v>30</v>
      </c>
      <c r="AI223" s="1093">
        <f t="shared" si="131"/>
        <v>5</v>
      </c>
      <c r="AJ223" s="1091">
        <f t="shared" si="131"/>
        <v>4</v>
      </c>
      <c r="AK223" s="1089">
        <f t="shared" si="131"/>
        <v>4</v>
      </c>
      <c r="AL223" s="1087">
        <f t="shared" si="131"/>
        <v>3</v>
      </c>
      <c r="AM223" s="1102">
        <f t="shared" si="131"/>
        <v>92</v>
      </c>
      <c r="AN223" s="1103">
        <f t="shared" si="131"/>
        <v>22</v>
      </c>
      <c r="AO223" s="1095">
        <f t="shared" si="131"/>
        <v>102</v>
      </c>
      <c r="AP223" s="1104">
        <f t="shared" si="131"/>
        <v>4</v>
      </c>
      <c r="AQ223" s="35">
        <f t="shared" si="131"/>
        <v>4</v>
      </c>
      <c r="AR223" s="1105">
        <f t="shared" si="131"/>
        <v>19</v>
      </c>
      <c r="AS223" s="35">
        <f t="shared" si="131"/>
        <v>0</v>
      </c>
    </row>
    <row r="224" spans="2:45" ht="17.100000000000001" customHeight="1" thickTop="1">
      <c r="B224" s="1716" t="s">
        <v>563</v>
      </c>
      <c r="C224" s="1037" t="s">
        <v>1269</v>
      </c>
      <c r="D224" s="1038" t="s">
        <v>74</v>
      </c>
      <c r="E224" s="1039" t="s">
        <v>1271</v>
      </c>
      <c r="F224" s="1040" t="s">
        <v>1272</v>
      </c>
      <c r="G224" s="1029" t="s">
        <v>47</v>
      </c>
      <c r="H224" s="1040" t="s">
        <v>1272</v>
      </c>
      <c r="I224" s="977" t="s">
        <v>1270</v>
      </c>
      <c r="J224" s="1037" t="s">
        <v>1269</v>
      </c>
      <c r="K224" s="1039" t="s">
        <v>1271</v>
      </c>
      <c r="L224" s="730" t="s">
        <v>43</v>
      </c>
      <c r="M224" s="1037" t="s">
        <v>1269</v>
      </c>
      <c r="N224" s="1028"/>
      <c r="O224" s="1028"/>
      <c r="Q224" s="287" t="s">
        <v>1495</v>
      </c>
      <c r="R224" s="441">
        <f>AVERAGE(R185:R222)</f>
        <v>0.68421052631578949</v>
      </c>
      <c r="S224" s="441">
        <f t="shared" ref="S224:AS224" si="132">AVERAGE(S185:S222)</f>
        <v>1.236842105263158</v>
      </c>
      <c r="T224" s="441">
        <f t="shared" si="132"/>
        <v>0.47368421052631576</v>
      </c>
      <c r="U224" s="441">
        <f t="shared" si="132"/>
        <v>0.31578947368421051</v>
      </c>
      <c r="V224" s="441">
        <f t="shared" si="132"/>
        <v>0.81578947368421051</v>
      </c>
      <c r="W224" s="441">
        <f t="shared" si="132"/>
        <v>0.21052631578947367</v>
      </c>
      <c r="X224" s="441">
        <f t="shared" si="132"/>
        <v>0.13157894736842105</v>
      </c>
      <c r="Y224" s="441">
        <f t="shared" si="132"/>
        <v>0.31578947368421051</v>
      </c>
      <c r="Z224" s="441">
        <f t="shared" si="132"/>
        <v>0.44736842105263158</v>
      </c>
      <c r="AA224" s="441">
        <f t="shared" si="132"/>
        <v>5.2631578947368418E-2</v>
      </c>
      <c r="AB224" s="441">
        <f t="shared" si="132"/>
        <v>0.57894736842105265</v>
      </c>
      <c r="AC224" s="441">
        <f t="shared" si="132"/>
        <v>5.2631578947368418E-2</v>
      </c>
      <c r="AD224" s="441">
        <f t="shared" si="132"/>
        <v>1.1842105263157894</v>
      </c>
      <c r="AE224" s="441">
        <f t="shared" si="132"/>
        <v>1.8421052631578947</v>
      </c>
      <c r="AF224" s="441">
        <f t="shared" si="132"/>
        <v>0.28947368421052633</v>
      </c>
      <c r="AG224" s="441">
        <f t="shared" si="132"/>
        <v>0.15789473684210525</v>
      </c>
      <c r="AH224" s="441">
        <f t="shared" si="132"/>
        <v>0.78947368421052633</v>
      </c>
      <c r="AI224" s="441">
        <f t="shared" si="132"/>
        <v>0.13157894736842105</v>
      </c>
      <c r="AJ224" s="441">
        <f t="shared" si="132"/>
        <v>0.10526315789473684</v>
      </c>
      <c r="AK224" s="441">
        <f t="shared" si="132"/>
        <v>0.10526315789473684</v>
      </c>
      <c r="AL224" s="441">
        <f t="shared" si="132"/>
        <v>7.8947368421052627E-2</v>
      </c>
      <c r="AM224" s="441">
        <f t="shared" si="132"/>
        <v>2.4210526315789473</v>
      </c>
      <c r="AN224" s="441">
        <f t="shared" si="132"/>
        <v>0.57894736842105265</v>
      </c>
      <c r="AO224" s="441">
        <f t="shared" si="132"/>
        <v>2.6842105263157894</v>
      </c>
      <c r="AP224" s="441">
        <f t="shared" si="132"/>
        <v>0.10526315789473684</v>
      </c>
      <c r="AQ224" s="441">
        <f t="shared" si="132"/>
        <v>0.10526315789473684</v>
      </c>
      <c r="AR224" s="441">
        <f t="shared" si="132"/>
        <v>0.5</v>
      </c>
      <c r="AS224" s="441">
        <f t="shared" si="132"/>
        <v>0</v>
      </c>
    </row>
    <row r="225" spans="2:45">
      <c r="B225" s="1710"/>
      <c r="C225" s="981" t="s">
        <v>1271</v>
      </c>
      <c r="E225" s="422"/>
      <c r="K225" s="962" t="s">
        <v>216</v>
      </c>
      <c r="L225" s="962" t="s">
        <v>216</v>
      </c>
      <c r="M225" s="981" t="s">
        <v>1271</v>
      </c>
      <c r="Q225" s="287" t="s">
        <v>1277</v>
      </c>
      <c r="R225" s="1189">
        <f>MODE(R185:R222)</f>
        <v>0</v>
      </c>
      <c r="S225" s="1189">
        <f t="shared" ref="S225:AS225" si="133">MODE(S185:S222)</f>
        <v>1</v>
      </c>
      <c r="T225" s="1189">
        <f t="shared" si="133"/>
        <v>0</v>
      </c>
      <c r="U225" s="1189">
        <f t="shared" si="133"/>
        <v>0</v>
      </c>
      <c r="V225" s="1189">
        <f t="shared" si="133"/>
        <v>0</v>
      </c>
      <c r="W225" s="1189">
        <f t="shared" si="133"/>
        <v>0</v>
      </c>
      <c r="X225" s="1189">
        <f t="shared" si="133"/>
        <v>0</v>
      </c>
      <c r="Y225" s="1189">
        <f t="shared" si="133"/>
        <v>0</v>
      </c>
      <c r="Z225" s="1189">
        <f t="shared" si="133"/>
        <v>0</v>
      </c>
      <c r="AA225" s="1189">
        <f t="shared" si="133"/>
        <v>0</v>
      </c>
      <c r="AB225" s="1189">
        <f t="shared" si="133"/>
        <v>0</v>
      </c>
      <c r="AC225" s="1189">
        <f t="shared" si="133"/>
        <v>0</v>
      </c>
      <c r="AD225" s="1189">
        <f t="shared" si="133"/>
        <v>1</v>
      </c>
      <c r="AE225" s="1189">
        <f t="shared" si="133"/>
        <v>2</v>
      </c>
      <c r="AF225" s="1189">
        <f t="shared" si="133"/>
        <v>0</v>
      </c>
      <c r="AG225" s="1189">
        <f t="shared" si="133"/>
        <v>0</v>
      </c>
      <c r="AH225" s="1189">
        <f t="shared" si="133"/>
        <v>0</v>
      </c>
      <c r="AI225" s="1189">
        <f t="shared" si="133"/>
        <v>0</v>
      </c>
      <c r="AJ225" s="1189">
        <f t="shared" si="133"/>
        <v>0</v>
      </c>
      <c r="AK225" s="1189">
        <f t="shared" si="133"/>
        <v>0</v>
      </c>
      <c r="AL225" s="1189">
        <f t="shared" si="133"/>
        <v>0</v>
      </c>
      <c r="AM225" s="1189">
        <f t="shared" si="133"/>
        <v>2</v>
      </c>
      <c r="AN225" s="1189">
        <f t="shared" si="133"/>
        <v>0</v>
      </c>
      <c r="AO225" s="1189">
        <f t="shared" si="133"/>
        <v>3</v>
      </c>
      <c r="AP225" s="1189">
        <f t="shared" si="133"/>
        <v>0</v>
      </c>
      <c r="AQ225" s="1189">
        <f t="shared" si="133"/>
        <v>0</v>
      </c>
      <c r="AR225" s="1189">
        <f t="shared" si="133"/>
        <v>0</v>
      </c>
      <c r="AS225" s="1189">
        <f t="shared" si="133"/>
        <v>0</v>
      </c>
    </row>
    <row r="226" spans="2:45">
      <c r="B226" s="1710"/>
      <c r="C226" s="58"/>
      <c r="E226" s="987"/>
      <c r="K226" s="980" t="s">
        <v>1272</v>
      </c>
      <c r="Q226" s="287" t="s">
        <v>2705</v>
      </c>
      <c r="R226" s="1189">
        <f>MAX(R185:R222)</f>
        <v>3</v>
      </c>
      <c r="S226" s="1189">
        <f t="shared" ref="S226:AS226" si="134">MAX(S185:S222)</f>
        <v>4</v>
      </c>
      <c r="T226" s="1189">
        <f t="shared" si="134"/>
        <v>3</v>
      </c>
      <c r="U226" s="1189">
        <f t="shared" si="134"/>
        <v>3</v>
      </c>
      <c r="V226" s="1189">
        <f t="shared" si="134"/>
        <v>3</v>
      </c>
      <c r="W226" s="1189">
        <f t="shared" si="134"/>
        <v>1</v>
      </c>
      <c r="X226" s="1189">
        <f t="shared" si="134"/>
        <v>1</v>
      </c>
      <c r="Y226" s="1189">
        <f t="shared" si="134"/>
        <v>2</v>
      </c>
      <c r="Z226" s="1189">
        <f t="shared" si="134"/>
        <v>3</v>
      </c>
      <c r="AA226" s="1189">
        <f t="shared" si="134"/>
        <v>1</v>
      </c>
      <c r="AB226" s="1189">
        <f t="shared" si="134"/>
        <v>3</v>
      </c>
      <c r="AC226" s="1189">
        <f t="shared" si="134"/>
        <v>1</v>
      </c>
      <c r="AD226" s="1189">
        <f t="shared" si="134"/>
        <v>5</v>
      </c>
      <c r="AE226" s="1189">
        <f t="shared" si="134"/>
        <v>4</v>
      </c>
      <c r="AF226" s="1189">
        <f t="shared" si="134"/>
        <v>2</v>
      </c>
      <c r="AG226" s="1189">
        <f t="shared" si="134"/>
        <v>1</v>
      </c>
      <c r="AH226" s="1189">
        <f t="shared" si="134"/>
        <v>4</v>
      </c>
      <c r="AI226" s="1189">
        <f t="shared" si="134"/>
        <v>1</v>
      </c>
      <c r="AJ226" s="1189">
        <f t="shared" si="134"/>
        <v>1</v>
      </c>
      <c r="AK226" s="1189">
        <f t="shared" si="134"/>
        <v>1</v>
      </c>
      <c r="AL226" s="1189">
        <f t="shared" si="134"/>
        <v>1</v>
      </c>
      <c r="AM226" s="1189">
        <f t="shared" si="134"/>
        <v>5</v>
      </c>
      <c r="AN226" s="1189">
        <f t="shared" si="134"/>
        <v>3</v>
      </c>
      <c r="AO226" s="1189">
        <f t="shared" si="134"/>
        <v>6</v>
      </c>
      <c r="AP226" s="1189">
        <f t="shared" si="134"/>
        <v>1</v>
      </c>
      <c r="AQ226" s="1189">
        <f t="shared" si="134"/>
        <v>1</v>
      </c>
      <c r="AR226" s="1189">
        <f t="shared" si="134"/>
        <v>2</v>
      </c>
      <c r="AS226" s="1189">
        <f t="shared" si="134"/>
        <v>0</v>
      </c>
    </row>
    <row r="227" spans="2:45">
      <c r="B227" s="1710"/>
      <c r="C227" s="1004" t="s">
        <v>188</v>
      </c>
      <c r="D227" s="1004" t="s">
        <v>188</v>
      </c>
      <c r="E227" s="1004" t="s">
        <v>188</v>
      </c>
      <c r="F227" s="1004" t="s">
        <v>188</v>
      </c>
      <c r="G227" s="1004" t="s">
        <v>187</v>
      </c>
      <c r="H227" s="1004" t="s">
        <v>188</v>
      </c>
      <c r="I227" s="1004" t="s">
        <v>186</v>
      </c>
      <c r="J227" s="1004" t="s">
        <v>186</v>
      </c>
      <c r="K227" s="1004" t="s">
        <v>186</v>
      </c>
      <c r="L227" s="1004" t="s">
        <v>187</v>
      </c>
      <c r="M227" s="1004" t="s">
        <v>186</v>
      </c>
      <c r="N227" s="1004"/>
      <c r="O227" s="1004"/>
    </row>
    <row r="228" spans="2:45">
      <c r="B228" s="1710"/>
      <c r="H228" s="194" t="s">
        <v>43</v>
      </c>
      <c r="K228" s="1033" t="s">
        <v>1269</v>
      </c>
      <c r="M228" s="14" t="s">
        <v>20</v>
      </c>
      <c r="S228">
        <f>AVERAGE(S214:S222)</f>
        <v>1.7777777777777777</v>
      </c>
    </row>
    <row r="229" spans="2:45">
      <c r="B229" s="1710"/>
      <c r="H229" s="1033" t="s">
        <v>1269</v>
      </c>
      <c r="K229" s="981" t="s">
        <v>1271</v>
      </c>
      <c r="M229" s="980" t="s">
        <v>1272</v>
      </c>
    </row>
    <row r="230" spans="2:45" ht="16.5" thickBot="1">
      <c r="B230" s="1717"/>
      <c r="C230" s="1027"/>
      <c r="D230" s="1027"/>
      <c r="E230" s="1027"/>
      <c r="F230" s="1027"/>
      <c r="G230" s="1027"/>
      <c r="H230" s="1027" t="s">
        <v>190</v>
      </c>
      <c r="I230" s="1027"/>
      <c r="J230" s="1027"/>
      <c r="K230" s="1027" t="s">
        <v>190</v>
      </c>
      <c r="L230" s="1027"/>
      <c r="M230" s="1027" t="s">
        <v>191</v>
      </c>
      <c r="N230" s="1027"/>
      <c r="O230" s="1027"/>
    </row>
    <row r="231" spans="2:45" ht="16.5" thickTop="1">
      <c r="B231" s="1716" t="s">
        <v>1742</v>
      </c>
      <c r="C231" s="1039" t="s">
        <v>1271</v>
      </c>
      <c r="D231" s="1041" t="s">
        <v>68</v>
      </c>
      <c r="E231" s="1037" t="s">
        <v>1269</v>
      </c>
      <c r="F231" s="1039" t="s">
        <v>1271</v>
      </c>
      <c r="G231" s="1042" t="s">
        <v>216</v>
      </c>
      <c r="H231" s="1031" t="s">
        <v>26</v>
      </c>
      <c r="I231" s="1043" t="s">
        <v>27</v>
      </c>
      <c r="J231" s="1044" t="s">
        <v>155</v>
      </c>
      <c r="K231" s="1045" t="s">
        <v>46</v>
      </c>
      <c r="L231" s="730" t="s">
        <v>43</v>
      </c>
      <c r="M231" s="1037" t="s">
        <v>1269</v>
      </c>
      <c r="N231" s="730" t="s">
        <v>43</v>
      </c>
      <c r="O231" s="1028"/>
    </row>
    <row r="232" spans="2:45">
      <c r="B232" s="1710"/>
      <c r="C232" s="968" t="s">
        <v>26</v>
      </c>
      <c r="G232" s="977" t="s">
        <v>1270</v>
      </c>
      <c r="I232" s="982" t="s">
        <v>29</v>
      </c>
      <c r="L232" s="981" t="s">
        <v>1271</v>
      </c>
    </row>
    <row r="233" spans="2:45">
      <c r="B233" s="1710"/>
      <c r="C233" s="1004" t="s">
        <v>187</v>
      </c>
      <c r="D233" s="1004" t="s">
        <v>187</v>
      </c>
      <c r="E233" s="1004" t="s">
        <v>187</v>
      </c>
      <c r="F233" s="1004" t="s">
        <v>188</v>
      </c>
      <c r="G233" s="1004" t="s">
        <v>189</v>
      </c>
      <c r="H233" s="1004" t="s">
        <v>186</v>
      </c>
      <c r="I233" s="1004" t="s">
        <v>192</v>
      </c>
      <c r="J233" s="1004" t="s">
        <v>193</v>
      </c>
      <c r="K233" s="1004" t="s">
        <v>191</v>
      </c>
      <c r="L233" s="1004" t="s">
        <v>187</v>
      </c>
      <c r="M233" s="1004" t="s">
        <v>189</v>
      </c>
      <c r="N233" s="1004" t="s">
        <v>187</v>
      </c>
      <c r="O233" s="1004"/>
    </row>
    <row r="234" spans="2:45">
      <c r="B234" s="1710"/>
      <c r="H234" s="194" t="s">
        <v>43</v>
      </c>
    </row>
    <row r="235" spans="2:45" ht="16.5" thickBot="1">
      <c r="B235" s="1717"/>
      <c r="C235" s="1027"/>
      <c r="D235" s="1027"/>
      <c r="E235" s="1027"/>
      <c r="F235" s="1027"/>
      <c r="G235" s="1027"/>
      <c r="H235" s="1027" t="s">
        <v>191</v>
      </c>
      <c r="I235" s="1027"/>
      <c r="J235" s="1027"/>
      <c r="K235" s="1027"/>
      <c r="L235" s="1027"/>
      <c r="M235" s="1027"/>
      <c r="N235" s="1027"/>
      <c r="O235" s="1027"/>
    </row>
    <row r="236" spans="2:45" ht="16.5" thickTop="1">
      <c r="B236" s="1715" t="s">
        <v>2056</v>
      </c>
      <c r="C236" s="1030" t="s">
        <v>44</v>
      </c>
      <c r="D236" s="968" t="s">
        <v>26</v>
      </c>
      <c r="E236" s="1039" t="s">
        <v>1271</v>
      </c>
      <c r="F236" s="1043" t="s">
        <v>27</v>
      </c>
      <c r="G236" s="1029" t="s">
        <v>47</v>
      </c>
      <c r="H236" s="1040" t="s">
        <v>1272</v>
      </c>
      <c r="I236" s="968" t="s">
        <v>26</v>
      </c>
      <c r="J236" s="1030" t="s">
        <v>44</v>
      </c>
      <c r="K236" s="1040" t="s">
        <v>1272</v>
      </c>
      <c r="L236" s="977" t="s">
        <v>1270</v>
      </c>
      <c r="M236" s="974" t="s">
        <v>1269</v>
      </c>
    </row>
    <row r="237" spans="2:45">
      <c r="B237" s="1707"/>
      <c r="C237" s="977" t="s">
        <v>1270</v>
      </c>
      <c r="H237" s="955" t="s">
        <v>234</v>
      </c>
      <c r="J237" s="977" t="s">
        <v>1270</v>
      </c>
      <c r="K237" s="956" t="s">
        <v>109</v>
      </c>
      <c r="M237" s="956" t="s">
        <v>109</v>
      </c>
    </row>
    <row r="238" spans="2:45">
      <c r="B238" s="1707"/>
      <c r="C238" s="988" t="s">
        <v>193</v>
      </c>
      <c r="D238" s="988" t="s">
        <v>186</v>
      </c>
      <c r="E238" s="988" t="s">
        <v>186</v>
      </c>
      <c r="F238" s="988" t="s">
        <v>190</v>
      </c>
      <c r="G238" s="988" t="s">
        <v>189</v>
      </c>
      <c r="H238" s="988" t="s">
        <v>188</v>
      </c>
      <c r="I238" s="988" t="s">
        <v>186</v>
      </c>
      <c r="J238" s="988" t="s">
        <v>186</v>
      </c>
      <c r="K238" s="988" t="s">
        <v>190</v>
      </c>
      <c r="L238" s="988" t="s">
        <v>187</v>
      </c>
      <c r="M238" s="988" t="s">
        <v>189</v>
      </c>
      <c r="N238" s="988"/>
      <c r="O238" s="988"/>
    </row>
    <row r="239" spans="2:45" ht="16.5" thickBot="1">
      <c r="B239" s="1707"/>
      <c r="E239" s="974" t="s">
        <v>1269</v>
      </c>
      <c r="L239" s="974" t="s">
        <v>1269</v>
      </c>
    </row>
    <row r="240" spans="2:45" ht="16.5" thickTop="1">
      <c r="B240" s="1707"/>
      <c r="E240" s="194" t="s">
        <v>43</v>
      </c>
      <c r="L240" s="1029" t="s">
        <v>47</v>
      </c>
    </row>
    <row r="241" spans="2:15" ht="16.5" thickBot="1">
      <c r="B241" s="1708"/>
      <c r="C241" s="1005"/>
      <c r="D241" s="1005"/>
      <c r="E241" s="1005" t="s">
        <v>190</v>
      </c>
      <c r="F241" s="1005"/>
      <c r="G241" s="1005"/>
      <c r="H241" s="1005"/>
      <c r="I241" s="1005"/>
      <c r="J241" s="1005"/>
      <c r="K241" s="1005"/>
      <c r="L241" s="1005" t="s">
        <v>189</v>
      </c>
      <c r="M241" s="1005"/>
      <c r="N241" s="1005"/>
      <c r="O241" s="1005"/>
    </row>
    <row r="242" spans="2:15" ht="16.5" thickTop="1"/>
  </sheetData>
  <mergeCells count="42">
    <mergeCell ref="B126:B131"/>
    <mergeCell ref="B123:B125"/>
    <mergeCell ref="B117:B122"/>
    <mergeCell ref="B99:B101"/>
    <mergeCell ref="B102:B104"/>
    <mergeCell ref="B105:B107"/>
    <mergeCell ref="B108:B111"/>
    <mergeCell ref="B84:B89"/>
    <mergeCell ref="B90:B93"/>
    <mergeCell ref="B94:B98"/>
    <mergeCell ref="B75:B80"/>
    <mergeCell ref="B112:B116"/>
    <mergeCell ref="B4:D4"/>
    <mergeCell ref="B6:L6"/>
    <mergeCell ref="E45:K46"/>
    <mergeCell ref="B60:B62"/>
    <mergeCell ref="B81:B83"/>
    <mergeCell ref="B63:B65"/>
    <mergeCell ref="B66:B68"/>
    <mergeCell ref="B69:B71"/>
    <mergeCell ref="B72:B74"/>
    <mergeCell ref="N161:N162"/>
    <mergeCell ref="B161:B163"/>
    <mergeCell ref="B143:B148"/>
    <mergeCell ref="B132:B137"/>
    <mergeCell ref="B138:B142"/>
    <mergeCell ref="B149:B154"/>
    <mergeCell ref="B176:B181"/>
    <mergeCell ref="B182:B186"/>
    <mergeCell ref="B164:B169"/>
    <mergeCell ref="B170:B175"/>
    <mergeCell ref="B155:B160"/>
    <mergeCell ref="B195:B200"/>
    <mergeCell ref="B201:B206"/>
    <mergeCell ref="B207:B211"/>
    <mergeCell ref="B187:B191"/>
    <mergeCell ref="B192:B194"/>
    <mergeCell ref="B236:B241"/>
    <mergeCell ref="B224:B230"/>
    <mergeCell ref="B231:B235"/>
    <mergeCell ref="B212:B217"/>
    <mergeCell ref="B218:B223"/>
  </mergeCells>
  <phoneticPr fontId="3" type="noConversion"/>
  <conditionalFormatting sqref="R185:AS226">
    <cfRule type="cellIs" dxfId="9" priority="1" operator="between">
      <formula>0</formula>
      <formula>0</formula>
    </cfRule>
  </conditionalFormatting>
  <conditionalFormatting sqref="AE76:AE92 R76:AD114">
    <cfRule type="cellIs" dxfId="8" priority="2" operator="between">
      <formula>0</formula>
      <formula>0</formula>
    </cfRule>
  </conditionalFormatting>
  <pageMargins left="0.7" right="0.7" top="0.75" bottom="0.75" header="0.3" footer="0.3"/>
  <drawing r:id="rId1"/>
  <tableParts count="7">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DD2CC-AACD-9946-AB29-F122F6F6746E}">
  <sheetPr codeName="Sheet9">
    <tabColor rgb="FFFFFF00"/>
  </sheetPr>
  <dimension ref="A1:EH328"/>
  <sheetViews>
    <sheetView topLeftCell="B10" zoomScaleNormal="100" workbookViewId="0">
      <selection activeCell="V39" sqref="V39"/>
    </sheetView>
  </sheetViews>
  <sheetFormatPr defaultColWidth="11" defaultRowHeight="15.75"/>
  <cols>
    <col min="17" max="17" width="11.5" customWidth="1"/>
    <col min="19" max="19" width="10" customWidth="1"/>
    <col min="21" max="21" width="11.5" customWidth="1"/>
    <col min="24" max="24" width="11" customWidth="1"/>
    <col min="25" max="25" width="11.5" customWidth="1"/>
    <col min="26" max="26" width="11" customWidth="1"/>
    <col min="27" max="27" width="11.5" customWidth="1"/>
    <col min="28" max="28" width="11" customWidth="1"/>
    <col min="29" max="29" width="11.5" customWidth="1"/>
    <col min="30" max="30" width="11" customWidth="1"/>
    <col min="31" max="31" width="11.5" customWidth="1"/>
    <col min="32" max="32" width="12" customWidth="1"/>
    <col min="33" max="33" width="12.5" customWidth="1"/>
    <col min="34" max="34" width="12" customWidth="1"/>
    <col min="35" max="35" width="12.5" customWidth="1"/>
    <col min="36" max="36" width="12" customWidth="1"/>
    <col min="37" max="37" width="12.5" customWidth="1"/>
    <col min="38" max="38" width="12" customWidth="1"/>
    <col min="39" max="39" width="12.5" customWidth="1"/>
    <col min="40" max="40" width="12" customWidth="1"/>
    <col min="41" max="41" width="12.5" customWidth="1"/>
    <col min="42" max="42" width="12" customWidth="1"/>
    <col min="43" max="43" width="12.5" customWidth="1"/>
    <col min="44" max="44" width="12" customWidth="1"/>
    <col min="45" max="45" width="12.5" customWidth="1"/>
    <col min="46" max="46" width="12" customWidth="1"/>
    <col min="47" max="47" width="12.5" customWidth="1"/>
    <col min="48" max="48" width="12" customWidth="1"/>
    <col min="49" max="49" width="12.5" customWidth="1"/>
    <col min="50" max="50" width="12" customWidth="1"/>
    <col min="51" max="51" width="12.5" customWidth="1"/>
    <col min="52" max="52" width="12" customWidth="1"/>
    <col min="53" max="53" width="12.5" customWidth="1"/>
    <col min="54" max="54" width="12" customWidth="1"/>
    <col min="55" max="55" width="12.5" customWidth="1"/>
    <col min="56" max="56" width="12" customWidth="1"/>
    <col min="57" max="57" width="12.5" customWidth="1"/>
    <col min="58" max="58" width="12" customWidth="1"/>
    <col min="59" max="59" width="12.5" customWidth="1"/>
    <col min="60" max="60" width="12" customWidth="1"/>
    <col min="61" max="61" width="12.5" customWidth="1"/>
    <col min="62" max="62" width="12" customWidth="1"/>
    <col min="63" max="63" width="12.5" customWidth="1"/>
    <col min="64" max="64" width="12" customWidth="1"/>
    <col min="65" max="65" width="12.5" customWidth="1"/>
    <col min="66" max="66" width="12" customWidth="1"/>
    <col min="67" max="67" width="12.5" customWidth="1"/>
    <col min="68" max="68" width="12" customWidth="1"/>
    <col min="69" max="69" width="12.5" customWidth="1"/>
    <col min="70" max="70" width="12" customWidth="1"/>
    <col min="71" max="71" width="12.5" customWidth="1"/>
    <col min="72" max="72" width="12" customWidth="1"/>
    <col min="73" max="73" width="12.5" customWidth="1"/>
    <col min="74" max="74" width="12" customWidth="1"/>
    <col min="75" max="75" width="12.5" customWidth="1"/>
    <col min="76" max="76" width="12" customWidth="1"/>
    <col min="77" max="77" width="12.5" customWidth="1"/>
    <col min="78" max="78" width="12" customWidth="1"/>
    <col min="79" max="79" width="12.5" customWidth="1"/>
    <col min="80" max="80" width="12" customWidth="1"/>
    <col min="81" max="81" width="12.5" customWidth="1"/>
    <col min="82" max="82" width="12" customWidth="1"/>
    <col min="83" max="83" width="12.5" customWidth="1"/>
    <col min="84" max="84" width="12" customWidth="1"/>
    <col min="85" max="85" width="12.5" customWidth="1"/>
    <col min="86" max="86" width="12" customWidth="1"/>
    <col min="87" max="87" width="12.5" customWidth="1"/>
    <col min="88" max="88" width="12" customWidth="1"/>
    <col min="89" max="89" width="12.5" customWidth="1"/>
    <col min="90" max="90" width="12" customWidth="1"/>
    <col min="91" max="91" width="12.5" customWidth="1"/>
    <col min="92" max="92" width="12" customWidth="1"/>
    <col min="93" max="93" width="12.5" customWidth="1"/>
    <col min="94" max="94" width="12" customWidth="1"/>
    <col min="95" max="95" width="12.5" customWidth="1"/>
    <col min="96" max="96" width="12" customWidth="1"/>
    <col min="97" max="97" width="12.5" customWidth="1"/>
  </cols>
  <sheetData>
    <row r="1" spans="1:11">
      <c r="A1">
        <v>7</v>
      </c>
    </row>
    <row r="4" spans="1:11" ht="33.75">
      <c r="B4" s="1727" t="s">
        <v>452</v>
      </c>
      <c r="C4" s="1727"/>
      <c r="D4" s="1727"/>
    </row>
    <row r="6" spans="1:11" ht="33.950000000000003" customHeight="1">
      <c r="B6" s="1701" t="s">
        <v>1533</v>
      </c>
      <c r="C6" s="1701"/>
      <c r="D6" s="1701"/>
      <c r="E6" s="1701"/>
      <c r="F6" s="1701"/>
      <c r="G6" s="1701"/>
      <c r="H6" s="1701"/>
      <c r="I6" s="1701"/>
      <c r="J6" s="1701"/>
      <c r="K6" s="1701"/>
    </row>
    <row r="8" spans="1:11" ht="18">
      <c r="B8" s="345" t="s">
        <v>1534</v>
      </c>
    </row>
    <row r="9" spans="1:11">
      <c r="B9" s="439" t="s">
        <v>183</v>
      </c>
      <c r="C9" s="440" t="s">
        <v>13</v>
      </c>
    </row>
    <row r="10" spans="1:11">
      <c r="B10" s="163" t="s">
        <v>126</v>
      </c>
      <c r="C10" s="37">
        <v>13</v>
      </c>
    </row>
    <row r="11" spans="1:11">
      <c r="B11" s="163" t="s">
        <v>127</v>
      </c>
      <c r="C11" s="37">
        <v>12</v>
      </c>
    </row>
    <row r="12" spans="1:11">
      <c r="B12" s="163" t="s">
        <v>128</v>
      </c>
      <c r="C12" s="37">
        <v>13</v>
      </c>
    </row>
    <row r="13" spans="1:11">
      <c r="B13" s="163" t="s">
        <v>129</v>
      </c>
      <c r="C13" s="37">
        <v>13</v>
      </c>
    </row>
    <row r="14" spans="1:11">
      <c r="B14" s="163" t="s">
        <v>130</v>
      </c>
      <c r="C14" s="37">
        <v>12</v>
      </c>
    </row>
    <row r="15" spans="1:11">
      <c r="B15" s="163" t="s">
        <v>131</v>
      </c>
      <c r="C15" s="37">
        <v>13</v>
      </c>
    </row>
    <row r="16" spans="1:11">
      <c r="B16" s="163" t="s">
        <v>132</v>
      </c>
      <c r="C16" s="37">
        <v>13</v>
      </c>
    </row>
    <row r="17" spans="2:3">
      <c r="B17" s="163" t="s">
        <v>133</v>
      </c>
      <c r="C17" s="37">
        <v>13</v>
      </c>
    </row>
    <row r="18" spans="2:3">
      <c r="B18" s="163" t="s">
        <v>134</v>
      </c>
      <c r="C18" s="37">
        <v>13</v>
      </c>
    </row>
    <row r="19" spans="2:3">
      <c r="B19" s="163" t="s">
        <v>135</v>
      </c>
      <c r="C19" s="37">
        <v>13</v>
      </c>
    </row>
    <row r="20" spans="2:3">
      <c r="B20" s="163" t="s">
        <v>136</v>
      </c>
      <c r="C20" s="37">
        <v>13</v>
      </c>
    </row>
    <row r="21" spans="2:3">
      <c r="B21" s="163" t="s">
        <v>137</v>
      </c>
      <c r="C21" s="37">
        <v>10</v>
      </c>
    </row>
    <row r="22" spans="2:3">
      <c r="B22" s="163" t="s">
        <v>138</v>
      </c>
      <c r="C22" s="37">
        <v>11</v>
      </c>
    </row>
    <row r="23" spans="2:3">
      <c r="B23" s="163" t="s">
        <v>139</v>
      </c>
      <c r="C23" s="37">
        <v>10</v>
      </c>
    </row>
    <row r="24" spans="2:3">
      <c r="B24" s="163" t="s">
        <v>140</v>
      </c>
      <c r="C24" s="37">
        <v>9</v>
      </c>
    </row>
    <row r="25" spans="2:3">
      <c r="B25" s="163" t="s">
        <v>141</v>
      </c>
      <c r="C25" s="37">
        <v>9</v>
      </c>
    </row>
    <row r="26" spans="2:3">
      <c r="B26" s="163" t="s">
        <v>142</v>
      </c>
      <c r="C26" s="37">
        <v>10</v>
      </c>
    </row>
    <row r="27" spans="2:3">
      <c r="B27" s="163" t="s">
        <v>143</v>
      </c>
      <c r="C27" s="37">
        <v>10</v>
      </c>
    </row>
    <row r="28" spans="2:3">
      <c r="B28" s="163" t="s">
        <v>144</v>
      </c>
      <c r="C28" s="37">
        <v>8</v>
      </c>
    </row>
    <row r="29" spans="2:3">
      <c r="B29" s="163" t="s">
        <v>145</v>
      </c>
      <c r="C29" s="37">
        <v>10</v>
      </c>
    </row>
    <row r="30" spans="2:3">
      <c r="B30" s="163" t="s">
        <v>146</v>
      </c>
      <c r="C30" s="37">
        <v>10</v>
      </c>
    </row>
    <row r="31" spans="2:3">
      <c r="B31" s="163" t="s">
        <v>147</v>
      </c>
      <c r="C31" s="37">
        <v>9</v>
      </c>
    </row>
    <row r="32" spans="2:3">
      <c r="B32" s="163" t="s">
        <v>148</v>
      </c>
      <c r="C32" s="37">
        <v>10</v>
      </c>
    </row>
    <row r="33" spans="2:3">
      <c r="B33" s="163" t="s">
        <v>125</v>
      </c>
      <c r="C33" s="37">
        <v>9</v>
      </c>
    </row>
    <row r="34" spans="2:3">
      <c r="B34" s="163" t="s">
        <v>116</v>
      </c>
      <c r="C34" s="37">
        <v>10</v>
      </c>
    </row>
    <row r="35" spans="2:3">
      <c r="B35" s="163" t="s">
        <v>104</v>
      </c>
      <c r="C35" s="37">
        <v>11</v>
      </c>
    </row>
    <row r="36" spans="2:3">
      <c r="B36" s="163" t="s">
        <v>95</v>
      </c>
      <c r="C36" s="37">
        <v>11</v>
      </c>
    </row>
    <row r="37" spans="2:3">
      <c r="B37" s="163" t="s">
        <v>85</v>
      </c>
      <c r="C37" s="37">
        <v>10</v>
      </c>
    </row>
    <row r="38" spans="2:3">
      <c r="B38" s="163" t="s">
        <v>66</v>
      </c>
      <c r="C38" s="37">
        <v>9</v>
      </c>
    </row>
    <row r="39" spans="2:3">
      <c r="B39" s="163" t="s">
        <v>65</v>
      </c>
      <c r="C39" s="37">
        <v>9</v>
      </c>
    </row>
    <row r="40" spans="2:3">
      <c r="B40" s="163" t="s">
        <v>60</v>
      </c>
      <c r="C40" s="37">
        <v>10</v>
      </c>
    </row>
    <row r="41" spans="2:3">
      <c r="B41" s="163" t="s">
        <v>35</v>
      </c>
      <c r="C41" s="37">
        <v>7</v>
      </c>
    </row>
    <row r="42" spans="2:3">
      <c r="B42" s="163" t="s">
        <v>11</v>
      </c>
      <c r="C42" s="37">
        <v>8</v>
      </c>
    </row>
    <row r="43" spans="2:3">
      <c r="B43" s="163" t="s">
        <v>198</v>
      </c>
      <c r="C43" s="37">
        <v>9</v>
      </c>
    </row>
    <row r="44" spans="2:3">
      <c r="B44" s="163" t="s">
        <v>184</v>
      </c>
      <c r="C44" s="37">
        <v>10</v>
      </c>
    </row>
    <row r="45" spans="2:3">
      <c r="B45" s="163" t="s">
        <v>563</v>
      </c>
      <c r="C45" s="37">
        <v>10</v>
      </c>
    </row>
    <row r="46" spans="2:3">
      <c r="B46" s="163" t="s">
        <v>1742</v>
      </c>
      <c r="C46" s="37">
        <f>COUNTIF(Logs!$C$655:$N$664, C$9)</f>
        <v>7</v>
      </c>
    </row>
    <row r="47" spans="2:3">
      <c r="B47" s="163" t="s">
        <v>2056</v>
      </c>
      <c r="C47" s="37">
        <f>COUNTIF(Logs!$C$671:$N$681, C$9)</f>
        <v>7</v>
      </c>
    </row>
    <row r="48" spans="2:3">
      <c r="B48" s="318" t="s">
        <v>200</v>
      </c>
      <c r="C48" s="568">
        <f>SUM(C10:C47)</f>
        <v>394</v>
      </c>
    </row>
    <row r="49" spans="2:30">
      <c r="B49" s="163" t="s">
        <v>333</v>
      </c>
      <c r="C49" s="441">
        <f>AVERAGE(C10:C47)</f>
        <v>10.368421052631579</v>
      </c>
    </row>
    <row r="50" spans="2:30" ht="31.5">
      <c r="B50" s="436" t="s">
        <v>1938</v>
      </c>
      <c r="C50" s="443">
        <f>STDEV(C10:C47)</f>
        <v>1.8660704866554292</v>
      </c>
    </row>
    <row r="51" spans="2:30">
      <c r="B51" s="163" t="s">
        <v>1537</v>
      </c>
      <c r="C51" s="37">
        <f>MAX(C10:C47)</f>
        <v>13</v>
      </c>
    </row>
    <row r="52" spans="2:30">
      <c r="B52" s="163" t="s">
        <v>1530</v>
      </c>
      <c r="C52" s="37">
        <f>MIN(C10:C47)</f>
        <v>7</v>
      </c>
    </row>
    <row r="53" spans="2:30">
      <c r="B53" s="163" t="s">
        <v>1277</v>
      </c>
      <c r="C53" s="37">
        <f>MODE(C10:C47)</f>
        <v>10</v>
      </c>
    </row>
    <row r="55" spans="2:30">
      <c r="B55" s="35" t="s">
        <v>2477</v>
      </c>
    </row>
    <row r="56" spans="2:30" ht="18.75">
      <c r="B56" t="s">
        <v>2623</v>
      </c>
      <c r="Q56" s="69" t="s">
        <v>2761</v>
      </c>
    </row>
    <row r="57" spans="2:30">
      <c r="B57" t="s">
        <v>2711</v>
      </c>
      <c r="Q57" s="1078" t="s">
        <v>1635</v>
      </c>
      <c r="R57" s="1079" t="s">
        <v>1</v>
      </c>
      <c r="S57" s="1079" t="s">
        <v>2</v>
      </c>
      <c r="T57" s="1079" t="s">
        <v>3</v>
      </c>
      <c r="U57" s="1079" t="s">
        <v>4</v>
      </c>
      <c r="V57" s="1079" t="s">
        <v>5</v>
      </c>
      <c r="W57" s="1079" t="s">
        <v>6</v>
      </c>
      <c r="X57" s="1079" t="s">
        <v>7</v>
      </c>
      <c r="Y57" s="1079" t="s">
        <v>8</v>
      </c>
      <c r="Z57" s="1079" t="s">
        <v>9</v>
      </c>
      <c r="AA57" s="1079" t="s">
        <v>10</v>
      </c>
      <c r="AB57" s="1079" t="s">
        <v>36</v>
      </c>
      <c r="AC57" s="1079" t="s">
        <v>37</v>
      </c>
      <c r="AD57" s="1079" t="s">
        <v>344</v>
      </c>
    </row>
    <row r="58" spans="2:30" ht="16.5" thickBot="1">
      <c r="B58" s="893" t="s">
        <v>183</v>
      </c>
      <c r="C58" s="893" t="s">
        <v>1</v>
      </c>
      <c r="D58" s="893" t="s">
        <v>2</v>
      </c>
      <c r="E58" s="893" t="s">
        <v>3</v>
      </c>
      <c r="F58" s="893" t="s">
        <v>4</v>
      </c>
      <c r="G58" s="893" t="s">
        <v>5</v>
      </c>
      <c r="H58" s="893" t="s">
        <v>6</v>
      </c>
      <c r="I58" s="893" t="s">
        <v>7</v>
      </c>
      <c r="J58" s="893" t="s">
        <v>8</v>
      </c>
      <c r="K58" s="893" t="s">
        <v>9</v>
      </c>
      <c r="L58" s="893" t="s">
        <v>10</v>
      </c>
      <c r="M58" s="893" t="s">
        <v>36</v>
      </c>
      <c r="N58" s="893" t="s">
        <v>37</v>
      </c>
      <c r="O58" s="893" t="s">
        <v>344</v>
      </c>
      <c r="Q58" s="858" t="s">
        <v>185</v>
      </c>
      <c r="R58" s="560" t="str">
        <f t="shared" ref="R58" si="0">IF(COUNTIF(C$59:C$327,$Q58)/COUNTIF(C$59:C$327, "*Challenge*") &gt; 0, COUNTIF(C$59:C$327,$Q58)/COUNTIF(C$59:C$327, "*Challenge*"), "")</f>
        <v/>
      </c>
      <c r="S58" s="560" t="str">
        <f t="shared" ref="S58" si="1">IF(COUNTIF(D$59:D$327,$Q58)/COUNTIF(D$59:D$327, "*Challenge*") &gt; 0, COUNTIF(D$59:D$327,$Q58)/COUNTIF(D$59:D$327, "*Challenge*"), "")</f>
        <v/>
      </c>
      <c r="T58" s="560" t="str">
        <f t="shared" ref="T58" si="2">IF(COUNTIF(E$59:E$327,$Q58)/COUNTIF(E$59:E$327, "*Challenge*") &gt; 0, COUNTIF(E$59:E$327,$Q58)/COUNTIF(E$59:E$327, "*Challenge*"), "")</f>
        <v/>
      </c>
      <c r="U58" s="560" t="str">
        <f t="shared" ref="U58" si="3">IF(COUNTIF(F$59:F$327,$Q58)/COUNTIF(F$59:F$327, "*Challenge*") &gt; 0, COUNTIF(F$59:F$327,$Q58)/COUNTIF(F$59:F$327, "*Challenge*"), "")</f>
        <v/>
      </c>
      <c r="V58" s="560" t="str">
        <f t="shared" ref="V58" si="4">IF(COUNTIF(G$59:G$327,$Q58)/COUNTIF(G$59:G$327, "*Challenge*") &gt; 0, COUNTIF(G$59:G$327,$Q58)/COUNTIF(G$59:G$327, "*Challenge*"), "")</f>
        <v/>
      </c>
      <c r="W58" s="560" t="str">
        <f t="shared" ref="W58" si="5">IF(COUNTIF(H$59:H$327,$Q58)/COUNTIF(H$59:H$327, "*Challenge*") &gt; 0, COUNTIF(H$59:H$327,$Q58)/COUNTIF(H$59:H$327, "*Challenge*"), "")</f>
        <v/>
      </c>
      <c r="X58" s="560" t="str">
        <f t="shared" ref="X58" si="6">IF(COUNTIF(I$59:I$327,$Q58)/COUNTIF(I$59:I$327, "*Challenge*") &gt; 0, COUNTIF(I$59:I$327,$Q58)/COUNTIF(I$59:I$327, "*Challenge*"), "")</f>
        <v/>
      </c>
      <c r="Y58" s="560" t="str">
        <f t="shared" ref="Y58" si="7">IF(COUNTIF(J$59:J$327,$Q58)/COUNTIF(J$59:J$327, "*Challenge*") &gt; 0, COUNTIF(J$59:J$327,$Q58)/COUNTIF(J$59:J$327, "*Challenge*"), "")</f>
        <v/>
      </c>
      <c r="Z58" s="560" t="str">
        <f t="shared" ref="Z58" si="8">IF(COUNTIF(K$59:K$327,$Q58)/COUNTIF(K$59:K$327, "*Challenge*") &gt; 0, COUNTIF(K$59:K$327,$Q58)/COUNTIF(K$59:K$327, "*Challenge*"), "")</f>
        <v/>
      </c>
      <c r="AA58" s="560" t="str">
        <f t="shared" ref="AA58" si="9">IF(COUNTIF(L$59:L$327,$Q58)/COUNTIF(L$59:L$327, "*Challenge*") &gt; 0, COUNTIF(L$59:L$327,$Q58)/COUNTIF(L$59:L$327, "*Challenge*"), "")</f>
        <v/>
      </c>
      <c r="AB58" s="560" t="str">
        <f t="shared" ref="AB58" si="10">IF(COUNTIF(M$59:M$327,$Q58)/COUNTIF(M$59:M$327, "*Challenge*") &gt; 0, COUNTIF(M$59:M$327,$Q58)/COUNTIF(M$59:M$327, "*Challenge*"), "")</f>
        <v/>
      </c>
      <c r="AC58" s="560" t="str">
        <f t="shared" ref="AC58" si="11">IF(COUNTIF(N$59:N$327,$Q58)/COUNTIF(N$59:N$327, "*Challenge*") &gt; 0, COUNTIF(N$59:N$327,$Q58)/COUNTIF(N$59:N$327, "*Challenge*"), "")</f>
        <v/>
      </c>
      <c r="AD58" s="560" t="str">
        <f t="shared" ref="AD58" si="12">IF(COUNTIF(O$59:O$327,$Q58)/COUNTIF(O$59:O$327, "*Challenge*") &gt; 0, COUNTIF(O$59:O$327,$Q58)/COUNTIF(O$59:O$327, "*Challenge*"), "")</f>
        <v/>
      </c>
    </row>
    <row r="59" spans="2:30">
      <c r="B59" s="1725" t="s">
        <v>126</v>
      </c>
      <c r="C59" s="968" t="s">
        <v>26</v>
      </c>
      <c r="D59" s="984" t="s">
        <v>24</v>
      </c>
      <c r="E59" s="981" t="s">
        <v>1271</v>
      </c>
      <c r="F59" s="964" t="s">
        <v>44</v>
      </c>
      <c r="G59" s="984" t="s">
        <v>24</v>
      </c>
      <c r="H59" s="964" t="s">
        <v>44</v>
      </c>
      <c r="I59" s="968" t="s">
        <v>26</v>
      </c>
      <c r="J59" s="967" t="s">
        <v>27</v>
      </c>
      <c r="K59" t="s">
        <v>1673</v>
      </c>
      <c r="L59" s="981" t="s">
        <v>1271</v>
      </c>
      <c r="M59" s="974" t="s">
        <v>1269</v>
      </c>
      <c r="N59" s="981" t="s">
        <v>1271</v>
      </c>
      <c r="O59" s="984" t="s">
        <v>24</v>
      </c>
      <c r="Q59" s="858" t="s">
        <v>186</v>
      </c>
      <c r="R59" s="560">
        <f t="shared" ref="R59:R70" si="13">IF(COUNTIF(C$59:C$327,$Q59)/COUNTIF(C$59:C$327, "*Challenge*") &gt; 0, COUNTIF(C$59:C$327,$Q59)/COUNTIF(C$59:C$327, "*Challenge*"), "")</f>
        <v>0.16666666666666666</v>
      </c>
      <c r="S59" s="560">
        <f t="shared" ref="S59:S70" si="14">IF(COUNTIF(D$59:D$327,$Q59)/COUNTIF(D$59:D$327, "*Challenge*") &gt; 0, COUNTIF(D$59:D$327,$Q59)/COUNTIF(D$59:D$327, "*Challenge*"), "")</f>
        <v>0.22222222222222221</v>
      </c>
      <c r="T59" s="560">
        <f t="shared" ref="T59:T70" si="15">IF(COUNTIF(E$59:E$327,$Q59)/COUNTIF(E$59:E$327, "*Challenge*") &gt; 0, COUNTIF(E$59:E$327,$Q59)/COUNTIF(E$59:E$327, "*Challenge*"), "")</f>
        <v>0.15789473684210525</v>
      </c>
      <c r="U59" s="560">
        <f t="shared" ref="U59:U70" si="16">IF(COUNTIF(F$59:F$327,$Q59)/COUNTIF(F$59:F$327, "*Challenge*") &gt; 0, COUNTIF(F$59:F$327,$Q59)/COUNTIF(F$59:F$327, "*Challenge*"), "")</f>
        <v>0.27027027027027029</v>
      </c>
      <c r="V59" s="560">
        <f t="shared" ref="V59:V70" si="17">IF(COUNTIF(G$59:G$327,$Q59)/COUNTIF(G$59:G$327, "*Challenge*") &gt; 0, COUNTIF(G$59:G$327,$Q59)/COUNTIF(G$59:G$327, "*Challenge*"), "")</f>
        <v>0.1388888888888889</v>
      </c>
      <c r="W59" s="560">
        <f t="shared" ref="W59:W70" si="18">IF(COUNTIF(H$59:H$327,$Q59)/COUNTIF(H$59:H$327, "*Challenge*") &gt; 0, COUNTIF(H$59:H$327,$Q59)/COUNTIF(H$59:H$327, "*Challenge*"), "")</f>
        <v>0.15384615384615385</v>
      </c>
      <c r="X59" s="560">
        <f t="shared" ref="X59:X70" si="19">IF(COUNTIF(I$59:I$327,$Q59)/COUNTIF(I$59:I$327, "*Challenge*") &gt; 0, COUNTIF(I$59:I$327,$Q59)/COUNTIF(I$59:I$327, "*Challenge*"), "")</f>
        <v>0.15789473684210525</v>
      </c>
      <c r="Y59" s="560">
        <f t="shared" ref="Y59:Y70" si="20">IF(COUNTIF(J$59:J$327,$Q59)/COUNTIF(J$59:J$327, "*Challenge*") &gt; 0, COUNTIF(J$59:J$327,$Q59)/COUNTIF(J$59:J$327, "*Challenge*"), "")</f>
        <v>0.16216216216216217</v>
      </c>
      <c r="Z59" s="560">
        <f t="shared" ref="Z59:Z70" si="21">IF(COUNTIF(K$59:K$327,$Q59)/COUNTIF(K$59:K$327, "*Challenge*") &gt; 0, COUNTIF(K$59:K$327,$Q59)/COUNTIF(K$59:K$327, "*Challenge*"), "")</f>
        <v>6.0606060606060608E-2</v>
      </c>
      <c r="AA59" s="560">
        <f t="shared" ref="AA59:AA70" si="22">IF(COUNTIF(L$59:L$327,$Q59)/COUNTIF(L$59:L$327, "*Challenge*") &gt; 0, COUNTIF(L$59:L$327,$Q59)/COUNTIF(L$59:L$327, "*Challenge*"), "")</f>
        <v>0.15151515151515152</v>
      </c>
      <c r="AB59" s="560">
        <f t="shared" ref="AB59:AB70" si="23">IF(COUNTIF(M$59:M$327,$Q59)/COUNTIF(M$59:M$327, "*Challenge*") &gt; 0, COUNTIF(M$59:M$327,$Q59)/COUNTIF(M$59:M$327, "*Challenge*"), "")</f>
        <v>0.2413793103448276</v>
      </c>
      <c r="AC59" s="560">
        <f t="shared" ref="AC59:AC70" si="24">IF(COUNTIF(N$59:N$327,$Q59)/COUNTIF(N$59:N$327, "*Challenge*") &gt; 0, COUNTIF(N$59:N$327,$Q59)/COUNTIF(N$59:N$327, "*Challenge*"), "")</f>
        <v>0.27272727272727271</v>
      </c>
      <c r="AD59" s="560">
        <f t="shared" ref="AD59:AD70" si="25">IF(COUNTIF(O$59:O$327,$Q59)/COUNTIF(O$59:O$327, "*Challenge*") &gt; 0, COUNTIF(O$59:O$327,$Q59)/COUNTIF(O$59:O$327, "*Challenge*"), "")</f>
        <v>0.33333333333333331</v>
      </c>
    </row>
    <row r="60" spans="2:30">
      <c r="B60" s="1725"/>
      <c r="D60" s="964" t="s">
        <v>44</v>
      </c>
      <c r="G60" s="993" t="s">
        <v>20</v>
      </c>
      <c r="Q60" s="858" t="s">
        <v>187</v>
      </c>
      <c r="R60" s="560">
        <f t="shared" si="13"/>
        <v>0.1111111111111111</v>
      </c>
      <c r="S60" s="560">
        <f t="shared" si="14"/>
        <v>0.16666666666666666</v>
      </c>
      <c r="T60" s="560">
        <f t="shared" si="15"/>
        <v>0.31578947368421051</v>
      </c>
      <c r="U60" s="560">
        <f t="shared" si="16"/>
        <v>0.16216216216216217</v>
      </c>
      <c r="V60" s="560">
        <f t="shared" si="17"/>
        <v>0.3888888888888889</v>
      </c>
      <c r="W60" s="560">
        <f t="shared" si="18"/>
        <v>0.12820512820512819</v>
      </c>
      <c r="X60" s="560">
        <f t="shared" si="19"/>
        <v>0.21052631578947367</v>
      </c>
      <c r="Y60" s="560">
        <f t="shared" si="20"/>
        <v>0.13513513513513514</v>
      </c>
      <c r="Z60" s="560">
        <f t="shared" si="21"/>
        <v>0.18181818181818182</v>
      </c>
      <c r="AA60" s="560">
        <f t="shared" si="22"/>
        <v>0.21212121212121213</v>
      </c>
      <c r="AB60" s="560">
        <f t="shared" si="23"/>
        <v>0.10344827586206896</v>
      </c>
      <c r="AC60" s="560">
        <f t="shared" si="24"/>
        <v>0.27272727272727271</v>
      </c>
      <c r="AD60" s="560">
        <f t="shared" si="25"/>
        <v>0.5</v>
      </c>
    </row>
    <row r="61" spans="2:30">
      <c r="B61" s="1725"/>
      <c r="C61" t="s">
        <v>2612</v>
      </c>
      <c r="D61" t="s">
        <v>2612</v>
      </c>
      <c r="E61" t="s">
        <v>2612</v>
      </c>
      <c r="F61" t="s">
        <v>2612</v>
      </c>
      <c r="G61" t="s">
        <v>2612</v>
      </c>
      <c r="H61" t="s">
        <v>2612</v>
      </c>
      <c r="I61" t="s">
        <v>2612</v>
      </c>
      <c r="J61" t="s">
        <v>2612</v>
      </c>
      <c r="K61" t="s">
        <v>2612</v>
      </c>
      <c r="L61" t="s">
        <v>2612</v>
      </c>
      <c r="M61" t="s">
        <v>2612</v>
      </c>
      <c r="N61" t="s">
        <v>2612</v>
      </c>
      <c r="O61" t="s">
        <v>2612</v>
      </c>
      <c r="Q61" s="858" t="s">
        <v>188</v>
      </c>
      <c r="R61" s="560">
        <f t="shared" si="13"/>
        <v>0.16666666666666666</v>
      </c>
      <c r="S61" s="560">
        <f t="shared" si="14"/>
        <v>0.3888888888888889</v>
      </c>
      <c r="T61" s="560">
        <f t="shared" si="15"/>
        <v>0.23684210526315788</v>
      </c>
      <c r="U61" s="560">
        <f t="shared" si="16"/>
        <v>0.10810810810810811</v>
      </c>
      <c r="V61" s="560">
        <f t="shared" si="17"/>
        <v>0.27777777777777779</v>
      </c>
      <c r="W61" s="560">
        <f t="shared" si="18"/>
        <v>0.30769230769230771</v>
      </c>
      <c r="X61" s="560">
        <f t="shared" si="19"/>
        <v>0.26315789473684209</v>
      </c>
      <c r="Y61" s="560">
        <f t="shared" si="20"/>
        <v>0.3783783783783784</v>
      </c>
      <c r="Z61" s="560">
        <f t="shared" si="21"/>
        <v>0.39393939393939392</v>
      </c>
      <c r="AA61" s="560">
        <f t="shared" si="22"/>
        <v>0.21212121212121213</v>
      </c>
      <c r="AB61" s="560">
        <f t="shared" si="23"/>
        <v>0.27586206896551724</v>
      </c>
      <c r="AC61" s="560">
        <f t="shared" si="24"/>
        <v>0.18181818181818182</v>
      </c>
      <c r="AD61" s="560">
        <f t="shared" si="25"/>
        <v>0.16666666666666666</v>
      </c>
    </row>
    <row r="62" spans="2:30">
      <c r="B62" s="1725"/>
      <c r="C62" s="981" t="s">
        <v>1271</v>
      </c>
      <c r="D62" s="984" t="s">
        <v>24</v>
      </c>
      <c r="E62" s="981" t="s">
        <v>1271</v>
      </c>
      <c r="F62" s="983" t="s">
        <v>124</v>
      </c>
      <c r="G62" s="984" t="s">
        <v>24</v>
      </c>
      <c r="H62" s="964" t="s">
        <v>44</v>
      </c>
      <c r="I62" s="979" t="s">
        <v>120</v>
      </c>
      <c r="J62" s="964" t="s">
        <v>44</v>
      </c>
      <c r="K62" s="964" t="s">
        <v>44</v>
      </c>
      <c r="L62" s="981" t="s">
        <v>1271</v>
      </c>
      <c r="M62" t="s">
        <v>1673</v>
      </c>
      <c r="N62" s="981" t="s">
        <v>1271</v>
      </c>
      <c r="O62" s="967" t="s">
        <v>27</v>
      </c>
      <c r="Q62" s="858" t="s">
        <v>189</v>
      </c>
      <c r="R62" s="560">
        <f t="shared" si="13"/>
        <v>0.33333333333333331</v>
      </c>
      <c r="S62" s="560">
        <f t="shared" si="14"/>
        <v>0.1388888888888889</v>
      </c>
      <c r="T62" s="560">
        <f t="shared" si="15"/>
        <v>0.21052631578947367</v>
      </c>
      <c r="U62" s="560">
        <f t="shared" si="16"/>
        <v>0.13513513513513514</v>
      </c>
      <c r="V62" s="560">
        <f t="shared" si="17"/>
        <v>8.3333333333333329E-2</v>
      </c>
      <c r="W62" s="560">
        <f t="shared" si="18"/>
        <v>0.28205128205128205</v>
      </c>
      <c r="X62" s="560">
        <f t="shared" si="19"/>
        <v>0.18421052631578946</v>
      </c>
      <c r="Y62" s="560">
        <f t="shared" si="20"/>
        <v>0.21621621621621623</v>
      </c>
      <c r="Z62" s="560">
        <f t="shared" si="21"/>
        <v>0.21212121212121213</v>
      </c>
      <c r="AA62" s="560">
        <f t="shared" si="22"/>
        <v>0.18181818181818182</v>
      </c>
      <c r="AB62" s="560">
        <f t="shared" si="23"/>
        <v>0.17241379310344829</v>
      </c>
      <c r="AC62" s="560">
        <f t="shared" si="24"/>
        <v>9.0909090909090912E-2</v>
      </c>
      <c r="AD62" s="560" t="str">
        <f t="shared" si="25"/>
        <v/>
      </c>
    </row>
    <row r="63" spans="2:30">
      <c r="B63" s="1725"/>
      <c r="D63" s="964" t="s">
        <v>44</v>
      </c>
      <c r="G63" s="964" t="s">
        <v>44</v>
      </c>
      <c r="I63" s="955" t="s">
        <v>234</v>
      </c>
      <c r="L63" s="968" t="s">
        <v>26</v>
      </c>
      <c r="O63" s="984" t="s">
        <v>24</v>
      </c>
      <c r="Q63" s="858" t="s">
        <v>190</v>
      </c>
      <c r="R63" s="560">
        <f t="shared" si="13"/>
        <v>0.1111111111111111</v>
      </c>
      <c r="S63" s="560">
        <f t="shared" si="14"/>
        <v>8.3333333333333329E-2</v>
      </c>
      <c r="T63" s="560">
        <f t="shared" si="15"/>
        <v>5.2631578947368418E-2</v>
      </c>
      <c r="U63" s="560">
        <f t="shared" si="16"/>
        <v>0.21621621621621623</v>
      </c>
      <c r="V63" s="560">
        <f t="shared" si="17"/>
        <v>5.5555555555555552E-2</v>
      </c>
      <c r="W63" s="560">
        <f t="shared" si="18"/>
        <v>5.128205128205128E-2</v>
      </c>
      <c r="X63" s="560">
        <f t="shared" si="19"/>
        <v>0.13157894736842105</v>
      </c>
      <c r="Y63" s="560">
        <f t="shared" si="20"/>
        <v>8.1081081081081086E-2</v>
      </c>
      <c r="Z63" s="560">
        <f t="shared" si="21"/>
        <v>9.0909090909090912E-2</v>
      </c>
      <c r="AA63" s="560">
        <f t="shared" si="22"/>
        <v>9.0909090909090912E-2</v>
      </c>
      <c r="AB63" s="560">
        <f t="shared" si="23"/>
        <v>0.17241379310344829</v>
      </c>
      <c r="AC63" s="560">
        <f t="shared" si="24"/>
        <v>0.18181818181818182</v>
      </c>
      <c r="AD63" s="560" t="str">
        <f t="shared" si="25"/>
        <v/>
      </c>
    </row>
    <row r="64" spans="2:30" ht="16.5" thickBot="1">
      <c r="B64" s="1726"/>
      <c r="C64" s="1036" t="s">
        <v>189</v>
      </c>
      <c r="D64" s="1036" t="s">
        <v>187</v>
      </c>
      <c r="E64" s="1036" t="s">
        <v>187</v>
      </c>
      <c r="F64" s="1036" t="s">
        <v>186</v>
      </c>
      <c r="G64" s="1036" t="s">
        <v>186</v>
      </c>
      <c r="H64" s="1036" t="s">
        <v>188</v>
      </c>
      <c r="I64" s="1036" t="s">
        <v>186</v>
      </c>
      <c r="J64" s="1036" t="s">
        <v>188</v>
      </c>
      <c r="K64" s="1036" t="s">
        <v>187</v>
      </c>
      <c r="L64" s="1036" t="s">
        <v>186</v>
      </c>
      <c r="M64" s="1036" t="s">
        <v>186</v>
      </c>
      <c r="N64" s="1036" t="s">
        <v>187</v>
      </c>
      <c r="O64" s="1036" t="s">
        <v>186</v>
      </c>
      <c r="Q64" s="858" t="s">
        <v>191</v>
      </c>
      <c r="R64" s="560">
        <f t="shared" si="13"/>
        <v>0.1111111111111111</v>
      </c>
      <c r="S64" s="560" t="str">
        <f t="shared" si="14"/>
        <v/>
      </c>
      <c r="T64" s="560">
        <f t="shared" si="15"/>
        <v>2.6315789473684209E-2</v>
      </c>
      <c r="U64" s="560">
        <f t="shared" si="16"/>
        <v>2.7027027027027029E-2</v>
      </c>
      <c r="V64" s="560">
        <f t="shared" si="17"/>
        <v>5.5555555555555552E-2</v>
      </c>
      <c r="W64" s="560">
        <f t="shared" si="18"/>
        <v>2.564102564102564E-2</v>
      </c>
      <c r="X64" s="560">
        <f t="shared" si="19"/>
        <v>5.2631578947368418E-2</v>
      </c>
      <c r="Y64" s="560">
        <f t="shared" si="20"/>
        <v>2.7027027027027029E-2</v>
      </c>
      <c r="Z64" s="560" t="str">
        <f t="shared" si="21"/>
        <v/>
      </c>
      <c r="AA64" s="560">
        <f t="shared" si="22"/>
        <v>9.0909090909090912E-2</v>
      </c>
      <c r="AB64" s="560" t="str">
        <f t="shared" si="23"/>
        <v/>
      </c>
      <c r="AC64" s="560" t="str">
        <f t="shared" si="24"/>
        <v/>
      </c>
      <c r="AD64" s="560" t="str">
        <f t="shared" si="25"/>
        <v/>
      </c>
    </row>
    <row r="65" spans="2:30" ht="17.100000000000001" customHeight="1" thickTop="1">
      <c r="B65" s="1724" t="s">
        <v>127</v>
      </c>
      <c r="C65" s="968" t="s">
        <v>26</v>
      </c>
      <c r="D65" s="968" t="s">
        <v>26</v>
      </c>
      <c r="E65" s="959" t="s">
        <v>155</v>
      </c>
      <c r="F65" s="58" t="s">
        <v>1673</v>
      </c>
      <c r="G65" s="1046" t="s">
        <v>1673</v>
      </c>
      <c r="H65" s="981" t="s">
        <v>1271</v>
      </c>
      <c r="I65" s="974" t="s">
        <v>1269</v>
      </c>
      <c r="J65" s="981" t="s">
        <v>1271</v>
      </c>
      <c r="K65" s="964" t="s">
        <v>44</v>
      </c>
      <c r="L65" s="968" t="s">
        <v>26</v>
      </c>
      <c r="M65" s="968" t="s">
        <v>26</v>
      </c>
      <c r="N65" s="979" t="s">
        <v>120</v>
      </c>
      <c r="O65" s="990"/>
      <c r="Q65" s="858" t="s">
        <v>192</v>
      </c>
      <c r="R65" s="560" t="str">
        <f t="shared" si="13"/>
        <v/>
      </c>
      <c r="S65" s="560" t="str">
        <f t="shared" si="14"/>
        <v/>
      </c>
      <c r="T65" s="560" t="str">
        <f t="shared" si="15"/>
        <v/>
      </c>
      <c r="U65" s="560">
        <f t="shared" si="16"/>
        <v>8.1081081081081086E-2</v>
      </c>
      <c r="V65" s="560" t="str">
        <f t="shared" si="17"/>
        <v/>
      </c>
      <c r="W65" s="560">
        <f t="shared" si="18"/>
        <v>2.564102564102564E-2</v>
      </c>
      <c r="X65" s="560" t="str">
        <f t="shared" si="19"/>
        <v/>
      </c>
      <c r="Y65" s="560" t="str">
        <f t="shared" si="20"/>
        <v/>
      </c>
      <c r="Z65" s="560">
        <f t="shared" si="21"/>
        <v>3.0303030303030304E-2</v>
      </c>
      <c r="AA65" s="560">
        <f t="shared" si="22"/>
        <v>6.0606060606060608E-2</v>
      </c>
      <c r="AB65" s="560">
        <f t="shared" si="23"/>
        <v>3.4482758620689655E-2</v>
      </c>
      <c r="AC65" s="560" t="str">
        <f t="shared" si="24"/>
        <v/>
      </c>
      <c r="AD65" s="560" t="str">
        <f t="shared" si="25"/>
        <v/>
      </c>
    </row>
    <row r="66" spans="2:30">
      <c r="B66" s="1725"/>
      <c r="D66" s="58"/>
      <c r="E66" s="961" t="s">
        <v>339</v>
      </c>
      <c r="G66" s="1046"/>
      <c r="N66" s="964" t="s">
        <v>44</v>
      </c>
      <c r="Q66" s="858" t="s">
        <v>193</v>
      </c>
      <c r="R66" s="560" t="str">
        <f t="shared" si="13"/>
        <v/>
      </c>
      <c r="S66" s="560" t="str">
        <f t="shared" si="14"/>
        <v/>
      </c>
      <c r="T66" s="560" t="str">
        <f t="shared" si="15"/>
        <v/>
      </c>
      <c r="U66" s="560" t="str">
        <f t="shared" si="16"/>
        <v/>
      </c>
      <c r="V66" s="560" t="str">
        <f t="shared" si="17"/>
        <v/>
      </c>
      <c r="W66" s="560" t="str">
        <f t="shared" si="18"/>
        <v/>
      </c>
      <c r="X66" s="560" t="str">
        <f t="shared" si="19"/>
        <v/>
      </c>
      <c r="Y66" s="560" t="str">
        <f t="shared" si="20"/>
        <v/>
      </c>
      <c r="Z66" s="560" t="str">
        <f t="shared" si="21"/>
        <v/>
      </c>
      <c r="AA66" s="560" t="str">
        <f t="shared" si="22"/>
        <v/>
      </c>
      <c r="AB66" s="560" t="str">
        <f t="shared" si="23"/>
        <v/>
      </c>
      <c r="AC66" s="560" t="str">
        <f t="shared" si="24"/>
        <v/>
      </c>
      <c r="AD66" s="560" t="str">
        <f t="shared" si="25"/>
        <v/>
      </c>
    </row>
    <row r="67" spans="2:30">
      <c r="B67" s="1725"/>
      <c r="C67" t="s">
        <v>2612</v>
      </c>
      <c r="D67" t="s">
        <v>2612</v>
      </c>
      <c r="E67" t="s">
        <v>2612</v>
      </c>
      <c r="F67" t="s">
        <v>2612</v>
      </c>
      <c r="G67" t="s">
        <v>2612</v>
      </c>
      <c r="H67" t="s">
        <v>2612</v>
      </c>
      <c r="I67" t="s">
        <v>2612</v>
      </c>
      <c r="J67" t="s">
        <v>2612</v>
      </c>
      <c r="K67" t="s">
        <v>2612</v>
      </c>
      <c r="L67" t="s">
        <v>2612</v>
      </c>
      <c r="M67" t="s">
        <v>2612</v>
      </c>
      <c r="N67" t="s">
        <v>2612</v>
      </c>
      <c r="Q67" s="858" t="s">
        <v>194</v>
      </c>
      <c r="R67" s="560" t="str">
        <f t="shared" si="13"/>
        <v/>
      </c>
      <c r="S67" s="560" t="str">
        <f t="shared" si="14"/>
        <v/>
      </c>
      <c r="T67" s="560" t="str">
        <f t="shared" si="15"/>
        <v/>
      </c>
      <c r="U67" s="560" t="str">
        <f t="shared" si="16"/>
        <v/>
      </c>
      <c r="V67" s="560" t="str">
        <f t="shared" si="17"/>
        <v/>
      </c>
      <c r="W67" s="560">
        <f t="shared" si="18"/>
        <v>2.564102564102564E-2</v>
      </c>
      <c r="X67" s="560" t="str">
        <f t="shared" si="19"/>
        <v/>
      </c>
      <c r="Y67" s="560" t="str">
        <f t="shared" si="20"/>
        <v/>
      </c>
      <c r="Z67" s="560" t="str">
        <f t="shared" si="21"/>
        <v/>
      </c>
      <c r="AA67" s="560" t="str">
        <f t="shared" si="22"/>
        <v/>
      </c>
      <c r="AB67" s="560" t="str">
        <f t="shared" si="23"/>
        <v/>
      </c>
      <c r="AC67" s="560" t="str">
        <f t="shared" si="24"/>
        <v/>
      </c>
      <c r="AD67" s="560" t="str">
        <f t="shared" si="25"/>
        <v/>
      </c>
    </row>
    <row r="68" spans="2:30" ht="15.95" customHeight="1">
      <c r="B68" s="1725"/>
      <c r="C68" s="964" t="s">
        <v>44</v>
      </c>
      <c r="D68" s="964" t="s">
        <v>44</v>
      </c>
      <c r="E68" s="981" t="s">
        <v>1271</v>
      </c>
      <c r="F68" s="981" t="s">
        <v>1271</v>
      </c>
      <c r="G68" s="978" t="s">
        <v>1673</v>
      </c>
      <c r="H68" s="967" t="s">
        <v>27</v>
      </c>
      <c r="I68" s="964" t="s">
        <v>44</v>
      </c>
      <c r="J68" s="981" t="s">
        <v>1271</v>
      </c>
      <c r="K68" s="974" t="s">
        <v>1269</v>
      </c>
      <c r="L68" s="981" t="s">
        <v>1271</v>
      </c>
      <c r="M68" s="968" t="s">
        <v>26</v>
      </c>
      <c r="N68" s="981" t="s">
        <v>1271</v>
      </c>
      <c r="O68" s="990"/>
      <c r="Q68" s="858" t="s">
        <v>1637</v>
      </c>
      <c r="R68" s="560" t="str">
        <f t="shared" si="13"/>
        <v/>
      </c>
      <c r="S68" s="560" t="str">
        <f t="shared" si="14"/>
        <v/>
      </c>
      <c r="T68" s="560" t="str">
        <f t="shared" si="15"/>
        <v/>
      </c>
      <c r="U68" s="560" t="str">
        <f t="shared" si="16"/>
        <v/>
      </c>
      <c r="V68" s="560" t="str">
        <f t="shared" si="17"/>
        <v/>
      </c>
      <c r="W68" s="560" t="str">
        <f t="shared" si="18"/>
        <v/>
      </c>
      <c r="X68" s="560" t="str">
        <f t="shared" si="19"/>
        <v/>
      </c>
      <c r="Y68" s="560" t="str">
        <f t="shared" si="20"/>
        <v/>
      </c>
      <c r="Z68" s="560" t="str">
        <f t="shared" si="21"/>
        <v/>
      </c>
      <c r="AA68" s="560" t="str">
        <f t="shared" si="22"/>
        <v/>
      </c>
      <c r="AB68" s="560" t="str">
        <f t="shared" si="23"/>
        <v/>
      </c>
      <c r="AC68" s="560" t="str">
        <f t="shared" si="24"/>
        <v/>
      </c>
      <c r="AD68" s="560" t="str">
        <f t="shared" si="25"/>
        <v/>
      </c>
    </row>
    <row r="69" spans="2:30">
      <c r="B69" s="1725"/>
      <c r="D69" s="58"/>
      <c r="I69" s="982" t="s">
        <v>29</v>
      </c>
      <c r="J69" s="422"/>
      <c r="L69" s="990"/>
      <c r="N69" s="964" t="s">
        <v>44</v>
      </c>
      <c r="O69" s="990"/>
      <c r="Q69" s="858" t="s">
        <v>1638</v>
      </c>
      <c r="R69" s="560" t="str">
        <f t="shared" si="13"/>
        <v/>
      </c>
      <c r="S69" s="560" t="str">
        <f t="shared" si="14"/>
        <v/>
      </c>
      <c r="T69" s="560" t="str">
        <f t="shared" si="15"/>
        <v/>
      </c>
      <c r="U69" s="560" t="str">
        <f t="shared" si="16"/>
        <v/>
      </c>
      <c r="V69" s="560" t="str">
        <f t="shared" si="17"/>
        <v/>
      </c>
      <c r="W69" s="560" t="str">
        <f t="shared" si="18"/>
        <v/>
      </c>
      <c r="X69" s="560" t="str">
        <f t="shared" si="19"/>
        <v/>
      </c>
      <c r="Y69" s="560" t="str">
        <f t="shared" si="20"/>
        <v/>
      </c>
      <c r="Z69" s="560">
        <f t="shared" si="21"/>
        <v>3.0303030303030304E-2</v>
      </c>
      <c r="AA69" s="560" t="str">
        <f t="shared" si="22"/>
        <v/>
      </c>
      <c r="AB69" s="560" t="str">
        <f t="shared" si="23"/>
        <v/>
      </c>
      <c r="AC69" s="560" t="str">
        <f t="shared" si="24"/>
        <v/>
      </c>
      <c r="AD69" s="560" t="str">
        <f t="shared" si="25"/>
        <v/>
      </c>
    </row>
    <row r="70" spans="2:30" ht="16.5" thickBot="1">
      <c r="B70" s="1726"/>
      <c r="C70" s="1036" t="s">
        <v>189</v>
      </c>
      <c r="D70" s="1036" t="s">
        <v>188</v>
      </c>
      <c r="E70" s="1036" t="s">
        <v>188</v>
      </c>
      <c r="F70" s="1036" t="s">
        <v>190</v>
      </c>
      <c r="G70" s="1036" t="s">
        <v>186</v>
      </c>
      <c r="H70" s="1036" t="s">
        <v>188</v>
      </c>
      <c r="I70" s="1036" t="s">
        <v>189</v>
      </c>
      <c r="J70" s="1036" t="s">
        <v>188</v>
      </c>
      <c r="K70" s="1036" t="s">
        <v>188</v>
      </c>
      <c r="L70" s="1036" t="s">
        <v>188</v>
      </c>
      <c r="M70" s="1036" t="s">
        <v>188</v>
      </c>
      <c r="N70" s="1036" t="s">
        <v>188</v>
      </c>
      <c r="O70" s="1036"/>
      <c r="Q70" s="858" t="s">
        <v>1639</v>
      </c>
      <c r="R70" s="560" t="str">
        <f t="shared" si="13"/>
        <v/>
      </c>
      <c r="S70" s="560" t="str">
        <f t="shared" si="14"/>
        <v/>
      </c>
      <c r="T70" s="560" t="str">
        <f t="shared" si="15"/>
        <v/>
      </c>
      <c r="U70" s="560" t="str">
        <f t="shared" si="16"/>
        <v/>
      </c>
      <c r="V70" s="560" t="str">
        <f t="shared" si="17"/>
        <v/>
      </c>
      <c r="W70" s="560" t="str">
        <f t="shared" si="18"/>
        <v/>
      </c>
      <c r="X70" s="560" t="str">
        <f t="shared" si="19"/>
        <v/>
      </c>
      <c r="Y70" s="560" t="str">
        <f t="shared" si="20"/>
        <v/>
      </c>
      <c r="Z70" s="560" t="str">
        <f t="shared" si="21"/>
        <v/>
      </c>
      <c r="AA70" s="560" t="str">
        <f t="shared" si="22"/>
        <v/>
      </c>
      <c r="AB70" s="560" t="str">
        <f t="shared" si="23"/>
        <v/>
      </c>
      <c r="AC70" s="560" t="str">
        <f t="shared" si="24"/>
        <v/>
      </c>
      <c r="AD70" s="560" t="str">
        <f t="shared" si="25"/>
        <v/>
      </c>
    </row>
    <row r="71" spans="2:30" ht="16.5" thickTop="1">
      <c r="B71" s="1724" t="s">
        <v>128</v>
      </c>
      <c r="C71" s="968" t="s">
        <v>26</v>
      </c>
      <c r="D71" s="964" t="s">
        <v>44</v>
      </c>
      <c r="E71" s="981" t="s">
        <v>1271</v>
      </c>
      <c r="F71" s="981" t="s">
        <v>1271</v>
      </c>
      <c r="G71" s="968" t="s">
        <v>26</v>
      </c>
      <c r="H71" s="967" t="s">
        <v>27</v>
      </c>
      <c r="I71" s="960" t="s">
        <v>43</v>
      </c>
      <c r="J71" s="275" t="s">
        <v>397</v>
      </c>
      <c r="K71" s="968" t="s">
        <v>26</v>
      </c>
      <c r="L71" s="984" t="s">
        <v>24</v>
      </c>
      <c r="M71" s="981" t="s">
        <v>1271</v>
      </c>
      <c r="N71" s="981" t="s">
        <v>1271</v>
      </c>
      <c r="O71" s="968" t="s">
        <v>26</v>
      </c>
    </row>
    <row r="72" spans="2:30" ht="18.75">
      <c r="B72" s="1725"/>
      <c r="D72" s="58"/>
      <c r="E72" s="990"/>
      <c r="G72" s="1046"/>
      <c r="H72" s="964" t="s">
        <v>44</v>
      </c>
      <c r="L72" s="964" t="s">
        <v>44</v>
      </c>
      <c r="M72" s="964" t="s">
        <v>44</v>
      </c>
      <c r="N72" s="960" t="s">
        <v>43</v>
      </c>
      <c r="O72" s="962" t="s">
        <v>216</v>
      </c>
      <c r="Q72" s="69" t="s">
        <v>2762</v>
      </c>
    </row>
    <row r="73" spans="2:30">
      <c r="B73" s="1725"/>
      <c r="C73" t="s">
        <v>2612</v>
      </c>
      <c r="D73" t="s">
        <v>2612</v>
      </c>
      <c r="E73" t="s">
        <v>2612</v>
      </c>
      <c r="F73" t="s">
        <v>2612</v>
      </c>
      <c r="G73" t="s">
        <v>2612</v>
      </c>
      <c r="H73" t="s">
        <v>2612</v>
      </c>
      <c r="I73" t="s">
        <v>2612</v>
      </c>
      <c r="J73" t="s">
        <v>2612</v>
      </c>
      <c r="K73" t="s">
        <v>2612</v>
      </c>
      <c r="L73" t="s">
        <v>2612</v>
      </c>
      <c r="M73" t="s">
        <v>2612</v>
      </c>
      <c r="N73" t="s">
        <v>2612</v>
      </c>
      <c r="O73" t="s">
        <v>2612</v>
      </c>
      <c r="Q73" s="13" t="s">
        <v>183</v>
      </c>
      <c r="R73" s="13" t="s">
        <v>185</v>
      </c>
      <c r="S73" s="13" t="s">
        <v>186</v>
      </c>
      <c r="T73" s="13" t="s">
        <v>187</v>
      </c>
      <c r="U73" s="13" t="s">
        <v>188</v>
      </c>
      <c r="V73" s="13" t="s">
        <v>189</v>
      </c>
      <c r="W73" s="13" t="s">
        <v>190</v>
      </c>
      <c r="X73" s="13" t="s">
        <v>191</v>
      </c>
      <c r="Y73" s="13" t="s">
        <v>192</v>
      </c>
      <c r="Z73" s="13" t="s">
        <v>193</v>
      </c>
      <c r="AA73" s="13" t="s">
        <v>194</v>
      </c>
      <c r="AB73" s="13" t="s">
        <v>1637</v>
      </c>
      <c r="AC73" s="13" t="s">
        <v>1638</v>
      </c>
      <c r="AD73" s="13" t="s">
        <v>1639</v>
      </c>
    </row>
    <row r="74" spans="2:30" ht="15.95" customHeight="1">
      <c r="B74" s="1725"/>
      <c r="C74" s="967" t="s">
        <v>27</v>
      </c>
      <c r="D74" s="964" t="s">
        <v>44</v>
      </c>
      <c r="E74" s="979" t="s">
        <v>120</v>
      </c>
      <c r="F74" s="981" t="s">
        <v>1271</v>
      </c>
      <c r="G74" s="981" t="s">
        <v>1271</v>
      </c>
      <c r="H74" s="978" t="s">
        <v>1673</v>
      </c>
      <c r="I74" s="960" t="s">
        <v>43</v>
      </c>
      <c r="J74" s="964" t="s">
        <v>44</v>
      </c>
      <c r="K74" s="967" t="s">
        <v>27</v>
      </c>
      <c r="L74" s="984" t="s">
        <v>24</v>
      </c>
      <c r="M74" s="961" t="s">
        <v>339</v>
      </c>
      <c r="N74" s="979" t="s">
        <v>120</v>
      </c>
      <c r="O74" s="981" t="s">
        <v>1271</v>
      </c>
      <c r="Q74" t="s">
        <v>126</v>
      </c>
      <c r="R74">
        <f>COUNTIF($C64:$O64, R$73)</f>
        <v>0</v>
      </c>
      <c r="S74">
        <f t="shared" ref="S74:AD74" si="26">COUNTIF($C64:$O64, S$73)</f>
        <v>6</v>
      </c>
      <c r="T74">
        <f t="shared" si="26"/>
        <v>4</v>
      </c>
      <c r="U74">
        <f t="shared" si="26"/>
        <v>2</v>
      </c>
      <c r="V74">
        <f t="shared" si="26"/>
        <v>1</v>
      </c>
      <c r="W74">
        <f t="shared" si="26"/>
        <v>0</v>
      </c>
      <c r="X74">
        <f t="shared" si="26"/>
        <v>0</v>
      </c>
      <c r="Y74">
        <f t="shared" si="26"/>
        <v>0</v>
      </c>
      <c r="Z74">
        <f t="shared" si="26"/>
        <v>0</v>
      </c>
      <c r="AA74">
        <f t="shared" si="26"/>
        <v>0</v>
      </c>
      <c r="AB74">
        <f t="shared" si="26"/>
        <v>0</v>
      </c>
      <c r="AC74">
        <f t="shared" si="26"/>
        <v>0</v>
      </c>
      <c r="AD74">
        <f t="shared" si="26"/>
        <v>0</v>
      </c>
    </row>
    <row r="75" spans="2:30" ht="15.95" customHeight="1">
      <c r="B75" s="1725"/>
      <c r="D75" s="58"/>
      <c r="F75" s="984" t="s">
        <v>24</v>
      </c>
      <c r="H75" s="1046"/>
      <c r="I75" s="58"/>
      <c r="J75" s="422"/>
      <c r="K75" s="984" t="s">
        <v>24</v>
      </c>
      <c r="L75" s="964" t="s">
        <v>44</v>
      </c>
      <c r="N75" s="58"/>
      <c r="O75" s="990"/>
      <c r="Q75" t="s">
        <v>127</v>
      </c>
      <c r="R75">
        <f>COUNTIF($C70:$O70, R$73)</f>
        <v>0</v>
      </c>
      <c r="S75">
        <f t="shared" ref="S75:AD75" si="27">COUNTIF($C70:$O70, S$73)</f>
        <v>1</v>
      </c>
      <c r="T75">
        <f t="shared" si="27"/>
        <v>0</v>
      </c>
      <c r="U75">
        <f t="shared" si="27"/>
        <v>8</v>
      </c>
      <c r="V75">
        <f t="shared" si="27"/>
        <v>2</v>
      </c>
      <c r="W75">
        <f t="shared" si="27"/>
        <v>1</v>
      </c>
      <c r="X75">
        <f t="shared" si="27"/>
        <v>0</v>
      </c>
      <c r="Y75">
        <f t="shared" si="27"/>
        <v>0</v>
      </c>
      <c r="Z75">
        <f t="shared" si="27"/>
        <v>0</v>
      </c>
      <c r="AA75">
        <f t="shared" si="27"/>
        <v>0</v>
      </c>
      <c r="AB75">
        <f t="shared" si="27"/>
        <v>0</v>
      </c>
      <c r="AC75">
        <f t="shared" si="27"/>
        <v>0</v>
      </c>
      <c r="AD75">
        <f t="shared" si="27"/>
        <v>0</v>
      </c>
    </row>
    <row r="76" spans="2:30">
      <c r="B76" s="1725"/>
      <c r="H76" s="1046"/>
      <c r="L76" s="962" t="s">
        <v>216</v>
      </c>
      <c r="O76" s="990"/>
      <c r="Q76" t="s">
        <v>128</v>
      </c>
      <c r="R76">
        <f>COUNTIF($C77:$O77, R$73)</f>
        <v>0</v>
      </c>
      <c r="S76">
        <f t="shared" ref="S76:AD76" si="28">COUNTIF($C77:$O77, S$73)</f>
        <v>0</v>
      </c>
      <c r="T76">
        <f t="shared" si="28"/>
        <v>5</v>
      </c>
      <c r="U76">
        <f t="shared" si="28"/>
        <v>5</v>
      </c>
      <c r="V76">
        <f t="shared" si="28"/>
        <v>3</v>
      </c>
      <c r="W76">
        <f t="shared" si="28"/>
        <v>0</v>
      </c>
      <c r="X76">
        <f t="shared" si="28"/>
        <v>0</v>
      </c>
      <c r="Y76">
        <f t="shared" si="28"/>
        <v>0</v>
      </c>
      <c r="Z76">
        <f t="shared" si="28"/>
        <v>0</v>
      </c>
      <c r="AA76">
        <f t="shared" si="28"/>
        <v>0</v>
      </c>
      <c r="AB76">
        <f t="shared" si="28"/>
        <v>0</v>
      </c>
      <c r="AC76">
        <f t="shared" si="28"/>
        <v>0</v>
      </c>
      <c r="AD76">
        <f t="shared" si="28"/>
        <v>0</v>
      </c>
    </row>
    <row r="77" spans="2:30" ht="16.5" thickBot="1">
      <c r="B77" s="1726"/>
      <c r="C77" s="1036" t="s">
        <v>189</v>
      </c>
      <c r="D77" s="1036" t="s">
        <v>188</v>
      </c>
      <c r="E77" s="1036" t="s">
        <v>187</v>
      </c>
      <c r="F77" s="1036" t="s">
        <v>187</v>
      </c>
      <c r="G77" s="1036" t="s">
        <v>187</v>
      </c>
      <c r="H77" s="1036" t="s">
        <v>188</v>
      </c>
      <c r="I77" s="1036" t="s">
        <v>188</v>
      </c>
      <c r="J77" s="1036" t="s">
        <v>189</v>
      </c>
      <c r="K77" s="1036" t="s">
        <v>188</v>
      </c>
      <c r="L77" s="1036" t="s">
        <v>189</v>
      </c>
      <c r="M77" s="1036" t="s">
        <v>187</v>
      </c>
      <c r="N77" s="1036" t="s">
        <v>187</v>
      </c>
      <c r="O77" s="1036" t="s">
        <v>188</v>
      </c>
      <c r="Q77" t="s">
        <v>129</v>
      </c>
      <c r="R77">
        <f>COUNTIF($C84:$O84, R$73)</f>
        <v>0</v>
      </c>
      <c r="S77">
        <f t="shared" ref="S77:AD77" si="29">COUNTIF($C84:$O84, S$73)</f>
        <v>0</v>
      </c>
      <c r="T77">
        <f t="shared" si="29"/>
        <v>2</v>
      </c>
      <c r="U77">
        <f t="shared" si="29"/>
        <v>7</v>
      </c>
      <c r="V77">
        <f t="shared" si="29"/>
        <v>2</v>
      </c>
      <c r="W77">
        <f t="shared" si="29"/>
        <v>2</v>
      </c>
      <c r="X77">
        <f t="shared" si="29"/>
        <v>0</v>
      </c>
      <c r="Y77">
        <f t="shared" si="29"/>
        <v>0</v>
      </c>
      <c r="Z77">
        <f t="shared" si="29"/>
        <v>0</v>
      </c>
      <c r="AA77">
        <f t="shared" si="29"/>
        <v>0</v>
      </c>
      <c r="AB77">
        <f t="shared" si="29"/>
        <v>0</v>
      </c>
      <c r="AC77">
        <f t="shared" si="29"/>
        <v>0</v>
      </c>
      <c r="AD77">
        <f t="shared" si="29"/>
        <v>0</v>
      </c>
    </row>
    <row r="78" spans="2:30" ht="17.100000000000001" customHeight="1" thickTop="1">
      <c r="B78" s="1724" t="s">
        <v>129</v>
      </c>
      <c r="C78" s="964" t="s">
        <v>44</v>
      </c>
      <c r="D78" s="955" t="s">
        <v>234</v>
      </c>
      <c r="E78" s="981" t="s">
        <v>1271</v>
      </c>
      <c r="F78" s="968" t="s">
        <v>26</v>
      </c>
      <c r="G78" s="984" t="s">
        <v>24</v>
      </c>
      <c r="H78" s="977" t="s">
        <v>1270</v>
      </c>
      <c r="I78" s="967" t="s">
        <v>27</v>
      </c>
      <c r="J78" s="967" t="s">
        <v>27</v>
      </c>
      <c r="K78" s="981" t="s">
        <v>1271</v>
      </c>
      <c r="L78" s="981" t="s">
        <v>1271</v>
      </c>
      <c r="M78" s="968" t="s">
        <v>26</v>
      </c>
      <c r="N78" s="967" t="s">
        <v>27</v>
      </c>
      <c r="O78" s="984" t="s">
        <v>24</v>
      </c>
      <c r="Q78" t="s">
        <v>130</v>
      </c>
      <c r="R78">
        <f>COUNTIF($C90:$O90, R$73)</f>
        <v>0</v>
      </c>
      <c r="S78">
        <f t="shared" ref="S78:AD78" si="30">COUNTIF($C90:$O90, S$73)</f>
        <v>2</v>
      </c>
      <c r="T78">
        <f t="shared" si="30"/>
        <v>4</v>
      </c>
      <c r="U78">
        <f t="shared" si="30"/>
        <v>1</v>
      </c>
      <c r="V78">
        <f t="shared" si="30"/>
        <v>1</v>
      </c>
      <c r="W78">
        <f t="shared" si="30"/>
        <v>1</v>
      </c>
      <c r="X78">
        <f t="shared" si="30"/>
        <v>2</v>
      </c>
      <c r="Y78">
        <f t="shared" si="30"/>
        <v>1</v>
      </c>
      <c r="Z78">
        <f t="shared" si="30"/>
        <v>0</v>
      </c>
      <c r="AA78">
        <f t="shared" si="30"/>
        <v>0</v>
      </c>
      <c r="AB78">
        <f t="shared" si="30"/>
        <v>0</v>
      </c>
      <c r="AC78">
        <f t="shared" si="30"/>
        <v>0</v>
      </c>
      <c r="AD78">
        <f t="shared" si="30"/>
        <v>0</v>
      </c>
    </row>
    <row r="79" spans="2:30">
      <c r="B79" s="1725"/>
      <c r="C79" s="984" t="s">
        <v>24</v>
      </c>
      <c r="D79" s="58"/>
      <c r="E79" s="990"/>
      <c r="G79" s="981" t="s">
        <v>1271</v>
      </c>
      <c r="H79" s="422"/>
      <c r="I79" s="979" t="s">
        <v>120</v>
      </c>
      <c r="J79" s="58"/>
      <c r="K79" s="58"/>
      <c r="L79" s="983" t="s">
        <v>124</v>
      </c>
      <c r="M79" s="990"/>
      <c r="N79" s="964" t="s">
        <v>44</v>
      </c>
      <c r="O79" s="968" t="s">
        <v>26</v>
      </c>
      <c r="Q79" t="s">
        <v>131</v>
      </c>
      <c r="R79">
        <f>COUNTIF($C101:$O101, R$73)+ COUNTIF($C96:$O96, R$73)</f>
        <v>0</v>
      </c>
      <c r="S79">
        <f t="shared" ref="S79:AD79" si="31">COUNTIF($C101:$O101, S$73)+ COUNTIF($C96:$O96, S$73)</f>
        <v>2</v>
      </c>
      <c r="T79">
        <f t="shared" si="31"/>
        <v>0</v>
      </c>
      <c r="U79">
        <f t="shared" si="31"/>
        <v>4</v>
      </c>
      <c r="V79">
        <f t="shared" si="31"/>
        <v>3</v>
      </c>
      <c r="W79">
        <f t="shared" si="31"/>
        <v>3</v>
      </c>
      <c r="X79">
        <f t="shared" si="31"/>
        <v>0</v>
      </c>
      <c r="Y79">
        <f t="shared" si="31"/>
        <v>0</v>
      </c>
      <c r="Z79">
        <f t="shared" si="31"/>
        <v>0</v>
      </c>
      <c r="AA79">
        <f t="shared" si="31"/>
        <v>1</v>
      </c>
      <c r="AB79">
        <f t="shared" si="31"/>
        <v>0</v>
      </c>
      <c r="AC79">
        <f t="shared" si="31"/>
        <v>0</v>
      </c>
      <c r="AD79">
        <f t="shared" si="31"/>
        <v>0</v>
      </c>
    </row>
    <row r="80" spans="2:30">
      <c r="B80" s="1725"/>
      <c r="H80" s="422"/>
      <c r="I80" s="955" t="s">
        <v>234</v>
      </c>
      <c r="N80" s="58"/>
      <c r="Q80" t="s">
        <v>132</v>
      </c>
      <c r="R80">
        <f>COUNTIF($C107:$O107, R$73)</f>
        <v>0</v>
      </c>
      <c r="S80">
        <f t="shared" ref="S80:AD80" si="32">COUNTIF($C107:$O107, S$73)</f>
        <v>2</v>
      </c>
      <c r="T80">
        <f t="shared" si="32"/>
        <v>3</v>
      </c>
      <c r="U80">
        <f t="shared" si="32"/>
        <v>3</v>
      </c>
      <c r="V80">
        <f t="shared" si="32"/>
        <v>4</v>
      </c>
      <c r="W80">
        <f t="shared" si="32"/>
        <v>1</v>
      </c>
      <c r="X80">
        <f t="shared" si="32"/>
        <v>0</v>
      </c>
      <c r="Y80">
        <f t="shared" si="32"/>
        <v>0</v>
      </c>
      <c r="Z80">
        <f t="shared" si="32"/>
        <v>0</v>
      </c>
      <c r="AA80">
        <f t="shared" si="32"/>
        <v>0</v>
      </c>
      <c r="AB80">
        <f t="shared" si="32"/>
        <v>0</v>
      </c>
      <c r="AC80">
        <f t="shared" si="32"/>
        <v>0</v>
      </c>
      <c r="AD80">
        <f t="shared" si="32"/>
        <v>0</v>
      </c>
    </row>
    <row r="81" spans="2:30">
      <c r="B81" s="1725"/>
      <c r="C81" t="s">
        <v>2612</v>
      </c>
      <c r="D81" t="s">
        <v>2612</v>
      </c>
      <c r="E81" t="s">
        <v>2612</v>
      </c>
      <c r="F81" t="s">
        <v>2612</v>
      </c>
      <c r="G81" t="s">
        <v>2612</v>
      </c>
      <c r="H81" t="s">
        <v>2612</v>
      </c>
      <c r="I81" t="s">
        <v>2612</v>
      </c>
      <c r="J81" t="s">
        <v>2612</v>
      </c>
      <c r="K81" t="s">
        <v>2612</v>
      </c>
      <c r="L81" t="s">
        <v>2612</v>
      </c>
      <c r="M81" t="s">
        <v>2612</v>
      </c>
      <c r="N81" t="s">
        <v>2612</v>
      </c>
      <c r="Q81" t="s">
        <v>133</v>
      </c>
      <c r="R81">
        <f>COUNTIF($C113:$O113, R$73)</f>
        <v>0</v>
      </c>
      <c r="S81">
        <f t="shared" ref="S81:AD81" si="33">COUNTIF($C113:$O113, S$73)</f>
        <v>3</v>
      </c>
      <c r="T81">
        <f t="shared" si="33"/>
        <v>2</v>
      </c>
      <c r="U81">
        <f t="shared" si="33"/>
        <v>2</v>
      </c>
      <c r="V81">
        <f t="shared" si="33"/>
        <v>2</v>
      </c>
      <c r="W81">
        <f t="shared" si="33"/>
        <v>1</v>
      </c>
      <c r="X81">
        <f t="shared" si="33"/>
        <v>1</v>
      </c>
      <c r="Y81">
        <f t="shared" si="33"/>
        <v>1</v>
      </c>
      <c r="Z81">
        <f t="shared" si="33"/>
        <v>0</v>
      </c>
      <c r="AA81">
        <f t="shared" si="33"/>
        <v>0</v>
      </c>
      <c r="AB81">
        <f t="shared" si="33"/>
        <v>0</v>
      </c>
      <c r="AC81">
        <f t="shared" si="33"/>
        <v>0</v>
      </c>
      <c r="AD81">
        <f t="shared" si="33"/>
        <v>0</v>
      </c>
    </row>
    <row r="82" spans="2:30" ht="15.95" customHeight="1">
      <c r="B82" s="1725"/>
      <c r="C82" s="968" t="s">
        <v>26</v>
      </c>
      <c r="D82" s="955" t="s">
        <v>234</v>
      </c>
      <c r="E82" s="981" t="s">
        <v>1271</v>
      </c>
      <c r="F82" s="981" t="s">
        <v>1271</v>
      </c>
      <c r="G82" s="984" t="s">
        <v>24</v>
      </c>
      <c r="H82" s="964" t="s">
        <v>44</v>
      </c>
      <c r="I82" s="967" t="s">
        <v>27</v>
      </c>
      <c r="J82" s="981" t="s">
        <v>1271</v>
      </c>
      <c r="K82" s="981" t="s">
        <v>1271</v>
      </c>
      <c r="L82" s="982" t="s">
        <v>29</v>
      </c>
      <c r="M82" s="981" t="s">
        <v>1271</v>
      </c>
      <c r="N82" s="981" t="s">
        <v>1271</v>
      </c>
      <c r="O82" s="984" t="s">
        <v>24</v>
      </c>
      <c r="Q82" t="s">
        <v>134</v>
      </c>
      <c r="R82">
        <f>COUNTIF($C120:$O120, R$73)</f>
        <v>0</v>
      </c>
      <c r="S82">
        <f t="shared" ref="S82:AD82" si="34">COUNTIF($C120:$O120, S$73)</f>
        <v>0</v>
      </c>
      <c r="T82">
        <f t="shared" si="34"/>
        <v>5</v>
      </c>
      <c r="U82">
        <f t="shared" si="34"/>
        <v>2</v>
      </c>
      <c r="V82">
        <f t="shared" si="34"/>
        <v>2</v>
      </c>
      <c r="W82">
        <f t="shared" si="34"/>
        <v>2</v>
      </c>
      <c r="X82">
        <f t="shared" si="34"/>
        <v>1</v>
      </c>
      <c r="Y82">
        <f t="shared" si="34"/>
        <v>0</v>
      </c>
      <c r="Z82">
        <f t="shared" si="34"/>
        <v>0</v>
      </c>
      <c r="AA82">
        <f t="shared" si="34"/>
        <v>0</v>
      </c>
      <c r="AB82">
        <f t="shared" si="34"/>
        <v>0</v>
      </c>
      <c r="AC82">
        <f t="shared" si="34"/>
        <v>0</v>
      </c>
      <c r="AD82">
        <f t="shared" si="34"/>
        <v>0</v>
      </c>
    </row>
    <row r="83" spans="2:30">
      <c r="B83" s="1725"/>
      <c r="D83" s="58"/>
      <c r="E83" s="993" t="s">
        <v>20</v>
      </c>
      <c r="G83" s="964" t="s">
        <v>44</v>
      </c>
      <c r="I83" s="955" t="s">
        <v>234</v>
      </c>
      <c r="J83" s="422"/>
      <c r="L83" s="990"/>
      <c r="N83" s="58"/>
      <c r="O83" s="955" t="s">
        <v>234</v>
      </c>
      <c r="Q83" t="s">
        <v>135</v>
      </c>
      <c r="R83">
        <f>COUNTIF($C130:$O130, R$73)+COUNTIF($C126:$O126, R$73)</f>
        <v>0</v>
      </c>
      <c r="S83">
        <f t="shared" ref="S83:AD83" si="35">COUNTIF($C130:$O130, S$73)+COUNTIF($C126:$O126, S$73)</f>
        <v>0</v>
      </c>
      <c r="T83">
        <f t="shared" si="35"/>
        <v>4</v>
      </c>
      <c r="U83">
        <f t="shared" si="35"/>
        <v>2</v>
      </c>
      <c r="V83">
        <f t="shared" si="35"/>
        <v>4</v>
      </c>
      <c r="W83">
        <f t="shared" si="35"/>
        <v>2</v>
      </c>
      <c r="X83">
        <f t="shared" si="35"/>
        <v>0</v>
      </c>
      <c r="Y83">
        <f t="shared" si="35"/>
        <v>0</v>
      </c>
      <c r="Z83">
        <f t="shared" si="35"/>
        <v>0</v>
      </c>
      <c r="AA83">
        <f t="shared" si="35"/>
        <v>0</v>
      </c>
      <c r="AB83">
        <f t="shared" si="35"/>
        <v>0</v>
      </c>
      <c r="AC83">
        <f t="shared" si="35"/>
        <v>1</v>
      </c>
      <c r="AD83">
        <f t="shared" si="35"/>
        <v>0</v>
      </c>
    </row>
    <row r="84" spans="2:30" ht="16.5" thickBot="1">
      <c r="B84" s="1726"/>
      <c r="C84" s="1036" t="s">
        <v>189</v>
      </c>
      <c r="D84" s="1036" t="s">
        <v>188</v>
      </c>
      <c r="E84" s="1036" t="s">
        <v>188</v>
      </c>
      <c r="F84" s="1036" t="s">
        <v>190</v>
      </c>
      <c r="G84" s="1036" t="s">
        <v>188</v>
      </c>
      <c r="H84" s="1036" t="s">
        <v>187</v>
      </c>
      <c r="I84" s="1036" t="s">
        <v>190</v>
      </c>
      <c r="J84" s="1036" t="s">
        <v>188</v>
      </c>
      <c r="K84" s="1036" t="s">
        <v>188</v>
      </c>
      <c r="L84" s="1036" t="s">
        <v>188</v>
      </c>
      <c r="M84" s="1036" t="s">
        <v>188</v>
      </c>
      <c r="N84" s="1036" t="s">
        <v>189</v>
      </c>
      <c r="O84" s="1036" t="s">
        <v>187</v>
      </c>
      <c r="Q84" t="s">
        <v>136</v>
      </c>
      <c r="R84">
        <f>COUNTIF($C136:$O136, R$73)</f>
        <v>0</v>
      </c>
      <c r="S84">
        <f t="shared" ref="S84:AD84" si="36">COUNTIF($C136:$O136, S$73)</f>
        <v>5</v>
      </c>
      <c r="T84">
        <f t="shared" si="36"/>
        <v>2</v>
      </c>
      <c r="U84">
        <f t="shared" si="36"/>
        <v>3</v>
      </c>
      <c r="V84">
        <f t="shared" si="36"/>
        <v>3</v>
      </c>
      <c r="W84">
        <f t="shared" si="36"/>
        <v>0</v>
      </c>
      <c r="X84">
        <f t="shared" si="36"/>
        <v>0</v>
      </c>
      <c r="Y84">
        <f t="shared" si="36"/>
        <v>0</v>
      </c>
      <c r="Z84">
        <f t="shared" si="36"/>
        <v>0</v>
      </c>
      <c r="AA84">
        <f t="shared" si="36"/>
        <v>0</v>
      </c>
      <c r="AB84">
        <f t="shared" si="36"/>
        <v>0</v>
      </c>
      <c r="AC84">
        <f t="shared" si="36"/>
        <v>0</v>
      </c>
      <c r="AD84">
        <f t="shared" si="36"/>
        <v>0</v>
      </c>
    </row>
    <row r="85" spans="2:30" ht="17.100000000000001" customHeight="1" thickTop="1">
      <c r="B85" s="1724" t="s">
        <v>130</v>
      </c>
      <c r="C85" s="968" t="s">
        <v>26</v>
      </c>
      <c r="D85" s="967" t="s">
        <v>27</v>
      </c>
      <c r="E85" s="968" t="s">
        <v>26</v>
      </c>
      <c r="F85" s="974" t="s">
        <v>1269</v>
      </c>
      <c r="G85" s="981" t="s">
        <v>1271</v>
      </c>
      <c r="H85" s="967" t="s">
        <v>27</v>
      </c>
      <c r="I85" s="979" t="s">
        <v>120</v>
      </c>
      <c r="J85" s="968" t="s">
        <v>26</v>
      </c>
      <c r="K85" s="981" t="s">
        <v>1271</v>
      </c>
      <c r="L85" s="984" t="s">
        <v>24</v>
      </c>
      <c r="M85" s="967" t="s">
        <v>27</v>
      </c>
      <c r="O85" s="52" t="s">
        <v>1673</v>
      </c>
      <c r="Q85" t="s">
        <v>137</v>
      </c>
      <c r="R85">
        <f>COUNTIF($C142:$O142, R$73)</f>
        <v>0</v>
      </c>
      <c r="S85">
        <f t="shared" ref="S85:AD85" si="37">COUNTIF($C142:$O142, S$73)</f>
        <v>1</v>
      </c>
      <c r="T85">
        <f t="shared" si="37"/>
        <v>2</v>
      </c>
      <c r="U85">
        <f t="shared" si="37"/>
        <v>2</v>
      </c>
      <c r="V85">
        <f t="shared" si="37"/>
        <v>3</v>
      </c>
      <c r="W85">
        <f t="shared" si="37"/>
        <v>1</v>
      </c>
      <c r="X85">
        <f t="shared" si="37"/>
        <v>0</v>
      </c>
      <c r="Y85">
        <f t="shared" si="37"/>
        <v>1</v>
      </c>
      <c r="Z85">
        <f t="shared" si="37"/>
        <v>0</v>
      </c>
      <c r="AA85">
        <f t="shared" si="37"/>
        <v>0</v>
      </c>
      <c r="AB85">
        <f t="shared" si="37"/>
        <v>0</v>
      </c>
      <c r="AC85">
        <f t="shared" si="37"/>
        <v>0</v>
      </c>
      <c r="AD85">
        <f t="shared" si="37"/>
        <v>0</v>
      </c>
    </row>
    <row r="86" spans="2:30">
      <c r="B86" s="1725"/>
      <c r="D86" s="955" t="s">
        <v>234</v>
      </c>
      <c r="E86" s="990"/>
      <c r="G86" s="1046"/>
      <c r="I86" s="967" t="s">
        <v>27</v>
      </c>
      <c r="L86" s="981" t="s">
        <v>1271</v>
      </c>
      <c r="Q86" t="s">
        <v>138</v>
      </c>
      <c r="R86">
        <f>COUNTIF($C148:$O148, R$73)</f>
        <v>0</v>
      </c>
      <c r="S86">
        <f t="shared" ref="S86:AD86" si="38">COUNTIF($C148:$O148, S$73)</f>
        <v>1</v>
      </c>
      <c r="T86">
        <f t="shared" si="38"/>
        <v>3</v>
      </c>
      <c r="U86">
        <f t="shared" si="38"/>
        <v>2</v>
      </c>
      <c r="V86">
        <f t="shared" si="38"/>
        <v>3</v>
      </c>
      <c r="W86">
        <f t="shared" si="38"/>
        <v>1</v>
      </c>
      <c r="X86">
        <f t="shared" si="38"/>
        <v>0</v>
      </c>
      <c r="Y86">
        <f t="shared" si="38"/>
        <v>1</v>
      </c>
      <c r="Z86">
        <f t="shared" si="38"/>
        <v>0</v>
      </c>
      <c r="AA86">
        <f t="shared" si="38"/>
        <v>0</v>
      </c>
      <c r="AB86">
        <f t="shared" si="38"/>
        <v>0</v>
      </c>
      <c r="AC86">
        <f t="shared" si="38"/>
        <v>0</v>
      </c>
      <c r="AD86">
        <f t="shared" si="38"/>
        <v>0</v>
      </c>
    </row>
    <row r="87" spans="2:30">
      <c r="B87" s="1725"/>
      <c r="C87" t="s">
        <v>2612</v>
      </c>
      <c r="D87" t="s">
        <v>2612</v>
      </c>
      <c r="E87" t="s">
        <v>2612</v>
      </c>
      <c r="F87" t="s">
        <v>2612</v>
      </c>
      <c r="G87" t="s">
        <v>2612</v>
      </c>
      <c r="H87" t="s">
        <v>2612</v>
      </c>
      <c r="I87" t="s">
        <v>2612</v>
      </c>
      <c r="J87" t="s">
        <v>2612</v>
      </c>
      <c r="K87" t="s">
        <v>2612</v>
      </c>
      <c r="L87" t="s">
        <v>2612</v>
      </c>
      <c r="M87" t="s">
        <v>2612</v>
      </c>
      <c r="O87" t="s">
        <v>2612</v>
      </c>
      <c r="Q87" t="s">
        <v>139</v>
      </c>
      <c r="R87">
        <f>COUNTIF($C154:$O154, R$73)</f>
        <v>0</v>
      </c>
      <c r="S87">
        <f t="shared" ref="S87:AD87" si="39">COUNTIF($C154:$O154, S$73)</f>
        <v>1</v>
      </c>
      <c r="T87">
        <f t="shared" si="39"/>
        <v>1</v>
      </c>
      <c r="U87">
        <f t="shared" si="39"/>
        <v>6</v>
      </c>
      <c r="V87">
        <f t="shared" si="39"/>
        <v>1</v>
      </c>
      <c r="W87">
        <f t="shared" si="39"/>
        <v>1</v>
      </c>
      <c r="X87">
        <f t="shared" si="39"/>
        <v>0</v>
      </c>
      <c r="Y87">
        <f t="shared" si="39"/>
        <v>0</v>
      </c>
      <c r="Z87">
        <f t="shared" si="39"/>
        <v>0</v>
      </c>
      <c r="AA87">
        <f t="shared" si="39"/>
        <v>0</v>
      </c>
      <c r="AB87">
        <f t="shared" si="39"/>
        <v>0</v>
      </c>
      <c r="AC87">
        <f t="shared" si="39"/>
        <v>0</v>
      </c>
      <c r="AD87">
        <f t="shared" si="39"/>
        <v>0</v>
      </c>
    </row>
    <row r="88" spans="2:30" ht="15.95" customHeight="1">
      <c r="B88" s="1725"/>
      <c r="C88" s="58" t="s">
        <v>2614</v>
      </c>
      <c r="D88" s="964" t="s">
        <v>44</v>
      </c>
      <c r="E88" s="979" t="s">
        <v>120</v>
      </c>
      <c r="F88" s="982" t="s">
        <v>29</v>
      </c>
      <c r="G88" s="967" t="s">
        <v>27</v>
      </c>
      <c r="H88" s="967" t="s">
        <v>27</v>
      </c>
      <c r="I88" s="981" t="s">
        <v>1271</v>
      </c>
      <c r="J88" s="984" t="s">
        <v>24</v>
      </c>
      <c r="K88" s="981" t="s">
        <v>1271</v>
      </c>
      <c r="L88" s="984" t="s">
        <v>24</v>
      </c>
      <c r="M88" s="967" t="s">
        <v>27</v>
      </c>
      <c r="O88" s="979" t="s">
        <v>120</v>
      </c>
      <c r="Q88" t="s">
        <v>140</v>
      </c>
      <c r="R88">
        <f>COUNTIF($C161:$O161, R$73)</f>
        <v>0</v>
      </c>
      <c r="S88">
        <f t="shared" ref="S88:AD88" si="40">COUNTIF($C161:$O161, S$73)</f>
        <v>0</v>
      </c>
      <c r="T88">
        <f t="shared" si="40"/>
        <v>3</v>
      </c>
      <c r="U88">
        <f t="shared" si="40"/>
        <v>2</v>
      </c>
      <c r="V88">
        <f t="shared" si="40"/>
        <v>2</v>
      </c>
      <c r="W88">
        <f t="shared" si="40"/>
        <v>1</v>
      </c>
      <c r="X88">
        <f t="shared" si="40"/>
        <v>0</v>
      </c>
      <c r="Y88">
        <f t="shared" si="40"/>
        <v>1</v>
      </c>
      <c r="Z88">
        <f t="shared" si="40"/>
        <v>0</v>
      </c>
      <c r="AA88">
        <f t="shared" si="40"/>
        <v>0</v>
      </c>
      <c r="AB88">
        <f t="shared" si="40"/>
        <v>0</v>
      </c>
      <c r="AC88">
        <f t="shared" si="40"/>
        <v>0</v>
      </c>
      <c r="AD88">
        <f t="shared" si="40"/>
        <v>0</v>
      </c>
    </row>
    <row r="89" spans="2:30">
      <c r="B89" s="1725"/>
      <c r="C89" s="861"/>
      <c r="D89" s="1047"/>
      <c r="E89" s="861"/>
      <c r="F89" s="861"/>
      <c r="G89" s="861"/>
      <c r="H89" s="1048" t="s">
        <v>1271</v>
      </c>
      <c r="I89" s="861"/>
      <c r="J89" s="1049"/>
      <c r="K89" s="861"/>
      <c r="L89" s="1050" t="s">
        <v>44</v>
      </c>
      <c r="M89" s="861"/>
      <c r="O89" s="1051"/>
      <c r="Q89" t="s">
        <v>141</v>
      </c>
      <c r="R89">
        <f>COUNTIF($C167:$O167, R$73)</f>
        <v>0</v>
      </c>
      <c r="S89">
        <f t="shared" ref="S89:AD89" si="41">COUNTIF($C167:$O167, S$73)</f>
        <v>2</v>
      </c>
      <c r="T89">
        <f t="shared" si="41"/>
        <v>2</v>
      </c>
      <c r="U89">
        <f t="shared" si="41"/>
        <v>3</v>
      </c>
      <c r="V89">
        <f t="shared" si="41"/>
        <v>2</v>
      </c>
      <c r="W89">
        <f t="shared" si="41"/>
        <v>1</v>
      </c>
      <c r="X89">
        <f t="shared" si="41"/>
        <v>0</v>
      </c>
      <c r="Y89">
        <f t="shared" si="41"/>
        <v>0</v>
      </c>
      <c r="Z89">
        <f t="shared" si="41"/>
        <v>0</v>
      </c>
      <c r="AA89">
        <f t="shared" si="41"/>
        <v>0</v>
      </c>
      <c r="AB89">
        <f t="shared" si="41"/>
        <v>0</v>
      </c>
      <c r="AC89">
        <f t="shared" si="41"/>
        <v>0</v>
      </c>
      <c r="AD89">
        <f t="shared" si="41"/>
        <v>0</v>
      </c>
    </row>
    <row r="90" spans="2:30" ht="16.5" thickBot="1">
      <c r="B90" s="1726"/>
      <c r="C90" s="1052" t="s">
        <v>191</v>
      </c>
      <c r="D90" s="1052" t="s">
        <v>187</v>
      </c>
      <c r="E90" s="1052" t="s">
        <v>189</v>
      </c>
      <c r="F90" s="1052" t="s">
        <v>186</v>
      </c>
      <c r="G90" s="1052" t="s">
        <v>191</v>
      </c>
      <c r="H90" s="1052" t="s">
        <v>187</v>
      </c>
      <c r="I90" s="1052" t="s">
        <v>187</v>
      </c>
      <c r="J90" s="1052" t="s">
        <v>188</v>
      </c>
      <c r="K90" s="1052" t="s">
        <v>192</v>
      </c>
      <c r="L90" s="1052" t="s">
        <v>186</v>
      </c>
      <c r="M90" s="1052" t="s">
        <v>190</v>
      </c>
      <c r="N90" s="1036"/>
      <c r="O90" s="1052" t="s">
        <v>187</v>
      </c>
      <c r="Q90" t="s">
        <v>142</v>
      </c>
      <c r="R90">
        <f>COUNTIF($C173:$O173, R$73)</f>
        <v>0</v>
      </c>
      <c r="S90">
        <f t="shared" ref="S90:AD90" si="42">COUNTIF($C173:$O173, S$73)</f>
        <v>3</v>
      </c>
      <c r="T90">
        <f t="shared" si="42"/>
        <v>0</v>
      </c>
      <c r="U90">
        <f t="shared" si="42"/>
        <v>0</v>
      </c>
      <c r="V90">
        <f t="shared" si="42"/>
        <v>3</v>
      </c>
      <c r="W90">
        <f t="shared" si="42"/>
        <v>4</v>
      </c>
      <c r="X90">
        <f t="shared" si="42"/>
        <v>0</v>
      </c>
      <c r="Y90">
        <f t="shared" si="42"/>
        <v>0</v>
      </c>
      <c r="Z90">
        <f t="shared" si="42"/>
        <v>0</v>
      </c>
      <c r="AA90">
        <f t="shared" si="42"/>
        <v>0</v>
      </c>
      <c r="AB90">
        <f t="shared" si="42"/>
        <v>0</v>
      </c>
      <c r="AC90">
        <f t="shared" si="42"/>
        <v>0</v>
      </c>
      <c r="AD90">
        <f t="shared" si="42"/>
        <v>0</v>
      </c>
    </row>
    <row r="91" spans="2:30" ht="16.5" thickTop="1">
      <c r="B91" s="1728" t="s">
        <v>131</v>
      </c>
      <c r="C91" s="981" t="s">
        <v>1271</v>
      </c>
      <c r="D91" s="960" t="s">
        <v>43</v>
      </c>
      <c r="E91" s="275" t="s">
        <v>397</v>
      </c>
      <c r="F91" s="967" t="s">
        <v>27</v>
      </c>
      <c r="G91" s="964" t="s">
        <v>44</v>
      </c>
      <c r="H91" s="981" t="s">
        <v>1271</v>
      </c>
      <c r="I91" s="981" t="s">
        <v>1271</v>
      </c>
      <c r="J91" s="981" t="s">
        <v>1271</v>
      </c>
      <c r="K91" s="981" t="s">
        <v>1271</v>
      </c>
      <c r="L91" s="981" t="s">
        <v>1271</v>
      </c>
      <c r="M91" s="958" t="s">
        <v>74</v>
      </c>
      <c r="N91" s="984" t="s">
        <v>24</v>
      </c>
      <c r="O91" s="52"/>
      <c r="Q91" t="s">
        <v>143</v>
      </c>
      <c r="R91">
        <f>COUNTIF($C179:$O179, R$73)</f>
        <v>0</v>
      </c>
      <c r="S91">
        <f t="shared" ref="S91:AD91" si="43">COUNTIF($C179:$O179, S$73)</f>
        <v>1</v>
      </c>
      <c r="T91">
        <f t="shared" si="43"/>
        <v>1</v>
      </c>
      <c r="U91">
        <f t="shared" si="43"/>
        <v>3</v>
      </c>
      <c r="V91">
        <f t="shared" si="43"/>
        <v>3</v>
      </c>
      <c r="W91">
        <f t="shared" si="43"/>
        <v>1</v>
      </c>
      <c r="X91">
        <f t="shared" si="43"/>
        <v>1</v>
      </c>
      <c r="Y91">
        <f t="shared" si="43"/>
        <v>0</v>
      </c>
      <c r="Z91">
        <f t="shared" si="43"/>
        <v>0</v>
      </c>
      <c r="AA91">
        <f t="shared" si="43"/>
        <v>0</v>
      </c>
      <c r="AB91">
        <f t="shared" si="43"/>
        <v>0</v>
      </c>
      <c r="AC91">
        <f t="shared" si="43"/>
        <v>0</v>
      </c>
      <c r="AD91">
        <f t="shared" si="43"/>
        <v>0</v>
      </c>
    </row>
    <row r="92" spans="2:30">
      <c r="B92" s="1725"/>
      <c r="E92" s="977" t="s">
        <v>1270</v>
      </c>
      <c r="G92" s="960" t="s">
        <v>43</v>
      </c>
      <c r="K92" s="968" t="s">
        <v>26</v>
      </c>
      <c r="N92" s="964" t="s">
        <v>44</v>
      </c>
      <c r="Q92" t="s">
        <v>144</v>
      </c>
      <c r="R92">
        <f>COUNTIF($C186:$O186, R$73)</f>
        <v>0</v>
      </c>
      <c r="S92">
        <f t="shared" ref="S92:AD92" si="44">COUNTIF($C186:$O186, S$73)</f>
        <v>1</v>
      </c>
      <c r="T92">
        <f t="shared" si="44"/>
        <v>1</v>
      </c>
      <c r="U92">
        <f t="shared" si="44"/>
        <v>3</v>
      </c>
      <c r="V92">
        <f t="shared" si="44"/>
        <v>2</v>
      </c>
      <c r="W92">
        <f t="shared" si="44"/>
        <v>1</v>
      </c>
      <c r="X92">
        <f t="shared" si="44"/>
        <v>0</v>
      </c>
      <c r="Y92">
        <f t="shared" si="44"/>
        <v>0</v>
      </c>
      <c r="Z92">
        <f t="shared" si="44"/>
        <v>0</v>
      </c>
      <c r="AA92">
        <f t="shared" si="44"/>
        <v>0</v>
      </c>
      <c r="AB92">
        <f t="shared" si="44"/>
        <v>0</v>
      </c>
      <c r="AC92">
        <f t="shared" si="44"/>
        <v>0</v>
      </c>
      <c r="AD92">
        <f t="shared" si="44"/>
        <v>0</v>
      </c>
    </row>
    <row r="93" spans="2:30">
      <c r="B93" s="1725"/>
      <c r="C93" t="s">
        <v>2612</v>
      </c>
      <c r="D93" t="s">
        <v>2612</v>
      </c>
      <c r="E93" t="s">
        <v>2612</v>
      </c>
      <c r="F93" t="s">
        <v>2612</v>
      </c>
      <c r="G93" t="s">
        <v>2612</v>
      </c>
      <c r="H93" t="s">
        <v>2612</v>
      </c>
      <c r="I93" t="s">
        <v>2612</v>
      </c>
      <c r="J93" t="s">
        <v>2612</v>
      </c>
      <c r="K93" t="s">
        <v>2612</v>
      </c>
      <c r="L93" t="s">
        <v>2612</v>
      </c>
      <c r="M93" t="s">
        <v>2612</v>
      </c>
      <c r="N93" t="s">
        <v>2612</v>
      </c>
      <c r="Q93" t="s">
        <v>145</v>
      </c>
      <c r="R93">
        <f>COUNTIF($C192:$O192, R$73)</f>
        <v>0</v>
      </c>
      <c r="S93">
        <f t="shared" ref="S93:AD93" si="45">COUNTIF($C192:$O192, S$73)</f>
        <v>3</v>
      </c>
      <c r="T93">
        <f t="shared" si="45"/>
        <v>2</v>
      </c>
      <c r="U93">
        <f t="shared" si="45"/>
        <v>1</v>
      </c>
      <c r="V93">
        <f t="shared" si="45"/>
        <v>1</v>
      </c>
      <c r="W93">
        <f t="shared" si="45"/>
        <v>2</v>
      </c>
      <c r="X93">
        <f t="shared" si="45"/>
        <v>1</v>
      </c>
      <c r="Y93">
        <f t="shared" si="45"/>
        <v>0</v>
      </c>
      <c r="Z93">
        <f t="shared" si="45"/>
        <v>0</v>
      </c>
      <c r="AA93">
        <f t="shared" si="45"/>
        <v>0</v>
      </c>
      <c r="AB93">
        <f t="shared" si="45"/>
        <v>0</v>
      </c>
      <c r="AC93">
        <f t="shared" si="45"/>
        <v>0</v>
      </c>
      <c r="AD93">
        <f t="shared" si="45"/>
        <v>0</v>
      </c>
    </row>
    <row r="94" spans="2:30">
      <c r="B94" s="1725"/>
      <c r="C94" s="964" t="s">
        <v>44</v>
      </c>
      <c r="D94" s="974" t="s">
        <v>1269</v>
      </c>
      <c r="E94" s="189" t="s">
        <v>47</v>
      </c>
      <c r="F94" s="967" t="s">
        <v>27</v>
      </c>
      <c r="G94" s="963" t="s">
        <v>46</v>
      </c>
      <c r="H94" s="981" t="s">
        <v>1271</v>
      </c>
      <c r="I94" s="964" t="s">
        <v>44</v>
      </c>
      <c r="J94" s="189" t="s">
        <v>47</v>
      </c>
      <c r="K94" s="967" t="s">
        <v>27</v>
      </c>
      <c r="L94" s="979" t="s">
        <v>120</v>
      </c>
      <c r="M94" s="964" t="s">
        <v>44</v>
      </c>
      <c r="N94" s="984" t="s">
        <v>24</v>
      </c>
      <c r="Q94" t="s">
        <v>146</v>
      </c>
      <c r="R94">
        <f>COUNTIF($C199:$O199, R$73)</f>
        <v>0</v>
      </c>
      <c r="S94">
        <f t="shared" ref="S94:AD94" si="46">COUNTIF($C199:$O199, S$73)</f>
        <v>0</v>
      </c>
      <c r="T94">
        <f t="shared" si="46"/>
        <v>1</v>
      </c>
      <c r="U94">
        <f t="shared" si="46"/>
        <v>4</v>
      </c>
      <c r="V94">
        <f t="shared" si="46"/>
        <v>4</v>
      </c>
      <c r="W94">
        <f t="shared" si="46"/>
        <v>1</v>
      </c>
      <c r="X94">
        <f t="shared" si="46"/>
        <v>0</v>
      </c>
      <c r="Y94">
        <f t="shared" si="46"/>
        <v>0</v>
      </c>
      <c r="Z94">
        <f t="shared" si="46"/>
        <v>0</v>
      </c>
      <c r="AA94">
        <f t="shared" si="46"/>
        <v>0</v>
      </c>
      <c r="AB94">
        <f t="shared" si="46"/>
        <v>0</v>
      </c>
      <c r="AC94">
        <f t="shared" si="46"/>
        <v>0</v>
      </c>
      <c r="AD94">
        <f t="shared" si="46"/>
        <v>0</v>
      </c>
    </row>
    <row r="95" spans="2:30">
      <c r="B95" s="1725"/>
      <c r="D95" s="58"/>
      <c r="F95" s="981" t="s">
        <v>1271</v>
      </c>
      <c r="K95" s="974" t="s">
        <v>1269</v>
      </c>
      <c r="L95" s="981" t="s">
        <v>1271</v>
      </c>
      <c r="N95" s="981" t="s">
        <v>1271</v>
      </c>
      <c r="O95" s="990"/>
      <c r="Q95" t="s">
        <v>147</v>
      </c>
      <c r="R95">
        <f>COUNTIF($C205:$O205, R$73)</f>
        <v>0</v>
      </c>
      <c r="S95">
        <f t="shared" ref="S95:AD95" si="47">COUNTIF($C205:$O205, S$73)</f>
        <v>2</v>
      </c>
      <c r="T95">
        <f t="shared" si="47"/>
        <v>1</v>
      </c>
      <c r="U95">
        <f t="shared" si="47"/>
        <v>3</v>
      </c>
      <c r="V95">
        <f t="shared" si="47"/>
        <v>2</v>
      </c>
      <c r="W95">
        <f t="shared" si="47"/>
        <v>1</v>
      </c>
      <c r="X95">
        <f t="shared" si="47"/>
        <v>0</v>
      </c>
      <c r="Y95">
        <f t="shared" si="47"/>
        <v>0</v>
      </c>
      <c r="Z95">
        <f t="shared" si="47"/>
        <v>0</v>
      </c>
      <c r="AA95">
        <f t="shared" si="47"/>
        <v>0</v>
      </c>
      <c r="AB95">
        <f t="shared" si="47"/>
        <v>0</v>
      </c>
      <c r="AC95">
        <f t="shared" si="47"/>
        <v>0</v>
      </c>
      <c r="AD95">
        <f t="shared" si="47"/>
        <v>0</v>
      </c>
    </row>
    <row r="96" spans="2:30">
      <c r="B96" s="1725"/>
      <c r="C96" s="1004" t="s">
        <v>190</v>
      </c>
      <c r="D96" s="1004" t="s">
        <v>190</v>
      </c>
      <c r="E96" s="1004" t="s">
        <v>188</v>
      </c>
      <c r="F96" s="1004" t="s">
        <v>189</v>
      </c>
      <c r="G96" s="1004" t="s">
        <v>188</v>
      </c>
      <c r="H96" s="1004" t="s">
        <v>189</v>
      </c>
      <c r="I96" s="1004" t="s">
        <v>189</v>
      </c>
      <c r="J96" s="1004" t="s">
        <v>188</v>
      </c>
      <c r="K96" s="1004" t="s">
        <v>188</v>
      </c>
      <c r="L96" s="1004" t="s">
        <v>190</v>
      </c>
      <c r="M96" s="1004" t="s">
        <v>186</v>
      </c>
      <c r="N96" s="1004" t="s">
        <v>186</v>
      </c>
      <c r="O96" s="1004"/>
      <c r="Q96" t="s">
        <v>148</v>
      </c>
      <c r="R96">
        <f>COUNTIF($C211:$O211, R$73)</f>
        <v>0</v>
      </c>
      <c r="S96">
        <f t="shared" ref="S96:AD96" si="48">COUNTIF($C211:$O211, S$73)</f>
        <v>2</v>
      </c>
      <c r="T96">
        <f t="shared" si="48"/>
        <v>5</v>
      </c>
      <c r="U96">
        <f t="shared" si="48"/>
        <v>3</v>
      </c>
      <c r="V96">
        <f t="shared" si="48"/>
        <v>0</v>
      </c>
      <c r="W96">
        <f t="shared" si="48"/>
        <v>0</v>
      </c>
      <c r="X96">
        <f t="shared" si="48"/>
        <v>0</v>
      </c>
      <c r="Y96">
        <f t="shared" si="48"/>
        <v>0</v>
      </c>
      <c r="Z96">
        <f t="shared" si="48"/>
        <v>0</v>
      </c>
      <c r="AA96">
        <f t="shared" si="48"/>
        <v>0</v>
      </c>
      <c r="AB96">
        <f t="shared" si="48"/>
        <v>0</v>
      </c>
      <c r="AC96">
        <f t="shared" si="48"/>
        <v>0</v>
      </c>
      <c r="AD96">
        <f t="shared" si="48"/>
        <v>0</v>
      </c>
    </row>
    <row r="97" spans="2:30">
      <c r="B97" s="1725"/>
      <c r="H97" s="1033" t="s">
        <v>1269</v>
      </c>
      <c r="Q97" t="s">
        <v>125</v>
      </c>
      <c r="R97">
        <f>COUNTIF($C217:$O217, R$73)</f>
        <v>0</v>
      </c>
      <c r="S97">
        <f t="shared" ref="S97:AD97" si="49">COUNTIF($C217:$O217, S$73)</f>
        <v>1</v>
      </c>
      <c r="T97">
        <f t="shared" si="49"/>
        <v>2</v>
      </c>
      <c r="U97">
        <f t="shared" si="49"/>
        <v>2</v>
      </c>
      <c r="V97">
        <f t="shared" si="49"/>
        <v>3</v>
      </c>
      <c r="W97">
        <f t="shared" si="49"/>
        <v>1</v>
      </c>
      <c r="X97">
        <f t="shared" si="49"/>
        <v>0</v>
      </c>
      <c r="Y97">
        <f t="shared" si="49"/>
        <v>0</v>
      </c>
      <c r="Z97">
        <f t="shared" si="49"/>
        <v>0</v>
      </c>
      <c r="AA97">
        <f t="shared" si="49"/>
        <v>0</v>
      </c>
      <c r="AB97">
        <f t="shared" si="49"/>
        <v>0</v>
      </c>
      <c r="AC97">
        <f t="shared" si="49"/>
        <v>0</v>
      </c>
      <c r="AD97">
        <f t="shared" si="49"/>
        <v>0</v>
      </c>
    </row>
    <row r="98" spans="2:30">
      <c r="B98" s="1725"/>
      <c r="H98" s="962" t="s">
        <v>216</v>
      </c>
      <c r="Q98" t="s">
        <v>116</v>
      </c>
      <c r="R98">
        <f>COUNTIF($C223:$O223, R$73)</f>
        <v>0</v>
      </c>
      <c r="S98">
        <f t="shared" ref="S98:AD98" si="50">COUNTIF($C223:$O223, S$73)</f>
        <v>1</v>
      </c>
      <c r="T98">
        <f t="shared" si="50"/>
        <v>5</v>
      </c>
      <c r="U98">
        <f t="shared" si="50"/>
        <v>1</v>
      </c>
      <c r="V98">
        <f t="shared" si="50"/>
        <v>0</v>
      </c>
      <c r="W98">
        <f t="shared" si="50"/>
        <v>2</v>
      </c>
      <c r="X98">
        <f t="shared" si="50"/>
        <v>1</v>
      </c>
      <c r="Y98">
        <f t="shared" si="50"/>
        <v>0</v>
      </c>
      <c r="Z98">
        <f t="shared" si="50"/>
        <v>0</v>
      </c>
      <c r="AA98">
        <f t="shared" si="50"/>
        <v>0</v>
      </c>
      <c r="AB98">
        <f t="shared" si="50"/>
        <v>0</v>
      </c>
      <c r="AC98">
        <f t="shared" si="50"/>
        <v>0</v>
      </c>
      <c r="AD98">
        <f t="shared" si="50"/>
        <v>0</v>
      </c>
    </row>
    <row r="99" spans="2:30">
      <c r="B99" s="1725"/>
      <c r="H99" t="s">
        <v>2612</v>
      </c>
      <c r="Q99" t="s">
        <v>104</v>
      </c>
      <c r="R99">
        <f>COUNTIF($C230:$O230, R$73)</f>
        <v>0</v>
      </c>
      <c r="S99">
        <f t="shared" ref="S99:AD99" si="51">COUNTIF($C230:$O230, S$73)</f>
        <v>3</v>
      </c>
      <c r="T99">
        <f t="shared" si="51"/>
        <v>1</v>
      </c>
      <c r="U99">
        <f t="shared" si="51"/>
        <v>3</v>
      </c>
      <c r="V99">
        <f t="shared" si="51"/>
        <v>3</v>
      </c>
      <c r="W99">
        <f t="shared" si="51"/>
        <v>0</v>
      </c>
      <c r="X99">
        <f t="shared" si="51"/>
        <v>0</v>
      </c>
      <c r="Y99">
        <f t="shared" si="51"/>
        <v>1</v>
      </c>
      <c r="Z99">
        <f t="shared" si="51"/>
        <v>0</v>
      </c>
      <c r="AA99">
        <f t="shared" si="51"/>
        <v>0</v>
      </c>
      <c r="AB99">
        <f t="shared" si="51"/>
        <v>0</v>
      </c>
      <c r="AC99">
        <f t="shared" si="51"/>
        <v>0</v>
      </c>
      <c r="AD99">
        <f t="shared" si="51"/>
        <v>0</v>
      </c>
    </row>
    <row r="100" spans="2:30">
      <c r="B100" s="1725"/>
      <c r="H100" s="981" t="s">
        <v>1271</v>
      </c>
      <c r="Q100" t="s">
        <v>95</v>
      </c>
      <c r="R100">
        <f>COUNTIF($C236:$O236, R$73)</f>
        <v>0</v>
      </c>
      <c r="S100">
        <f t="shared" ref="S100:AD100" si="52">COUNTIF($C236:$O236, S$73)</f>
        <v>3</v>
      </c>
      <c r="T100">
        <f t="shared" si="52"/>
        <v>1</v>
      </c>
      <c r="U100">
        <f t="shared" si="52"/>
        <v>3</v>
      </c>
      <c r="V100">
        <f t="shared" si="52"/>
        <v>3</v>
      </c>
      <c r="W100">
        <f t="shared" si="52"/>
        <v>1</v>
      </c>
      <c r="X100">
        <f t="shared" si="52"/>
        <v>0</v>
      </c>
      <c r="Y100">
        <f t="shared" si="52"/>
        <v>0</v>
      </c>
      <c r="Z100">
        <f t="shared" si="52"/>
        <v>0</v>
      </c>
      <c r="AA100">
        <f t="shared" si="52"/>
        <v>0</v>
      </c>
      <c r="AB100">
        <f t="shared" si="52"/>
        <v>0</v>
      </c>
      <c r="AC100">
        <f t="shared" si="52"/>
        <v>0</v>
      </c>
      <c r="AD100">
        <f t="shared" si="52"/>
        <v>0</v>
      </c>
    </row>
    <row r="101" spans="2:30" ht="16.5" thickBot="1">
      <c r="B101" s="1726"/>
      <c r="C101" s="1036"/>
      <c r="D101" s="1036"/>
      <c r="E101" s="1036"/>
      <c r="F101" s="1036"/>
      <c r="G101" s="1036"/>
      <c r="H101" s="1036" t="s">
        <v>194</v>
      </c>
      <c r="I101" s="1036"/>
      <c r="J101" s="1036"/>
      <c r="K101" s="1036"/>
      <c r="L101" s="1036"/>
      <c r="M101" s="1036"/>
      <c r="N101" s="1036"/>
      <c r="O101" s="1036"/>
      <c r="Q101" t="s">
        <v>85</v>
      </c>
      <c r="R101">
        <f>COUNTIF($C242:$O242, R$73)</f>
        <v>0</v>
      </c>
      <c r="S101">
        <f t="shared" ref="S101:AD101" si="53">COUNTIF($C242:$O242, S$73)</f>
        <v>2</v>
      </c>
      <c r="T101">
        <f t="shared" si="53"/>
        <v>5</v>
      </c>
      <c r="U101">
        <f t="shared" si="53"/>
        <v>1</v>
      </c>
      <c r="V101">
        <f t="shared" si="53"/>
        <v>2</v>
      </c>
      <c r="W101">
        <f t="shared" si="53"/>
        <v>0</v>
      </c>
      <c r="X101">
        <f t="shared" si="53"/>
        <v>0</v>
      </c>
      <c r="Y101">
        <f t="shared" si="53"/>
        <v>0</v>
      </c>
      <c r="Z101">
        <f t="shared" si="53"/>
        <v>0</v>
      </c>
      <c r="AA101">
        <f t="shared" si="53"/>
        <v>0</v>
      </c>
      <c r="AB101">
        <f t="shared" si="53"/>
        <v>0</v>
      </c>
      <c r="AC101">
        <f t="shared" si="53"/>
        <v>0</v>
      </c>
      <c r="AD101">
        <f t="shared" si="53"/>
        <v>0</v>
      </c>
    </row>
    <row r="102" spans="2:30" ht="17.100000000000001" customHeight="1" thickTop="1">
      <c r="B102" s="1724" t="s">
        <v>132</v>
      </c>
      <c r="C102" s="1053" t="s">
        <v>27</v>
      </c>
      <c r="D102" s="1054" t="s">
        <v>44</v>
      </c>
      <c r="E102" s="1055" t="s">
        <v>1673</v>
      </c>
      <c r="F102" s="1054" t="s">
        <v>44</v>
      </c>
      <c r="G102" s="1056" t="s">
        <v>26</v>
      </c>
      <c r="H102" s="1057" t="s">
        <v>1271</v>
      </c>
      <c r="I102" s="1058" t="s">
        <v>43</v>
      </c>
      <c r="J102" s="1057" t="s">
        <v>1271</v>
      </c>
      <c r="K102" s="1057" t="s">
        <v>1271</v>
      </c>
      <c r="L102" s="1054" t="s">
        <v>44</v>
      </c>
      <c r="M102" s="1059" t="s">
        <v>20</v>
      </c>
      <c r="N102" s="1058" t="s">
        <v>43</v>
      </c>
      <c r="O102" s="1053" t="s">
        <v>27</v>
      </c>
      <c r="Q102" t="s">
        <v>66</v>
      </c>
      <c r="R102">
        <f>COUNTIF($C248:$O248, R$73)</f>
        <v>0</v>
      </c>
      <c r="S102">
        <f t="shared" ref="S102:AD102" si="54">COUNTIF($C248:$O248, S$73)</f>
        <v>4</v>
      </c>
      <c r="T102">
        <f t="shared" si="54"/>
        <v>1</v>
      </c>
      <c r="U102">
        <f t="shared" si="54"/>
        <v>2</v>
      </c>
      <c r="V102">
        <f t="shared" si="54"/>
        <v>2</v>
      </c>
      <c r="W102">
        <f t="shared" si="54"/>
        <v>0</v>
      </c>
      <c r="X102">
        <f t="shared" si="54"/>
        <v>0</v>
      </c>
      <c r="Y102">
        <f t="shared" si="54"/>
        <v>0</v>
      </c>
      <c r="Z102">
        <f t="shared" si="54"/>
        <v>0</v>
      </c>
      <c r="AA102">
        <f t="shared" si="54"/>
        <v>0</v>
      </c>
      <c r="AB102">
        <f t="shared" si="54"/>
        <v>0</v>
      </c>
      <c r="AC102">
        <f t="shared" si="54"/>
        <v>0</v>
      </c>
      <c r="AD102">
        <f t="shared" si="54"/>
        <v>0</v>
      </c>
    </row>
    <row r="103" spans="2:30">
      <c r="B103" s="1725"/>
      <c r="D103" s="58"/>
      <c r="E103" s="422"/>
      <c r="G103" s="964" t="s">
        <v>44</v>
      </c>
      <c r="L103" s="955" t="s">
        <v>234</v>
      </c>
      <c r="Q103" t="s">
        <v>65</v>
      </c>
      <c r="R103">
        <f>COUNTIF($C255:$O255, R$73)</f>
        <v>0</v>
      </c>
      <c r="S103">
        <f t="shared" ref="S103:AD103" si="55">COUNTIF($C255:$O255, S$73)</f>
        <v>3</v>
      </c>
      <c r="T103">
        <f t="shared" si="55"/>
        <v>1</v>
      </c>
      <c r="U103">
        <f t="shared" si="55"/>
        <v>5</v>
      </c>
      <c r="V103">
        <f t="shared" si="55"/>
        <v>0</v>
      </c>
      <c r="W103">
        <f t="shared" si="55"/>
        <v>0</v>
      </c>
      <c r="X103">
        <f t="shared" si="55"/>
        <v>0</v>
      </c>
      <c r="Y103">
        <f t="shared" si="55"/>
        <v>0</v>
      </c>
      <c r="Z103">
        <f t="shared" si="55"/>
        <v>0</v>
      </c>
      <c r="AA103">
        <f t="shared" si="55"/>
        <v>0</v>
      </c>
      <c r="AB103">
        <f t="shared" si="55"/>
        <v>0</v>
      </c>
      <c r="AC103">
        <f t="shared" si="55"/>
        <v>0</v>
      </c>
      <c r="AD103">
        <f t="shared" si="55"/>
        <v>0</v>
      </c>
    </row>
    <row r="104" spans="2:30">
      <c r="B104" s="1725"/>
      <c r="C104" t="s">
        <v>2612</v>
      </c>
      <c r="D104" t="s">
        <v>2612</v>
      </c>
      <c r="E104" t="s">
        <v>2612</v>
      </c>
      <c r="F104" t="s">
        <v>2612</v>
      </c>
      <c r="G104" t="s">
        <v>2612</v>
      </c>
      <c r="H104" t="s">
        <v>2612</v>
      </c>
      <c r="I104" t="s">
        <v>2612</v>
      </c>
      <c r="J104" t="s">
        <v>2612</v>
      </c>
      <c r="K104" t="s">
        <v>2612</v>
      </c>
      <c r="L104" t="s">
        <v>2612</v>
      </c>
      <c r="M104" t="s">
        <v>2612</v>
      </c>
      <c r="N104" t="s">
        <v>2612</v>
      </c>
      <c r="O104" t="s">
        <v>2612</v>
      </c>
      <c r="Q104" t="s">
        <v>60</v>
      </c>
      <c r="R104">
        <f>COUNTIF($C261:$O261, R$73)</f>
        <v>0</v>
      </c>
      <c r="S104">
        <f t="shared" ref="S104:AD104" si="56">COUNTIF($C261:$O261, S$73)</f>
        <v>1</v>
      </c>
      <c r="T104">
        <f t="shared" si="56"/>
        <v>3</v>
      </c>
      <c r="U104">
        <f t="shared" si="56"/>
        <v>3</v>
      </c>
      <c r="V104">
        <f t="shared" si="56"/>
        <v>0</v>
      </c>
      <c r="W104">
        <f t="shared" si="56"/>
        <v>2</v>
      </c>
      <c r="X104">
        <f t="shared" si="56"/>
        <v>1</v>
      </c>
      <c r="Y104">
        <f t="shared" si="56"/>
        <v>0</v>
      </c>
      <c r="Z104">
        <f t="shared" si="56"/>
        <v>0</v>
      </c>
      <c r="AA104">
        <f t="shared" si="56"/>
        <v>0</v>
      </c>
      <c r="AB104">
        <f t="shared" si="56"/>
        <v>0</v>
      </c>
      <c r="AC104">
        <f t="shared" si="56"/>
        <v>0</v>
      </c>
      <c r="AD104">
        <f t="shared" si="56"/>
        <v>0</v>
      </c>
    </row>
    <row r="105" spans="2:30" ht="15.95" customHeight="1">
      <c r="B105" s="1725"/>
      <c r="C105" s="981" t="s">
        <v>1271</v>
      </c>
      <c r="D105" s="981" t="s">
        <v>1271</v>
      </c>
      <c r="E105" s="979" t="s">
        <v>120</v>
      </c>
      <c r="F105" s="964" t="s">
        <v>44</v>
      </c>
      <c r="G105" s="964" t="s">
        <v>44</v>
      </c>
      <c r="H105" s="981" t="s">
        <v>1271</v>
      </c>
      <c r="I105" s="967" t="s">
        <v>27</v>
      </c>
      <c r="J105" s="981" t="s">
        <v>1271</v>
      </c>
      <c r="K105" s="964" t="s">
        <v>44</v>
      </c>
      <c r="L105" s="961" t="s">
        <v>339</v>
      </c>
      <c r="M105" s="981" t="s">
        <v>1271</v>
      </c>
      <c r="N105" s="189" t="s">
        <v>47</v>
      </c>
      <c r="O105" s="974" t="s">
        <v>1269</v>
      </c>
      <c r="Q105" t="s">
        <v>35</v>
      </c>
      <c r="R105">
        <f>COUNTIF($C273:$O273, R$73)+ COUNTIF($C267:$O267, R$73)</f>
        <v>0</v>
      </c>
      <c r="S105">
        <f t="shared" ref="S105:AD105" si="57">COUNTIF($C273:$O273, S$73)+ COUNTIF($C267:$O267, S$73)</f>
        <v>0</v>
      </c>
      <c r="T105">
        <f t="shared" si="57"/>
        <v>3</v>
      </c>
      <c r="U105">
        <f t="shared" si="57"/>
        <v>1</v>
      </c>
      <c r="V105">
        <f t="shared" si="57"/>
        <v>1</v>
      </c>
      <c r="W105">
        <f t="shared" si="57"/>
        <v>1</v>
      </c>
      <c r="X105">
        <f t="shared" si="57"/>
        <v>1</v>
      </c>
      <c r="Y105">
        <f t="shared" si="57"/>
        <v>0</v>
      </c>
      <c r="Z105">
        <f t="shared" si="57"/>
        <v>0</v>
      </c>
      <c r="AA105">
        <f t="shared" si="57"/>
        <v>0</v>
      </c>
      <c r="AB105">
        <f t="shared" si="57"/>
        <v>0</v>
      </c>
      <c r="AC105">
        <f t="shared" si="57"/>
        <v>0</v>
      </c>
      <c r="AD105">
        <f t="shared" si="57"/>
        <v>0</v>
      </c>
    </row>
    <row r="106" spans="2:30">
      <c r="B106" s="1725"/>
      <c r="C106" s="861"/>
      <c r="D106" s="1047"/>
      <c r="E106" s="861"/>
      <c r="F106" s="861"/>
      <c r="G106" s="1060" t="s">
        <v>1271</v>
      </c>
      <c r="H106" s="861"/>
      <c r="I106" s="861"/>
      <c r="J106" s="1049"/>
      <c r="K106" s="977" t="s">
        <v>1270</v>
      </c>
      <c r="L106" s="1051"/>
      <c r="M106" s="861"/>
      <c r="N106" s="1051"/>
      <c r="O106" s="1051"/>
      <c r="Q106" t="s">
        <v>11</v>
      </c>
      <c r="R106">
        <f>COUNTIF($C281:$O281, R$73)</f>
        <v>0</v>
      </c>
      <c r="S106">
        <f t="shared" ref="S106:AD106" si="58">COUNTIF($C281:$O281, S$73)</f>
        <v>2</v>
      </c>
      <c r="T106">
        <f t="shared" si="58"/>
        <v>2</v>
      </c>
      <c r="U106">
        <f t="shared" si="58"/>
        <v>2</v>
      </c>
      <c r="V106">
        <f t="shared" si="58"/>
        <v>1</v>
      </c>
      <c r="W106">
        <f t="shared" si="58"/>
        <v>0</v>
      </c>
      <c r="X106">
        <f t="shared" si="58"/>
        <v>0</v>
      </c>
      <c r="Y106">
        <f t="shared" si="58"/>
        <v>0</v>
      </c>
      <c r="Z106">
        <f t="shared" si="58"/>
        <v>0</v>
      </c>
      <c r="AA106">
        <f t="shared" si="58"/>
        <v>0</v>
      </c>
      <c r="AB106">
        <f t="shared" si="58"/>
        <v>0</v>
      </c>
      <c r="AC106">
        <f t="shared" si="58"/>
        <v>0</v>
      </c>
      <c r="AD106">
        <f t="shared" si="58"/>
        <v>0</v>
      </c>
    </row>
    <row r="107" spans="2:30" ht="16.5" thickBot="1">
      <c r="B107" s="1726"/>
      <c r="C107" s="1052" t="s">
        <v>190</v>
      </c>
      <c r="D107" s="1052" t="s">
        <v>188</v>
      </c>
      <c r="E107" s="1052" t="s">
        <v>186</v>
      </c>
      <c r="F107" s="1052" t="s">
        <v>189</v>
      </c>
      <c r="G107" s="1052" t="s">
        <v>187</v>
      </c>
      <c r="H107" s="1052" t="s">
        <v>189</v>
      </c>
      <c r="I107" s="1052" t="s">
        <v>186</v>
      </c>
      <c r="J107" s="1052" t="s">
        <v>189</v>
      </c>
      <c r="K107" s="1052" t="s">
        <v>189</v>
      </c>
      <c r="L107" s="1052" t="s">
        <v>187</v>
      </c>
      <c r="M107" s="1052" t="s">
        <v>188</v>
      </c>
      <c r="N107" s="1052" t="s">
        <v>188</v>
      </c>
      <c r="O107" s="1052" t="s">
        <v>187</v>
      </c>
      <c r="Q107" t="s">
        <v>198</v>
      </c>
      <c r="R107">
        <f>COUNTIF($C293:$O293, R$73)+COUNTIF($C287:$O287, R$73)</f>
        <v>0</v>
      </c>
      <c r="S107">
        <f t="shared" ref="S107:AD107" si="59">COUNTIF($C293:$O293, S$73)+COUNTIF($C287:$O287, S$73)</f>
        <v>2</v>
      </c>
      <c r="T107">
        <f t="shared" si="59"/>
        <v>0</v>
      </c>
      <c r="U107">
        <f t="shared" si="59"/>
        <v>5</v>
      </c>
      <c r="V107">
        <f t="shared" si="59"/>
        <v>0</v>
      </c>
      <c r="W107">
        <f t="shared" si="59"/>
        <v>1</v>
      </c>
      <c r="X107">
        <f t="shared" si="59"/>
        <v>1</v>
      </c>
      <c r="Y107">
        <f t="shared" si="59"/>
        <v>0</v>
      </c>
      <c r="Z107">
        <f t="shared" si="59"/>
        <v>0</v>
      </c>
      <c r="AA107">
        <f t="shared" si="59"/>
        <v>0</v>
      </c>
      <c r="AB107">
        <f t="shared" si="59"/>
        <v>0</v>
      </c>
      <c r="AC107">
        <f t="shared" si="59"/>
        <v>0</v>
      </c>
      <c r="AD107">
        <f t="shared" si="59"/>
        <v>0</v>
      </c>
    </row>
    <row r="108" spans="2:30" ht="18" customHeight="1" thickTop="1">
      <c r="B108" s="1724" t="s">
        <v>133</v>
      </c>
      <c r="C108" s="189" t="s">
        <v>47</v>
      </c>
      <c r="D108" s="981" t="s">
        <v>1271</v>
      </c>
      <c r="E108" s="983" t="s">
        <v>124</v>
      </c>
      <c r="F108" s="981" t="s">
        <v>1271</v>
      </c>
      <c r="G108" s="964" t="s">
        <v>44</v>
      </c>
      <c r="H108" s="984" t="s">
        <v>24</v>
      </c>
      <c r="I108" s="958" t="s">
        <v>74</v>
      </c>
      <c r="J108" s="955" t="s">
        <v>234</v>
      </c>
      <c r="K108" s="979" t="s">
        <v>120</v>
      </c>
      <c r="L108" s="189" t="s">
        <v>47</v>
      </c>
      <c r="M108" s="984" t="s">
        <v>24</v>
      </c>
      <c r="N108" s="974" t="s">
        <v>1269</v>
      </c>
      <c r="Q108" t="s">
        <v>184</v>
      </c>
      <c r="R108">
        <f>COUNTIF($C299:$O299, R$73)</f>
        <v>0</v>
      </c>
      <c r="S108">
        <f t="shared" ref="S108:AD108" si="60">COUNTIF($C299:$O299, S$73)</f>
        <v>1</v>
      </c>
      <c r="T108">
        <f t="shared" si="60"/>
        <v>0</v>
      </c>
      <c r="U108">
        <f t="shared" si="60"/>
        <v>4</v>
      </c>
      <c r="V108">
        <f t="shared" si="60"/>
        <v>0</v>
      </c>
      <c r="W108">
        <f t="shared" si="60"/>
        <v>2</v>
      </c>
      <c r="X108">
        <f t="shared" si="60"/>
        <v>2</v>
      </c>
      <c r="Y108">
        <f t="shared" si="60"/>
        <v>0</v>
      </c>
      <c r="Z108">
        <f t="shared" si="60"/>
        <v>0</v>
      </c>
      <c r="AA108">
        <f t="shared" si="60"/>
        <v>0</v>
      </c>
      <c r="AB108">
        <f t="shared" si="60"/>
        <v>0</v>
      </c>
      <c r="AC108">
        <f t="shared" si="60"/>
        <v>0</v>
      </c>
      <c r="AD108">
        <f t="shared" si="60"/>
        <v>0</v>
      </c>
    </row>
    <row r="109" spans="2:30">
      <c r="B109" s="1725"/>
      <c r="D109" s="58"/>
      <c r="E109" s="963" t="s">
        <v>46</v>
      </c>
      <c r="H109" s="964" t="s">
        <v>44</v>
      </c>
      <c r="I109" s="977" t="s">
        <v>1270</v>
      </c>
      <c r="M109" s="967" t="s">
        <v>27</v>
      </c>
      <c r="Q109" t="s">
        <v>563</v>
      </c>
      <c r="R109">
        <f>COUNTIF($C311:$O311, R$73)+ COUNTIF($C305:$O305, R$73)</f>
        <v>0</v>
      </c>
      <c r="S109">
        <f t="shared" ref="S109:AD109" si="61">COUNTIF($C311:$O311, S$73)+ COUNTIF($C305:$O305, S$73)</f>
        <v>6</v>
      </c>
      <c r="T109">
        <f t="shared" si="61"/>
        <v>0</v>
      </c>
      <c r="U109">
        <f t="shared" si="61"/>
        <v>2</v>
      </c>
      <c r="V109">
        <f t="shared" si="61"/>
        <v>1</v>
      </c>
      <c r="W109">
        <f t="shared" si="61"/>
        <v>0</v>
      </c>
      <c r="X109">
        <f t="shared" si="61"/>
        <v>0</v>
      </c>
      <c r="Y109">
        <f t="shared" si="61"/>
        <v>1</v>
      </c>
      <c r="Z109">
        <f t="shared" si="61"/>
        <v>0</v>
      </c>
      <c r="AA109">
        <f t="shared" si="61"/>
        <v>0</v>
      </c>
      <c r="AB109">
        <f t="shared" si="61"/>
        <v>0</v>
      </c>
      <c r="AC109">
        <f t="shared" si="61"/>
        <v>0</v>
      </c>
      <c r="AD109">
        <f t="shared" si="61"/>
        <v>0</v>
      </c>
    </row>
    <row r="110" spans="2:30">
      <c r="B110" s="1725"/>
      <c r="C110" t="s">
        <v>2612</v>
      </c>
      <c r="D110" t="s">
        <v>2612</v>
      </c>
      <c r="E110" t="s">
        <v>2612</v>
      </c>
      <c r="F110" t="s">
        <v>2612</v>
      </c>
      <c r="G110" t="s">
        <v>2612</v>
      </c>
      <c r="H110" t="s">
        <v>2612</v>
      </c>
      <c r="I110" t="s">
        <v>2612</v>
      </c>
      <c r="J110" t="s">
        <v>2612</v>
      </c>
      <c r="K110" t="s">
        <v>2612</v>
      </c>
      <c r="L110" t="s">
        <v>2612</v>
      </c>
      <c r="M110" t="s">
        <v>2612</v>
      </c>
      <c r="N110" t="s">
        <v>2612</v>
      </c>
      <c r="Q110" t="s">
        <v>1742</v>
      </c>
      <c r="R110">
        <f>COUNTIF($C318:$O318, R$73)</f>
        <v>0</v>
      </c>
      <c r="S110">
        <f t="shared" ref="S110:AD110" si="62">COUNTIF($C318:$O318, S$73)</f>
        <v>0</v>
      </c>
      <c r="T110">
        <f t="shared" si="62"/>
        <v>2</v>
      </c>
      <c r="U110">
        <f t="shared" si="62"/>
        <v>0</v>
      </c>
      <c r="V110">
        <f t="shared" si="62"/>
        <v>3</v>
      </c>
      <c r="W110">
        <f t="shared" si="62"/>
        <v>1</v>
      </c>
      <c r="X110">
        <f t="shared" si="62"/>
        <v>1</v>
      </c>
      <c r="Y110">
        <f t="shared" si="62"/>
        <v>0</v>
      </c>
      <c r="Z110">
        <f t="shared" si="62"/>
        <v>0</v>
      </c>
      <c r="AA110">
        <f t="shared" si="62"/>
        <v>0</v>
      </c>
      <c r="AB110">
        <f t="shared" si="62"/>
        <v>0</v>
      </c>
      <c r="AC110">
        <f t="shared" si="62"/>
        <v>0</v>
      </c>
      <c r="AD110">
        <f t="shared" si="62"/>
        <v>0</v>
      </c>
    </row>
    <row r="111" spans="2:30">
      <c r="B111" s="1725"/>
      <c r="C111" s="981" t="s">
        <v>1271</v>
      </c>
      <c r="D111" s="981" t="s">
        <v>1271</v>
      </c>
      <c r="E111" s="984" t="s">
        <v>24</v>
      </c>
      <c r="F111" s="58" t="s">
        <v>2614</v>
      </c>
      <c r="G111" s="964" t="s">
        <v>44</v>
      </c>
      <c r="H111" s="984" t="s">
        <v>24</v>
      </c>
      <c r="I111" s="981" t="s">
        <v>1271</v>
      </c>
      <c r="J111" s="981" t="s">
        <v>1271</v>
      </c>
      <c r="K111" s="968" t="s">
        <v>26</v>
      </c>
      <c r="L111" s="981" t="s">
        <v>1271</v>
      </c>
      <c r="M111" s="189" t="s">
        <v>47</v>
      </c>
      <c r="N111" s="981" t="s">
        <v>1271</v>
      </c>
      <c r="Q111" t="s">
        <v>2056</v>
      </c>
      <c r="R111">
        <f>COUNTIF($C327:$O327, R$73)</f>
        <v>0</v>
      </c>
      <c r="S111">
        <f t="shared" ref="S111:AD111" si="63">COUNTIF($C327:$O327, S$73)</f>
        <v>2</v>
      </c>
      <c r="T111">
        <f t="shared" si="63"/>
        <v>1</v>
      </c>
      <c r="U111">
        <f t="shared" si="63"/>
        <v>2</v>
      </c>
      <c r="V111">
        <f t="shared" si="63"/>
        <v>0</v>
      </c>
      <c r="W111">
        <f t="shared" si="63"/>
        <v>1</v>
      </c>
      <c r="X111">
        <f t="shared" si="63"/>
        <v>0</v>
      </c>
      <c r="Y111">
        <f t="shared" si="63"/>
        <v>1</v>
      </c>
      <c r="Z111">
        <f t="shared" si="63"/>
        <v>0</v>
      </c>
      <c r="AA111">
        <f t="shared" si="63"/>
        <v>0</v>
      </c>
      <c r="AB111">
        <f t="shared" si="63"/>
        <v>0</v>
      </c>
      <c r="AC111">
        <f t="shared" si="63"/>
        <v>0</v>
      </c>
      <c r="AD111">
        <f t="shared" si="63"/>
        <v>0</v>
      </c>
    </row>
    <row r="112" spans="2:30">
      <c r="B112" s="1725"/>
      <c r="C112" s="861"/>
      <c r="D112" s="1047"/>
      <c r="E112" s="861"/>
      <c r="F112" s="861"/>
      <c r="G112" s="1061"/>
      <c r="H112" s="1060" t="s">
        <v>1271</v>
      </c>
      <c r="I112" s="1062" t="s">
        <v>44</v>
      </c>
      <c r="J112" s="1063"/>
      <c r="K112" s="861"/>
      <c r="L112" s="1051"/>
      <c r="M112" s="861"/>
      <c r="N112" s="1051"/>
      <c r="O112" s="1051"/>
      <c r="Q112" s="287" t="s">
        <v>200</v>
      </c>
      <c r="R112" s="35">
        <f>SUM(R74:R111)</f>
        <v>0</v>
      </c>
      <c r="S112" s="35">
        <f t="shared" ref="S112:AD112" si="64">SUM(S74:S111)</f>
        <v>69</v>
      </c>
      <c r="T112" s="35">
        <f t="shared" si="64"/>
        <v>80</v>
      </c>
      <c r="U112" s="35">
        <f t="shared" si="64"/>
        <v>107</v>
      </c>
      <c r="V112" s="35">
        <f t="shared" si="64"/>
        <v>72</v>
      </c>
      <c r="W112" s="35">
        <f t="shared" si="64"/>
        <v>40</v>
      </c>
      <c r="X112" s="35">
        <f t="shared" si="64"/>
        <v>13</v>
      </c>
      <c r="Y112" s="35">
        <f t="shared" si="64"/>
        <v>8</v>
      </c>
      <c r="Z112" s="35">
        <f t="shared" si="64"/>
        <v>0</v>
      </c>
      <c r="AA112" s="35">
        <f t="shared" si="64"/>
        <v>1</v>
      </c>
      <c r="AB112" s="35">
        <f t="shared" si="64"/>
        <v>0</v>
      </c>
      <c r="AC112" s="35">
        <f t="shared" si="64"/>
        <v>1</v>
      </c>
      <c r="AD112" s="35">
        <f t="shared" si="64"/>
        <v>0</v>
      </c>
    </row>
    <row r="113" spans="2:31" ht="16.5" thickBot="1">
      <c r="B113" s="1726"/>
      <c r="C113" s="1052" t="s">
        <v>191</v>
      </c>
      <c r="D113" s="1052" t="s">
        <v>190</v>
      </c>
      <c r="E113" s="1052" t="s">
        <v>186</v>
      </c>
      <c r="F113" s="1052" t="s">
        <v>192</v>
      </c>
      <c r="G113" s="1052" t="s">
        <v>187</v>
      </c>
      <c r="H113" s="1052" t="s">
        <v>189</v>
      </c>
      <c r="I113" s="1052" t="s">
        <v>187</v>
      </c>
      <c r="J113" s="1052" t="s">
        <v>189</v>
      </c>
      <c r="K113" s="1052" t="s">
        <v>188</v>
      </c>
      <c r="L113" s="1052" t="s">
        <v>188</v>
      </c>
      <c r="M113" s="1052" t="s">
        <v>186</v>
      </c>
      <c r="N113" s="1052" t="s">
        <v>186</v>
      </c>
      <c r="O113" s="1052"/>
    </row>
    <row r="114" spans="2:31" ht="17.100000000000001" customHeight="1" thickTop="1">
      <c r="B114" s="1724" t="s">
        <v>134</v>
      </c>
      <c r="C114" s="189" t="s">
        <v>47</v>
      </c>
      <c r="D114" s="981" t="s">
        <v>1271</v>
      </c>
      <c r="E114" s="977" t="s">
        <v>1270</v>
      </c>
      <c r="F114" s="983" t="s">
        <v>124</v>
      </c>
      <c r="G114" s="981" t="s">
        <v>1271</v>
      </c>
      <c r="H114" s="981" t="s">
        <v>1271</v>
      </c>
      <c r="I114" s="984" t="s">
        <v>24</v>
      </c>
      <c r="J114" s="979" t="s">
        <v>120</v>
      </c>
      <c r="K114" s="962" t="s">
        <v>216</v>
      </c>
      <c r="L114" s="981" t="s">
        <v>1271</v>
      </c>
      <c r="M114" s="981" t="s">
        <v>1271</v>
      </c>
      <c r="N114" s="981" t="s">
        <v>1271</v>
      </c>
      <c r="Q114" s="69" t="s">
        <v>2763</v>
      </c>
    </row>
    <row r="115" spans="2:31">
      <c r="B115" s="1725"/>
      <c r="D115" s="58"/>
      <c r="E115" s="422"/>
      <c r="G115" s="984" t="s">
        <v>24</v>
      </c>
      <c r="I115" s="981" t="s">
        <v>1271</v>
      </c>
      <c r="J115" s="981" t="s">
        <v>1271</v>
      </c>
      <c r="K115" s="981" t="s">
        <v>1271</v>
      </c>
      <c r="N115" s="422"/>
      <c r="Q115" s="13" t="s">
        <v>19</v>
      </c>
      <c r="R115" s="13" t="s">
        <v>1</v>
      </c>
      <c r="S115" s="13" t="s">
        <v>2</v>
      </c>
      <c r="T115" s="13" t="s">
        <v>3</v>
      </c>
      <c r="U115" s="13" t="s">
        <v>4</v>
      </c>
      <c r="V115" s="13" t="s">
        <v>5</v>
      </c>
      <c r="W115" s="13" t="s">
        <v>6</v>
      </c>
      <c r="X115" s="13" t="s">
        <v>7</v>
      </c>
      <c r="Y115" s="13" t="s">
        <v>8</v>
      </c>
      <c r="Z115" s="13" t="s">
        <v>9</v>
      </c>
      <c r="AA115" s="13" t="s">
        <v>10</v>
      </c>
      <c r="AB115" s="13" t="s">
        <v>36</v>
      </c>
      <c r="AC115" s="13" t="s">
        <v>37</v>
      </c>
      <c r="AD115" s="13" t="s">
        <v>344</v>
      </c>
      <c r="AE115" s="1106" t="s">
        <v>200</v>
      </c>
    </row>
    <row r="116" spans="2:31">
      <c r="B116" s="1725"/>
      <c r="C116" t="s">
        <v>2612</v>
      </c>
      <c r="D116" t="s">
        <v>2612</v>
      </c>
      <c r="E116" t="s">
        <v>2612</v>
      </c>
      <c r="F116" t="s">
        <v>2612</v>
      </c>
      <c r="G116" t="s">
        <v>2612</v>
      </c>
      <c r="H116" t="s">
        <v>2612</v>
      </c>
      <c r="I116" t="s">
        <v>2612</v>
      </c>
      <c r="J116" t="s">
        <v>2612</v>
      </c>
      <c r="K116" t="s">
        <v>2612</v>
      </c>
      <c r="L116" t="s">
        <v>2612</v>
      </c>
      <c r="M116" t="s">
        <v>2612</v>
      </c>
      <c r="N116" t="s">
        <v>2612</v>
      </c>
      <c r="Q116" s="903" t="s">
        <v>27</v>
      </c>
      <c r="R116" s="319">
        <f t="shared" ref="R116:R143" si="65">IF(COUNTIF(C$58:C$327,$Q116)&gt;0,COUNTIF(C$58:C$327,$Q116), "")</f>
        <v>3</v>
      </c>
      <c r="S116" s="319">
        <f t="shared" ref="S116:S143" si="66">IF(COUNTIF(D$58:D$327,$Q116)&gt;0,COUNTIF(D$58:D$327,$Q116), "")</f>
        <v>4</v>
      </c>
      <c r="T116" s="319">
        <f t="shared" ref="T116:T125" si="67">IF(COUNTIF(E$58:E$327,$Q116)&gt;0,COUNTIF(E$58:E$327,$Q116), "")</f>
        <v>6</v>
      </c>
      <c r="U116" s="319">
        <f t="shared" ref="U116:U143" si="68">IF(COUNTIF(F$58:F$327,$Q116)&gt;0,COUNTIF(F$58:F$327,$Q116), "")</f>
        <v>4</v>
      </c>
      <c r="V116" s="319">
        <f t="shared" ref="V116:V143" si="69">IF(COUNTIF(G$58:G$327,$Q116)&gt;0,COUNTIF(G$58:G$327,$Q116), "")</f>
        <v>4</v>
      </c>
      <c r="W116" s="319">
        <f>IF(COUNTIF(H$58:H$327,$Q116)&gt;0,COUNTIF(H$58:H$327,$Q116), "")</f>
        <v>8</v>
      </c>
      <c r="X116" s="319">
        <f t="shared" ref="X116:X143" si="70">IF(COUNTIF(I$58:I$327,$Q116)&gt;0,COUNTIF(I$58:I$327,$Q116), "")</f>
        <v>9</v>
      </c>
      <c r="Y116" s="319">
        <f t="shared" ref="Y116:AD116" si="71">IF(COUNTIF(J$58:J$327,$Q116)&gt;0,COUNTIF(J$58:J$327,$Q116), "")</f>
        <v>8</v>
      </c>
      <c r="Z116" s="319">
        <f t="shared" si="71"/>
        <v>3</v>
      </c>
      <c r="AA116" s="319">
        <f t="shared" si="71"/>
        <v>4</v>
      </c>
      <c r="AB116" s="319">
        <f t="shared" si="71"/>
        <v>5</v>
      </c>
      <c r="AC116" s="319">
        <f t="shared" si="71"/>
        <v>1</v>
      </c>
      <c r="AD116" s="319">
        <f t="shared" si="71"/>
        <v>2</v>
      </c>
      <c r="AE116" s="929">
        <f>SUM(R116:AD116)</f>
        <v>61</v>
      </c>
    </row>
    <row r="117" spans="2:31" ht="15.95" customHeight="1">
      <c r="B117" s="1725"/>
      <c r="C117" s="964" t="s">
        <v>44</v>
      </c>
      <c r="D117" s="981" t="s">
        <v>1271</v>
      </c>
      <c r="E117" s="964" t="s">
        <v>44</v>
      </c>
      <c r="F117" s="959" t="s">
        <v>155</v>
      </c>
      <c r="G117" s="964" t="s">
        <v>44</v>
      </c>
      <c r="H117" s="961" t="s">
        <v>339</v>
      </c>
      <c r="I117" s="984" t="s">
        <v>24</v>
      </c>
      <c r="J117" s="979" t="s">
        <v>120</v>
      </c>
      <c r="K117" s="984" t="s">
        <v>24</v>
      </c>
      <c r="L117" s="977" t="s">
        <v>1270</v>
      </c>
      <c r="M117" s="189" t="s">
        <v>47</v>
      </c>
      <c r="N117" s="1064" t="s">
        <v>234</v>
      </c>
      <c r="Q117" s="904" t="s">
        <v>1270</v>
      </c>
      <c r="R117" s="33">
        <f>IF(COUNTIF(C$58:C$327,$Q117)&gt;0,COUNTIF(C$58:C$327,$Q117), "")</f>
        <v>3</v>
      </c>
      <c r="S117" s="33">
        <f t="shared" si="66"/>
        <v>13</v>
      </c>
      <c r="T117" s="33">
        <f t="shared" si="67"/>
        <v>15</v>
      </c>
      <c r="U117" s="33">
        <f t="shared" si="68"/>
        <v>12</v>
      </c>
      <c r="V117" s="33">
        <f t="shared" si="69"/>
        <v>9</v>
      </c>
      <c r="W117" s="33">
        <f t="shared" ref="W117:W143" si="72">IF(COUNTIF(H$58:H$327,$Q117)&gt;0,COUNTIF(H$58:H$327,$Q117), "")</f>
        <v>11</v>
      </c>
      <c r="X117" s="33">
        <f t="shared" si="70"/>
        <v>11</v>
      </c>
      <c r="Y117" s="33">
        <f t="shared" ref="Y117:Y143" si="73">IF(COUNTIF(J$58:J$327,$Q117)&gt;0,COUNTIF(J$58:J$327,$Q117), "")</f>
        <v>12</v>
      </c>
      <c r="Z117" s="33">
        <f t="shared" ref="Z117:Z143" si="74">IF(COUNTIF(K$58:K$327,$Q117)&gt;0,COUNTIF(K$58:K$327,$Q117), "")</f>
        <v>7</v>
      </c>
      <c r="AA117" s="33">
        <f t="shared" ref="AA117:AA143" si="75">IF(COUNTIF(L$58:L$327,$Q117)&gt;0,COUNTIF(L$58:L$327,$Q117), "")</f>
        <v>8</v>
      </c>
      <c r="AB117" s="33">
        <f t="shared" ref="AB117:AB143" si="76">IF(COUNTIF(M$58:M$327,$Q117)&gt;0,COUNTIF(M$58:M$327,$Q117), "")</f>
        <v>4</v>
      </c>
      <c r="AC117" s="33">
        <f t="shared" ref="AC117:AC143" si="77">IF(COUNTIF(N$58:N$327,$Q117)&gt;0,COUNTIF(N$58:N$327,$Q117), "")</f>
        <v>2</v>
      </c>
      <c r="AD117" s="33" t="str">
        <f t="shared" ref="AD117:AD143" si="78">IF(COUNTIF(O$58:O$327,$Q117)&gt;0,COUNTIF(O$58:O$327,$Q117), "")</f>
        <v/>
      </c>
      <c r="AE117" s="929">
        <f t="shared" ref="AE117:AE143" si="79">SUM(R117:AD117)</f>
        <v>107</v>
      </c>
    </row>
    <row r="118" spans="2:31">
      <c r="B118" s="1725"/>
      <c r="D118" s="58"/>
      <c r="E118" s="977" t="s">
        <v>1270</v>
      </c>
      <c r="I118" s="964" t="s">
        <v>44</v>
      </c>
      <c r="J118" s="962" t="s">
        <v>216</v>
      </c>
      <c r="K118" s="964" t="s">
        <v>44</v>
      </c>
      <c r="L118" s="990"/>
      <c r="M118" s="979" t="s">
        <v>120</v>
      </c>
      <c r="N118" s="422"/>
      <c r="Q118" s="896" t="s">
        <v>43</v>
      </c>
      <c r="R118" s="587" t="str">
        <f t="shared" si="65"/>
        <v/>
      </c>
      <c r="S118" s="587">
        <f t="shared" si="66"/>
        <v>2</v>
      </c>
      <c r="T118" s="587">
        <f t="shared" si="67"/>
        <v>4</v>
      </c>
      <c r="U118" s="587">
        <f t="shared" si="68"/>
        <v>4</v>
      </c>
      <c r="V118" s="587">
        <f t="shared" si="69"/>
        <v>5</v>
      </c>
      <c r="W118" s="587">
        <f t="shared" si="72"/>
        <v>1</v>
      </c>
      <c r="X118" s="587">
        <f t="shared" si="70"/>
        <v>4</v>
      </c>
      <c r="Y118" s="587">
        <f t="shared" si="73"/>
        <v>2</v>
      </c>
      <c r="Z118" s="587">
        <f t="shared" si="74"/>
        <v>2</v>
      </c>
      <c r="AA118" s="587" t="str">
        <f t="shared" si="75"/>
        <v/>
      </c>
      <c r="AB118" s="587">
        <f t="shared" si="76"/>
        <v>2</v>
      </c>
      <c r="AC118" s="587">
        <f t="shared" si="77"/>
        <v>2</v>
      </c>
      <c r="AD118" s="587" t="str">
        <f t="shared" si="78"/>
        <v/>
      </c>
      <c r="AE118" s="929">
        <f t="shared" si="79"/>
        <v>28</v>
      </c>
    </row>
    <row r="119" spans="2:31">
      <c r="B119" s="1725"/>
      <c r="I119" s="1065" t="s">
        <v>109</v>
      </c>
      <c r="J119" s="861"/>
      <c r="K119" s="970" t="s">
        <v>68</v>
      </c>
      <c r="O119" s="990"/>
      <c r="Q119" s="905" t="s">
        <v>120</v>
      </c>
      <c r="R119" s="66" t="str">
        <f>IF(COUNTIF(C$58:C$327,$Q119)&gt;0,COUNTIF(C$58:C$327,$Q119), "")</f>
        <v/>
      </c>
      <c r="S119" s="66">
        <f t="shared" si="66"/>
        <v>2</v>
      </c>
      <c r="T119" s="66">
        <f t="shared" si="67"/>
        <v>4</v>
      </c>
      <c r="U119" s="66">
        <f t="shared" si="68"/>
        <v>1</v>
      </c>
      <c r="V119" s="66">
        <f t="shared" si="69"/>
        <v>2</v>
      </c>
      <c r="W119" s="66">
        <f t="shared" si="72"/>
        <v>2</v>
      </c>
      <c r="X119" s="66">
        <f t="shared" si="70"/>
        <v>6</v>
      </c>
      <c r="Y119" s="66">
        <f t="shared" si="73"/>
        <v>3</v>
      </c>
      <c r="Z119" s="66">
        <f t="shared" si="74"/>
        <v>2</v>
      </c>
      <c r="AA119" s="66">
        <f t="shared" si="75"/>
        <v>1</v>
      </c>
      <c r="AB119" s="66">
        <f t="shared" si="76"/>
        <v>2</v>
      </c>
      <c r="AC119" s="66">
        <f t="shared" si="77"/>
        <v>2</v>
      </c>
      <c r="AD119" s="66">
        <f t="shared" si="78"/>
        <v>1</v>
      </c>
      <c r="AE119" s="929">
        <f t="shared" si="79"/>
        <v>28</v>
      </c>
    </row>
    <row r="120" spans="2:31" ht="16.5" thickBot="1">
      <c r="B120" s="1726"/>
      <c r="C120" s="1036" t="s">
        <v>187</v>
      </c>
      <c r="D120" s="1036" t="s">
        <v>188</v>
      </c>
      <c r="E120" s="1036" t="s">
        <v>189</v>
      </c>
      <c r="F120" s="1036" t="s">
        <v>190</v>
      </c>
      <c r="G120" s="1036" t="s">
        <v>187</v>
      </c>
      <c r="H120" s="1036" t="s">
        <v>187</v>
      </c>
      <c r="I120" s="1036" t="s">
        <v>191</v>
      </c>
      <c r="J120" s="1052" t="s">
        <v>187</v>
      </c>
      <c r="K120" s="1066" t="s">
        <v>190</v>
      </c>
      <c r="L120" s="1036" t="s">
        <v>189</v>
      </c>
      <c r="M120" s="1036" t="s">
        <v>188</v>
      </c>
      <c r="N120" s="1036" t="s">
        <v>187</v>
      </c>
      <c r="O120" s="1036"/>
      <c r="Q120" s="906" t="s">
        <v>47</v>
      </c>
      <c r="R120" s="642">
        <f t="shared" si="65"/>
        <v>3</v>
      </c>
      <c r="S120" s="642">
        <f t="shared" si="66"/>
        <v>5</v>
      </c>
      <c r="T120" s="642">
        <f t="shared" si="67"/>
        <v>10</v>
      </c>
      <c r="U120" s="642">
        <f t="shared" si="68"/>
        <v>12</v>
      </c>
      <c r="V120" s="642">
        <f t="shared" si="69"/>
        <v>7</v>
      </c>
      <c r="W120" s="642">
        <f t="shared" si="72"/>
        <v>7</v>
      </c>
      <c r="X120" s="642">
        <f t="shared" si="70"/>
        <v>4</v>
      </c>
      <c r="Y120" s="642">
        <f t="shared" si="73"/>
        <v>9</v>
      </c>
      <c r="Z120" s="642">
        <f t="shared" si="74"/>
        <v>1</v>
      </c>
      <c r="AA120" s="642">
        <f t="shared" si="75"/>
        <v>7</v>
      </c>
      <c r="AB120" s="642">
        <f t="shared" si="76"/>
        <v>5</v>
      </c>
      <c r="AC120" s="642">
        <f t="shared" si="77"/>
        <v>1</v>
      </c>
      <c r="AD120" s="642" t="str">
        <f t="shared" si="78"/>
        <v/>
      </c>
      <c r="AE120" s="929">
        <f t="shared" si="79"/>
        <v>71</v>
      </c>
    </row>
    <row r="121" spans="2:31" ht="17.100000000000001" customHeight="1" thickTop="1">
      <c r="B121" s="1728" t="s">
        <v>135</v>
      </c>
      <c r="C121" s="977" t="s">
        <v>1270</v>
      </c>
      <c r="D121" s="977" t="s">
        <v>1270</v>
      </c>
      <c r="E121" s="189" t="s">
        <v>47</v>
      </c>
      <c r="F121" s="981" t="s">
        <v>1271</v>
      </c>
      <c r="G121" s="981" t="s">
        <v>1271</v>
      </c>
      <c r="H121" s="981" t="s">
        <v>1271</v>
      </c>
      <c r="I121" s="964" t="s">
        <v>44</v>
      </c>
      <c r="J121" s="981" t="s">
        <v>1271</v>
      </c>
      <c r="K121" s="981" t="s">
        <v>1271</v>
      </c>
      <c r="L121" s="977" t="s">
        <v>1270</v>
      </c>
      <c r="M121" s="981" t="s">
        <v>1271</v>
      </c>
      <c r="N121" s="981" t="s">
        <v>1271</v>
      </c>
      <c r="Q121" s="907" t="s">
        <v>46</v>
      </c>
      <c r="R121" t="str">
        <f t="shared" si="65"/>
        <v/>
      </c>
      <c r="S121">
        <f t="shared" si="66"/>
        <v>3</v>
      </c>
      <c r="T121">
        <f t="shared" si="67"/>
        <v>5</v>
      </c>
      <c r="U121">
        <f t="shared" si="68"/>
        <v>3</v>
      </c>
      <c r="V121">
        <f t="shared" si="69"/>
        <v>4</v>
      </c>
      <c r="W121">
        <f t="shared" si="72"/>
        <v>5</v>
      </c>
      <c r="X121">
        <f t="shared" si="70"/>
        <v>3</v>
      </c>
      <c r="Y121">
        <f t="shared" si="73"/>
        <v>4</v>
      </c>
      <c r="Z121">
        <f t="shared" si="74"/>
        <v>1</v>
      </c>
      <c r="AA121">
        <f t="shared" si="75"/>
        <v>3</v>
      </c>
      <c r="AB121">
        <f t="shared" si="76"/>
        <v>4</v>
      </c>
      <c r="AC121" t="str">
        <f t="shared" si="77"/>
        <v/>
      </c>
      <c r="AD121" t="str">
        <f t="shared" si="78"/>
        <v/>
      </c>
      <c r="AE121" s="929">
        <f t="shared" si="79"/>
        <v>35</v>
      </c>
    </row>
    <row r="122" spans="2:31">
      <c r="B122" s="1725"/>
      <c r="D122" s="58"/>
      <c r="E122" s="58"/>
      <c r="G122" s="967" t="s">
        <v>27</v>
      </c>
      <c r="Q122" s="908" t="s">
        <v>397</v>
      </c>
      <c r="R122" s="588" t="str">
        <f t="shared" si="65"/>
        <v/>
      </c>
      <c r="S122" s="588" t="str">
        <f t="shared" si="66"/>
        <v/>
      </c>
      <c r="T122" s="588">
        <f t="shared" si="67"/>
        <v>1</v>
      </c>
      <c r="U122" s="588">
        <f t="shared" si="68"/>
        <v>1</v>
      </c>
      <c r="V122" s="588">
        <f t="shared" si="69"/>
        <v>1</v>
      </c>
      <c r="W122" s="588" t="str">
        <f t="shared" si="72"/>
        <v/>
      </c>
      <c r="X122" s="588" t="str">
        <f t="shared" si="70"/>
        <v/>
      </c>
      <c r="Y122" s="588">
        <f t="shared" si="73"/>
        <v>1</v>
      </c>
      <c r="Z122" s="588" t="str">
        <f t="shared" si="74"/>
        <v/>
      </c>
      <c r="AA122" s="588" t="str">
        <f t="shared" si="75"/>
        <v/>
      </c>
      <c r="AB122" s="588" t="str">
        <f t="shared" si="76"/>
        <v/>
      </c>
      <c r="AC122" s="588" t="str">
        <f t="shared" si="77"/>
        <v/>
      </c>
      <c r="AD122" s="588" t="str">
        <f t="shared" si="78"/>
        <v/>
      </c>
      <c r="AE122" s="929">
        <f t="shared" si="79"/>
        <v>4</v>
      </c>
    </row>
    <row r="123" spans="2:31">
      <c r="B123" s="1725"/>
      <c r="C123" t="s">
        <v>2612</v>
      </c>
      <c r="D123" t="s">
        <v>2612</v>
      </c>
      <c r="E123" t="s">
        <v>2612</v>
      </c>
      <c r="F123" t="s">
        <v>2612</v>
      </c>
      <c r="G123" t="s">
        <v>2612</v>
      </c>
      <c r="H123" t="s">
        <v>2612</v>
      </c>
      <c r="I123" t="s">
        <v>2612</v>
      </c>
      <c r="J123" t="s">
        <v>2612</v>
      </c>
      <c r="K123" t="s">
        <v>2612</v>
      </c>
      <c r="L123" t="s">
        <v>2612</v>
      </c>
      <c r="M123" t="s">
        <v>2612</v>
      </c>
      <c r="N123" t="s">
        <v>2612</v>
      </c>
      <c r="Q123" s="909" t="s">
        <v>155</v>
      </c>
      <c r="R123" s="233">
        <f t="shared" si="65"/>
        <v>1</v>
      </c>
      <c r="S123" s="233">
        <f t="shared" si="66"/>
        <v>4</v>
      </c>
      <c r="T123" s="233">
        <f t="shared" si="67"/>
        <v>5</v>
      </c>
      <c r="U123" s="233">
        <f t="shared" si="68"/>
        <v>6</v>
      </c>
      <c r="V123" s="233">
        <f t="shared" si="69"/>
        <v>3</v>
      </c>
      <c r="W123" s="233">
        <f t="shared" si="72"/>
        <v>1</v>
      </c>
      <c r="X123" s="233">
        <f t="shared" si="70"/>
        <v>5</v>
      </c>
      <c r="Y123" s="233">
        <f t="shared" si="73"/>
        <v>2</v>
      </c>
      <c r="Z123" s="233">
        <f t="shared" si="74"/>
        <v>2</v>
      </c>
      <c r="AA123" s="233">
        <f t="shared" si="75"/>
        <v>1</v>
      </c>
      <c r="AB123" s="233">
        <f t="shared" si="76"/>
        <v>1</v>
      </c>
      <c r="AC123" s="233" t="str">
        <f t="shared" si="77"/>
        <v/>
      </c>
      <c r="AD123" s="233" t="str">
        <f t="shared" si="78"/>
        <v/>
      </c>
      <c r="AE123" s="929">
        <f t="shared" si="79"/>
        <v>31</v>
      </c>
    </row>
    <row r="124" spans="2:31">
      <c r="B124" s="1725"/>
      <c r="C124" s="981" t="s">
        <v>1271</v>
      </c>
      <c r="D124" s="967" t="s">
        <v>27</v>
      </c>
      <c r="E124" s="189" t="s">
        <v>47</v>
      </c>
      <c r="F124" s="981" t="s">
        <v>1271</v>
      </c>
      <c r="G124" s="958" t="s">
        <v>74</v>
      </c>
      <c r="H124" s="967" t="s">
        <v>27</v>
      </c>
      <c r="I124" s="981" t="s">
        <v>1271</v>
      </c>
      <c r="J124" s="977" t="s">
        <v>1270</v>
      </c>
      <c r="K124" s="981" t="s">
        <v>1271</v>
      </c>
      <c r="L124" s="981" t="s">
        <v>1271</v>
      </c>
      <c r="M124" s="983" t="s">
        <v>124</v>
      </c>
      <c r="N124" s="977" t="s">
        <v>1270</v>
      </c>
      <c r="Q124" s="897" t="s">
        <v>24</v>
      </c>
      <c r="R124" s="36">
        <f t="shared" si="65"/>
        <v>1</v>
      </c>
      <c r="S124" s="36">
        <f t="shared" si="66"/>
        <v>3</v>
      </c>
      <c r="T124" s="36">
        <f t="shared" si="67"/>
        <v>2</v>
      </c>
      <c r="U124" s="36">
        <f t="shared" si="68"/>
        <v>1</v>
      </c>
      <c r="V124" s="36">
        <f t="shared" si="69"/>
        <v>9</v>
      </c>
      <c r="W124" s="36">
        <f t="shared" si="72"/>
        <v>2</v>
      </c>
      <c r="X124" s="36">
        <f t="shared" si="70"/>
        <v>4</v>
      </c>
      <c r="Y124" s="36">
        <f t="shared" si="73"/>
        <v>1</v>
      </c>
      <c r="Z124" s="36">
        <f t="shared" si="74"/>
        <v>3</v>
      </c>
      <c r="AA124" s="36">
        <f t="shared" si="75"/>
        <v>4</v>
      </c>
      <c r="AB124" s="36">
        <f t="shared" si="76"/>
        <v>1</v>
      </c>
      <c r="AC124" s="36">
        <f t="shared" si="77"/>
        <v>2</v>
      </c>
      <c r="AD124" s="36">
        <f t="shared" si="78"/>
        <v>4</v>
      </c>
      <c r="AE124" s="929">
        <f t="shared" si="79"/>
        <v>37</v>
      </c>
    </row>
    <row r="125" spans="2:31">
      <c r="B125" s="1725"/>
      <c r="C125" s="861"/>
      <c r="D125" s="1047"/>
      <c r="E125" s="977" t="s">
        <v>1270</v>
      </c>
      <c r="F125" s="861"/>
      <c r="G125" s="861"/>
      <c r="H125" s="519" t="s">
        <v>1271</v>
      </c>
      <c r="I125" s="516" t="s">
        <v>234</v>
      </c>
      <c r="J125" s="1049"/>
      <c r="K125" s="861"/>
      <c r="L125" s="1051"/>
      <c r="M125" s="964" t="s">
        <v>44</v>
      </c>
      <c r="N125" s="1051"/>
      <c r="O125" s="1051"/>
      <c r="Q125" s="910" t="s">
        <v>23</v>
      </c>
      <c r="R125" s="577" t="str">
        <f t="shared" si="65"/>
        <v/>
      </c>
      <c r="S125" s="577" t="str">
        <f t="shared" si="66"/>
        <v/>
      </c>
      <c r="T125" s="577" t="str">
        <f t="shared" si="67"/>
        <v/>
      </c>
      <c r="U125" s="577" t="str">
        <f t="shared" si="68"/>
        <v/>
      </c>
      <c r="V125" s="577" t="str">
        <f t="shared" si="69"/>
        <v/>
      </c>
      <c r="W125" s="577" t="str">
        <f t="shared" si="72"/>
        <v/>
      </c>
      <c r="X125" s="577" t="str">
        <f t="shared" si="70"/>
        <v/>
      </c>
      <c r="Y125" s="577" t="str">
        <f t="shared" si="73"/>
        <v/>
      </c>
      <c r="Z125" s="577" t="str">
        <f t="shared" si="74"/>
        <v/>
      </c>
      <c r="AA125" s="577" t="str">
        <f t="shared" si="75"/>
        <v/>
      </c>
      <c r="AB125" s="577" t="str">
        <f t="shared" si="76"/>
        <v/>
      </c>
      <c r="AC125" s="577" t="str">
        <f t="shared" si="77"/>
        <v/>
      </c>
      <c r="AD125" s="577" t="str">
        <f t="shared" si="78"/>
        <v/>
      </c>
      <c r="AE125" s="929">
        <f t="shared" si="79"/>
        <v>0</v>
      </c>
    </row>
    <row r="126" spans="2:31">
      <c r="B126" s="1725"/>
      <c r="C126" s="861" t="s">
        <v>189</v>
      </c>
      <c r="D126" s="861" t="s">
        <v>187</v>
      </c>
      <c r="E126" s="861" t="s">
        <v>190</v>
      </c>
      <c r="F126" s="861" t="s">
        <v>189</v>
      </c>
      <c r="G126" s="861" t="s">
        <v>187</v>
      </c>
      <c r="H126" s="861" t="s">
        <v>189</v>
      </c>
      <c r="I126" s="861" t="s">
        <v>188</v>
      </c>
      <c r="J126" t="s">
        <v>187</v>
      </c>
      <c r="K126" t="s">
        <v>187</v>
      </c>
      <c r="L126" t="s">
        <v>189</v>
      </c>
      <c r="M126" s="861" t="s">
        <v>188</v>
      </c>
      <c r="N126" s="861" t="s">
        <v>190</v>
      </c>
      <c r="O126" s="861"/>
      <c r="Q126" s="895" t="s">
        <v>29</v>
      </c>
      <c r="R126" t="str">
        <f t="shared" si="65"/>
        <v/>
      </c>
      <c r="S126">
        <f t="shared" si="66"/>
        <v>1</v>
      </c>
      <c r="T126">
        <f>IF(COUNTIF(E$58:E$327,$Q126)&gt;0,COUNTIF(E$58:E$327,$Q126), "")</f>
        <v>1</v>
      </c>
      <c r="U126">
        <f t="shared" si="68"/>
        <v>5</v>
      </c>
      <c r="V126" t="str">
        <f t="shared" si="69"/>
        <v/>
      </c>
      <c r="W126">
        <f t="shared" si="72"/>
        <v>1</v>
      </c>
      <c r="X126">
        <f t="shared" si="70"/>
        <v>3</v>
      </c>
      <c r="Y126">
        <f t="shared" si="73"/>
        <v>3</v>
      </c>
      <c r="Z126">
        <f t="shared" si="74"/>
        <v>2</v>
      </c>
      <c r="AA126">
        <f t="shared" si="75"/>
        <v>2</v>
      </c>
      <c r="AB126">
        <f t="shared" si="76"/>
        <v>2</v>
      </c>
      <c r="AC126" t="str">
        <f t="shared" si="77"/>
        <v/>
      </c>
      <c r="AD126" t="str">
        <f t="shared" si="78"/>
        <v/>
      </c>
      <c r="AE126" s="929">
        <f t="shared" si="79"/>
        <v>20</v>
      </c>
    </row>
    <row r="127" spans="2:31">
      <c r="B127" s="1725"/>
      <c r="J127" s="860"/>
      <c r="K127" s="1067" t="s">
        <v>73</v>
      </c>
      <c r="L127" s="860"/>
      <c r="Q127" s="911" t="s">
        <v>93</v>
      </c>
      <c r="R127" t="str">
        <f t="shared" si="65"/>
        <v/>
      </c>
      <c r="S127" t="str">
        <f t="shared" si="66"/>
        <v/>
      </c>
      <c r="T127" t="str">
        <f t="shared" ref="T127:T143" si="80">IF(COUNTIF(E$58:E$327,$Q127)&gt;0,COUNTIF(E$58:E$327,$Q127), "")</f>
        <v/>
      </c>
      <c r="U127" t="str">
        <f t="shared" si="68"/>
        <v/>
      </c>
      <c r="V127" t="str">
        <f t="shared" si="69"/>
        <v/>
      </c>
      <c r="W127" t="str">
        <f t="shared" si="72"/>
        <v/>
      </c>
      <c r="X127" t="str">
        <f t="shared" si="70"/>
        <v/>
      </c>
      <c r="Y127" t="str">
        <f t="shared" si="73"/>
        <v/>
      </c>
      <c r="Z127" t="str">
        <f t="shared" si="74"/>
        <v/>
      </c>
      <c r="AA127" t="str">
        <f t="shared" si="75"/>
        <v/>
      </c>
      <c r="AB127" t="str">
        <f t="shared" si="76"/>
        <v/>
      </c>
      <c r="AC127" t="str">
        <f t="shared" si="77"/>
        <v/>
      </c>
      <c r="AD127" t="str">
        <f t="shared" si="78"/>
        <v/>
      </c>
      <c r="AE127" s="929">
        <f t="shared" si="79"/>
        <v>0</v>
      </c>
    </row>
    <row r="128" spans="2:31">
      <c r="B128" s="1725"/>
      <c r="K128" t="s">
        <v>2612</v>
      </c>
      <c r="Q128" s="912" t="s">
        <v>1269</v>
      </c>
      <c r="R128" s="242">
        <f t="shared" si="65"/>
        <v>2</v>
      </c>
      <c r="S128" s="242">
        <f t="shared" si="66"/>
        <v>3</v>
      </c>
      <c r="T128" s="242">
        <f t="shared" si="80"/>
        <v>5</v>
      </c>
      <c r="U128" s="242">
        <f t="shared" si="68"/>
        <v>6</v>
      </c>
      <c r="V128" s="242" t="str">
        <f t="shared" si="69"/>
        <v/>
      </c>
      <c r="W128" s="242">
        <f t="shared" si="72"/>
        <v>3</v>
      </c>
      <c r="X128" s="242">
        <f t="shared" si="70"/>
        <v>7</v>
      </c>
      <c r="Y128" s="242">
        <f t="shared" si="73"/>
        <v>1</v>
      </c>
      <c r="Z128" s="242">
        <f t="shared" si="74"/>
        <v>7</v>
      </c>
      <c r="AA128" s="242">
        <f t="shared" si="75"/>
        <v>1</v>
      </c>
      <c r="AB128" s="242">
        <f t="shared" si="76"/>
        <v>4</v>
      </c>
      <c r="AC128" s="242">
        <f t="shared" si="77"/>
        <v>1</v>
      </c>
      <c r="AD128" s="242">
        <f t="shared" si="78"/>
        <v>1</v>
      </c>
      <c r="AE128" s="929">
        <f t="shared" si="79"/>
        <v>41</v>
      </c>
    </row>
    <row r="129" spans="2:31">
      <c r="B129" s="1725"/>
      <c r="K129" s="964" t="s">
        <v>44</v>
      </c>
      <c r="Q129" s="913" t="s">
        <v>26</v>
      </c>
      <c r="R129" s="8">
        <f t="shared" si="65"/>
        <v>5</v>
      </c>
      <c r="S129" s="8">
        <f t="shared" si="66"/>
        <v>1</v>
      </c>
      <c r="T129" s="8">
        <f t="shared" si="80"/>
        <v>2</v>
      </c>
      <c r="U129" s="8">
        <f t="shared" si="68"/>
        <v>1</v>
      </c>
      <c r="V129" s="8">
        <f t="shared" si="69"/>
        <v>3</v>
      </c>
      <c r="W129" s="8">
        <f t="shared" si="72"/>
        <v>2</v>
      </c>
      <c r="X129" s="8">
        <f t="shared" si="70"/>
        <v>1</v>
      </c>
      <c r="Y129" s="8">
        <f t="shared" si="73"/>
        <v>1</v>
      </c>
      <c r="Z129" s="8">
        <f t="shared" si="74"/>
        <v>3</v>
      </c>
      <c r="AA129" s="8">
        <f t="shared" si="75"/>
        <v>3</v>
      </c>
      <c r="AB129" s="8">
        <f t="shared" si="76"/>
        <v>3</v>
      </c>
      <c r="AC129" s="8" t="str">
        <f t="shared" si="77"/>
        <v/>
      </c>
      <c r="AD129" s="8">
        <f t="shared" si="78"/>
        <v>2</v>
      </c>
      <c r="AE129" s="929">
        <f t="shared" si="79"/>
        <v>27</v>
      </c>
    </row>
    <row r="130" spans="2:31" ht="16.5" thickBot="1">
      <c r="B130" s="1726"/>
      <c r="C130" s="1036"/>
      <c r="D130" s="1036"/>
      <c r="E130" s="1036"/>
      <c r="F130" s="1036"/>
      <c r="G130" s="1036"/>
      <c r="H130" s="1036"/>
      <c r="I130" s="1036"/>
      <c r="J130" s="1036"/>
      <c r="K130" s="1036" t="s">
        <v>1638</v>
      </c>
      <c r="L130" s="1036"/>
      <c r="M130" s="1036"/>
      <c r="N130" s="1036"/>
      <c r="O130" s="1036"/>
      <c r="Q130" s="914" t="s">
        <v>109</v>
      </c>
      <c r="R130" s="576" t="str">
        <f t="shared" si="65"/>
        <v/>
      </c>
      <c r="S130" s="576">
        <f t="shared" si="66"/>
        <v>2</v>
      </c>
      <c r="T130" s="576">
        <f t="shared" si="80"/>
        <v>2</v>
      </c>
      <c r="U130" s="576">
        <f t="shared" si="68"/>
        <v>1</v>
      </c>
      <c r="V130" s="576">
        <f t="shared" si="69"/>
        <v>2</v>
      </c>
      <c r="W130" s="576">
        <f t="shared" si="72"/>
        <v>3</v>
      </c>
      <c r="X130" s="576">
        <f t="shared" si="70"/>
        <v>4</v>
      </c>
      <c r="Y130" s="576">
        <f t="shared" si="73"/>
        <v>2</v>
      </c>
      <c r="Z130" s="576">
        <f t="shared" si="74"/>
        <v>1</v>
      </c>
      <c r="AA130" s="576">
        <f t="shared" si="75"/>
        <v>1</v>
      </c>
      <c r="AB130" s="576">
        <f t="shared" si="76"/>
        <v>3</v>
      </c>
      <c r="AC130" s="576" t="str">
        <f t="shared" si="77"/>
        <v/>
      </c>
      <c r="AD130" s="576" t="str">
        <f t="shared" si="78"/>
        <v/>
      </c>
      <c r="AE130" s="929">
        <f t="shared" si="79"/>
        <v>21</v>
      </c>
    </row>
    <row r="131" spans="2:31" ht="16.5" thickTop="1">
      <c r="B131" s="1724" t="s">
        <v>136</v>
      </c>
      <c r="C131" s="967" t="s">
        <v>27</v>
      </c>
      <c r="D131" s="981" t="s">
        <v>1271</v>
      </c>
      <c r="E131" s="981" t="s">
        <v>1271</v>
      </c>
      <c r="F131" s="955" t="s">
        <v>234</v>
      </c>
      <c r="G131" s="961" t="s">
        <v>339</v>
      </c>
      <c r="H131" s="993" t="s">
        <v>20</v>
      </c>
      <c r="I131" s="970" t="s">
        <v>68</v>
      </c>
      <c r="J131" s="963" t="s">
        <v>46</v>
      </c>
      <c r="K131" s="977" t="s">
        <v>1270</v>
      </c>
      <c r="L131" s="981" t="s">
        <v>1271</v>
      </c>
      <c r="M131" s="963" t="s">
        <v>46</v>
      </c>
      <c r="N131" t="s">
        <v>1673</v>
      </c>
      <c r="O131" s="962" t="s">
        <v>216</v>
      </c>
      <c r="Q131" s="915" t="s">
        <v>114</v>
      </c>
      <c r="R131" s="498" t="str">
        <f t="shared" si="65"/>
        <v/>
      </c>
      <c r="S131" s="498">
        <f t="shared" si="66"/>
        <v>1</v>
      </c>
      <c r="T131" s="498">
        <f t="shared" si="80"/>
        <v>1</v>
      </c>
      <c r="U131" s="498" t="str">
        <f t="shared" si="68"/>
        <v/>
      </c>
      <c r="V131" s="498" t="str">
        <f t="shared" si="69"/>
        <v/>
      </c>
      <c r="W131" s="498">
        <f t="shared" si="72"/>
        <v>2</v>
      </c>
      <c r="X131" s="498" t="str">
        <f t="shared" si="70"/>
        <v/>
      </c>
      <c r="Y131" s="498" t="str">
        <f t="shared" si="73"/>
        <v/>
      </c>
      <c r="Z131" s="498" t="str">
        <f t="shared" si="74"/>
        <v/>
      </c>
      <c r="AA131" s="498">
        <f t="shared" si="75"/>
        <v>1</v>
      </c>
      <c r="AB131" s="498" t="str">
        <f t="shared" si="76"/>
        <v/>
      </c>
      <c r="AC131" s="498" t="str">
        <f t="shared" si="77"/>
        <v/>
      </c>
      <c r="AD131" s="498" t="str">
        <f t="shared" si="78"/>
        <v/>
      </c>
      <c r="AE131" s="929">
        <f t="shared" si="79"/>
        <v>5</v>
      </c>
    </row>
    <row r="132" spans="2:31">
      <c r="B132" s="1725"/>
      <c r="D132" s="58"/>
      <c r="E132" s="58"/>
      <c r="J132" s="982" t="s">
        <v>29</v>
      </c>
      <c r="K132" s="958" t="s">
        <v>74</v>
      </c>
      <c r="Q132" s="916" t="s">
        <v>1272</v>
      </c>
      <c r="R132" s="142">
        <f t="shared" si="65"/>
        <v>1</v>
      </c>
      <c r="S132" s="142">
        <f t="shared" si="66"/>
        <v>1</v>
      </c>
      <c r="T132" s="142">
        <f t="shared" si="80"/>
        <v>1</v>
      </c>
      <c r="U132" s="142">
        <f t="shared" si="68"/>
        <v>1</v>
      </c>
      <c r="V132" s="142">
        <f t="shared" si="69"/>
        <v>3</v>
      </c>
      <c r="W132" s="142">
        <f t="shared" si="72"/>
        <v>2</v>
      </c>
      <c r="X132" s="142">
        <f t="shared" si="70"/>
        <v>7</v>
      </c>
      <c r="Y132" s="142">
        <f t="shared" si="73"/>
        <v>1</v>
      </c>
      <c r="Z132" s="142">
        <f t="shared" si="74"/>
        <v>2</v>
      </c>
      <c r="AA132" s="142">
        <f t="shared" si="75"/>
        <v>2</v>
      </c>
      <c r="AB132" s="142">
        <f t="shared" si="76"/>
        <v>2</v>
      </c>
      <c r="AC132" s="142" t="str">
        <f t="shared" si="77"/>
        <v/>
      </c>
      <c r="AD132" s="142" t="str">
        <f t="shared" si="78"/>
        <v/>
      </c>
      <c r="AE132" s="929">
        <f t="shared" si="79"/>
        <v>23</v>
      </c>
    </row>
    <row r="133" spans="2:31">
      <c r="B133" s="1725"/>
      <c r="C133" t="s">
        <v>2612</v>
      </c>
      <c r="D133" t="s">
        <v>2612</v>
      </c>
      <c r="E133" t="s">
        <v>2612</v>
      </c>
      <c r="F133" t="s">
        <v>2612</v>
      </c>
      <c r="G133" t="s">
        <v>2612</v>
      </c>
      <c r="H133" t="s">
        <v>2612</v>
      </c>
      <c r="I133" t="s">
        <v>2612</v>
      </c>
      <c r="J133" t="s">
        <v>2612</v>
      </c>
      <c r="K133" t="s">
        <v>2612</v>
      </c>
      <c r="L133" t="s">
        <v>2612</v>
      </c>
      <c r="M133" t="s">
        <v>2612</v>
      </c>
      <c r="N133" t="s">
        <v>2612</v>
      </c>
      <c r="Q133" s="917" t="s">
        <v>68</v>
      </c>
      <c r="R133" s="329" t="str">
        <f t="shared" si="65"/>
        <v/>
      </c>
      <c r="S133" s="329">
        <f t="shared" si="66"/>
        <v>3</v>
      </c>
      <c r="T133" s="329" t="str">
        <f t="shared" si="80"/>
        <v/>
      </c>
      <c r="U133" s="329">
        <f t="shared" si="68"/>
        <v>1</v>
      </c>
      <c r="V133" s="329">
        <f t="shared" si="69"/>
        <v>1</v>
      </c>
      <c r="W133" s="329">
        <f t="shared" si="72"/>
        <v>1</v>
      </c>
      <c r="X133" s="329">
        <f t="shared" si="70"/>
        <v>3</v>
      </c>
      <c r="Y133" s="329">
        <f t="shared" si="73"/>
        <v>3</v>
      </c>
      <c r="Z133" s="329">
        <f t="shared" si="74"/>
        <v>1</v>
      </c>
      <c r="AA133" s="329">
        <f t="shared" si="75"/>
        <v>1</v>
      </c>
      <c r="AB133" s="329" t="str">
        <f t="shared" si="76"/>
        <v/>
      </c>
      <c r="AC133" s="329" t="str">
        <f t="shared" si="77"/>
        <v/>
      </c>
      <c r="AD133" s="329" t="str">
        <f t="shared" si="78"/>
        <v/>
      </c>
      <c r="AE133" s="929">
        <f t="shared" si="79"/>
        <v>14</v>
      </c>
    </row>
    <row r="134" spans="2:31" ht="15.95" customHeight="1">
      <c r="B134" s="1725"/>
      <c r="C134" s="964" t="s">
        <v>44</v>
      </c>
      <c r="D134" s="981" t="s">
        <v>1271</v>
      </c>
      <c r="E134" s="422" t="s">
        <v>1673</v>
      </c>
      <c r="F134" s="977" t="s">
        <v>1270</v>
      </c>
      <c r="G134" s="981" t="s">
        <v>1271</v>
      </c>
      <c r="H134" s="981" t="s">
        <v>1271</v>
      </c>
      <c r="I134" s="981" t="s">
        <v>1271</v>
      </c>
      <c r="J134" s="963" t="s">
        <v>46</v>
      </c>
      <c r="K134" s="977" t="s">
        <v>1270</v>
      </c>
      <c r="L134" s="964" t="s">
        <v>44</v>
      </c>
      <c r="M134" s="981" t="s">
        <v>1271</v>
      </c>
      <c r="N134" s="977" t="s">
        <v>1270</v>
      </c>
      <c r="O134" s="981" t="s">
        <v>1271</v>
      </c>
      <c r="Q134" s="918" t="s">
        <v>234</v>
      </c>
      <c r="R134" s="33" t="str">
        <f t="shared" si="65"/>
        <v/>
      </c>
      <c r="S134" s="33">
        <f t="shared" si="66"/>
        <v>3</v>
      </c>
      <c r="T134" s="33">
        <f t="shared" si="80"/>
        <v>2</v>
      </c>
      <c r="U134" s="33">
        <f t="shared" si="68"/>
        <v>1</v>
      </c>
      <c r="V134" s="33">
        <f t="shared" si="69"/>
        <v>1</v>
      </c>
      <c r="W134" s="33" t="str">
        <f t="shared" si="72"/>
        <v/>
      </c>
      <c r="X134" s="33">
        <f t="shared" si="70"/>
        <v>6</v>
      </c>
      <c r="Y134" s="33">
        <f t="shared" si="73"/>
        <v>2</v>
      </c>
      <c r="Z134" s="33" t="str">
        <f t="shared" si="74"/>
        <v/>
      </c>
      <c r="AA134" s="33">
        <f t="shared" si="75"/>
        <v>1</v>
      </c>
      <c r="AB134" s="33" t="str">
        <f t="shared" si="76"/>
        <v/>
      </c>
      <c r="AC134" s="33">
        <f t="shared" si="77"/>
        <v>1</v>
      </c>
      <c r="AD134" s="33">
        <f t="shared" si="78"/>
        <v>1</v>
      </c>
      <c r="AE134" s="929">
        <f t="shared" si="79"/>
        <v>18</v>
      </c>
    </row>
    <row r="135" spans="2:31">
      <c r="B135" s="1725"/>
      <c r="D135" s="58"/>
      <c r="E135" s="422"/>
      <c r="I135" s="964" t="s">
        <v>44</v>
      </c>
      <c r="J135" s="981" t="s">
        <v>1271</v>
      </c>
      <c r="K135" s="964" t="s">
        <v>44</v>
      </c>
      <c r="L135" s="990"/>
      <c r="N135" s="990"/>
      <c r="O135" s="990"/>
      <c r="Q135" s="919" t="s">
        <v>124</v>
      </c>
      <c r="R135" s="501" t="str">
        <f t="shared" si="65"/>
        <v/>
      </c>
      <c r="S135" s="501">
        <f t="shared" si="66"/>
        <v>2</v>
      </c>
      <c r="T135" s="501">
        <f t="shared" si="80"/>
        <v>2</v>
      </c>
      <c r="U135" s="501">
        <f t="shared" si="68"/>
        <v>2</v>
      </c>
      <c r="V135" s="501" t="str">
        <f t="shared" si="69"/>
        <v/>
      </c>
      <c r="W135" s="501">
        <f t="shared" si="72"/>
        <v>1</v>
      </c>
      <c r="X135" s="501" t="str">
        <f t="shared" si="70"/>
        <v/>
      </c>
      <c r="Y135" s="501" t="str">
        <f t="shared" si="73"/>
        <v/>
      </c>
      <c r="Z135" s="501">
        <f t="shared" si="74"/>
        <v>1</v>
      </c>
      <c r="AA135" s="501">
        <f t="shared" si="75"/>
        <v>2</v>
      </c>
      <c r="AB135" s="501">
        <f t="shared" si="76"/>
        <v>2</v>
      </c>
      <c r="AC135" s="501" t="str">
        <f t="shared" si="77"/>
        <v/>
      </c>
      <c r="AD135" s="501" t="str">
        <f t="shared" si="78"/>
        <v/>
      </c>
      <c r="AE135" s="929">
        <f t="shared" si="79"/>
        <v>12</v>
      </c>
    </row>
    <row r="136" spans="2:31" ht="16.5" thickBot="1">
      <c r="B136" s="1726"/>
      <c r="C136" s="1036" t="s">
        <v>188</v>
      </c>
      <c r="D136" s="1036" t="s">
        <v>188</v>
      </c>
      <c r="E136" s="1036" t="s">
        <v>189</v>
      </c>
      <c r="F136" s="1036" t="s">
        <v>186</v>
      </c>
      <c r="G136" s="1036" t="s">
        <v>189</v>
      </c>
      <c r="H136" s="1036" t="s">
        <v>186</v>
      </c>
      <c r="I136" s="1036" t="s">
        <v>186</v>
      </c>
      <c r="J136" s="1036" t="s">
        <v>188</v>
      </c>
      <c r="K136" s="1036" t="s">
        <v>187</v>
      </c>
      <c r="L136" s="1036" t="s">
        <v>187</v>
      </c>
      <c r="M136" s="1036" t="s">
        <v>189</v>
      </c>
      <c r="N136" s="1036" t="s">
        <v>186</v>
      </c>
      <c r="O136" s="1036" t="s">
        <v>186</v>
      </c>
      <c r="Q136" s="920" t="s">
        <v>74</v>
      </c>
      <c r="R136" s="276" t="str">
        <f t="shared" si="65"/>
        <v/>
      </c>
      <c r="S136" s="276">
        <f t="shared" si="66"/>
        <v>1</v>
      </c>
      <c r="T136" s="276" t="str">
        <f t="shared" si="80"/>
        <v/>
      </c>
      <c r="U136" s="276">
        <f t="shared" si="68"/>
        <v>1</v>
      </c>
      <c r="V136" s="276">
        <f t="shared" si="69"/>
        <v>1</v>
      </c>
      <c r="W136" s="276">
        <f t="shared" si="72"/>
        <v>1</v>
      </c>
      <c r="X136" s="276">
        <f t="shared" si="70"/>
        <v>2</v>
      </c>
      <c r="Y136" s="276" t="str">
        <f t="shared" si="73"/>
        <v/>
      </c>
      <c r="Z136" s="276">
        <f t="shared" si="74"/>
        <v>2</v>
      </c>
      <c r="AA136" s="276" t="str">
        <f t="shared" si="75"/>
        <v/>
      </c>
      <c r="AB136" s="276">
        <f t="shared" si="76"/>
        <v>2</v>
      </c>
      <c r="AC136" s="276" t="str">
        <f t="shared" si="77"/>
        <v/>
      </c>
      <c r="AD136" s="276" t="str">
        <f t="shared" si="78"/>
        <v/>
      </c>
      <c r="AE136" s="929">
        <f t="shared" si="79"/>
        <v>10</v>
      </c>
    </row>
    <row r="137" spans="2:31" ht="17.100000000000001" customHeight="1" thickTop="1">
      <c r="B137" s="1724" t="s">
        <v>137</v>
      </c>
      <c r="D137" s="981" t="s">
        <v>1271</v>
      </c>
      <c r="E137" s="956" t="s">
        <v>109</v>
      </c>
      <c r="F137" s="981" t="s">
        <v>1271</v>
      </c>
      <c r="G137" s="275" t="s">
        <v>397</v>
      </c>
      <c r="H137" s="968" t="s">
        <v>26</v>
      </c>
      <c r="I137" s="189" t="s">
        <v>47</v>
      </c>
      <c r="J137" s="977" t="s">
        <v>1270</v>
      </c>
      <c r="K137" s="981" t="s">
        <v>1271</v>
      </c>
      <c r="L137" s="1068" t="s">
        <v>2621</v>
      </c>
      <c r="M137" s="983" t="s">
        <v>124</v>
      </c>
      <c r="O137" s="58"/>
      <c r="Q137" s="921" t="s">
        <v>1271</v>
      </c>
      <c r="R137" s="927">
        <f t="shared" si="65"/>
        <v>9</v>
      </c>
      <c r="S137" s="927">
        <f t="shared" si="66"/>
        <v>23</v>
      </c>
      <c r="T137" s="927">
        <f t="shared" si="80"/>
        <v>19</v>
      </c>
      <c r="U137" s="927">
        <f t="shared" si="68"/>
        <v>20</v>
      </c>
      <c r="V137" s="927">
        <f t="shared" si="69"/>
        <v>18</v>
      </c>
      <c r="W137" s="927">
        <f t="shared" si="72"/>
        <v>26</v>
      </c>
      <c r="X137" s="927">
        <f t="shared" si="70"/>
        <v>19</v>
      </c>
      <c r="Y137" s="927">
        <f t="shared" si="73"/>
        <v>28</v>
      </c>
      <c r="Z137" s="927">
        <f t="shared" si="74"/>
        <v>26</v>
      </c>
      <c r="AA137" s="927">
        <f t="shared" si="75"/>
        <v>24</v>
      </c>
      <c r="AB137" s="927">
        <f t="shared" si="76"/>
        <v>16</v>
      </c>
      <c r="AC137" s="927">
        <f t="shared" si="77"/>
        <v>10</v>
      </c>
      <c r="AD137" s="927">
        <f t="shared" si="78"/>
        <v>2</v>
      </c>
      <c r="AE137" s="929">
        <f t="shared" si="79"/>
        <v>240</v>
      </c>
    </row>
    <row r="138" spans="2:31">
      <c r="B138" s="1725"/>
      <c r="D138" s="58"/>
      <c r="E138" s="58"/>
      <c r="K138" s="974" t="s">
        <v>1269</v>
      </c>
      <c r="Q138" s="922" t="s">
        <v>20</v>
      </c>
      <c r="R138" s="10">
        <f t="shared" si="65"/>
        <v>1</v>
      </c>
      <c r="S138" s="10" t="str">
        <f t="shared" si="66"/>
        <v/>
      </c>
      <c r="T138" s="10">
        <f t="shared" si="80"/>
        <v>4</v>
      </c>
      <c r="U138" s="10">
        <f t="shared" si="68"/>
        <v>2</v>
      </c>
      <c r="V138" s="10">
        <f t="shared" si="69"/>
        <v>2</v>
      </c>
      <c r="W138" s="10">
        <f t="shared" si="72"/>
        <v>1</v>
      </c>
      <c r="X138" s="10" t="str">
        <f t="shared" si="70"/>
        <v/>
      </c>
      <c r="Y138" s="10" t="str">
        <f t="shared" si="73"/>
        <v/>
      </c>
      <c r="Z138" s="10">
        <f t="shared" si="74"/>
        <v>1</v>
      </c>
      <c r="AA138" s="10" t="str">
        <f t="shared" si="75"/>
        <v/>
      </c>
      <c r="AB138" s="10">
        <f t="shared" si="76"/>
        <v>1</v>
      </c>
      <c r="AC138" s="10" t="str">
        <f t="shared" si="77"/>
        <v/>
      </c>
      <c r="AD138" s="10" t="str">
        <f t="shared" si="78"/>
        <v/>
      </c>
      <c r="AE138" s="929">
        <f t="shared" si="79"/>
        <v>12</v>
      </c>
    </row>
    <row r="139" spans="2:31">
      <c r="B139" s="1725"/>
      <c r="D139" t="s">
        <v>2612</v>
      </c>
      <c r="E139" t="s">
        <v>2612</v>
      </c>
      <c r="F139" t="s">
        <v>2612</v>
      </c>
      <c r="G139" t="s">
        <v>2612</v>
      </c>
      <c r="H139" t="s">
        <v>2612</v>
      </c>
      <c r="I139" t="s">
        <v>2612</v>
      </c>
      <c r="J139" t="s">
        <v>2612</v>
      </c>
      <c r="K139" t="s">
        <v>2612</v>
      </c>
      <c r="L139" t="s">
        <v>2612</v>
      </c>
      <c r="M139" t="s">
        <v>2612</v>
      </c>
      <c r="Q139" s="894" t="s">
        <v>44</v>
      </c>
      <c r="R139" s="39">
        <f t="shared" si="65"/>
        <v>7</v>
      </c>
      <c r="S139" s="39">
        <f t="shared" si="66"/>
        <v>14</v>
      </c>
      <c r="T139" s="39">
        <f t="shared" si="80"/>
        <v>7</v>
      </c>
      <c r="U139" s="39">
        <f t="shared" si="68"/>
        <v>6</v>
      </c>
      <c r="V139" s="39">
        <f t="shared" si="69"/>
        <v>16</v>
      </c>
      <c r="W139" s="39">
        <f t="shared" si="72"/>
        <v>11</v>
      </c>
      <c r="X139" s="39">
        <f t="shared" si="70"/>
        <v>14</v>
      </c>
      <c r="Y139" s="39">
        <f t="shared" si="73"/>
        <v>6</v>
      </c>
      <c r="Z139" s="39">
        <f t="shared" si="74"/>
        <v>11</v>
      </c>
      <c r="AA139" s="39">
        <f t="shared" si="75"/>
        <v>12</v>
      </c>
      <c r="AB139" s="39">
        <f t="shared" si="76"/>
        <v>5</v>
      </c>
      <c r="AC139" s="39">
        <f t="shared" si="77"/>
        <v>5</v>
      </c>
      <c r="AD139" s="39" t="str">
        <f t="shared" si="78"/>
        <v/>
      </c>
      <c r="AE139" s="929">
        <f t="shared" si="79"/>
        <v>114</v>
      </c>
    </row>
    <row r="140" spans="2:31" ht="15.95" customHeight="1">
      <c r="B140" s="1725"/>
      <c r="D140" s="964" t="s">
        <v>44</v>
      </c>
      <c r="E140" s="956" t="s">
        <v>109</v>
      </c>
      <c r="F140" s="959" t="s">
        <v>155</v>
      </c>
      <c r="G140" s="981" t="s">
        <v>1271</v>
      </c>
      <c r="H140" s="981" t="s">
        <v>1271</v>
      </c>
      <c r="I140" s="959" t="s">
        <v>155</v>
      </c>
      <c r="J140" s="977" t="s">
        <v>1270</v>
      </c>
      <c r="K140" s="981" t="s">
        <v>1271</v>
      </c>
      <c r="L140" s="983" t="s">
        <v>124</v>
      </c>
      <c r="M140" s="964" t="s">
        <v>44</v>
      </c>
      <c r="O140" s="58"/>
      <c r="Q140" s="923" t="s">
        <v>339</v>
      </c>
      <c r="R140" s="277">
        <f t="shared" si="65"/>
        <v>1</v>
      </c>
      <c r="S140" s="277">
        <f t="shared" si="66"/>
        <v>2</v>
      </c>
      <c r="T140" s="277">
        <f t="shared" si="80"/>
        <v>2</v>
      </c>
      <c r="U140" s="277">
        <f t="shared" si="68"/>
        <v>1</v>
      </c>
      <c r="V140" s="277">
        <f t="shared" si="69"/>
        <v>3</v>
      </c>
      <c r="W140" s="277">
        <f t="shared" si="72"/>
        <v>2</v>
      </c>
      <c r="X140" s="277" t="str">
        <f t="shared" si="70"/>
        <v/>
      </c>
      <c r="Y140" s="277">
        <f t="shared" si="73"/>
        <v>2</v>
      </c>
      <c r="Z140" s="277">
        <f t="shared" si="74"/>
        <v>3</v>
      </c>
      <c r="AA140" s="277">
        <f t="shared" si="75"/>
        <v>2</v>
      </c>
      <c r="AB140" s="277">
        <f t="shared" si="76"/>
        <v>3</v>
      </c>
      <c r="AC140" s="277" t="str">
        <f t="shared" si="77"/>
        <v/>
      </c>
      <c r="AD140" s="277" t="str">
        <f t="shared" si="78"/>
        <v/>
      </c>
      <c r="AE140" s="929">
        <f t="shared" si="79"/>
        <v>21</v>
      </c>
    </row>
    <row r="141" spans="2:31">
      <c r="B141" s="1725"/>
      <c r="D141" s="58"/>
      <c r="E141" s="422"/>
      <c r="G141" s="960" t="s">
        <v>43</v>
      </c>
      <c r="K141" s="964" t="s">
        <v>44</v>
      </c>
      <c r="L141" s="990"/>
      <c r="N141" s="990"/>
      <c r="O141" s="990"/>
      <c r="Q141" s="924" t="s">
        <v>73</v>
      </c>
      <c r="R141" t="str">
        <f t="shared" si="65"/>
        <v/>
      </c>
      <c r="S141" t="str">
        <f t="shared" si="66"/>
        <v/>
      </c>
      <c r="T141">
        <f t="shared" si="80"/>
        <v>1</v>
      </c>
      <c r="U141" t="str">
        <f t="shared" si="68"/>
        <v/>
      </c>
      <c r="V141" t="str">
        <f t="shared" si="69"/>
        <v/>
      </c>
      <c r="W141">
        <f t="shared" si="72"/>
        <v>2</v>
      </c>
      <c r="X141">
        <f t="shared" si="70"/>
        <v>2</v>
      </c>
      <c r="Y141">
        <f t="shared" si="73"/>
        <v>1</v>
      </c>
      <c r="Z141">
        <f t="shared" si="74"/>
        <v>1</v>
      </c>
      <c r="AA141" t="str">
        <f t="shared" si="75"/>
        <v/>
      </c>
      <c r="AB141" t="str">
        <f t="shared" si="76"/>
        <v/>
      </c>
      <c r="AC141" t="str">
        <f t="shared" si="77"/>
        <v/>
      </c>
      <c r="AD141" t="str">
        <f t="shared" si="78"/>
        <v/>
      </c>
      <c r="AE141" s="929">
        <f t="shared" si="79"/>
        <v>7</v>
      </c>
    </row>
    <row r="142" spans="2:31" ht="16.5" thickBot="1">
      <c r="B142" s="1726"/>
      <c r="C142" s="1036"/>
      <c r="D142" s="1036" t="s">
        <v>186</v>
      </c>
      <c r="E142" s="1036" t="s">
        <v>189</v>
      </c>
      <c r="F142" s="1036" t="s">
        <v>187</v>
      </c>
      <c r="G142" s="1036" t="s">
        <v>189</v>
      </c>
      <c r="H142" s="1036" t="s">
        <v>188</v>
      </c>
      <c r="I142" s="1036" t="s">
        <v>190</v>
      </c>
      <c r="J142" s="1036" t="s">
        <v>188</v>
      </c>
      <c r="K142" s="1036" t="s">
        <v>189</v>
      </c>
      <c r="L142" s="1036" t="s">
        <v>192</v>
      </c>
      <c r="M142" s="1036" t="s">
        <v>187</v>
      </c>
      <c r="N142" s="1036"/>
      <c r="O142" s="1036"/>
      <c r="Q142" s="925" t="s">
        <v>216</v>
      </c>
      <c r="R142" s="279" t="str">
        <f t="shared" si="65"/>
        <v/>
      </c>
      <c r="S142" s="279">
        <f t="shared" si="66"/>
        <v>3</v>
      </c>
      <c r="T142" s="279" t="str">
        <f t="shared" si="80"/>
        <v/>
      </c>
      <c r="U142" s="279" t="str">
        <f t="shared" si="68"/>
        <v/>
      </c>
      <c r="V142" s="279">
        <f t="shared" si="69"/>
        <v>2</v>
      </c>
      <c r="W142" s="279">
        <f t="shared" si="72"/>
        <v>1</v>
      </c>
      <c r="X142" s="279">
        <f t="shared" si="70"/>
        <v>2</v>
      </c>
      <c r="Y142" s="279">
        <f t="shared" si="73"/>
        <v>1</v>
      </c>
      <c r="Z142" s="279">
        <f t="shared" si="74"/>
        <v>2</v>
      </c>
      <c r="AA142" s="279">
        <f t="shared" si="75"/>
        <v>3</v>
      </c>
      <c r="AB142" s="279" t="str">
        <f t="shared" si="76"/>
        <v/>
      </c>
      <c r="AC142" s="279" t="str">
        <f t="shared" si="77"/>
        <v/>
      </c>
      <c r="AD142" s="279">
        <f t="shared" si="78"/>
        <v>2</v>
      </c>
      <c r="AE142" s="929">
        <f t="shared" si="79"/>
        <v>16</v>
      </c>
    </row>
    <row r="143" spans="2:31" ht="17.100000000000001" customHeight="1" thickTop="1">
      <c r="B143" s="1724" t="s">
        <v>138</v>
      </c>
      <c r="C143" s="981" t="s">
        <v>1271</v>
      </c>
      <c r="D143" s="981" t="s">
        <v>1271</v>
      </c>
      <c r="E143" s="964" t="s">
        <v>44</v>
      </c>
      <c r="F143" s="982" t="s">
        <v>29</v>
      </c>
      <c r="G143" t="s">
        <v>1673</v>
      </c>
      <c r="H143" s="1009" t="s">
        <v>114</v>
      </c>
      <c r="I143" s="964" t="s">
        <v>44</v>
      </c>
      <c r="J143" s="961" t="s">
        <v>339</v>
      </c>
      <c r="K143" s="959" t="s">
        <v>155</v>
      </c>
      <c r="L143" s="957" t="s">
        <v>1673</v>
      </c>
      <c r="M143" s="981" t="s">
        <v>1271</v>
      </c>
      <c r="O143" s="58"/>
      <c r="Q143" s="926" t="s">
        <v>21</v>
      </c>
      <c r="R143" t="str">
        <f t="shared" si="65"/>
        <v/>
      </c>
      <c r="S143" t="str">
        <f t="shared" si="66"/>
        <v/>
      </c>
      <c r="T143" t="str">
        <f t="shared" si="80"/>
        <v/>
      </c>
      <c r="U143" t="str">
        <f t="shared" si="68"/>
        <v/>
      </c>
      <c r="V143" t="str">
        <f t="shared" si="69"/>
        <v/>
      </c>
      <c r="W143" t="str">
        <f t="shared" si="72"/>
        <v/>
      </c>
      <c r="X143" t="str">
        <f t="shared" si="70"/>
        <v/>
      </c>
      <c r="Y143" t="str">
        <f t="shared" si="73"/>
        <v/>
      </c>
      <c r="Z143" t="str">
        <f t="shared" si="74"/>
        <v/>
      </c>
      <c r="AA143" t="str">
        <f t="shared" si="75"/>
        <v/>
      </c>
      <c r="AB143" t="str">
        <f t="shared" si="76"/>
        <v/>
      </c>
      <c r="AC143" t="str">
        <f t="shared" si="77"/>
        <v/>
      </c>
      <c r="AD143" t="str">
        <f t="shared" si="78"/>
        <v/>
      </c>
      <c r="AE143" s="929">
        <f t="shared" si="79"/>
        <v>0</v>
      </c>
    </row>
    <row r="144" spans="2:31">
      <c r="B144" s="1725"/>
      <c r="D144" s="58"/>
      <c r="E144" s="58"/>
      <c r="I144" s="977" t="s">
        <v>1270</v>
      </c>
      <c r="J144" s="970" t="s">
        <v>68</v>
      </c>
      <c r="K144" s="990"/>
      <c r="L144" s="990"/>
    </row>
    <row r="145" spans="2:33" ht="18.75">
      <c r="B145" s="1725"/>
      <c r="C145" t="s">
        <v>2612</v>
      </c>
      <c r="D145" t="s">
        <v>2612</v>
      </c>
      <c r="E145" t="s">
        <v>2612</v>
      </c>
      <c r="F145" t="s">
        <v>2612</v>
      </c>
      <c r="G145" t="s">
        <v>2612</v>
      </c>
      <c r="H145" t="s">
        <v>2612</v>
      </c>
      <c r="I145" t="s">
        <v>2612</v>
      </c>
      <c r="J145" t="s">
        <v>2612</v>
      </c>
      <c r="K145" t="s">
        <v>2612</v>
      </c>
      <c r="L145" t="s">
        <v>2612</v>
      </c>
      <c r="M145" t="s">
        <v>2612</v>
      </c>
      <c r="Q145" s="69" t="s">
        <v>2764</v>
      </c>
    </row>
    <row r="146" spans="2:33" ht="18.75">
      <c r="B146" s="1725"/>
      <c r="C146" s="981" t="s">
        <v>1271</v>
      </c>
      <c r="D146" s="964" t="s">
        <v>44</v>
      </c>
      <c r="E146" s="979" t="s">
        <v>120</v>
      </c>
      <c r="F146" s="189" t="s">
        <v>47</v>
      </c>
      <c r="G146" s="964" t="s">
        <v>44</v>
      </c>
      <c r="H146" s="1621" t="s">
        <v>2613</v>
      </c>
      <c r="I146" s="981" t="s">
        <v>1271</v>
      </c>
      <c r="J146" s="982" t="s">
        <v>29</v>
      </c>
      <c r="K146" s="961" t="s">
        <v>339</v>
      </c>
      <c r="L146" s="52" t="s">
        <v>1673</v>
      </c>
      <c r="M146" s="981" t="s">
        <v>1271</v>
      </c>
      <c r="O146" s="58"/>
      <c r="Q146" s="13" t="s">
        <v>19</v>
      </c>
      <c r="R146" s="13" t="s">
        <v>1</v>
      </c>
      <c r="S146" s="13" t="s">
        <v>2</v>
      </c>
      <c r="T146" s="13" t="s">
        <v>3</v>
      </c>
      <c r="U146" s="13" t="s">
        <v>4</v>
      </c>
      <c r="V146" s="13" t="s">
        <v>5</v>
      </c>
      <c r="W146" s="13" t="s">
        <v>6</v>
      </c>
      <c r="X146" s="13" t="s">
        <v>7</v>
      </c>
      <c r="Y146" s="13" t="s">
        <v>8</v>
      </c>
      <c r="Z146" s="13" t="s">
        <v>9</v>
      </c>
      <c r="AA146" s="13" t="s">
        <v>10</v>
      </c>
      <c r="AB146" s="13" t="s">
        <v>36</v>
      </c>
      <c r="AC146" s="13" t="s">
        <v>37</v>
      </c>
      <c r="AD146" s="13" t="s">
        <v>344</v>
      </c>
      <c r="AF146" s="69" t="s">
        <v>2625</v>
      </c>
    </row>
    <row r="147" spans="2:33">
      <c r="B147" s="1725"/>
      <c r="D147" s="977" t="s">
        <v>1270</v>
      </c>
      <c r="E147" s="422"/>
      <c r="H147" s="1621"/>
      <c r="K147" s="990"/>
      <c r="L147" s="990"/>
      <c r="N147" s="990"/>
      <c r="O147" s="990"/>
      <c r="Q147" s="903" t="s">
        <v>27</v>
      </c>
      <c r="R147" s="930">
        <f t="shared" ref="R147:R174" si="81">IF(COUNTIF(C$59:C$327, $Q147)&gt;0, COUNTIF(C$59:C$327, $Q147)/COUNTIF(C$59:C$327, "*Challenge*"), "")</f>
        <v>0.16666666666666666</v>
      </c>
      <c r="S147" s="930">
        <f t="shared" ref="S147:S174" si="82">IF(COUNTIF(D$59:D$327, $Q147)&gt;0, COUNTIF(D$59:D$327, $Q147)/COUNTIF(D$59:D$327, "*Challenge*"), "")</f>
        <v>0.1111111111111111</v>
      </c>
      <c r="T147" s="930">
        <f t="shared" ref="T147:T174" si="83">IF(COUNTIF(E$59:E$327, $Q147)&gt;0, COUNTIF(E$59:E$327, $Q147)/COUNTIF(E$59:E$327, "*Challenge*"), "")</f>
        <v>0.15789473684210525</v>
      </c>
      <c r="U147" s="930">
        <f t="shared" ref="U147:U174" si="84">IF(COUNTIF(F$59:F$327, $Q147)&gt;0, COUNTIF(F$59:F$327, $Q147)/COUNTIF(F$59:F$327, "*Challenge*"), "")</f>
        <v>0.10810810810810811</v>
      </c>
      <c r="V147" s="930">
        <f t="shared" ref="V147:V174" si="85">IF(COUNTIF(G$59:G$327, $Q147)&gt;0, COUNTIF(G$59:G$327, $Q147)/COUNTIF(G$59:G$327, "*Challenge*"), "")</f>
        <v>0.1111111111111111</v>
      </c>
      <c r="W147" s="930">
        <f t="shared" ref="W147:W174" si="86">IF(COUNTIF(H$59:H$327, $Q147)&gt;0, COUNTIF(H$59:H$327, $Q147)/COUNTIF(H$59:H$327, "*Challenge*"), "")</f>
        <v>0.20512820512820512</v>
      </c>
      <c r="X147" s="930">
        <f t="shared" ref="X147:X174" si="87">IF(COUNTIF(I$59:I$327, $Q147)&gt;0, COUNTIF(I$59:I$327, $Q147)/COUNTIF(I$59:I$327, "*Challenge*"), "")</f>
        <v>0.23684210526315788</v>
      </c>
      <c r="Y147" s="930">
        <f t="shared" ref="Y147:Y174" si="88">IF(COUNTIF(J$59:J$327, $Q147)&gt;0, COUNTIF(J$59:J$327, $Q147)/COUNTIF(J$59:J$327, "*Challenge*"), "")</f>
        <v>0.21621621621621623</v>
      </c>
      <c r="Z147" s="930">
        <f t="shared" ref="Z147:Z174" si="89">IF(COUNTIF(K$59:K$327, $Q147)&gt;0, COUNTIF(K$59:K$327, $Q147)/COUNTIF(K$59:K$327, "*Challenge*"), "")</f>
        <v>9.0909090909090912E-2</v>
      </c>
      <c r="AA147" s="930">
        <f t="shared" ref="AA147:AA174" si="90">IF(COUNTIF(L$59:L$327, $Q147)&gt;0, COUNTIF(L$59:L$327, $Q147)/COUNTIF(L$59:L$327, "*Challenge*"), "")</f>
        <v>0.12121212121212122</v>
      </c>
      <c r="AB147" s="930">
        <f t="shared" ref="AB147:AB158" si="91">IF(COUNTIF(M$59:M$327, $Q147)&gt;0, COUNTIF(M$59:M$327, $Q147)/COUNTIF(M$59:M$327, "*Challenge*"), "")</f>
        <v>0.17241379310344829</v>
      </c>
      <c r="AC147" s="930">
        <f t="shared" ref="AC147:AC174" si="92">IF(COUNTIF(N$59:N$327, $Q147)&gt;0, COUNTIF(N$59:N$327, $Q147)/COUNTIF(N$59:N$327, "*Challenge*"), "")</f>
        <v>9.0909090909090912E-2</v>
      </c>
      <c r="AD147" s="930">
        <f t="shared" ref="AD147:AD174" si="93">IF(COUNTIF(O$59:O$327, $Q147)&gt;0, COUNTIF(O$59:O$327, $Q147)/COUNTIF(O$59:O$327, "*Challenge*"), "")</f>
        <v>0.33333333333333331</v>
      </c>
      <c r="AF147" s="1107" t="s">
        <v>1591</v>
      </c>
      <c r="AG147" s="1107" t="s">
        <v>195</v>
      </c>
    </row>
    <row r="148" spans="2:33" ht="16.5" thickBot="1">
      <c r="B148" s="1726"/>
      <c r="C148" s="1036" t="s">
        <v>189</v>
      </c>
      <c r="D148" s="1036" t="s">
        <v>187</v>
      </c>
      <c r="E148" s="1036" t="s">
        <v>187</v>
      </c>
      <c r="F148" s="1036" t="s">
        <v>192</v>
      </c>
      <c r="G148" s="1036" t="s">
        <v>188</v>
      </c>
      <c r="H148" s="1036" t="s">
        <v>188</v>
      </c>
      <c r="I148" s="1036" t="s">
        <v>189</v>
      </c>
      <c r="J148" s="1036" t="s">
        <v>189</v>
      </c>
      <c r="K148" s="1036" t="s">
        <v>187</v>
      </c>
      <c r="L148" s="1036" t="s">
        <v>190</v>
      </c>
      <c r="M148" s="1036" t="s">
        <v>186</v>
      </c>
      <c r="N148" s="1036"/>
      <c r="O148" s="1036"/>
      <c r="Q148" s="904" t="s">
        <v>1270</v>
      </c>
      <c r="R148" s="931">
        <f t="shared" si="81"/>
        <v>0.16666666666666666</v>
      </c>
      <c r="S148" s="931">
        <f t="shared" si="82"/>
        <v>0.3611111111111111</v>
      </c>
      <c r="T148" s="931">
        <f t="shared" si="83"/>
        <v>0.39473684210526316</v>
      </c>
      <c r="U148" s="931">
        <f t="shared" si="84"/>
        <v>0.32432432432432434</v>
      </c>
      <c r="V148" s="931">
        <f t="shared" si="85"/>
        <v>0.25</v>
      </c>
      <c r="W148" s="931">
        <f t="shared" si="86"/>
        <v>0.28205128205128205</v>
      </c>
      <c r="X148" s="931">
        <f t="shared" si="87"/>
        <v>0.28947368421052633</v>
      </c>
      <c r="Y148" s="931">
        <f t="shared" si="88"/>
        <v>0.32432432432432434</v>
      </c>
      <c r="Z148" s="931">
        <f t="shared" si="89"/>
        <v>0.21212121212121213</v>
      </c>
      <c r="AA148" s="931">
        <f t="shared" si="90"/>
        <v>0.24242424242424243</v>
      </c>
      <c r="AB148" s="931">
        <f t="shared" si="91"/>
        <v>0.13793103448275862</v>
      </c>
      <c r="AC148" s="931">
        <f t="shared" si="92"/>
        <v>0.18181818181818182</v>
      </c>
      <c r="AD148" s="931" t="str">
        <f t="shared" si="93"/>
        <v/>
      </c>
      <c r="AF148" s="954" t="s">
        <v>27</v>
      </c>
      <c r="AG148" s="560">
        <f t="shared" ref="AG148:AG175" si="94">IF(COUNTIF($C$58:$O$327, AF148)&gt;0, COUNTIF($C$58:$O$327, AF148)/COUNTIF($C$58:$O$327, "*Challenge*"), "")</f>
        <v>0.15601023017902813</v>
      </c>
    </row>
    <row r="149" spans="2:33" ht="17.100000000000001" customHeight="1" thickTop="1">
      <c r="B149" s="1724" t="s">
        <v>139</v>
      </c>
      <c r="D149" s="984" t="s">
        <v>24</v>
      </c>
      <c r="E149" s="981" t="s">
        <v>1271</v>
      </c>
      <c r="F149" s="981" t="s">
        <v>1271</v>
      </c>
      <c r="G149" s="984" t="s">
        <v>24</v>
      </c>
      <c r="H149" s="979" t="s">
        <v>120</v>
      </c>
      <c r="I149" s="981" t="s">
        <v>1271</v>
      </c>
      <c r="J149" s="964" t="s">
        <v>44</v>
      </c>
      <c r="K149" s="959" t="s">
        <v>155</v>
      </c>
      <c r="L149" s="962" t="s">
        <v>216</v>
      </c>
      <c r="M149" s="977" t="s">
        <v>1270</v>
      </c>
      <c r="O149" s="58"/>
      <c r="Q149" s="896" t="s">
        <v>43</v>
      </c>
      <c r="R149" s="932" t="str">
        <f t="shared" si="81"/>
        <v/>
      </c>
      <c r="S149" s="932">
        <f t="shared" si="82"/>
        <v>5.5555555555555552E-2</v>
      </c>
      <c r="T149" s="932">
        <f t="shared" si="83"/>
        <v>0.10526315789473684</v>
      </c>
      <c r="U149" s="932">
        <f t="shared" si="84"/>
        <v>0.10810810810810811</v>
      </c>
      <c r="V149" s="932">
        <f t="shared" si="85"/>
        <v>0.1388888888888889</v>
      </c>
      <c r="W149" s="932">
        <f t="shared" si="86"/>
        <v>2.564102564102564E-2</v>
      </c>
      <c r="X149" s="932">
        <f t="shared" si="87"/>
        <v>0.10526315789473684</v>
      </c>
      <c r="Y149" s="932">
        <f t="shared" si="88"/>
        <v>5.4054054054054057E-2</v>
      </c>
      <c r="Z149" s="932">
        <f t="shared" si="89"/>
        <v>6.0606060606060608E-2</v>
      </c>
      <c r="AA149" s="932" t="str">
        <f t="shared" si="90"/>
        <v/>
      </c>
      <c r="AB149" s="932">
        <f t="shared" si="91"/>
        <v>6.8965517241379309E-2</v>
      </c>
      <c r="AC149" s="932">
        <f t="shared" si="92"/>
        <v>0.18181818181818182</v>
      </c>
      <c r="AD149" s="932" t="str">
        <f t="shared" si="93"/>
        <v/>
      </c>
      <c r="AF149" s="904" t="s">
        <v>1270</v>
      </c>
      <c r="AG149" s="560">
        <f t="shared" si="94"/>
        <v>0.27365728900255754</v>
      </c>
    </row>
    <row r="150" spans="2:33">
      <c r="B150" s="1725"/>
      <c r="D150" s="296"/>
      <c r="E150" s="296"/>
      <c r="H150" s="964" t="s">
        <v>44</v>
      </c>
      <c r="I150" s="990"/>
      <c r="J150" s="977" t="s">
        <v>1270</v>
      </c>
      <c r="K150" s="990"/>
      <c r="L150" s="990"/>
      <c r="Q150" s="905" t="s">
        <v>120</v>
      </c>
      <c r="R150" s="933" t="str">
        <f t="shared" si="81"/>
        <v/>
      </c>
      <c r="S150" s="933">
        <f t="shared" si="82"/>
        <v>5.5555555555555552E-2</v>
      </c>
      <c r="T150" s="933">
        <f t="shared" si="83"/>
        <v>0.10526315789473684</v>
      </c>
      <c r="U150" s="933">
        <f t="shared" si="84"/>
        <v>2.7027027027027029E-2</v>
      </c>
      <c r="V150" s="933">
        <f t="shared" si="85"/>
        <v>5.5555555555555552E-2</v>
      </c>
      <c r="W150" s="933">
        <f t="shared" si="86"/>
        <v>5.128205128205128E-2</v>
      </c>
      <c r="X150" s="933">
        <f t="shared" si="87"/>
        <v>0.15789473684210525</v>
      </c>
      <c r="Y150" s="933">
        <f t="shared" si="88"/>
        <v>8.1081081081081086E-2</v>
      </c>
      <c r="Z150" s="933">
        <f t="shared" si="89"/>
        <v>6.0606060606060608E-2</v>
      </c>
      <c r="AA150" s="933">
        <f t="shared" si="90"/>
        <v>3.0303030303030304E-2</v>
      </c>
      <c r="AB150" s="933">
        <f t="shared" si="91"/>
        <v>6.8965517241379309E-2</v>
      </c>
      <c r="AC150" s="933">
        <f t="shared" si="92"/>
        <v>0.18181818181818182</v>
      </c>
      <c r="AD150" s="933">
        <f t="shared" si="93"/>
        <v>0.16666666666666666</v>
      </c>
      <c r="AF150" s="896" t="s">
        <v>43</v>
      </c>
      <c r="AG150" s="560">
        <f t="shared" si="94"/>
        <v>7.1611253196930943E-2</v>
      </c>
    </row>
    <row r="151" spans="2:33" ht="16.5" thickBot="1">
      <c r="B151" s="1725"/>
      <c r="D151" s="296" t="s">
        <v>2612</v>
      </c>
      <c r="E151" s="296" t="s">
        <v>2612</v>
      </c>
      <c r="F151" t="s">
        <v>2612</v>
      </c>
      <c r="G151" t="s">
        <v>2612</v>
      </c>
      <c r="H151" t="s">
        <v>2612</v>
      </c>
      <c r="I151" t="s">
        <v>2612</v>
      </c>
      <c r="J151" t="s">
        <v>2612</v>
      </c>
      <c r="K151" t="s">
        <v>2612</v>
      </c>
      <c r="L151" t="s">
        <v>2612</v>
      </c>
      <c r="M151" t="s">
        <v>2612</v>
      </c>
      <c r="Q151" s="906" t="s">
        <v>47</v>
      </c>
      <c r="R151" s="934">
        <f t="shared" si="81"/>
        <v>0.16666666666666666</v>
      </c>
      <c r="S151" s="934">
        <f t="shared" si="82"/>
        <v>0.1388888888888889</v>
      </c>
      <c r="T151" s="934">
        <f t="shared" si="83"/>
        <v>0.26315789473684209</v>
      </c>
      <c r="U151" s="934">
        <f t="shared" si="84"/>
        <v>0.32432432432432434</v>
      </c>
      <c r="V151" s="934">
        <f t="shared" si="85"/>
        <v>0.19444444444444445</v>
      </c>
      <c r="W151" s="934">
        <f t="shared" si="86"/>
        <v>0.17948717948717949</v>
      </c>
      <c r="X151" s="934">
        <f t="shared" si="87"/>
        <v>0.10526315789473684</v>
      </c>
      <c r="Y151" s="934">
        <f t="shared" si="88"/>
        <v>0.24324324324324326</v>
      </c>
      <c r="Z151" s="934">
        <f t="shared" si="89"/>
        <v>3.0303030303030304E-2</v>
      </c>
      <c r="AA151" s="934">
        <f t="shared" si="90"/>
        <v>0.21212121212121213</v>
      </c>
      <c r="AB151" s="934">
        <f t="shared" si="91"/>
        <v>0.17241379310344829</v>
      </c>
      <c r="AC151" s="934">
        <f t="shared" si="92"/>
        <v>9.0909090909090912E-2</v>
      </c>
      <c r="AD151" s="934" t="str">
        <f t="shared" si="93"/>
        <v/>
      </c>
      <c r="AF151" s="905" t="s">
        <v>120</v>
      </c>
      <c r="AG151" s="560">
        <f t="shared" si="94"/>
        <v>7.1611253196930943E-2</v>
      </c>
    </row>
    <row r="152" spans="2:33" ht="17.100000000000001" customHeight="1" thickBot="1">
      <c r="B152" s="1725"/>
      <c r="D152" s="983" t="s">
        <v>124</v>
      </c>
      <c r="E152" s="981" t="s">
        <v>1271</v>
      </c>
      <c r="F152" s="189" t="s">
        <v>47</v>
      </c>
      <c r="G152" s="984" t="s">
        <v>24</v>
      </c>
      <c r="H152" s="961" t="s">
        <v>339</v>
      </c>
      <c r="I152" s="981" t="s">
        <v>1271</v>
      </c>
      <c r="J152" s="966" t="s">
        <v>73</v>
      </c>
      <c r="K152" s="958" t="s">
        <v>74</v>
      </c>
      <c r="L152" s="962" t="s">
        <v>216</v>
      </c>
      <c r="M152" s="956" t="s">
        <v>109</v>
      </c>
      <c r="O152" s="58"/>
      <c r="Q152" s="907" t="s">
        <v>46</v>
      </c>
      <c r="R152" s="935" t="str">
        <f t="shared" si="81"/>
        <v/>
      </c>
      <c r="S152" s="935">
        <f t="shared" si="82"/>
        <v>8.3333333333333329E-2</v>
      </c>
      <c r="T152" s="935">
        <f t="shared" si="83"/>
        <v>0.13157894736842105</v>
      </c>
      <c r="U152" s="935">
        <f t="shared" si="84"/>
        <v>8.1081081081081086E-2</v>
      </c>
      <c r="V152" s="935">
        <f t="shared" si="85"/>
        <v>0.1111111111111111</v>
      </c>
      <c r="W152" s="935">
        <f t="shared" si="86"/>
        <v>0.12820512820512819</v>
      </c>
      <c r="X152" s="935">
        <f t="shared" si="87"/>
        <v>7.8947368421052627E-2</v>
      </c>
      <c r="Y152" s="935">
        <f t="shared" si="88"/>
        <v>0.10810810810810811</v>
      </c>
      <c r="Z152" s="935">
        <f t="shared" si="89"/>
        <v>3.0303030303030304E-2</v>
      </c>
      <c r="AA152" s="935">
        <f t="shared" si="90"/>
        <v>9.0909090909090912E-2</v>
      </c>
      <c r="AB152" s="935">
        <f t="shared" si="91"/>
        <v>0.13793103448275862</v>
      </c>
      <c r="AC152" s="935" t="str">
        <f t="shared" si="92"/>
        <v/>
      </c>
      <c r="AD152" s="935" t="str">
        <f t="shared" si="93"/>
        <v/>
      </c>
      <c r="AF152" s="906" t="s">
        <v>47</v>
      </c>
      <c r="AG152" s="560">
        <f t="shared" si="94"/>
        <v>0.1815856777493606</v>
      </c>
    </row>
    <row r="153" spans="2:33">
      <c r="B153" s="1725"/>
      <c r="D153" s="964" t="s">
        <v>44</v>
      </c>
      <c r="E153" s="964" t="s">
        <v>44</v>
      </c>
      <c r="H153" s="959" t="s">
        <v>155</v>
      </c>
      <c r="K153" s="956" t="s">
        <v>109</v>
      </c>
      <c r="L153" s="990"/>
      <c r="N153" s="990"/>
      <c r="O153" s="990"/>
      <c r="Q153" s="908" t="s">
        <v>397</v>
      </c>
      <c r="R153" s="936" t="str">
        <f t="shared" si="81"/>
        <v/>
      </c>
      <c r="S153" s="936" t="str">
        <f t="shared" si="82"/>
        <v/>
      </c>
      <c r="T153" s="936">
        <f t="shared" si="83"/>
        <v>2.6315789473684209E-2</v>
      </c>
      <c r="U153" s="936">
        <f t="shared" si="84"/>
        <v>2.7027027027027029E-2</v>
      </c>
      <c r="V153" s="936">
        <f t="shared" si="85"/>
        <v>2.7777777777777776E-2</v>
      </c>
      <c r="W153" s="936" t="str">
        <f t="shared" si="86"/>
        <v/>
      </c>
      <c r="X153" s="936" t="str">
        <f t="shared" si="87"/>
        <v/>
      </c>
      <c r="Y153" s="936">
        <f t="shared" si="88"/>
        <v>2.7027027027027029E-2</v>
      </c>
      <c r="Z153" s="936" t="str">
        <f t="shared" si="89"/>
        <v/>
      </c>
      <c r="AA153" s="936" t="str">
        <f t="shared" si="90"/>
        <v/>
      </c>
      <c r="AB153" s="936" t="str">
        <f t="shared" si="91"/>
        <v/>
      </c>
      <c r="AC153" s="936" t="str">
        <f t="shared" si="92"/>
        <v/>
      </c>
      <c r="AD153" s="936" t="str">
        <f t="shared" si="93"/>
        <v/>
      </c>
      <c r="AF153" s="907" t="s">
        <v>46</v>
      </c>
      <c r="AG153" s="560">
        <f t="shared" si="94"/>
        <v>8.9514066496163683E-2</v>
      </c>
    </row>
    <row r="154" spans="2:33" ht="16.5" thickBot="1">
      <c r="B154" s="1726"/>
      <c r="C154" s="1036"/>
      <c r="D154" s="1036" t="s">
        <v>188</v>
      </c>
      <c r="E154" s="1036" t="s">
        <v>188</v>
      </c>
      <c r="F154" s="1036" t="s">
        <v>187</v>
      </c>
      <c r="G154" s="1036" t="s">
        <v>186</v>
      </c>
      <c r="H154" s="1036" t="s">
        <v>190</v>
      </c>
      <c r="I154" s="1036" t="s">
        <v>188</v>
      </c>
      <c r="J154" s="1036" t="s">
        <v>188</v>
      </c>
      <c r="K154" s="1036" t="s">
        <v>189</v>
      </c>
      <c r="L154" s="1036" t="s">
        <v>188</v>
      </c>
      <c r="M154" s="1036" t="s">
        <v>188</v>
      </c>
      <c r="N154" s="1036"/>
      <c r="O154" s="1036"/>
      <c r="Q154" s="909" t="s">
        <v>155</v>
      </c>
      <c r="R154" s="937">
        <f t="shared" si="81"/>
        <v>5.5555555555555552E-2</v>
      </c>
      <c r="S154" s="937">
        <f t="shared" si="82"/>
        <v>0.1111111111111111</v>
      </c>
      <c r="T154" s="937">
        <f t="shared" si="83"/>
        <v>0.13157894736842105</v>
      </c>
      <c r="U154" s="937">
        <f t="shared" si="84"/>
        <v>0.16216216216216217</v>
      </c>
      <c r="V154" s="937">
        <f t="shared" si="85"/>
        <v>8.3333333333333329E-2</v>
      </c>
      <c r="W154" s="937">
        <f t="shared" si="86"/>
        <v>2.564102564102564E-2</v>
      </c>
      <c r="X154" s="937">
        <f t="shared" si="87"/>
        <v>0.13157894736842105</v>
      </c>
      <c r="Y154" s="937">
        <f t="shared" si="88"/>
        <v>5.4054054054054057E-2</v>
      </c>
      <c r="Z154" s="937">
        <f t="shared" si="89"/>
        <v>6.0606060606060608E-2</v>
      </c>
      <c r="AA154" s="937">
        <f t="shared" si="90"/>
        <v>3.0303030303030304E-2</v>
      </c>
      <c r="AB154" s="937">
        <f t="shared" si="91"/>
        <v>3.4482758620689655E-2</v>
      </c>
      <c r="AC154" s="937" t="str">
        <f t="shared" si="92"/>
        <v/>
      </c>
      <c r="AD154" s="937" t="str">
        <f t="shared" si="93"/>
        <v/>
      </c>
      <c r="AF154" s="908" t="s">
        <v>397</v>
      </c>
      <c r="AG154" s="560">
        <f t="shared" si="94"/>
        <v>1.0230179028132993E-2</v>
      </c>
    </row>
    <row r="155" spans="2:33" ht="17.100000000000001" customHeight="1" thickTop="1">
      <c r="B155" s="1724" t="s">
        <v>140</v>
      </c>
      <c r="E155" s="981" t="s">
        <v>1271</v>
      </c>
      <c r="F155" s="961" t="s">
        <v>339</v>
      </c>
      <c r="G155" s="189" t="s">
        <v>47</v>
      </c>
      <c r="H155" s="1009" t="s">
        <v>114</v>
      </c>
      <c r="I155" s="979" t="s">
        <v>120</v>
      </c>
      <c r="J155" s="981" t="s">
        <v>1271</v>
      </c>
      <c r="K155" s="974" t="s">
        <v>1269</v>
      </c>
      <c r="L155" s="422" t="s">
        <v>1673</v>
      </c>
      <c r="M155" s="981" t="s">
        <v>1271</v>
      </c>
      <c r="O155" s="58"/>
      <c r="Q155" s="897" t="s">
        <v>24</v>
      </c>
      <c r="R155" s="938">
        <f t="shared" si="81"/>
        <v>5.5555555555555552E-2</v>
      </c>
      <c r="S155" s="938">
        <f t="shared" si="82"/>
        <v>8.3333333333333329E-2</v>
      </c>
      <c r="T155" s="938">
        <f t="shared" si="83"/>
        <v>5.2631578947368418E-2</v>
      </c>
      <c r="U155" s="938">
        <f t="shared" si="84"/>
        <v>2.7027027027027029E-2</v>
      </c>
      <c r="V155" s="938">
        <f t="shared" si="85"/>
        <v>0.25</v>
      </c>
      <c r="W155" s="938">
        <f t="shared" si="86"/>
        <v>5.128205128205128E-2</v>
      </c>
      <c r="X155" s="938">
        <f t="shared" si="87"/>
        <v>0.10526315789473684</v>
      </c>
      <c r="Y155" s="938">
        <f t="shared" si="88"/>
        <v>2.7027027027027029E-2</v>
      </c>
      <c r="Z155" s="938">
        <f t="shared" si="89"/>
        <v>9.0909090909090912E-2</v>
      </c>
      <c r="AA155" s="938">
        <f t="shared" si="90"/>
        <v>0.12121212121212122</v>
      </c>
      <c r="AB155" s="938">
        <f t="shared" si="91"/>
        <v>3.4482758620689655E-2</v>
      </c>
      <c r="AC155" s="938">
        <f t="shared" si="92"/>
        <v>0.18181818181818182</v>
      </c>
      <c r="AD155" s="938">
        <f t="shared" si="93"/>
        <v>0.66666666666666663</v>
      </c>
      <c r="AF155" s="909" t="s">
        <v>155</v>
      </c>
      <c r="AG155" s="560">
        <f t="shared" si="94"/>
        <v>7.9283887468030695E-2</v>
      </c>
    </row>
    <row r="156" spans="2:33" ht="17.100000000000001" customHeight="1">
      <c r="B156" s="1725"/>
      <c r="E156" s="58"/>
      <c r="H156" s="990"/>
      <c r="I156" s="962" t="s">
        <v>216</v>
      </c>
      <c r="J156" s="990"/>
      <c r="K156" s="990"/>
      <c r="L156" s="422"/>
      <c r="O156" s="58"/>
      <c r="Q156" s="910" t="s">
        <v>23</v>
      </c>
      <c r="R156" s="939" t="str">
        <f t="shared" si="81"/>
        <v/>
      </c>
      <c r="S156" s="939" t="str">
        <f t="shared" si="82"/>
        <v/>
      </c>
      <c r="T156" s="939" t="str">
        <f t="shared" si="83"/>
        <v/>
      </c>
      <c r="U156" s="939" t="str">
        <f t="shared" si="84"/>
        <v/>
      </c>
      <c r="V156" s="939" t="str">
        <f t="shared" si="85"/>
        <v/>
      </c>
      <c r="W156" s="939" t="str">
        <f t="shared" si="86"/>
        <v/>
      </c>
      <c r="X156" s="939" t="str">
        <f t="shared" si="87"/>
        <v/>
      </c>
      <c r="Y156" s="939" t="str">
        <f t="shared" si="88"/>
        <v/>
      </c>
      <c r="Z156" s="939" t="str">
        <f t="shared" si="89"/>
        <v/>
      </c>
      <c r="AA156" s="939" t="str">
        <f t="shared" si="90"/>
        <v/>
      </c>
      <c r="AB156" s="939" t="str">
        <f t="shared" si="91"/>
        <v/>
      </c>
      <c r="AC156" s="939" t="str">
        <f t="shared" si="92"/>
        <v/>
      </c>
      <c r="AD156" s="939" t="str">
        <f t="shared" si="93"/>
        <v/>
      </c>
      <c r="AF156" s="897" t="s">
        <v>24</v>
      </c>
      <c r="AG156" s="560">
        <f t="shared" si="94"/>
        <v>9.4629156010230184E-2</v>
      </c>
    </row>
    <row r="157" spans="2:33">
      <c r="B157" s="1725"/>
      <c r="E157" s="58"/>
      <c r="H157" s="990"/>
      <c r="I157" s="974" t="s">
        <v>1269</v>
      </c>
      <c r="J157" s="990"/>
      <c r="K157" s="990"/>
      <c r="L157" s="990"/>
      <c r="Q157" s="895" t="s">
        <v>29</v>
      </c>
      <c r="R157" s="935" t="str">
        <f>IF(COUNTIF(C$59:C$327, $Q157)&gt;0, COUNTIF(C$59:C$327, $Q157)/COUNTIF(C$59:C$327, "*Challenge*"), "")</f>
        <v/>
      </c>
      <c r="S157" s="935">
        <f t="shared" si="82"/>
        <v>2.7777777777777776E-2</v>
      </c>
      <c r="T157" s="935">
        <f t="shared" si="83"/>
        <v>2.6315789473684209E-2</v>
      </c>
      <c r="U157" s="935">
        <f t="shared" si="84"/>
        <v>0.13513513513513514</v>
      </c>
      <c r="V157" s="935" t="str">
        <f t="shared" si="85"/>
        <v/>
      </c>
      <c r="W157" s="935">
        <f t="shared" si="86"/>
        <v>2.564102564102564E-2</v>
      </c>
      <c r="X157" s="935">
        <f t="shared" si="87"/>
        <v>7.8947368421052627E-2</v>
      </c>
      <c r="Y157" s="935">
        <f t="shared" si="88"/>
        <v>8.1081081081081086E-2</v>
      </c>
      <c r="Z157" s="935">
        <f t="shared" si="89"/>
        <v>6.0606060606060608E-2</v>
      </c>
      <c r="AA157" s="935">
        <f t="shared" si="90"/>
        <v>6.0606060606060608E-2</v>
      </c>
      <c r="AB157" s="935">
        <f t="shared" si="91"/>
        <v>6.8965517241379309E-2</v>
      </c>
      <c r="AC157" s="935" t="str">
        <f t="shared" si="92"/>
        <v/>
      </c>
      <c r="AD157" s="935" t="str">
        <f t="shared" si="93"/>
        <v/>
      </c>
      <c r="AF157" s="910" t="s">
        <v>23</v>
      </c>
      <c r="AG157" s="560" t="str">
        <f t="shared" si="94"/>
        <v/>
      </c>
    </row>
    <row r="158" spans="2:33">
      <c r="B158" s="1725"/>
      <c r="D158" s="148"/>
      <c r="E158" s="148" t="s">
        <v>2612</v>
      </c>
      <c r="F158" s="148" t="s">
        <v>2612</v>
      </c>
      <c r="G158" s="148" t="s">
        <v>2612</v>
      </c>
      <c r="H158" s="148" t="s">
        <v>2612</v>
      </c>
      <c r="I158" s="148" t="s">
        <v>2612</v>
      </c>
      <c r="J158" s="148" t="s">
        <v>2612</v>
      </c>
      <c r="K158" s="148" t="s">
        <v>2612</v>
      </c>
      <c r="L158" s="148" t="s">
        <v>2612</v>
      </c>
      <c r="M158" s="148" t="s">
        <v>2612</v>
      </c>
      <c r="N158" s="148"/>
      <c r="Q158" s="911" t="s">
        <v>93</v>
      </c>
      <c r="R158" s="935" t="str">
        <f t="shared" si="81"/>
        <v/>
      </c>
      <c r="S158" s="935" t="str">
        <f t="shared" si="82"/>
        <v/>
      </c>
      <c r="T158" s="935" t="str">
        <f t="shared" si="83"/>
        <v/>
      </c>
      <c r="U158" s="935" t="str">
        <f t="shared" si="84"/>
        <v/>
      </c>
      <c r="V158" s="935" t="str">
        <f t="shared" si="85"/>
        <v/>
      </c>
      <c r="W158" s="935" t="str">
        <f t="shared" si="86"/>
        <v/>
      </c>
      <c r="X158" s="935" t="str">
        <f t="shared" si="87"/>
        <v/>
      </c>
      <c r="Y158" s="935" t="str">
        <f t="shared" si="88"/>
        <v/>
      </c>
      <c r="Z158" s="935" t="str">
        <f t="shared" si="89"/>
        <v/>
      </c>
      <c r="AA158" s="935" t="str">
        <f t="shared" si="90"/>
        <v/>
      </c>
      <c r="AB158" s="935" t="str">
        <f t="shared" si="91"/>
        <v/>
      </c>
      <c r="AC158" s="935" t="str">
        <f t="shared" si="92"/>
        <v/>
      </c>
      <c r="AD158" s="935" t="str">
        <f t="shared" si="93"/>
        <v/>
      </c>
      <c r="AF158" s="895" t="s">
        <v>29</v>
      </c>
      <c r="AG158" s="560">
        <f t="shared" si="94"/>
        <v>5.1150895140664961E-2</v>
      </c>
    </row>
    <row r="159" spans="2:33">
      <c r="B159" s="1725"/>
      <c r="E159" s="964" t="s">
        <v>44</v>
      </c>
      <c r="F159" s="964" t="s">
        <v>44</v>
      </c>
      <c r="G159" s="964" t="s">
        <v>44</v>
      </c>
      <c r="H159" s="189" t="s">
        <v>47</v>
      </c>
      <c r="I159" s="959" t="s">
        <v>155</v>
      </c>
      <c r="J159" s="956" t="s">
        <v>109</v>
      </c>
      <c r="K159" s="974" t="s">
        <v>1269</v>
      </c>
      <c r="L159" s="981" t="s">
        <v>1271</v>
      </c>
      <c r="M159" s="981" t="s">
        <v>1271</v>
      </c>
      <c r="O159" s="58"/>
      <c r="Q159" s="912" t="s">
        <v>1269</v>
      </c>
      <c r="R159" s="940">
        <f t="shared" si="81"/>
        <v>0.1111111111111111</v>
      </c>
      <c r="S159" s="940">
        <f t="shared" si="82"/>
        <v>8.3333333333333329E-2</v>
      </c>
      <c r="T159" s="940">
        <f t="shared" si="83"/>
        <v>0.13157894736842105</v>
      </c>
      <c r="U159" s="940">
        <f t="shared" si="84"/>
        <v>0.16216216216216217</v>
      </c>
      <c r="V159" s="940" t="str">
        <f t="shared" si="85"/>
        <v/>
      </c>
      <c r="W159" s="940">
        <f t="shared" si="86"/>
        <v>7.6923076923076927E-2</v>
      </c>
      <c r="X159" s="940">
        <f t="shared" si="87"/>
        <v>0.18421052631578946</v>
      </c>
      <c r="Y159" s="940">
        <f t="shared" si="88"/>
        <v>2.7027027027027029E-2</v>
      </c>
      <c r="Z159" s="940">
        <f t="shared" si="89"/>
        <v>0.21212121212121213</v>
      </c>
      <c r="AA159" s="940">
        <f t="shared" si="90"/>
        <v>3.0303030303030304E-2</v>
      </c>
      <c r="AB159" s="940">
        <f>IF(COUNTIF(M$59:M$327, $Q159)&gt;0, COUNTIF(M$59:M$327, $Q159)/COUNTIF(M$59:M$327, "*Challenge*"), "")</f>
        <v>0.13793103448275862</v>
      </c>
      <c r="AC159" s="940">
        <f t="shared" si="92"/>
        <v>9.0909090909090912E-2</v>
      </c>
      <c r="AD159" s="940">
        <f t="shared" si="93"/>
        <v>0.16666666666666666</v>
      </c>
      <c r="AF159" s="911" t="s">
        <v>93</v>
      </c>
      <c r="AG159" s="560" t="str">
        <f t="shared" si="94"/>
        <v/>
      </c>
    </row>
    <row r="160" spans="2:33">
      <c r="B160" s="1725"/>
      <c r="E160" s="993" t="s">
        <v>20</v>
      </c>
      <c r="I160" s="982" t="s">
        <v>29</v>
      </c>
      <c r="K160" s="990"/>
      <c r="L160" s="990"/>
      <c r="N160" s="990"/>
      <c r="O160" s="990"/>
      <c r="Q160" s="913" t="s">
        <v>26</v>
      </c>
      <c r="R160" s="941">
        <f t="shared" si="81"/>
        <v>0.27777777777777779</v>
      </c>
      <c r="S160" s="941">
        <f t="shared" si="82"/>
        <v>2.7777777777777776E-2</v>
      </c>
      <c r="T160" s="941">
        <f t="shared" si="83"/>
        <v>5.2631578947368418E-2</v>
      </c>
      <c r="U160" s="941">
        <f t="shared" si="84"/>
        <v>2.7027027027027029E-2</v>
      </c>
      <c r="V160" s="941">
        <f t="shared" si="85"/>
        <v>8.3333333333333329E-2</v>
      </c>
      <c r="W160" s="941">
        <f t="shared" si="86"/>
        <v>5.128205128205128E-2</v>
      </c>
      <c r="X160" s="941">
        <f t="shared" si="87"/>
        <v>2.6315789473684209E-2</v>
      </c>
      <c r="Y160" s="941">
        <f t="shared" si="88"/>
        <v>2.7027027027027029E-2</v>
      </c>
      <c r="Z160" s="941">
        <f t="shared" si="89"/>
        <v>9.0909090909090912E-2</v>
      </c>
      <c r="AA160" s="941">
        <f t="shared" si="90"/>
        <v>9.0909090909090912E-2</v>
      </c>
      <c r="AB160" s="941">
        <f t="shared" ref="AB160:AB174" si="95">IF(COUNTIF(M$59:M$327, $Q160)&gt;0, COUNTIF(M$59:M$327, $Q160)/COUNTIF(M$59:M$327, "*Challenge*"), "")</f>
        <v>0.10344827586206896</v>
      </c>
      <c r="AC160" s="941" t="str">
        <f t="shared" si="92"/>
        <v/>
      </c>
      <c r="AD160" s="941">
        <f t="shared" si="93"/>
        <v>0.33333333333333331</v>
      </c>
      <c r="AF160" s="912" t="s">
        <v>1269</v>
      </c>
      <c r="AG160" s="560">
        <f t="shared" si="94"/>
        <v>0.10485933503836317</v>
      </c>
    </row>
    <row r="161" spans="2:33" ht="16.5" thickBot="1">
      <c r="B161" s="1726"/>
      <c r="C161" s="1036"/>
      <c r="D161" s="1036"/>
      <c r="E161" s="1036" t="s">
        <v>187</v>
      </c>
      <c r="F161" s="1036" t="s">
        <v>187</v>
      </c>
      <c r="G161" s="1036" t="s">
        <v>190</v>
      </c>
      <c r="H161" s="1036" t="s">
        <v>188</v>
      </c>
      <c r="I161" s="1036" t="s">
        <v>189</v>
      </c>
      <c r="J161" s="1036" t="s">
        <v>188</v>
      </c>
      <c r="K161" s="1036" t="s">
        <v>189</v>
      </c>
      <c r="L161" s="1036" t="s">
        <v>187</v>
      </c>
      <c r="M161" s="1036" t="s">
        <v>192</v>
      </c>
      <c r="N161" s="1036"/>
      <c r="O161" s="1036"/>
      <c r="Q161" s="914" t="s">
        <v>109</v>
      </c>
      <c r="R161" s="942" t="str">
        <f t="shared" si="81"/>
        <v/>
      </c>
      <c r="S161" s="942">
        <f t="shared" si="82"/>
        <v>5.5555555555555552E-2</v>
      </c>
      <c r="T161" s="942">
        <f t="shared" si="83"/>
        <v>5.2631578947368418E-2</v>
      </c>
      <c r="U161" s="942">
        <f t="shared" si="84"/>
        <v>2.7027027027027029E-2</v>
      </c>
      <c r="V161" s="942">
        <f t="shared" si="85"/>
        <v>5.5555555555555552E-2</v>
      </c>
      <c r="W161" s="942">
        <f t="shared" si="86"/>
        <v>7.6923076923076927E-2</v>
      </c>
      <c r="X161" s="942">
        <f t="shared" si="87"/>
        <v>0.10526315789473684</v>
      </c>
      <c r="Y161" s="942">
        <f t="shared" si="88"/>
        <v>5.4054054054054057E-2</v>
      </c>
      <c r="Z161" s="942">
        <f t="shared" si="89"/>
        <v>3.0303030303030304E-2</v>
      </c>
      <c r="AA161" s="942">
        <f t="shared" si="90"/>
        <v>3.0303030303030304E-2</v>
      </c>
      <c r="AB161" s="942">
        <f t="shared" si="95"/>
        <v>0.10344827586206896</v>
      </c>
      <c r="AC161" s="942" t="str">
        <f t="shared" si="92"/>
        <v/>
      </c>
      <c r="AD161" s="942" t="str">
        <f t="shared" si="93"/>
        <v/>
      </c>
      <c r="AF161" s="913" t="s">
        <v>26</v>
      </c>
      <c r="AG161" s="560">
        <f t="shared" si="94"/>
        <v>6.9053708439897693E-2</v>
      </c>
    </row>
    <row r="162" spans="2:33" ht="16.5" thickTop="1">
      <c r="B162" s="1724" t="s">
        <v>141</v>
      </c>
      <c r="D162" s="967" t="s">
        <v>27</v>
      </c>
      <c r="E162" s="974" t="s">
        <v>1269</v>
      </c>
      <c r="F162" s="974" t="s">
        <v>1269</v>
      </c>
      <c r="G162" s="984" t="s">
        <v>24</v>
      </c>
      <c r="H162" s="956" t="s">
        <v>109</v>
      </c>
      <c r="I162" s="189" t="s">
        <v>47</v>
      </c>
      <c r="J162" s="967" t="s">
        <v>27</v>
      </c>
      <c r="K162" s="981" t="s">
        <v>1271</v>
      </c>
      <c r="L162" s="970" t="s">
        <v>68</v>
      </c>
      <c r="M162" s="990"/>
      <c r="N162" s="964" t="s">
        <v>44</v>
      </c>
      <c r="O162" s="58"/>
      <c r="Q162" s="915" t="s">
        <v>114</v>
      </c>
      <c r="R162" s="943" t="str">
        <f t="shared" si="81"/>
        <v/>
      </c>
      <c r="S162" s="943">
        <f t="shared" si="82"/>
        <v>2.7777777777777776E-2</v>
      </c>
      <c r="T162" s="943">
        <f t="shared" si="83"/>
        <v>2.6315789473684209E-2</v>
      </c>
      <c r="U162" s="943" t="str">
        <f t="shared" si="84"/>
        <v/>
      </c>
      <c r="V162" s="943" t="str">
        <f t="shared" si="85"/>
        <v/>
      </c>
      <c r="W162" s="943">
        <f t="shared" si="86"/>
        <v>5.128205128205128E-2</v>
      </c>
      <c r="X162" s="943" t="str">
        <f t="shared" si="87"/>
        <v/>
      </c>
      <c r="Y162" s="943" t="str">
        <f t="shared" si="88"/>
        <v/>
      </c>
      <c r="Z162" s="943" t="str">
        <f t="shared" si="89"/>
        <v/>
      </c>
      <c r="AA162" s="943">
        <f t="shared" si="90"/>
        <v>3.0303030303030304E-2</v>
      </c>
      <c r="AB162" s="943" t="str">
        <f t="shared" si="95"/>
        <v/>
      </c>
      <c r="AC162" s="943" t="str">
        <f t="shared" si="92"/>
        <v/>
      </c>
      <c r="AD162" s="943" t="str">
        <f t="shared" si="93"/>
        <v/>
      </c>
      <c r="AF162" s="914" t="s">
        <v>109</v>
      </c>
      <c r="AG162" s="560">
        <f t="shared" si="94"/>
        <v>5.3708439897698211E-2</v>
      </c>
    </row>
    <row r="163" spans="2:33">
      <c r="B163" s="1725"/>
      <c r="E163" s="58"/>
      <c r="H163" s="990"/>
      <c r="I163" s="990"/>
      <c r="J163" s="990"/>
      <c r="K163" s="990"/>
      <c r="L163" s="990"/>
      <c r="Q163" s="916" t="s">
        <v>1272</v>
      </c>
      <c r="R163" s="944">
        <f t="shared" si="81"/>
        <v>5.5555555555555552E-2</v>
      </c>
      <c r="S163" s="944">
        <f t="shared" si="82"/>
        <v>2.7777777777777776E-2</v>
      </c>
      <c r="T163" s="944">
        <f t="shared" si="83"/>
        <v>2.6315789473684209E-2</v>
      </c>
      <c r="U163" s="944">
        <f t="shared" si="84"/>
        <v>2.7027027027027029E-2</v>
      </c>
      <c r="V163" s="944">
        <f t="shared" si="85"/>
        <v>8.3333333333333329E-2</v>
      </c>
      <c r="W163" s="944">
        <f t="shared" si="86"/>
        <v>5.128205128205128E-2</v>
      </c>
      <c r="X163" s="944">
        <f t="shared" si="87"/>
        <v>0.18421052631578946</v>
      </c>
      <c r="Y163" s="944">
        <f t="shared" si="88"/>
        <v>2.7027027027027029E-2</v>
      </c>
      <c r="Z163" s="944">
        <f t="shared" si="89"/>
        <v>6.0606060606060608E-2</v>
      </c>
      <c r="AA163" s="944">
        <f t="shared" si="90"/>
        <v>6.0606060606060608E-2</v>
      </c>
      <c r="AB163" s="944">
        <f t="shared" si="95"/>
        <v>6.8965517241379309E-2</v>
      </c>
      <c r="AC163" s="944" t="str">
        <f t="shared" si="92"/>
        <v/>
      </c>
      <c r="AD163" s="944" t="str">
        <f t="shared" si="93"/>
        <v/>
      </c>
      <c r="AF163" s="915" t="s">
        <v>114</v>
      </c>
      <c r="AG163" s="560">
        <f t="shared" si="94"/>
        <v>1.278772378516624E-2</v>
      </c>
    </row>
    <row r="164" spans="2:33">
      <c r="B164" s="1725"/>
      <c r="D164" t="s">
        <v>2612</v>
      </c>
      <c r="E164" t="s">
        <v>2612</v>
      </c>
      <c r="F164" t="s">
        <v>2612</v>
      </c>
      <c r="G164" t="s">
        <v>2612</v>
      </c>
      <c r="H164" t="s">
        <v>2612</v>
      </c>
      <c r="I164" t="s">
        <v>2612</v>
      </c>
      <c r="J164" t="s">
        <v>2612</v>
      </c>
      <c r="K164" t="s">
        <v>2612</v>
      </c>
      <c r="L164" t="s">
        <v>2612</v>
      </c>
      <c r="M164" s="990"/>
      <c r="N164" t="s">
        <v>2612</v>
      </c>
      <c r="Q164" s="917" t="s">
        <v>68</v>
      </c>
      <c r="R164" s="945" t="str">
        <f t="shared" si="81"/>
        <v/>
      </c>
      <c r="S164" s="945">
        <f t="shared" si="82"/>
        <v>8.3333333333333329E-2</v>
      </c>
      <c r="T164" s="945" t="str">
        <f t="shared" si="83"/>
        <v/>
      </c>
      <c r="U164" s="945">
        <f t="shared" si="84"/>
        <v>2.7027027027027029E-2</v>
      </c>
      <c r="V164" s="945">
        <f t="shared" si="85"/>
        <v>2.7777777777777776E-2</v>
      </c>
      <c r="W164" s="945">
        <f t="shared" si="86"/>
        <v>2.564102564102564E-2</v>
      </c>
      <c r="X164" s="945">
        <f t="shared" si="87"/>
        <v>7.8947368421052627E-2</v>
      </c>
      <c r="Y164" s="945">
        <f t="shared" si="88"/>
        <v>8.1081081081081086E-2</v>
      </c>
      <c r="Z164" s="945">
        <f t="shared" si="89"/>
        <v>3.0303030303030304E-2</v>
      </c>
      <c r="AA164" s="945">
        <f t="shared" si="90"/>
        <v>3.0303030303030304E-2</v>
      </c>
      <c r="AB164" s="945" t="str">
        <f t="shared" si="95"/>
        <v/>
      </c>
      <c r="AC164" s="945" t="str">
        <f t="shared" si="92"/>
        <v/>
      </c>
      <c r="AD164" s="945" t="str">
        <f t="shared" si="93"/>
        <v/>
      </c>
      <c r="AF164" s="916" t="s">
        <v>1272</v>
      </c>
      <c r="AG164" s="560">
        <f t="shared" si="94"/>
        <v>5.8823529411764705E-2</v>
      </c>
    </row>
    <row r="165" spans="2:33">
      <c r="B165" s="1725"/>
      <c r="D165" s="962" t="s">
        <v>216</v>
      </c>
      <c r="E165" s="955" t="s">
        <v>234</v>
      </c>
      <c r="F165" s="982" t="s">
        <v>29</v>
      </c>
      <c r="G165" s="984" t="s">
        <v>24</v>
      </c>
      <c r="H165" s="981" t="s">
        <v>1271</v>
      </c>
      <c r="I165" s="964" t="s">
        <v>44</v>
      </c>
      <c r="J165" s="967" t="s">
        <v>27</v>
      </c>
      <c r="K165" s="960" t="s">
        <v>43</v>
      </c>
      <c r="L165" s="961" t="s">
        <v>339</v>
      </c>
      <c r="M165" s="990"/>
      <c r="N165" s="981" t="s">
        <v>1271</v>
      </c>
      <c r="O165" s="58"/>
      <c r="Q165" s="918" t="s">
        <v>234</v>
      </c>
      <c r="R165" s="931" t="str">
        <f t="shared" si="81"/>
        <v/>
      </c>
      <c r="S165" s="931">
        <f t="shared" si="82"/>
        <v>8.3333333333333329E-2</v>
      </c>
      <c r="T165" s="931">
        <f t="shared" si="83"/>
        <v>5.2631578947368418E-2</v>
      </c>
      <c r="U165" s="931">
        <f t="shared" si="84"/>
        <v>2.7027027027027029E-2</v>
      </c>
      <c r="V165" s="931">
        <f t="shared" si="85"/>
        <v>2.7777777777777776E-2</v>
      </c>
      <c r="W165" s="931" t="str">
        <f t="shared" si="86"/>
        <v/>
      </c>
      <c r="X165" s="931">
        <f t="shared" si="87"/>
        <v>0.15789473684210525</v>
      </c>
      <c r="Y165" s="931">
        <f t="shared" si="88"/>
        <v>5.4054054054054057E-2</v>
      </c>
      <c r="Z165" s="931" t="str">
        <f t="shared" si="89"/>
        <v/>
      </c>
      <c r="AA165" s="931">
        <f t="shared" si="90"/>
        <v>3.0303030303030304E-2</v>
      </c>
      <c r="AB165" s="931" t="str">
        <f t="shared" si="95"/>
        <v/>
      </c>
      <c r="AC165" s="931">
        <f t="shared" si="92"/>
        <v>9.0909090909090912E-2</v>
      </c>
      <c r="AD165" s="931">
        <f t="shared" si="93"/>
        <v>0.16666666666666666</v>
      </c>
      <c r="AF165" s="917" t="s">
        <v>68</v>
      </c>
      <c r="AG165" s="560">
        <f t="shared" si="94"/>
        <v>3.5805626598465472E-2</v>
      </c>
    </row>
    <row r="166" spans="2:33">
      <c r="B166" s="1725"/>
      <c r="E166" s="981" t="s">
        <v>1271</v>
      </c>
      <c r="L166" s="990"/>
      <c r="N166" s="990"/>
      <c r="O166" s="990"/>
      <c r="Q166" s="919" t="s">
        <v>124</v>
      </c>
      <c r="R166" s="946" t="str">
        <f t="shared" si="81"/>
        <v/>
      </c>
      <c r="S166" s="946">
        <f t="shared" si="82"/>
        <v>5.5555555555555552E-2</v>
      </c>
      <c r="T166" s="946">
        <f t="shared" si="83"/>
        <v>5.2631578947368418E-2</v>
      </c>
      <c r="U166" s="946">
        <f t="shared" si="84"/>
        <v>5.4054054054054057E-2</v>
      </c>
      <c r="V166" s="946" t="str">
        <f t="shared" si="85"/>
        <v/>
      </c>
      <c r="W166" s="946">
        <f t="shared" si="86"/>
        <v>2.564102564102564E-2</v>
      </c>
      <c r="X166" s="946" t="str">
        <f t="shared" si="87"/>
        <v/>
      </c>
      <c r="Y166" s="946" t="str">
        <f t="shared" si="88"/>
        <v/>
      </c>
      <c r="Z166" s="946">
        <f t="shared" si="89"/>
        <v>3.0303030303030304E-2</v>
      </c>
      <c r="AA166" s="946">
        <f t="shared" si="90"/>
        <v>6.0606060606060608E-2</v>
      </c>
      <c r="AB166" s="946">
        <f t="shared" si="95"/>
        <v>6.8965517241379309E-2</v>
      </c>
      <c r="AC166" s="946" t="str">
        <f t="shared" si="92"/>
        <v/>
      </c>
      <c r="AD166" s="946" t="str">
        <f t="shared" si="93"/>
        <v/>
      </c>
      <c r="AF166" s="918" t="s">
        <v>234</v>
      </c>
      <c r="AG166" s="560">
        <f t="shared" si="94"/>
        <v>4.6035805626598467E-2</v>
      </c>
    </row>
    <row r="167" spans="2:33" ht="16.5" thickBot="1">
      <c r="B167" s="1726"/>
      <c r="C167" s="1036"/>
      <c r="D167" s="1036" t="s">
        <v>186</v>
      </c>
      <c r="E167" s="1036" t="s">
        <v>189</v>
      </c>
      <c r="F167" s="1036" t="s">
        <v>188</v>
      </c>
      <c r="G167" s="1036" t="s">
        <v>188</v>
      </c>
      <c r="H167" s="1036" t="s">
        <v>188</v>
      </c>
      <c r="I167" s="1036" t="s">
        <v>189</v>
      </c>
      <c r="J167" s="1036" t="s">
        <v>187</v>
      </c>
      <c r="K167" s="1036" t="s">
        <v>186</v>
      </c>
      <c r="L167" s="1036" t="s">
        <v>187</v>
      </c>
      <c r="M167" s="1036"/>
      <c r="N167" s="1036" t="s">
        <v>190</v>
      </c>
      <c r="O167" s="1036"/>
      <c r="Q167" s="920" t="s">
        <v>74</v>
      </c>
      <c r="R167" s="947" t="str">
        <f t="shared" si="81"/>
        <v/>
      </c>
      <c r="S167" s="947">
        <f t="shared" si="82"/>
        <v>2.7777777777777776E-2</v>
      </c>
      <c r="T167" s="947" t="str">
        <f t="shared" si="83"/>
        <v/>
      </c>
      <c r="U167" s="947">
        <f t="shared" si="84"/>
        <v>2.7027027027027029E-2</v>
      </c>
      <c r="V167" s="947">
        <f t="shared" si="85"/>
        <v>2.7777777777777776E-2</v>
      </c>
      <c r="W167" s="947">
        <f t="shared" si="86"/>
        <v>2.564102564102564E-2</v>
      </c>
      <c r="X167" s="947">
        <f t="shared" si="87"/>
        <v>5.2631578947368418E-2</v>
      </c>
      <c r="Y167" s="947" t="str">
        <f t="shared" si="88"/>
        <v/>
      </c>
      <c r="Z167" s="947">
        <f t="shared" si="89"/>
        <v>6.0606060606060608E-2</v>
      </c>
      <c r="AA167" s="947" t="str">
        <f t="shared" si="90"/>
        <v/>
      </c>
      <c r="AB167" s="947">
        <f t="shared" si="95"/>
        <v>6.8965517241379309E-2</v>
      </c>
      <c r="AC167" s="947" t="str">
        <f t="shared" si="92"/>
        <v/>
      </c>
      <c r="AD167" s="947" t="str">
        <f t="shared" si="93"/>
        <v/>
      </c>
      <c r="AF167" s="919" t="s">
        <v>124</v>
      </c>
      <c r="AG167" s="560">
        <f t="shared" si="94"/>
        <v>3.0690537084398978E-2</v>
      </c>
    </row>
    <row r="168" spans="2:33" ht="17.100000000000001" customHeight="1" thickTop="1">
      <c r="B168" s="1724" t="s">
        <v>142</v>
      </c>
      <c r="D168" s="189" t="s">
        <v>47</v>
      </c>
      <c r="E168" s="974" t="s">
        <v>1269</v>
      </c>
      <c r="F168" s="1055" t="s">
        <v>1673</v>
      </c>
      <c r="G168" s="979" t="s">
        <v>120</v>
      </c>
      <c r="H168" s="970" t="s">
        <v>68</v>
      </c>
      <c r="I168" s="970" t="s">
        <v>68</v>
      </c>
      <c r="J168" s="981" t="s">
        <v>1271</v>
      </c>
      <c r="K168" s="981" t="s">
        <v>1271</v>
      </c>
      <c r="L168" s="964" t="s">
        <v>44</v>
      </c>
      <c r="M168" s="960" t="s">
        <v>43</v>
      </c>
      <c r="N168" s="58"/>
      <c r="O168" s="58"/>
      <c r="Q168" s="921" t="s">
        <v>1271</v>
      </c>
      <c r="R168" s="948">
        <f t="shared" si="81"/>
        <v>0.5</v>
      </c>
      <c r="S168" s="948">
        <f t="shared" si="82"/>
        <v>0.63888888888888884</v>
      </c>
      <c r="T168" s="948">
        <f t="shared" si="83"/>
        <v>0.5</v>
      </c>
      <c r="U168" s="948">
        <f t="shared" si="84"/>
        <v>0.54054054054054057</v>
      </c>
      <c r="V168" s="948">
        <f t="shared" si="85"/>
        <v>0.5</v>
      </c>
      <c r="W168" s="948">
        <f t="shared" si="86"/>
        <v>0.66666666666666663</v>
      </c>
      <c r="X168" s="948">
        <f t="shared" si="87"/>
        <v>0.5</v>
      </c>
      <c r="Y168" s="948">
        <f t="shared" si="88"/>
        <v>0.7567567567567568</v>
      </c>
      <c r="Z168" s="948">
        <f t="shared" si="89"/>
        <v>0.78787878787878785</v>
      </c>
      <c r="AA168" s="948">
        <f t="shared" si="90"/>
        <v>0.72727272727272729</v>
      </c>
      <c r="AB168" s="948">
        <f t="shared" si="95"/>
        <v>0.55172413793103448</v>
      </c>
      <c r="AC168" s="948">
        <f t="shared" si="92"/>
        <v>0.90909090909090906</v>
      </c>
      <c r="AD168" s="948">
        <f t="shared" si="93"/>
        <v>0.33333333333333331</v>
      </c>
      <c r="AF168" s="920" t="s">
        <v>74</v>
      </c>
      <c r="AG168" s="560">
        <f t="shared" si="94"/>
        <v>2.557544757033248E-2</v>
      </c>
    </row>
    <row r="169" spans="2:33">
      <c r="B169" s="1725"/>
      <c r="D169" s="981" t="s">
        <v>1271</v>
      </c>
      <c r="E169" s="58"/>
      <c r="F169" s="422"/>
      <c r="G169" s="980" t="s">
        <v>1272</v>
      </c>
      <c r="H169" s="990"/>
      <c r="I169" s="990"/>
      <c r="J169" s="990"/>
      <c r="K169" s="990"/>
      <c r="L169" s="990"/>
      <c r="M169" s="981" t="s">
        <v>1271</v>
      </c>
      <c r="Q169" s="922" t="s">
        <v>20</v>
      </c>
      <c r="R169" s="949">
        <f t="shared" si="81"/>
        <v>5.5555555555555552E-2</v>
      </c>
      <c r="S169" s="949" t="str">
        <f t="shared" si="82"/>
        <v/>
      </c>
      <c r="T169" s="949">
        <f t="shared" si="83"/>
        <v>0.10526315789473684</v>
      </c>
      <c r="U169" s="949">
        <f t="shared" si="84"/>
        <v>5.4054054054054057E-2</v>
      </c>
      <c r="V169" s="949">
        <f t="shared" si="85"/>
        <v>5.5555555555555552E-2</v>
      </c>
      <c r="W169" s="949">
        <f t="shared" si="86"/>
        <v>2.564102564102564E-2</v>
      </c>
      <c r="X169" s="949" t="str">
        <f t="shared" si="87"/>
        <v/>
      </c>
      <c r="Y169" s="949" t="str">
        <f t="shared" si="88"/>
        <v/>
      </c>
      <c r="Z169" s="949">
        <f t="shared" si="89"/>
        <v>3.0303030303030304E-2</v>
      </c>
      <c r="AA169" s="949" t="str">
        <f t="shared" si="90"/>
        <v/>
      </c>
      <c r="AB169" s="949">
        <f t="shared" si="95"/>
        <v>3.4482758620689655E-2</v>
      </c>
      <c r="AC169" s="949" t="str">
        <f t="shared" si="92"/>
        <v/>
      </c>
      <c r="AD169" s="949" t="str">
        <f t="shared" si="93"/>
        <v/>
      </c>
      <c r="AF169" s="921" t="s">
        <v>1271</v>
      </c>
      <c r="AG169" s="560">
        <f t="shared" si="94"/>
        <v>0.61381074168797956</v>
      </c>
    </row>
    <row r="170" spans="2:33">
      <c r="B170" s="1725"/>
      <c r="D170" t="s">
        <v>2612</v>
      </c>
      <c r="E170" t="s">
        <v>2612</v>
      </c>
      <c r="F170" t="s">
        <v>2612</v>
      </c>
      <c r="G170" t="s">
        <v>2612</v>
      </c>
      <c r="H170" t="s">
        <v>2612</v>
      </c>
      <c r="I170" t="s">
        <v>2612</v>
      </c>
      <c r="J170" t="s">
        <v>2612</v>
      </c>
      <c r="K170" t="s">
        <v>2612</v>
      </c>
      <c r="L170" t="s">
        <v>2612</v>
      </c>
      <c r="M170" s="957" t="s">
        <v>2612</v>
      </c>
      <c r="Q170" s="894" t="s">
        <v>44</v>
      </c>
      <c r="R170" s="950">
        <f t="shared" si="81"/>
        <v>0.3888888888888889</v>
      </c>
      <c r="S170" s="950">
        <f t="shared" si="82"/>
        <v>0.3888888888888889</v>
      </c>
      <c r="T170" s="950">
        <f t="shared" si="83"/>
        <v>0.18421052631578946</v>
      </c>
      <c r="U170" s="950">
        <f t="shared" si="84"/>
        <v>0.16216216216216217</v>
      </c>
      <c r="V170" s="950">
        <f t="shared" si="85"/>
        <v>0.44444444444444442</v>
      </c>
      <c r="W170" s="950">
        <f t="shared" si="86"/>
        <v>0.28205128205128205</v>
      </c>
      <c r="X170" s="950">
        <f t="shared" si="87"/>
        <v>0.36842105263157893</v>
      </c>
      <c r="Y170" s="950">
        <f t="shared" si="88"/>
        <v>0.16216216216216217</v>
      </c>
      <c r="Z170" s="950">
        <f t="shared" si="89"/>
        <v>0.33333333333333331</v>
      </c>
      <c r="AA170" s="950">
        <f t="shared" si="90"/>
        <v>0.36363636363636365</v>
      </c>
      <c r="AB170" s="950">
        <f t="shared" si="95"/>
        <v>0.17241379310344829</v>
      </c>
      <c r="AC170" s="950">
        <f t="shared" si="92"/>
        <v>0.45454545454545453</v>
      </c>
      <c r="AD170" s="950" t="str">
        <f t="shared" si="93"/>
        <v/>
      </c>
      <c r="AF170" s="922" t="s">
        <v>20</v>
      </c>
      <c r="AG170" s="560">
        <f t="shared" si="94"/>
        <v>3.0690537084398978E-2</v>
      </c>
    </row>
    <row r="171" spans="2:33">
      <c r="B171" s="1725"/>
      <c r="D171" s="981" t="s">
        <v>1271</v>
      </c>
      <c r="E171" s="964" t="s">
        <v>44</v>
      </c>
      <c r="F171" s="189" t="s">
        <v>47</v>
      </c>
      <c r="G171" s="955" t="s">
        <v>234</v>
      </c>
      <c r="H171" s="964" t="s">
        <v>44</v>
      </c>
      <c r="I171" s="974" t="s">
        <v>1269</v>
      </c>
      <c r="J171" s="964" t="s">
        <v>44</v>
      </c>
      <c r="K171" s="960" t="s">
        <v>43</v>
      </c>
      <c r="L171" s="964" t="s">
        <v>44</v>
      </c>
      <c r="M171" s="981" t="s">
        <v>1271</v>
      </c>
      <c r="N171" s="58"/>
      <c r="O171" s="58"/>
      <c r="Q171" s="923" t="s">
        <v>339</v>
      </c>
      <c r="R171" s="951">
        <f t="shared" si="81"/>
        <v>5.5555555555555552E-2</v>
      </c>
      <c r="S171" s="951">
        <f t="shared" si="82"/>
        <v>5.5555555555555552E-2</v>
      </c>
      <c r="T171" s="951">
        <f t="shared" si="83"/>
        <v>5.2631578947368418E-2</v>
      </c>
      <c r="U171" s="951">
        <f t="shared" si="84"/>
        <v>2.7027027027027029E-2</v>
      </c>
      <c r="V171" s="951">
        <f t="shared" si="85"/>
        <v>8.3333333333333329E-2</v>
      </c>
      <c r="W171" s="951">
        <f t="shared" si="86"/>
        <v>5.128205128205128E-2</v>
      </c>
      <c r="X171" s="951" t="str">
        <f t="shared" si="87"/>
        <v/>
      </c>
      <c r="Y171" s="951">
        <f t="shared" si="88"/>
        <v>5.4054054054054057E-2</v>
      </c>
      <c r="Z171" s="951">
        <f t="shared" si="89"/>
        <v>9.0909090909090912E-2</v>
      </c>
      <c r="AA171" s="951">
        <f t="shared" si="90"/>
        <v>6.0606060606060608E-2</v>
      </c>
      <c r="AB171" s="951">
        <f t="shared" si="95"/>
        <v>0.10344827586206896</v>
      </c>
      <c r="AC171" s="951" t="str">
        <f t="shared" si="92"/>
        <v/>
      </c>
      <c r="AD171" s="951" t="str">
        <f t="shared" si="93"/>
        <v/>
      </c>
      <c r="AF171" s="894" t="s">
        <v>44</v>
      </c>
      <c r="AG171" s="560">
        <f>IF(COUNTIF($C$58:$O$327, AF171)&gt;0, COUNTIF($C$58:$O$327, AF171)/COUNTIF($C$58:$O$327, "*Challenge*"), "")</f>
        <v>0.2915601023017903</v>
      </c>
    </row>
    <row r="172" spans="2:33">
      <c r="B172" s="1725"/>
      <c r="E172" s="993" t="s">
        <v>20</v>
      </c>
      <c r="F172" s="977" t="s">
        <v>1270</v>
      </c>
      <c r="I172" s="960" t="s">
        <v>43</v>
      </c>
      <c r="J172" s="981" t="s">
        <v>1271</v>
      </c>
      <c r="K172" s="981" t="s">
        <v>1271</v>
      </c>
      <c r="L172" s="981" t="s">
        <v>1271</v>
      </c>
      <c r="M172" s="982" t="s">
        <v>29</v>
      </c>
      <c r="N172" s="990"/>
      <c r="O172" s="990"/>
      <c r="Q172" s="924" t="s">
        <v>73</v>
      </c>
      <c r="R172" s="935" t="str">
        <f t="shared" si="81"/>
        <v/>
      </c>
      <c r="S172" s="935" t="str">
        <f t="shared" si="82"/>
        <v/>
      </c>
      <c r="T172" s="935">
        <f t="shared" si="83"/>
        <v>2.6315789473684209E-2</v>
      </c>
      <c r="U172" s="935" t="str">
        <f t="shared" si="84"/>
        <v/>
      </c>
      <c r="V172" s="935" t="str">
        <f t="shared" si="85"/>
        <v/>
      </c>
      <c r="W172" s="935">
        <f t="shared" si="86"/>
        <v>5.128205128205128E-2</v>
      </c>
      <c r="X172" s="935">
        <f t="shared" si="87"/>
        <v>5.2631578947368418E-2</v>
      </c>
      <c r="Y172" s="935">
        <f t="shared" si="88"/>
        <v>2.7027027027027029E-2</v>
      </c>
      <c r="Z172" s="935">
        <f t="shared" si="89"/>
        <v>3.0303030303030304E-2</v>
      </c>
      <c r="AA172" s="935" t="str">
        <f t="shared" si="90"/>
        <v/>
      </c>
      <c r="AB172" s="935" t="str">
        <f t="shared" si="95"/>
        <v/>
      </c>
      <c r="AC172" s="935" t="str">
        <f t="shared" si="92"/>
        <v/>
      </c>
      <c r="AD172" s="935" t="str">
        <f t="shared" si="93"/>
        <v/>
      </c>
      <c r="AF172" s="923" t="s">
        <v>339</v>
      </c>
      <c r="AG172" s="560">
        <f t="shared" si="94"/>
        <v>5.3708439897698211E-2</v>
      </c>
    </row>
    <row r="173" spans="2:33" ht="16.5" thickBot="1">
      <c r="B173" s="1726"/>
      <c r="C173" s="1036"/>
      <c r="D173" s="1036" t="s">
        <v>189</v>
      </c>
      <c r="E173" s="1036" t="s">
        <v>190</v>
      </c>
      <c r="F173" s="1036" t="s">
        <v>190</v>
      </c>
      <c r="G173" s="1036" t="s">
        <v>190</v>
      </c>
      <c r="H173" s="1036" t="s">
        <v>186</v>
      </c>
      <c r="I173" s="1036" t="s">
        <v>186</v>
      </c>
      <c r="J173" s="1036" t="s">
        <v>189</v>
      </c>
      <c r="K173" s="1036" t="s">
        <v>186</v>
      </c>
      <c r="L173" s="1036" t="s">
        <v>189</v>
      </c>
      <c r="M173" s="1036" t="s">
        <v>190</v>
      </c>
      <c r="N173" s="1036"/>
      <c r="O173" s="1036"/>
      <c r="Q173" s="925" t="s">
        <v>216</v>
      </c>
      <c r="R173" s="952" t="str">
        <f t="shared" si="81"/>
        <v/>
      </c>
      <c r="S173" s="952">
        <f t="shared" si="82"/>
        <v>8.3333333333333329E-2</v>
      </c>
      <c r="T173" s="952" t="str">
        <f t="shared" si="83"/>
        <v/>
      </c>
      <c r="U173" s="952" t="str">
        <f t="shared" si="84"/>
        <v/>
      </c>
      <c r="V173" s="952">
        <f t="shared" si="85"/>
        <v>5.5555555555555552E-2</v>
      </c>
      <c r="W173" s="952">
        <f t="shared" si="86"/>
        <v>2.564102564102564E-2</v>
      </c>
      <c r="X173" s="952">
        <f t="shared" si="87"/>
        <v>5.2631578947368418E-2</v>
      </c>
      <c r="Y173" s="952">
        <f t="shared" si="88"/>
        <v>2.7027027027027029E-2</v>
      </c>
      <c r="Z173" s="952">
        <f t="shared" si="89"/>
        <v>6.0606060606060608E-2</v>
      </c>
      <c r="AA173" s="952">
        <f t="shared" si="90"/>
        <v>9.0909090909090912E-2</v>
      </c>
      <c r="AB173" s="952" t="str">
        <f t="shared" si="95"/>
        <v/>
      </c>
      <c r="AC173" s="952" t="str">
        <f t="shared" si="92"/>
        <v/>
      </c>
      <c r="AD173" s="952">
        <f t="shared" si="93"/>
        <v>0.33333333333333331</v>
      </c>
      <c r="AF173" s="924" t="s">
        <v>73</v>
      </c>
      <c r="AG173" s="560">
        <f t="shared" si="94"/>
        <v>1.7902813299232736E-2</v>
      </c>
    </row>
    <row r="174" spans="2:33" ht="17.100000000000001" customHeight="1" thickTop="1">
      <c r="B174" s="1728" t="s">
        <v>143</v>
      </c>
      <c r="D174" s="977" t="s">
        <v>1270</v>
      </c>
      <c r="E174" s="983" t="s">
        <v>124</v>
      </c>
      <c r="F174" s="981" t="s">
        <v>1271</v>
      </c>
      <c r="G174" s="977" t="s">
        <v>1270</v>
      </c>
      <c r="H174" s="977" t="s">
        <v>1270</v>
      </c>
      <c r="I174" s="963" t="s">
        <v>46</v>
      </c>
      <c r="J174" s="981" t="s">
        <v>1271</v>
      </c>
      <c r="K174" s="982" t="s">
        <v>29</v>
      </c>
      <c r="L174" s="964" t="s">
        <v>44</v>
      </c>
      <c r="M174" s="963" t="s">
        <v>46</v>
      </c>
      <c r="N174" s="58"/>
      <c r="O174" s="58"/>
      <c r="Q174" s="926" t="s">
        <v>21</v>
      </c>
      <c r="R174" s="935" t="str">
        <f t="shared" si="81"/>
        <v/>
      </c>
      <c r="S174" s="935" t="str">
        <f t="shared" si="82"/>
        <v/>
      </c>
      <c r="T174" s="935" t="str">
        <f t="shared" si="83"/>
        <v/>
      </c>
      <c r="U174" s="935" t="str">
        <f t="shared" si="84"/>
        <v/>
      </c>
      <c r="V174" s="935" t="str">
        <f t="shared" si="85"/>
        <v/>
      </c>
      <c r="W174" s="935" t="str">
        <f t="shared" si="86"/>
        <v/>
      </c>
      <c r="X174" s="935" t="str">
        <f t="shared" si="87"/>
        <v/>
      </c>
      <c r="Y174" s="935" t="str">
        <f t="shared" si="88"/>
        <v/>
      </c>
      <c r="Z174" s="935" t="str">
        <f t="shared" si="89"/>
        <v/>
      </c>
      <c r="AA174" s="935" t="str">
        <f t="shared" si="90"/>
        <v/>
      </c>
      <c r="AB174" s="935" t="str">
        <f t="shared" si="95"/>
        <v/>
      </c>
      <c r="AC174" s="935" t="str">
        <f t="shared" si="92"/>
        <v/>
      </c>
      <c r="AD174" s="935" t="str">
        <f t="shared" si="93"/>
        <v/>
      </c>
      <c r="AF174" s="925" t="s">
        <v>216</v>
      </c>
      <c r="AG174" s="560">
        <f t="shared" si="94"/>
        <v>4.0920716112531973E-2</v>
      </c>
    </row>
    <row r="175" spans="2:33">
      <c r="B175" s="1725"/>
      <c r="D175" s="959" t="s">
        <v>155</v>
      </c>
      <c r="E175" s="58"/>
      <c r="F175" s="963" t="s">
        <v>46</v>
      </c>
      <c r="G175" s="980" t="s">
        <v>1272</v>
      </c>
      <c r="H175" s="958" t="s">
        <v>74</v>
      </c>
      <c r="I175" s="422"/>
      <c r="J175" s="990"/>
      <c r="K175" s="990"/>
      <c r="L175" s="990"/>
      <c r="M175" s="58"/>
      <c r="AF175" s="926" t="s">
        <v>21</v>
      </c>
      <c r="AG175" s="560" t="str">
        <f t="shared" si="94"/>
        <v/>
      </c>
    </row>
    <row r="176" spans="2:33" ht="18.75">
      <c r="B176" s="1725"/>
      <c r="D176" t="s">
        <v>2612</v>
      </c>
      <c r="E176" t="s">
        <v>2612</v>
      </c>
      <c r="F176" t="s">
        <v>2612</v>
      </c>
      <c r="G176" t="s">
        <v>2612</v>
      </c>
      <c r="H176" t="s">
        <v>2612</v>
      </c>
      <c r="I176" t="s">
        <v>2612</v>
      </c>
      <c r="J176" t="s">
        <v>2612</v>
      </c>
      <c r="K176" t="s">
        <v>2612</v>
      </c>
      <c r="L176" t="s">
        <v>2612</v>
      </c>
      <c r="M176" s="957" t="s">
        <v>2612</v>
      </c>
      <c r="Q176" s="69" t="s">
        <v>2765</v>
      </c>
    </row>
    <row r="177" spans="2:138">
      <c r="B177" s="1725"/>
      <c r="D177" s="958" t="s">
        <v>74</v>
      </c>
      <c r="E177" s="964" t="s">
        <v>44</v>
      </c>
      <c r="F177" s="981" t="s">
        <v>1271</v>
      </c>
      <c r="G177" s="189" t="s">
        <v>47</v>
      </c>
      <c r="H177" s="981" t="s">
        <v>1271</v>
      </c>
      <c r="I177" s="981" t="s">
        <v>1271</v>
      </c>
      <c r="J177" s="982" t="s">
        <v>29</v>
      </c>
      <c r="K177" s="981" t="s">
        <v>1271</v>
      </c>
      <c r="L177" s="968" t="s">
        <v>26</v>
      </c>
      <c r="M177" s="961" t="s">
        <v>339</v>
      </c>
      <c r="N177" s="58"/>
      <c r="O177" s="58"/>
      <c r="Q177" s="13" t="s">
        <v>19</v>
      </c>
      <c r="R177" s="13" t="s">
        <v>200</v>
      </c>
      <c r="S177" s="13" t="s">
        <v>1495</v>
      </c>
      <c r="T177" s="13" t="s">
        <v>2704</v>
      </c>
      <c r="U177" s="1168" t="s">
        <v>2703</v>
      </c>
      <c r="V177" s="1168" t="s">
        <v>2706</v>
      </c>
      <c r="W177" s="13" t="s">
        <v>126</v>
      </c>
      <c r="X177" s="13" t="s">
        <v>127</v>
      </c>
      <c r="Y177" s="13" t="s">
        <v>128</v>
      </c>
      <c r="Z177" s="13" t="s">
        <v>129</v>
      </c>
      <c r="AA177" s="13" t="s">
        <v>130</v>
      </c>
      <c r="AB177" s="13" t="s">
        <v>131</v>
      </c>
      <c r="AC177" s="13" t="s">
        <v>132</v>
      </c>
      <c r="AD177" s="13" t="s">
        <v>133</v>
      </c>
      <c r="AE177" s="13" t="s">
        <v>134</v>
      </c>
      <c r="AF177" s="13" t="s">
        <v>135</v>
      </c>
      <c r="AG177" s="13" t="s">
        <v>136</v>
      </c>
      <c r="AH177" s="13" t="s">
        <v>137</v>
      </c>
      <c r="AI177" s="13" t="s">
        <v>138</v>
      </c>
      <c r="AJ177" s="13" t="s">
        <v>139</v>
      </c>
      <c r="AK177" s="13" t="s">
        <v>140</v>
      </c>
      <c r="AL177" s="13" t="s">
        <v>141</v>
      </c>
      <c r="AM177" s="13" t="s">
        <v>142</v>
      </c>
      <c r="AN177" s="13" t="s">
        <v>143</v>
      </c>
      <c r="AO177" s="13" t="s">
        <v>144</v>
      </c>
      <c r="AP177" s="13" t="s">
        <v>145</v>
      </c>
      <c r="AQ177" s="13" t="s">
        <v>146</v>
      </c>
      <c r="AR177" s="13" t="s">
        <v>147</v>
      </c>
      <c r="AS177" s="13" t="s">
        <v>148</v>
      </c>
      <c r="AT177" s="13" t="s">
        <v>125</v>
      </c>
      <c r="AU177" s="13" t="s">
        <v>116</v>
      </c>
      <c r="AV177" s="13" t="s">
        <v>104</v>
      </c>
      <c r="AW177" s="13" t="s">
        <v>95</v>
      </c>
      <c r="AX177" s="13" t="s">
        <v>85</v>
      </c>
      <c r="AY177" s="13" t="s">
        <v>66</v>
      </c>
      <c r="AZ177" s="13" t="s">
        <v>65</v>
      </c>
      <c r="BA177" s="13" t="s">
        <v>60</v>
      </c>
      <c r="BB177" s="13" t="s">
        <v>35</v>
      </c>
      <c r="BC177" s="13" t="s">
        <v>11</v>
      </c>
      <c r="BD177" s="13" t="s">
        <v>198</v>
      </c>
      <c r="BE177" s="13" t="s">
        <v>184</v>
      </c>
      <c r="BF177" s="13" t="s">
        <v>563</v>
      </c>
      <c r="BG177" s="13" t="s">
        <v>1742</v>
      </c>
      <c r="BH177" s="13" t="s">
        <v>2056</v>
      </c>
      <c r="BJ177" s="1144"/>
      <c r="BK177" s="1144"/>
      <c r="BL177" s="1144"/>
      <c r="BM177" s="1144"/>
      <c r="BN177" s="1144"/>
      <c r="BO177" s="1144"/>
      <c r="BP177" s="1144"/>
      <c r="BQ177" s="1144"/>
      <c r="BR177" s="1144"/>
      <c r="BS177" s="1144"/>
      <c r="BT177" s="1144"/>
      <c r="BU177" s="1144"/>
      <c r="BV177" s="1144"/>
      <c r="BW177" s="1144"/>
      <c r="BX177" s="1144"/>
      <c r="BY177" s="1144"/>
      <c r="BZ177" s="1144"/>
      <c r="CA177" s="1144"/>
      <c r="CB177" s="1144"/>
      <c r="CC177" s="1144"/>
      <c r="CD177" s="1144"/>
      <c r="CE177" s="1144"/>
      <c r="CF177" s="1144"/>
      <c r="CG177" s="1144"/>
      <c r="CH177" s="1144"/>
      <c r="CI177" s="1144"/>
      <c r="CJ177" s="1144"/>
      <c r="CK177" s="1144"/>
      <c r="CL177" s="1144"/>
      <c r="CM177" s="1144"/>
      <c r="CN177" s="1144"/>
      <c r="CO177" s="1144"/>
      <c r="CP177" s="1144"/>
      <c r="CQ177" s="1144"/>
      <c r="CR177" s="1144"/>
      <c r="CS177" s="1144"/>
      <c r="CT177" s="1144"/>
      <c r="CU177" s="1144"/>
      <c r="CV177" s="1144"/>
      <c r="CW177" s="1144"/>
      <c r="CX177" s="1144"/>
      <c r="CY177" s="1144"/>
      <c r="CZ177" s="1144"/>
      <c r="DA177" s="1144"/>
      <c r="DB177" s="1144"/>
      <c r="DC177" s="1144"/>
      <c r="DD177" s="1144"/>
      <c r="DE177" s="1144"/>
      <c r="DF177" s="1144"/>
      <c r="DG177" s="1144"/>
      <c r="DH177" s="1144"/>
      <c r="DI177" s="1144"/>
      <c r="DJ177" s="1144"/>
      <c r="DK177" s="1144"/>
      <c r="DL177" s="1144"/>
      <c r="DM177" s="1144"/>
      <c r="DN177" s="1144"/>
      <c r="DO177" s="1144"/>
      <c r="DP177" s="1144"/>
      <c r="DQ177" s="1144"/>
      <c r="DR177" s="1144"/>
      <c r="DS177" s="1144"/>
      <c r="DT177" s="1144"/>
      <c r="DU177" s="1144"/>
      <c r="DV177" s="1144"/>
      <c r="DW177" s="1144"/>
      <c r="DX177" s="1144"/>
      <c r="DY177" s="1144"/>
      <c r="DZ177" s="1144"/>
      <c r="EA177" s="1144"/>
      <c r="EB177" s="1144"/>
      <c r="EC177" s="1144"/>
      <c r="ED177" s="1144"/>
      <c r="EE177" s="1144"/>
      <c r="EF177" s="1144"/>
      <c r="EG177" s="1144"/>
      <c r="EH177" s="1144"/>
    </row>
    <row r="178" spans="2:138">
      <c r="B178" s="1725"/>
      <c r="I178" s="964" t="s">
        <v>44</v>
      </c>
      <c r="K178" s="990"/>
      <c r="L178" s="990"/>
      <c r="M178" s="990"/>
      <c r="N178" s="990"/>
      <c r="O178" s="990"/>
      <c r="Q178" s="903" t="s">
        <v>27</v>
      </c>
      <c r="R178" s="1166">
        <f t="shared" ref="R178:R205" si="96">SUM(W178:BH178)</f>
        <v>61</v>
      </c>
      <c r="S178" s="1212">
        <f>AVERAGE(Table4854[[#This Row],[Season 1]:[Season 38]])</f>
        <v>1.6052631578947369</v>
      </c>
      <c r="T178" s="1234">
        <f>MODE(Table4854[[#This Row],[Season 1]:[Season 38]])</f>
        <v>0</v>
      </c>
      <c r="U178" s="1234">
        <f>MAX(Table4854[[#This Row],[Season 1]:[Season 38]])</f>
        <v>7</v>
      </c>
      <c r="V178" s="1235">
        <f>MIN(Table4854[[#This Row],[Season 1]:[Season 38]])</f>
        <v>0</v>
      </c>
      <c r="W178" s="1145">
        <f t="shared" ref="W178:W205" si="97">SUM(V211:W211)</f>
        <v>2</v>
      </c>
      <c r="X178" s="1145">
        <f>SUM(X211:Y211)</f>
        <v>1</v>
      </c>
      <c r="Y178" s="1145">
        <f>SUM(Z211:AA211)</f>
        <v>3</v>
      </c>
      <c r="Z178" s="1145">
        <f>SUM(AB211:AC211)</f>
        <v>4</v>
      </c>
      <c r="AA178" s="1145">
        <f>SUM(AD211:AE211)</f>
        <v>7</v>
      </c>
      <c r="AB178" s="1145">
        <f>SUM(AF211:AG211)</f>
        <v>3</v>
      </c>
      <c r="AC178" s="1145">
        <f>SUM(AH211:AI211)</f>
        <v>3</v>
      </c>
      <c r="AD178" s="1145">
        <f>SUM(AJ211:AK211)</f>
        <v>1</v>
      </c>
      <c r="AE178" s="1145">
        <f>SUM(AL211:AM211)</f>
        <v>0</v>
      </c>
      <c r="AF178" s="1145">
        <f>SUM(AN211:AO211)</f>
        <v>3</v>
      </c>
      <c r="AG178" s="1145">
        <f>SUM(AP211:AQ211)</f>
        <v>1</v>
      </c>
      <c r="AH178" s="1145">
        <f>SUM(AR211:AS211)</f>
        <v>0</v>
      </c>
      <c r="AI178" s="1145">
        <f>SUM(AT211:AU211)</f>
        <v>0</v>
      </c>
      <c r="AJ178" s="1145">
        <f>SUM(AV211:AW211)</f>
        <v>0</v>
      </c>
      <c r="AK178" s="1145">
        <f>SUM(AX211:AY211)</f>
        <v>0</v>
      </c>
      <c r="AL178" s="1145">
        <f>SUM(AZ211:BA211)</f>
        <v>3</v>
      </c>
      <c r="AM178" s="1145">
        <f>SUM(BB211:BC211)</f>
        <v>0</v>
      </c>
      <c r="AN178" s="1145">
        <f>SUM(BD211:BE211)</f>
        <v>0</v>
      </c>
      <c r="AO178" s="1145">
        <f>SUM(BF211:BG211)</f>
        <v>2</v>
      </c>
      <c r="AP178" s="1145">
        <f>SUM(BH211:BI211)</f>
        <v>2</v>
      </c>
      <c r="AQ178" s="1145">
        <f>SUM(BJ211:BK211)</f>
        <v>1</v>
      </c>
      <c r="AR178" s="1145">
        <f>SUM(BL211:BM211)</f>
        <v>3</v>
      </c>
      <c r="AS178" s="1145">
        <f>SUM(BN211:BO211)</f>
        <v>2</v>
      </c>
      <c r="AT178" s="1145">
        <f>SUM(BP211:BQ211)</f>
        <v>3</v>
      </c>
      <c r="AU178" s="1145">
        <f>SUM(BR211:BS211)</f>
        <v>3</v>
      </c>
      <c r="AV178" s="1145">
        <f>SUM(BT211:BU211)</f>
        <v>3</v>
      </c>
      <c r="AW178" s="1145">
        <f>SUM(BV211:BW211)</f>
        <v>3</v>
      </c>
      <c r="AX178" s="1145">
        <f>SUM(BX211:BY211)</f>
        <v>2</v>
      </c>
      <c r="AY178" s="1145">
        <f>SUM(BZ211:CA211)</f>
        <v>0</v>
      </c>
      <c r="AZ178" s="1145">
        <f>SUM(CB211:CC211)</f>
        <v>3</v>
      </c>
      <c r="BA178" s="1145">
        <f>SUM(CD211:CE211)</f>
        <v>1</v>
      </c>
      <c r="BB178" s="1145">
        <f>SUM(CF211:CG211)</f>
        <v>0</v>
      </c>
      <c r="BC178" s="1145">
        <f>SUM(CH211:CI211)</f>
        <v>1</v>
      </c>
      <c r="BD178" s="1145">
        <f>SUM(CJ211:CK211)</f>
        <v>1</v>
      </c>
      <c r="BE178" s="1145">
        <f>SUM(CL211:CM211)</f>
        <v>0</v>
      </c>
      <c r="BF178" s="1145">
        <f>SUM(CN211:CO211)</f>
        <v>0</v>
      </c>
      <c r="BG178" s="1145">
        <f>SUM(CP211:CQ211)</f>
        <v>0</v>
      </c>
      <c r="BH178" s="1145">
        <f>SUM(CR211:CS211)</f>
        <v>0</v>
      </c>
      <c r="CY178" s="1621"/>
      <c r="CZ178" s="1621"/>
      <c r="DA178" s="1621"/>
      <c r="DB178" s="1621"/>
      <c r="DC178" s="1621"/>
      <c r="DD178" s="1621"/>
      <c r="DE178" s="1621"/>
      <c r="DF178" s="1621"/>
      <c r="DG178" s="1621"/>
      <c r="DH178" s="1621"/>
    </row>
    <row r="179" spans="2:138" ht="16.5" thickBot="1">
      <c r="B179" s="1726"/>
      <c r="C179" s="1036"/>
      <c r="D179" s="1036" t="s">
        <v>188</v>
      </c>
      <c r="E179" s="1036" t="s">
        <v>189</v>
      </c>
      <c r="F179" s="1036" t="s">
        <v>191</v>
      </c>
      <c r="G179" s="1036" t="s">
        <v>187</v>
      </c>
      <c r="H179" s="1036" t="s">
        <v>189</v>
      </c>
      <c r="I179" s="1036" t="s">
        <v>188</v>
      </c>
      <c r="J179" s="1036" t="s">
        <v>188</v>
      </c>
      <c r="K179" s="1036" t="s">
        <v>189</v>
      </c>
      <c r="L179" s="1036" t="s">
        <v>186</v>
      </c>
      <c r="M179" s="1036" t="s">
        <v>190</v>
      </c>
      <c r="N179" s="1036"/>
      <c r="O179" s="1036"/>
      <c r="Q179" s="904" t="s">
        <v>1270</v>
      </c>
      <c r="R179" s="1166">
        <f t="shared" si="96"/>
        <v>107</v>
      </c>
      <c r="S179" s="1213">
        <f>AVERAGE(Table4854[[#This Row],[Season 1]:[Season 38]])</f>
        <v>2.8157894736842106</v>
      </c>
      <c r="T179" s="1236">
        <f>MODE(Table4854[[#This Row],[Season 1]:[Season 38]])</f>
        <v>2</v>
      </c>
      <c r="U179" s="1236">
        <f>MAX(Table4854[[#This Row],[Season 1]:[Season 38]])</f>
        <v>8</v>
      </c>
      <c r="V179" s="1237">
        <f>MIN(Table4854[[#This Row],[Season 1]:[Season 38]])</f>
        <v>0</v>
      </c>
      <c r="W179" s="1169">
        <f t="shared" si="97"/>
        <v>0</v>
      </c>
      <c r="X179" s="1169">
        <f t="shared" ref="X179:X205" si="98">SUM(X212:Y212)</f>
        <v>0</v>
      </c>
      <c r="Y179" s="1169">
        <f t="shared" ref="Y179:Y205" si="99">SUM(Z212:AA212)</f>
        <v>0</v>
      </c>
      <c r="Z179" s="1169">
        <f t="shared" ref="Z179:Z205" si="100">SUM(AB212:AC212)</f>
        <v>1</v>
      </c>
      <c r="AA179" s="1169">
        <f t="shared" ref="AA179:AA205" si="101">SUM(AD212:AE212)</f>
        <v>0</v>
      </c>
      <c r="AB179" s="1169">
        <f t="shared" ref="AB179:AB205" si="102">SUM(AF212:AG212)</f>
        <v>1</v>
      </c>
      <c r="AC179" s="1169">
        <f t="shared" ref="AC179:AC205" si="103">SUM(AH212:AI212)</f>
        <v>1</v>
      </c>
      <c r="AD179" s="1169">
        <f t="shared" ref="AD179:AD205" si="104">SUM(AJ212:AK212)</f>
        <v>1</v>
      </c>
      <c r="AE179" s="1169">
        <f t="shared" ref="AE179:AE205" si="105">SUM(AL212:AM212)</f>
        <v>3</v>
      </c>
      <c r="AF179" s="1169">
        <f t="shared" ref="AF179:AF205" si="106">SUM(AN212:AO212)</f>
        <v>6</v>
      </c>
      <c r="AG179" s="1169">
        <f t="shared" ref="AG179:AG205" si="107">SUM(AP212:AQ212)</f>
        <v>4</v>
      </c>
      <c r="AH179" s="1169">
        <f t="shared" ref="AH179:AH205" si="108">SUM(AR212:AS212)</f>
        <v>2</v>
      </c>
      <c r="AI179" s="1169">
        <f t="shared" ref="AI179:AI205" si="109">SUM(AT212:AU212)</f>
        <v>2</v>
      </c>
      <c r="AJ179" s="1169">
        <f t="shared" ref="AJ179:AJ205" si="110">SUM(AV212:AW212)</f>
        <v>2</v>
      </c>
      <c r="AK179" s="1169">
        <f t="shared" ref="AK179:AK205" si="111">SUM(AX212:AY212)</f>
        <v>0</v>
      </c>
      <c r="AL179" s="1169">
        <f t="shared" ref="AL179:AL205" si="112">SUM(AZ212:BA212)</f>
        <v>0</v>
      </c>
      <c r="AM179" s="1169">
        <f t="shared" ref="AM179:AM205" si="113">SUM(BB212:BC212)</f>
        <v>1</v>
      </c>
      <c r="AN179" s="1169">
        <f t="shared" ref="AN179:AN205" si="114">SUM(BD212:BE212)</f>
        <v>3</v>
      </c>
      <c r="AO179" s="1169">
        <f t="shared" ref="AO179:AO205" si="115">SUM(BF212:BG212)</f>
        <v>2</v>
      </c>
      <c r="AP179" s="1169">
        <f t="shared" ref="AP179:AP205" si="116">SUM(BH212:BI212)</f>
        <v>7</v>
      </c>
      <c r="AQ179" s="1169">
        <f t="shared" ref="AQ179:AQ205" si="117">SUM(BJ212:BK212)</f>
        <v>3</v>
      </c>
      <c r="AR179" s="1169">
        <f t="shared" ref="AR179:AR205" si="118">SUM(BL212:BM212)</f>
        <v>3</v>
      </c>
      <c r="AS179" s="1169">
        <f t="shared" ref="AS179:AS205" si="119">SUM(BN212:BO212)</f>
        <v>6</v>
      </c>
      <c r="AT179" s="1169">
        <f t="shared" ref="AT179:AT205" si="120">SUM(BP212:BQ212)</f>
        <v>1</v>
      </c>
      <c r="AU179" s="1169">
        <f t="shared" ref="AU179:AU205" si="121">SUM(BR212:BS212)</f>
        <v>6</v>
      </c>
      <c r="AV179" s="1169">
        <f t="shared" ref="AV179:AV205" si="122">SUM(BT212:BU212)</f>
        <v>2</v>
      </c>
      <c r="AW179" s="1169">
        <f t="shared" ref="AW179:AW205" si="123">SUM(BV212:BW212)</f>
        <v>4</v>
      </c>
      <c r="AX179" s="1169">
        <f t="shared" ref="AX179:AX205" si="124">SUM(BX212:BY212)</f>
        <v>4</v>
      </c>
      <c r="AY179" s="1169">
        <f t="shared" ref="AY179:AY205" si="125">SUM(BZ212:CA212)</f>
        <v>2</v>
      </c>
      <c r="AZ179" s="1169">
        <f t="shared" ref="AZ179:AZ205" si="126">SUM(CB212:CC212)</f>
        <v>4</v>
      </c>
      <c r="BA179" s="1169">
        <f t="shared" ref="BA179:BA205" si="127">SUM(CD212:CE212)</f>
        <v>2</v>
      </c>
      <c r="BB179" s="1169">
        <f t="shared" ref="BB179:BB205" si="128">SUM(CF212:CG212)</f>
        <v>4</v>
      </c>
      <c r="BC179" s="1169">
        <f t="shared" ref="BC179:BC205" si="129">SUM(CH212:CI212)</f>
        <v>6</v>
      </c>
      <c r="BD179" s="1169">
        <f t="shared" ref="BD179:BD205" si="130">SUM(CJ212:CK212)</f>
        <v>3</v>
      </c>
      <c r="BE179" s="1169">
        <f t="shared" ref="BE179:BE205" si="131">SUM(CL212:CM212)</f>
        <v>8</v>
      </c>
      <c r="BF179" s="1169">
        <f t="shared" ref="BF179:BF205" si="132">SUM(CN212:CO212)</f>
        <v>3</v>
      </c>
      <c r="BG179" s="1169">
        <f t="shared" ref="BG179:BG205" si="133">SUM(CP212:CQ212)</f>
        <v>8</v>
      </c>
      <c r="BH179" s="1169">
        <f t="shared" ref="BH179:BH205" si="134">SUM(CR212:CS212)</f>
        <v>2</v>
      </c>
    </row>
    <row r="180" spans="2:138" ht="16.5" thickTop="1">
      <c r="B180" s="297"/>
      <c r="D180" s="961" t="s">
        <v>339</v>
      </c>
      <c r="E180" s="981" t="s">
        <v>1271</v>
      </c>
      <c r="F180" s="189" t="s">
        <v>47</v>
      </c>
      <c r="H180" s="977" t="s">
        <v>1270</v>
      </c>
      <c r="I180" s="981" t="s">
        <v>1271</v>
      </c>
      <c r="J180" s="189" t="s">
        <v>47</v>
      </c>
      <c r="L180" s="189" t="s">
        <v>47</v>
      </c>
      <c r="M180" s="981" t="s">
        <v>1271</v>
      </c>
      <c r="Q180" s="896" t="s">
        <v>43</v>
      </c>
      <c r="R180" s="1166">
        <f t="shared" si="96"/>
        <v>28</v>
      </c>
      <c r="S180" s="1214">
        <f>AVERAGE(Table4854[[#This Row],[Season 1]:[Season 38]])</f>
        <v>0.73684210526315785</v>
      </c>
      <c r="T180" s="1238">
        <f>MODE(Table4854[[#This Row],[Season 1]:[Season 38]])</f>
        <v>0</v>
      </c>
      <c r="U180" s="1238">
        <f>MAX(Table4854[[#This Row],[Season 1]:[Season 38]])</f>
        <v>4</v>
      </c>
      <c r="V180" s="1239">
        <f>MIN(Table4854[[#This Row],[Season 1]:[Season 38]])</f>
        <v>0</v>
      </c>
      <c r="W180" s="1170">
        <f t="shared" si="97"/>
        <v>0</v>
      </c>
      <c r="X180" s="1170">
        <f t="shared" si="98"/>
        <v>0</v>
      </c>
      <c r="Y180" s="1170">
        <f t="shared" si="99"/>
        <v>3</v>
      </c>
      <c r="Z180" s="1170">
        <f t="shared" si="100"/>
        <v>0</v>
      </c>
      <c r="AA180" s="1170">
        <f t="shared" si="101"/>
        <v>0</v>
      </c>
      <c r="AB180" s="1170">
        <f t="shared" si="102"/>
        <v>2</v>
      </c>
      <c r="AC180" s="1170">
        <f t="shared" si="103"/>
        <v>2</v>
      </c>
      <c r="AD180" s="1170">
        <f t="shared" si="104"/>
        <v>0</v>
      </c>
      <c r="AE180" s="1170">
        <f t="shared" si="105"/>
        <v>0</v>
      </c>
      <c r="AF180" s="1170">
        <f t="shared" si="106"/>
        <v>0</v>
      </c>
      <c r="AG180" s="1170">
        <f t="shared" si="107"/>
        <v>0</v>
      </c>
      <c r="AH180" s="1170">
        <f t="shared" si="108"/>
        <v>1</v>
      </c>
      <c r="AI180" s="1170">
        <f t="shared" si="109"/>
        <v>0</v>
      </c>
      <c r="AJ180" s="1170">
        <f t="shared" si="110"/>
        <v>0</v>
      </c>
      <c r="AK180" s="1170">
        <f t="shared" si="111"/>
        <v>0</v>
      </c>
      <c r="AL180" s="1170">
        <f t="shared" si="112"/>
        <v>1</v>
      </c>
      <c r="AM180" s="1170">
        <f t="shared" si="113"/>
        <v>3</v>
      </c>
      <c r="AN180" s="1170">
        <f t="shared" si="114"/>
        <v>0</v>
      </c>
      <c r="AO180" s="1170">
        <f t="shared" si="115"/>
        <v>0</v>
      </c>
      <c r="AP180" s="1170">
        <f t="shared" si="116"/>
        <v>1</v>
      </c>
      <c r="AQ180" s="1170">
        <f t="shared" si="117"/>
        <v>2</v>
      </c>
      <c r="AR180" s="1170">
        <f t="shared" si="118"/>
        <v>0</v>
      </c>
      <c r="AS180" s="1170">
        <f t="shared" si="119"/>
        <v>0</v>
      </c>
      <c r="AT180" s="1170">
        <f t="shared" si="120"/>
        <v>1</v>
      </c>
      <c r="AU180" s="1170">
        <f t="shared" si="121"/>
        <v>2</v>
      </c>
      <c r="AV180" s="1170">
        <f t="shared" si="122"/>
        <v>4</v>
      </c>
      <c r="AW180" s="1170">
        <f t="shared" si="123"/>
        <v>0</v>
      </c>
      <c r="AX180" s="1170">
        <f t="shared" si="124"/>
        <v>1</v>
      </c>
      <c r="AY180" s="1170">
        <f t="shared" si="125"/>
        <v>0</v>
      </c>
      <c r="AZ180" s="1170">
        <f t="shared" si="126"/>
        <v>0</v>
      </c>
      <c r="BA180" s="1170">
        <f t="shared" si="127"/>
        <v>0</v>
      </c>
      <c r="BB180" s="1170">
        <f t="shared" si="128"/>
        <v>2</v>
      </c>
      <c r="BC180" s="1170">
        <f t="shared" si="129"/>
        <v>0</v>
      </c>
      <c r="BD180" s="1170">
        <f t="shared" si="130"/>
        <v>1</v>
      </c>
      <c r="BE180" s="1170">
        <f t="shared" si="131"/>
        <v>0</v>
      </c>
      <c r="BF180" s="1170">
        <f t="shared" si="132"/>
        <v>0</v>
      </c>
      <c r="BG180" s="1170">
        <f t="shared" si="133"/>
        <v>1</v>
      </c>
      <c r="BH180" s="1170">
        <f t="shared" si="134"/>
        <v>1</v>
      </c>
    </row>
    <row r="181" spans="2:138" ht="17.100000000000001" customHeight="1">
      <c r="B181" s="1725" t="s">
        <v>144</v>
      </c>
      <c r="D181" s="959" t="s">
        <v>155</v>
      </c>
      <c r="J181" s="967" t="s">
        <v>27</v>
      </c>
      <c r="L181" s="964" t="s">
        <v>44</v>
      </c>
      <c r="N181" s="58"/>
      <c r="O181" s="58"/>
      <c r="Q181" s="905" t="s">
        <v>120</v>
      </c>
      <c r="R181" s="1166">
        <f t="shared" si="96"/>
        <v>28</v>
      </c>
      <c r="S181" s="1215">
        <f>AVERAGE(Table4854[[#This Row],[Season 1]:[Season 38]])</f>
        <v>0.73684210526315785</v>
      </c>
      <c r="T181" s="1240">
        <f>MODE(Table4854[[#This Row],[Season 1]:[Season 38]])</f>
        <v>0</v>
      </c>
      <c r="U181" s="1240">
        <f>MAX(Table4854[[#This Row],[Season 1]:[Season 38]])</f>
        <v>3</v>
      </c>
      <c r="V181" s="1241">
        <f>MIN(Table4854[[#This Row],[Season 1]:[Season 38]])</f>
        <v>0</v>
      </c>
      <c r="W181" s="1171">
        <f t="shared" si="97"/>
        <v>1</v>
      </c>
      <c r="X181" s="1171">
        <f t="shared" si="98"/>
        <v>1</v>
      </c>
      <c r="Y181" s="1171">
        <f t="shared" si="99"/>
        <v>2</v>
      </c>
      <c r="Z181" s="1171">
        <f t="shared" si="100"/>
        <v>1</v>
      </c>
      <c r="AA181" s="1171">
        <f t="shared" si="101"/>
        <v>3</v>
      </c>
      <c r="AB181" s="1171">
        <f t="shared" si="102"/>
        <v>1</v>
      </c>
      <c r="AC181" s="1171">
        <f t="shared" si="103"/>
        <v>1</v>
      </c>
      <c r="AD181" s="1171">
        <f t="shared" si="104"/>
        <v>1</v>
      </c>
      <c r="AE181" s="1171">
        <f t="shared" si="105"/>
        <v>3</v>
      </c>
      <c r="AF181" s="1171">
        <f t="shared" si="106"/>
        <v>0</v>
      </c>
      <c r="AG181" s="1171">
        <f t="shared" si="107"/>
        <v>0</v>
      </c>
      <c r="AH181" s="1171">
        <f t="shared" si="108"/>
        <v>0</v>
      </c>
      <c r="AI181" s="1171">
        <f t="shared" si="109"/>
        <v>1</v>
      </c>
      <c r="AJ181" s="1171">
        <f t="shared" si="110"/>
        <v>1</v>
      </c>
      <c r="AK181" s="1171">
        <f t="shared" si="111"/>
        <v>1</v>
      </c>
      <c r="AL181" s="1171">
        <f t="shared" si="112"/>
        <v>0</v>
      </c>
      <c r="AM181" s="1171">
        <f t="shared" si="113"/>
        <v>1</v>
      </c>
      <c r="AN181" s="1171">
        <f t="shared" si="114"/>
        <v>0</v>
      </c>
      <c r="AO181" s="1171">
        <f t="shared" si="115"/>
        <v>0</v>
      </c>
      <c r="AP181" s="1171">
        <f t="shared" si="116"/>
        <v>2</v>
      </c>
      <c r="AQ181" s="1171">
        <f t="shared" si="117"/>
        <v>0</v>
      </c>
      <c r="AR181" s="1171">
        <f t="shared" si="118"/>
        <v>0</v>
      </c>
      <c r="AS181" s="1171">
        <f t="shared" si="119"/>
        <v>2</v>
      </c>
      <c r="AT181" s="1171">
        <f t="shared" si="120"/>
        <v>0</v>
      </c>
      <c r="AU181" s="1171">
        <f t="shared" si="121"/>
        <v>2</v>
      </c>
      <c r="AV181" s="1171">
        <f t="shared" si="122"/>
        <v>0</v>
      </c>
      <c r="AW181" s="1171">
        <f t="shared" si="123"/>
        <v>1</v>
      </c>
      <c r="AX181" s="1171">
        <f t="shared" si="124"/>
        <v>1</v>
      </c>
      <c r="AY181" s="1171">
        <f t="shared" si="125"/>
        <v>0</v>
      </c>
      <c r="AZ181" s="1171">
        <f t="shared" si="126"/>
        <v>0</v>
      </c>
      <c r="BA181" s="1171">
        <f t="shared" si="127"/>
        <v>0</v>
      </c>
      <c r="BB181" s="1171">
        <f t="shared" si="128"/>
        <v>0</v>
      </c>
      <c r="BC181" s="1171">
        <f t="shared" si="129"/>
        <v>0</v>
      </c>
      <c r="BD181" s="1171">
        <f t="shared" si="130"/>
        <v>0</v>
      </c>
      <c r="BE181" s="1171">
        <f t="shared" si="131"/>
        <v>1</v>
      </c>
      <c r="BF181" s="1171">
        <f t="shared" si="132"/>
        <v>0</v>
      </c>
      <c r="BG181" s="1171">
        <f t="shared" si="133"/>
        <v>1</v>
      </c>
      <c r="BH181" s="1171">
        <f t="shared" si="134"/>
        <v>0</v>
      </c>
    </row>
    <row r="182" spans="2:138" ht="16.5" thickBot="1">
      <c r="B182" s="1725"/>
      <c r="D182" s="970" t="s">
        <v>68</v>
      </c>
      <c r="E182" s="58"/>
      <c r="F182" s="422"/>
      <c r="I182" s="422"/>
      <c r="J182" s="990"/>
      <c r="L182" s="990"/>
      <c r="M182" s="58"/>
      <c r="Q182" s="906" t="s">
        <v>47</v>
      </c>
      <c r="R182" s="1166">
        <f t="shared" si="96"/>
        <v>71</v>
      </c>
      <c r="S182" s="1216">
        <f>AVERAGE(Table4854[[#This Row],[Season 1]:[Season 38]])</f>
        <v>1.868421052631579</v>
      </c>
      <c r="T182" s="1242">
        <f>MODE(Table4854[[#This Row],[Season 1]:[Season 38]])</f>
        <v>1</v>
      </c>
      <c r="U182" s="1242">
        <f>MAX(Table4854[[#This Row],[Season 1]:[Season 38]])</f>
        <v>6</v>
      </c>
      <c r="V182" s="1243">
        <f>MIN(Table4854[[#This Row],[Season 1]:[Season 38]])</f>
        <v>0</v>
      </c>
      <c r="W182" s="1172">
        <f t="shared" si="97"/>
        <v>0</v>
      </c>
      <c r="X182" s="1172">
        <f>SUM(X215:Y215)</f>
        <v>0</v>
      </c>
      <c r="Y182" s="1172">
        <f t="shared" si="99"/>
        <v>0</v>
      </c>
      <c r="Z182" s="1172">
        <f t="shared" si="100"/>
        <v>0</v>
      </c>
      <c r="AA182" s="1172">
        <f t="shared" si="101"/>
        <v>0</v>
      </c>
      <c r="AB182" s="1172">
        <f t="shared" si="102"/>
        <v>2</v>
      </c>
      <c r="AC182" s="1172">
        <f t="shared" si="103"/>
        <v>1</v>
      </c>
      <c r="AD182" s="1172">
        <f t="shared" si="104"/>
        <v>3</v>
      </c>
      <c r="AE182" s="1172">
        <f t="shared" si="105"/>
        <v>2</v>
      </c>
      <c r="AF182" s="1172">
        <f t="shared" si="106"/>
        <v>2</v>
      </c>
      <c r="AG182" s="1172">
        <f t="shared" si="107"/>
        <v>0</v>
      </c>
      <c r="AH182" s="1172">
        <f t="shared" si="108"/>
        <v>1</v>
      </c>
      <c r="AI182" s="1172">
        <f t="shared" si="109"/>
        <v>1</v>
      </c>
      <c r="AJ182" s="1172">
        <f t="shared" si="110"/>
        <v>1</v>
      </c>
      <c r="AK182" s="1172">
        <f t="shared" si="111"/>
        <v>2</v>
      </c>
      <c r="AL182" s="1172">
        <f t="shared" si="112"/>
        <v>1</v>
      </c>
      <c r="AM182" s="1172">
        <f t="shared" si="113"/>
        <v>2</v>
      </c>
      <c r="AN182" s="1172">
        <f t="shared" si="114"/>
        <v>1</v>
      </c>
      <c r="AO182" s="1172">
        <f t="shared" si="115"/>
        <v>6</v>
      </c>
      <c r="AP182" s="1172">
        <f t="shared" si="116"/>
        <v>4</v>
      </c>
      <c r="AQ182" s="1172">
        <f t="shared" si="117"/>
        <v>4</v>
      </c>
      <c r="AR182" s="1172">
        <f t="shared" si="118"/>
        <v>4</v>
      </c>
      <c r="AS182" s="1172">
        <f t="shared" si="119"/>
        <v>3</v>
      </c>
      <c r="AT182" s="1172">
        <f t="shared" si="120"/>
        <v>2</v>
      </c>
      <c r="AU182" s="1172">
        <f t="shared" si="121"/>
        <v>5</v>
      </c>
      <c r="AV182" s="1172">
        <f t="shared" si="122"/>
        <v>2</v>
      </c>
      <c r="AW182" s="1172">
        <f t="shared" si="123"/>
        <v>1</v>
      </c>
      <c r="AX182" s="1172">
        <f t="shared" si="124"/>
        <v>5</v>
      </c>
      <c r="AY182" s="1172">
        <f t="shared" si="125"/>
        <v>3</v>
      </c>
      <c r="AZ182" s="1172">
        <f t="shared" si="126"/>
        <v>1</v>
      </c>
      <c r="BA182" s="1172">
        <f t="shared" si="127"/>
        <v>1</v>
      </c>
      <c r="BB182" s="1172">
        <f t="shared" si="128"/>
        <v>1</v>
      </c>
      <c r="BC182" s="1172">
        <f t="shared" si="129"/>
        <v>1</v>
      </c>
      <c r="BD182" s="1172">
        <f t="shared" si="130"/>
        <v>1</v>
      </c>
      <c r="BE182" s="1172">
        <f t="shared" si="131"/>
        <v>2</v>
      </c>
      <c r="BF182" s="1172">
        <f t="shared" si="132"/>
        <v>2</v>
      </c>
      <c r="BG182" s="1172">
        <f t="shared" si="133"/>
        <v>2</v>
      </c>
      <c r="BH182" s="1172">
        <f t="shared" si="134"/>
        <v>2</v>
      </c>
    </row>
    <row r="183" spans="2:138">
      <c r="B183" s="1725"/>
      <c r="D183" t="s">
        <v>2612</v>
      </c>
      <c r="E183" t="s">
        <v>2612</v>
      </c>
      <c r="F183" t="s">
        <v>2612</v>
      </c>
      <c r="H183" t="s">
        <v>2612</v>
      </c>
      <c r="I183" t="s">
        <v>2612</v>
      </c>
      <c r="J183" t="s">
        <v>2612</v>
      </c>
      <c r="L183" t="s">
        <v>2612</v>
      </c>
      <c r="M183" s="957" t="s">
        <v>2612</v>
      </c>
      <c r="Q183" s="907" t="s">
        <v>46</v>
      </c>
      <c r="R183" s="1166">
        <f t="shared" si="96"/>
        <v>35</v>
      </c>
      <c r="S183" s="1217">
        <f>AVERAGE(Table4854[[#This Row],[Season 1]:[Season 38]])</f>
        <v>0.92105263157894735</v>
      </c>
      <c r="T183" s="1244">
        <f>MODE(Table4854[[#This Row],[Season 1]:[Season 38]])</f>
        <v>0</v>
      </c>
      <c r="U183" s="1244">
        <f>MAX(Table4854[[#This Row],[Season 1]:[Season 38]])</f>
        <v>3</v>
      </c>
      <c r="V183" s="1245">
        <f>MIN(Table4854[[#This Row],[Season 1]:[Season 38]])</f>
        <v>0</v>
      </c>
      <c r="W183" s="1167">
        <f t="shared" si="97"/>
        <v>0</v>
      </c>
      <c r="X183" s="1167">
        <f t="shared" si="98"/>
        <v>0</v>
      </c>
      <c r="Y183" s="1167">
        <f t="shared" si="99"/>
        <v>0</v>
      </c>
      <c r="Z183" s="1167">
        <f t="shared" si="100"/>
        <v>0</v>
      </c>
      <c r="AA183" s="1167">
        <f t="shared" si="101"/>
        <v>0</v>
      </c>
      <c r="AB183" s="1167">
        <f t="shared" si="102"/>
        <v>1</v>
      </c>
      <c r="AC183" s="1167">
        <f t="shared" si="103"/>
        <v>0</v>
      </c>
      <c r="AD183" s="1167">
        <f t="shared" si="104"/>
        <v>1</v>
      </c>
      <c r="AE183" s="1167">
        <f t="shared" si="105"/>
        <v>0</v>
      </c>
      <c r="AF183" s="1167">
        <f t="shared" si="106"/>
        <v>0</v>
      </c>
      <c r="AG183" s="1167">
        <f t="shared" si="107"/>
        <v>3</v>
      </c>
      <c r="AH183" s="1167">
        <f t="shared" si="108"/>
        <v>0</v>
      </c>
      <c r="AI183" s="1167">
        <f t="shared" si="109"/>
        <v>0</v>
      </c>
      <c r="AJ183" s="1167">
        <f t="shared" si="110"/>
        <v>0</v>
      </c>
      <c r="AK183" s="1167">
        <f t="shared" si="111"/>
        <v>0</v>
      </c>
      <c r="AL183" s="1167">
        <f t="shared" si="112"/>
        <v>0</v>
      </c>
      <c r="AM183" s="1167">
        <f t="shared" si="113"/>
        <v>0</v>
      </c>
      <c r="AN183" s="1167">
        <f t="shared" si="114"/>
        <v>3</v>
      </c>
      <c r="AO183" s="1167">
        <f t="shared" si="115"/>
        <v>1</v>
      </c>
      <c r="AP183" s="1167">
        <f t="shared" si="116"/>
        <v>0</v>
      </c>
      <c r="AQ183" s="1167">
        <f t="shared" si="117"/>
        <v>2</v>
      </c>
      <c r="AR183" s="1167">
        <f t="shared" si="118"/>
        <v>3</v>
      </c>
      <c r="AS183" s="1167">
        <f t="shared" si="119"/>
        <v>1</v>
      </c>
      <c r="AT183" s="1167">
        <f t="shared" si="120"/>
        <v>0</v>
      </c>
      <c r="AU183" s="1167">
        <f t="shared" si="121"/>
        <v>2</v>
      </c>
      <c r="AV183" s="1167">
        <f t="shared" si="122"/>
        <v>2</v>
      </c>
      <c r="AW183" s="1167">
        <f t="shared" si="123"/>
        <v>2</v>
      </c>
      <c r="AX183" s="1167">
        <f t="shared" si="124"/>
        <v>3</v>
      </c>
      <c r="AY183" s="1167">
        <f t="shared" si="125"/>
        <v>0</v>
      </c>
      <c r="AZ183" s="1167">
        <f t="shared" si="126"/>
        <v>1</v>
      </c>
      <c r="BA183" s="1167">
        <f t="shared" si="127"/>
        <v>2</v>
      </c>
      <c r="BB183" s="1167">
        <f t="shared" si="128"/>
        <v>1</v>
      </c>
      <c r="BC183" s="1167">
        <f t="shared" si="129"/>
        <v>2</v>
      </c>
      <c r="BD183" s="1167">
        <f t="shared" si="130"/>
        <v>1</v>
      </c>
      <c r="BE183" s="1167">
        <f t="shared" si="131"/>
        <v>1</v>
      </c>
      <c r="BF183" s="1167">
        <f t="shared" si="132"/>
        <v>2</v>
      </c>
      <c r="BG183" s="1167">
        <f t="shared" si="133"/>
        <v>0</v>
      </c>
      <c r="BH183" s="1167">
        <f t="shared" si="134"/>
        <v>1</v>
      </c>
    </row>
    <row r="184" spans="2:138" ht="15.95" customHeight="1">
      <c r="B184" s="1725"/>
      <c r="D184" s="961" t="s">
        <v>339</v>
      </c>
      <c r="E184" s="967" t="s">
        <v>27</v>
      </c>
      <c r="F184" s="981" t="s">
        <v>1271</v>
      </c>
      <c r="H184" s="189" t="s">
        <v>47</v>
      </c>
      <c r="I184" s="981" t="s">
        <v>1271</v>
      </c>
      <c r="J184" s="981" t="s">
        <v>1271</v>
      </c>
      <c r="L184" s="189" t="s">
        <v>47</v>
      </c>
      <c r="M184" s="189" t="s">
        <v>47</v>
      </c>
      <c r="N184" s="58"/>
      <c r="O184" s="58"/>
      <c r="Q184" s="908" t="s">
        <v>397</v>
      </c>
      <c r="R184" s="1166">
        <f t="shared" si="96"/>
        <v>4</v>
      </c>
      <c r="S184" s="1218">
        <f>AVERAGE(Table4854[[#This Row],[Season 1]:[Season 38]])</f>
        <v>0.10526315789473684</v>
      </c>
      <c r="T184" s="1246">
        <f>MODE(Table4854[[#This Row],[Season 1]:[Season 38]])</f>
        <v>0</v>
      </c>
      <c r="U184" s="1246">
        <f>MAX(Table4854[[#This Row],[Season 1]:[Season 38]])</f>
        <v>1</v>
      </c>
      <c r="V184" s="1247">
        <f>MIN(Table4854[[#This Row],[Season 1]:[Season 38]])</f>
        <v>0</v>
      </c>
      <c r="W184" s="1173">
        <f t="shared" si="97"/>
        <v>0</v>
      </c>
      <c r="X184" s="1173">
        <f t="shared" si="98"/>
        <v>0</v>
      </c>
      <c r="Y184" s="1173">
        <f t="shared" si="99"/>
        <v>1</v>
      </c>
      <c r="Z184" s="1173">
        <f t="shared" si="100"/>
        <v>0</v>
      </c>
      <c r="AA184" s="1173">
        <f t="shared" si="101"/>
        <v>0</v>
      </c>
      <c r="AB184" s="1173">
        <f t="shared" si="102"/>
        <v>1</v>
      </c>
      <c r="AC184" s="1173">
        <f t="shared" si="103"/>
        <v>0</v>
      </c>
      <c r="AD184" s="1173">
        <f t="shared" si="104"/>
        <v>0</v>
      </c>
      <c r="AE184" s="1173">
        <f t="shared" si="105"/>
        <v>0</v>
      </c>
      <c r="AF184" s="1173">
        <f t="shared" si="106"/>
        <v>0</v>
      </c>
      <c r="AG184" s="1173">
        <f t="shared" si="107"/>
        <v>0</v>
      </c>
      <c r="AH184" s="1173">
        <f t="shared" si="108"/>
        <v>1</v>
      </c>
      <c r="AI184" s="1173">
        <f t="shared" si="109"/>
        <v>0</v>
      </c>
      <c r="AJ184" s="1173">
        <f t="shared" si="110"/>
        <v>0</v>
      </c>
      <c r="AK184" s="1173">
        <f t="shared" si="111"/>
        <v>0</v>
      </c>
      <c r="AL184" s="1173">
        <f t="shared" si="112"/>
        <v>0</v>
      </c>
      <c r="AM184" s="1173">
        <f t="shared" si="113"/>
        <v>0</v>
      </c>
      <c r="AN184" s="1173">
        <f t="shared" si="114"/>
        <v>0</v>
      </c>
      <c r="AO184" s="1173">
        <f t="shared" si="115"/>
        <v>0</v>
      </c>
      <c r="AP184" s="1173">
        <f t="shared" si="116"/>
        <v>0</v>
      </c>
      <c r="AQ184" s="1173">
        <f t="shared" si="117"/>
        <v>0</v>
      </c>
      <c r="AR184" s="1173">
        <f t="shared" si="118"/>
        <v>0</v>
      </c>
      <c r="AS184" s="1173">
        <f t="shared" si="119"/>
        <v>0</v>
      </c>
      <c r="AT184" s="1173">
        <f t="shared" si="120"/>
        <v>0</v>
      </c>
      <c r="AU184" s="1173">
        <f t="shared" si="121"/>
        <v>0</v>
      </c>
      <c r="AV184" s="1173">
        <f t="shared" si="122"/>
        <v>0</v>
      </c>
      <c r="AW184" s="1173">
        <f t="shared" si="123"/>
        <v>0</v>
      </c>
      <c r="AX184" s="1173">
        <f t="shared" si="124"/>
        <v>1</v>
      </c>
      <c r="AY184" s="1173">
        <f t="shared" si="125"/>
        <v>0</v>
      </c>
      <c r="AZ184" s="1173">
        <f t="shared" si="126"/>
        <v>0</v>
      </c>
      <c r="BA184" s="1173">
        <f t="shared" si="127"/>
        <v>0</v>
      </c>
      <c r="BB184" s="1173">
        <f t="shared" si="128"/>
        <v>0</v>
      </c>
      <c r="BC184" s="1173">
        <f t="shared" si="129"/>
        <v>0</v>
      </c>
      <c r="BD184" s="1173">
        <f t="shared" si="130"/>
        <v>0</v>
      </c>
      <c r="BE184" s="1173">
        <f t="shared" si="131"/>
        <v>0</v>
      </c>
      <c r="BF184" s="1173">
        <f t="shared" si="132"/>
        <v>0</v>
      </c>
      <c r="BG184" s="1173">
        <f t="shared" si="133"/>
        <v>0</v>
      </c>
      <c r="BH184" s="1173">
        <f t="shared" si="134"/>
        <v>0</v>
      </c>
    </row>
    <row r="185" spans="2:138">
      <c r="B185" s="1725"/>
      <c r="D185" s="1049"/>
      <c r="E185" s="981" t="s">
        <v>1271</v>
      </c>
      <c r="L185" s="963" t="s">
        <v>46</v>
      </c>
      <c r="M185" s="977" t="s">
        <v>1270</v>
      </c>
      <c r="N185" s="990"/>
      <c r="O185" s="990"/>
      <c r="Q185" s="909" t="s">
        <v>155</v>
      </c>
      <c r="R185" s="1166">
        <f t="shared" si="96"/>
        <v>31</v>
      </c>
      <c r="S185" s="1219">
        <f>AVERAGE(Table4854[[#This Row],[Season 1]:[Season 38]])</f>
        <v>0.81578947368421051</v>
      </c>
      <c r="T185" s="1248">
        <f>MODE(Table4854[[#This Row],[Season 1]:[Season 38]])</f>
        <v>0</v>
      </c>
      <c r="U185" s="1248">
        <f>MAX(Table4854[[#This Row],[Season 1]:[Season 38]])</f>
        <v>3</v>
      </c>
      <c r="V185" s="1249">
        <f>MIN(Table4854[[#This Row],[Season 1]:[Season 38]])</f>
        <v>0</v>
      </c>
      <c r="W185" s="1174">
        <f t="shared" si="97"/>
        <v>0</v>
      </c>
      <c r="X185" s="1174">
        <f t="shared" si="98"/>
        <v>1</v>
      </c>
      <c r="Y185" s="1174">
        <f t="shared" si="99"/>
        <v>0</v>
      </c>
      <c r="Z185" s="1174">
        <f t="shared" si="100"/>
        <v>0</v>
      </c>
      <c r="AA185" s="1174">
        <f t="shared" si="101"/>
        <v>0</v>
      </c>
      <c r="AB185" s="1174">
        <f t="shared" si="102"/>
        <v>0</v>
      </c>
      <c r="AC185" s="1174">
        <f t="shared" si="103"/>
        <v>0</v>
      </c>
      <c r="AD185" s="1174">
        <f t="shared" si="104"/>
        <v>0</v>
      </c>
      <c r="AE185" s="1174">
        <f t="shared" si="105"/>
        <v>1</v>
      </c>
      <c r="AF185" s="1174">
        <f t="shared" si="106"/>
        <v>0</v>
      </c>
      <c r="AG185" s="1174">
        <f t="shared" si="107"/>
        <v>0</v>
      </c>
      <c r="AH185" s="1174">
        <f t="shared" si="108"/>
        <v>2</v>
      </c>
      <c r="AI185" s="1174">
        <f t="shared" si="109"/>
        <v>1</v>
      </c>
      <c r="AJ185" s="1174">
        <f t="shared" si="110"/>
        <v>2</v>
      </c>
      <c r="AK185" s="1174">
        <f t="shared" si="111"/>
        <v>1</v>
      </c>
      <c r="AL185" s="1174">
        <f t="shared" si="112"/>
        <v>0</v>
      </c>
      <c r="AM185" s="1174">
        <f t="shared" si="113"/>
        <v>0</v>
      </c>
      <c r="AN185" s="1174">
        <f t="shared" si="114"/>
        <v>1</v>
      </c>
      <c r="AO185" s="1174">
        <f t="shared" si="115"/>
        <v>1</v>
      </c>
      <c r="AP185" s="1174">
        <f t="shared" si="116"/>
        <v>0</v>
      </c>
      <c r="AQ185" s="1174">
        <f t="shared" si="117"/>
        <v>3</v>
      </c>
      <c r="AR185" s="1174">
        <f t="shared" si="118"/>
        <v>0</v>
      </c>
      <c r="AS185" s="1174">
        <f t="shared" si="119"/>
        <v>1</v>
      </c>
      <c r="AT185" s="1174">
        <f t="shared" si="120"/>
        <v>3</v>
      </c>
      <c r="AU185" s="1174">
        <f t="shared" si="121"/>
        <v>1</v>
      </c>
      <c r="AV185" s="1174">
        <f t="shared" si="122"/>
        <v>2</v>
      </c>
      <c r="AW185" s="1174">
        <f t="shared" si="123"/>
        <v>0</v>
      </c>
      <c r="AX185" s="1174">
        <f t="shared" si="124"/>
        <v>0</v>
      </c>
      <c r="AY185" s="1174">
        <f t="shared" si="125"/>
        <v>0</v>
      </c>
      <c r="AZ185" s="1174">
        <f t="shared" si="126"/>
        <v>1</v>
      </c>
      <c r="BA185" s="1174">
        <f t="shared" si="127"/>
        <v>1</v>
      </c>
      <c r="BB185" s="1174">
        <f t="shared" si="128"/>
        <v>2</v>
      </c>
      <c r="BC185" s="1174">
        <f t="shared" si="129"/>
        <v>2</v>
      </c>
      <c r="BD185" s="1174">
        <f t="shared" si="130"/>
        <v>2</v>
      </c>
      <c r="BE185" s="1174">
        <f t="shared" si="131"/>
        <v>0</v>
      </c>
      <c r="BF185" s="1174">
        <f t="shared" si="132"/>
        <v>1</v>
      </c>
      <c r="BG185" s="1174">
        <f t="shared" si="133"/>
        <v>0</v>
      </c>
      <c r="BH185" s="1174">
        <f t="shared" si="134"/>
        <v>2</v>
      </c>
    </row>
    <row r="186" spans="2:138" ht="16.5" thickBot="1">
      <c r="B186" s="1726"/>
      <c r="C186" s="1036"/>
      <c r="D186" s="1036" t="s">
        <v>189</v>
      </c>
      <c r="E186" s="1036" t="s">
        <v>187</v>
      </c>
      <c r="F186" s="1036" t="s">
        <v>186</v>
      </c>
      <c r="G186" s="1036"/>
      <c r="H186" s="1036" t="s">
        <v>188</v>
      </c>
      <c r="I186" s="1036" t="s">
        <v>188</v>
      </c>
      <c r="J186" s="1036" t="s">
        <v>189</v>
      </c>
      <c r="K186" s="1036"/>
      <c r="L186" s="1036" t="s">
        <v>188</v>
      </c>
      <c r="M186" s="1036" t="s">
        <v>190</v>
      </c>
      <c r="N186" s="1036"/>
      <c r="O186" s="1036"/>
      <c r="Q186" s="897" t="s">
        <v>24</v>
      </c>
      <c r="R186" s="1166">
        <f t="shared" si="96"/>
        <v>37</v>
      </c>
      <c r="S186" s="1220">
        <f>AVERAGE(Table4854[[#This Row],[Season 1]:[Season 38]])</f>
        <v>0.97368421052631582</v>
      </c>
      <c r="T186" s="1250">
        <f>MODE(Table4854[[#This Row],[Season 1]:[Season 38]])</f>
        <v>0</v>
      </c>
      <c r="U186" s="1250">
        <f>MAX(Table4854[[#This Row],[Season 1]:[Season 38]])</f>
        <v>6</v>
      </c>
      <c r="V186" s="1251">
        <f>MIN(Table4854[[#This Row],[Season 1]:[Season 38]])</f>
        <v>0</v>
      </c>
      <c r="W186" s="1175">
        <f t="shared" si="97"/>
        <v>6</v>
      </c>
      <c r="X186" s="1175">
        <f t="shared" si="98"/>
        <v>0</v>
      </c>
      <c r="Y186" s="1175">
        <f t="shared" si="99"/>
        <v>4</v>
      </c>
      <c r="Z186" s="1175">
        <f t="shared" si="100"/>
        <v>5</v>
      </c>
      <c r="AA186" s="1175">
        <f t="shared" si="101"/>
        <v>3</v>
      </c>
      <c r="AB186" s="1175">
        <f t="shared" si="102"/>
        <v>2</v>
      </c>
      <c r="AC186" s="1175">
        <f t="shared" si="103"/>
        <v>0</v>
      </c>
      <c r="AD186" s="1175">
        <f t="shared" si="104"/>
        <v>4</v>
      </c>
      <c r="AE186" s="1175">
        <f t="shared" si="105"/>
        <v>4</v>
      </c>
      <c r="AF186" s="1175">
        <f t="shared" si="106"/>
        <v>0</v>
      </c>
      <c r="AG186" s="1175">
        <f t="shared" si="107"/>
        <v>0</v>
      </c>
      <c r="AH186" s="1175">
        <f t="shared" si="108"/>
        <v>0</v>
      </c>
      <c r="AI186" s="1175">
        <f t="shared" si="109"/>
        <v>0</v>
      </c>
      <c r="AJ186" s="1175">
        <f t="shared" si="110"/>
        <v>3</v>
      </c>
      <c r="AK186" s="1175">
        <f t="shared" si="111"/>
        <v>0</v>
      </c>
      <c r="AL186" s="1175">
        <f t="shared" si="112"/>
        <v>2</v>
      </c>
      <c r="AM186" s="1175">
        <f t="shared" si="113"/>
        <v>0</v>
      </c>
      <c r="AN186" s="1175">
        <f t="shared" si="114"/>
        <v>0</v>
      </c>
      <c r="AO186" s="1175">
        <f t="shared" si="115"/>
        <v>0</v>
      </c>
      <c r="AP186" s="1175">
        <f t="shared" si="116"/>
        <v>1</v>
      </c>
      <c r="AQ186" s="1175">
        <f t="shared" si="117"/>
        <v>0</v>
      </c>
      <c r="AR186" s="1175">
        <f t="shared" si="118"/>
        <v>1</v>
      </c>
      <c r="AS186" s="1175">
        <f t="shared" si="119"/>
        <v>0</v>
      </c>
      <c r="AT186" s="1175">
        <f t="shared" si="120"/>
        <v>0</v>
      </c>
      <c r="AU186" s="1175">
        <f t="shared" si="121"/>
        <v>0</v>
      </c>
      <c r="AV186" s="1175">
        <f t="shared" si="122"/>
        <v>0</v>
      </c>
      <c r="AW186" s="1175">
        <f t="shared" si="123"/>
        <v>1</v>
      </c>
      <c r="AX186" s="1175">
        <f t="shared" si="124"/>
        <v>0</v>
      </c>
      <c r="AY186" s="1175">
        <f t="shared" si="125"/>
        <v>0</v>
      </c>
      <c r="AZ186" s="1175">
        <f t="shared" si="126"/>
        <v>1</v>
      </c>
      <c r="BA186" s="1175">
        <f t="shared" si="127"/>
        <v>0</v>
      </c>
      <c r="BB186" s="1175">
        <f t="shared" si="128"/>
        <v>0</v>
      </c>
      <c r="BC186" s="1175">
        <f t="shared" si="129"/>
        <v>0</v>
      </c>
      <c r="BD186" s="1175">
        <f t="shared" si="130"/>
        <v>0</v>
      </c>
      <c r="BE186" s="1175">
        <f t="shared" si="131"/>
        <v>0</v>
      </c>
      <c r="BF186" s="1175">
        <f t="shared" si="132"/>
        <v>0</v>
      </c>
      <c r="BG186" s="1175">
        <f t="shared" si="133"/>
        <v>0</v>
      </c>
      <c r="BH186" s="1175">
        <f t="shared" si="134"/>
        <v>0</v>
      </c>
    </row>
    <row r="187" spans="2:138" ht="17.100000000000001" customHeight="1" thickTop="1">
      <c r="B187" s="1728" t="s">
        <v>145</v>
      </c>
      <c r="D187" s="189" t="s">
        <v>47</v>
      </c>
      <c r="E187" s="189" t="s">
        <v>47</v>
      </c>
      <c r="F187" s="977" t="s">
        <v>1270</v>
      </c>
      <c r="G187" s="977" t="s">
        <v>1270</v>
      </c>
      <c r="H187" s="964" t="s">
        <v>44</v>
      </c>
      <c r="I187" s="979" t="s">
        <v>120</v>
      </c>
      <c r="J187" s="981" t="s">
        <v>1271</v>
      </c>
      <c r="K187" s="974" t="s">
        <v>1269</v>
      </c>
      <c r="L187" s="977" t="s">
        <v>1270</v>
      </c>
      <c r="M187" s="982" t="s">
        <v>29</v>
      </c>
      <c r="N187" s="58"/>
      <c r="O187" s="58"/>
      <c r="Q187" s="910" t="s">
        <v>23</v>
      </c>
      <c r="R187" s="1166">
        <f t="shared" si="96"/>
        <v>0</v>
      </c>
      <c r="S187" s="1221">
        <f>AVERAGE(Table4854[[#This Row],[Season 1]:[Season 38]])</f>
        <v>0</v>
      </c>
      <c r="T187" s="1252">
        <f>MODE(Table4854[[#This Row],[Season 1]:[Season 38]])</f>
        <v>0</v>
      </c>
      <c r="U187" s="1252">
        <f>MAX(Table4854[[#This Row],[Season 1]:[Season 38]])</f>
        <v>0</v>
      </c>
      <c r="V187" s="1253">
        <f>MIN(Table4854[[#This Row],[Season 1]:[Season 38]])</f>
        <v>0</v>
      </c>
      <c r="W187" s="1182">
        <f t="shared" si="97"/>
        <v>0</v>
      </c>
      <c r="X187" s="1182">
        <f t="shared" si="98"/>
        <v>0</v>
      </c>
      <c r="Y187" s="1182">
        <f t="shared" si="99"/>
        <v>0</v>
      </c>
      <c r="Z187" s="1182">
        <f t="shared" si="100"/>
        <v>0</v>
      </c>
      <c r="AA187" s="1182">
        <f t="shared" si="101"/>
        <v>0</v>
      </c>
      <c r="AB187" s="1182">
        <f t="shared" si="102"/>
        <v>0</v>
      </c>
      <c r="AC187" s="1182">
        <f t="shared" si="103"/>
        <v>0</v>
      </c>
      <c r="AD187" s="1182">
        <f t="shared" si="104"/>
        <v>0</v>
      </c>
      <c r="AE187" s="1182">
        <f t="shared" si="105"/>
        <v>0</v>
      </c>
      <c r="AF187" s="1182">
        <f t="shared" si="106"/>
        <v>0</v>
      </c>
      <c r="AG187" s="1182">
        <f t="shared" si="107"/>
        <v>0</v>
      </c>
      <c r="AH187" s="1182">
        <f t="shared" si="108"/>
        <v>0</v>
      </c>
      <c r="AI187" s="1182">
        <f t="shared" si="109"/>
        <v>0</v>
      </c>
      <c r="AJ187" s="1182">
        <f t="shared" si="110"/>
        <v>0</v>
      </c>
      <c r="AK187" s="1182">
        <f t="shared" si="111"/>
        <v>0</v>
      </c>
      <c r="AL187" s="1182">
        <f t="shared" si="112"/>
        <v>0</v>
      </c>
      <c r="AM187" s="1182">
        <f t="shared" si="113"/>
        <v>0</v>
      </c>
      <c r="AN187" s="1182">
        <f t="shared" si="114"/>
        <v>0</v>
      </c>
      <c r="AO187" s="1182">
        <f t="shared" si="115"/>
        <v>0</v>
      </c>
      <c r="AP187" s="1182">
        <f t="shared" si="116"/>
        <v>0</v>
      </c>
      <c r="AQ187" s="1182">
        <f t="shared" si="117"/>
        <v>0</v>
      </c>
      <c r="AR187" s="1182">
        <f t="shared" si="118"/>
        <v>0</v>
      </c>
      <c r="AS187" s="1182">
        <f t="shared" si="119"/>
        <v>0</v>
      </c>
      <c r="AT187" s="1182">
        <f t="shared" si="120"/>
        <v>0</v>
      </c>
      <c r="AU187" s="1182">
        <f t="shared" si="121"/>
        <v>0</v>
      </c>
      <c r="AV187" s="1182">
        <f t="shared" si="122"/>
        <v>0</v>
      </c>
      <c r="AW187" s="1182">
        <f t="shared" si="123"/>
        <v>0</v>
      </c>
      <c r="AX187" s="1182">
        <f t="shared" si="124"/>
        <v>0</v>
      </c>
      <c r="AY187" s="1182">
        <f t="shared" si="125"/>
        <v>0</v>
      </c>
      <c r="AZ187" s="1182">
        <f t="shared" si="126"/>
        <v>0</v>
      </c>
      <c r="BA187" s="1182">
        <f t="shared" si="127"/>
        <v>0</v>
      </c>
      <c r="BB187" s="1182">
        <f t="shared" si="128"/>
        <v>0</v>
      </c>
      <c r="BC187" s="1182">
        <f t="shared" si="129"/>
        <v>0</v>
      </c>
      <c r="BD187" s="1182">
        <f t="shared" si="130"/>
        <v>0</v>
      </c>
      <c r="BE187" s="1182">
        <f t="shared" si="131"/>
        <v>0</v>
      </c>
      <c r="BF187" s="1182">
        <f t="shared" si="132"/>
        <v>0</v>
      </c>
      <c r="BG187" s="1182">
        <f t="shared" si="133"/>
        <v>0</v>
      </c>
      <c r="BH187" s="1182">
        <f t="shared" si="134"/>
        <v>0</v>
      </c>
    </row>
    <row r="188" spans="2:138">
      <c r="B188" s="1725"/>
      <c r="D188" s="977" t="s">
        <v>1270</v>
      </c>
      <c r="E188" s="960" t="s">
        <v>43</v>
      </c>
      <c r="F188" s="422"/>
      <c r="G188" s="189" t="s">
        <v>47</v>
      </c>
      <c r="H188" s="990"/>
      <c r="I188" s="974" t="s">
        <v>1269</v>
      </c>
      <c r="J188" s="990"/>
      <c r="K188" s="990"/>
      <c r="L188" s="967" t="s">
        <v>27</v>
      </c>
      <c r="M188" s="58"/>
      <c r="Q188" s="895" t="s">
        <v>29</v>
      </c>
      <c r="R188" s="1166">
        <f t="shared" si="96"/>
        <v>20</v>
      </c>
      <c r="S188" s="1217">
        <f>AVERAGE(Table4854[[#This Row],[Season 1]:[Season 38]])</f>
        <v>0.52631578947368418</v>
      </c>
      <c r="T188" s="1244">
        <f>MODE(Table4854[[#This Row],[Season 1]:[Season 38]])</f>
        <v>0</v>
      </c>
      <c r="U188" s="1244">
        <f>MAX(Table4854[[#This Row],[Season 1]:[Season 38]])</f>
        <v>3</v>
      </c>
      <c r="V188" s="1245">
        <f>MIN(Table4854[[#This Row],[Season 1]:[Season 38]])</f>
        <v>0</v>
      </c>
      <c r="W188" s="1167">
        <f t="shared" si="97"/>
        <v>0</v>
      </c>
      <c r="X188" s="1167">
        <f t="shared" si="98"/>
        <v>1</v>
      </c>
      <c r="Y188" s="1167">
        <f t="shared" si="99"/>
        <v>0</v>
      </c>
      <c r="Z188" s="1167">
        <f t="shared" si="100"/>
        <v>1</v>
      </c>
      <c r="AA188" s="1167">
        <f t="shared" si="101"/>
        <v>1</v>
      </c>
      <c r="AB188" s="1167">
        <f t="shared" si="102"/>
        <v>0</v>
      </c>
      <c r="AC188" s="1167">
        <f t="shared" si="103"/>
        <v>0</v>
      </c>
      <c r="AD188" s="1167">
        <f t="shared" si="104"/>
        <v>0</v>
      </c>
      <c r="AE188" s="1167">
        <f t="shared" si="105"/>
        <v>0</v>
      </c>
      <c r="AF188" s="1167">
        <f t="shared" si="106"/>
        <v>0</v>
      </c>
      <c r="AG188" s="1167">
        <f t="shared" si="107"/>
        <v>1</v>
      </c>
      <c r="AH188" s="1167">
        <f t="shared" si="108"/>
        <v>0</v>
      </c>
      <c r="AI188" s="1167">
        <f t="shared" si="109"/>
        <v>2</v>
      </c>
      <c r="AJ188" s="1167">
        <f t="shared" si="110"/>
        <v>0</v>
      </c>
      <c r="AK188" s="1167">
        <f t="shared" si="111"/>
        <v>1</v>
      </c>
      <c r="AL188" s="1167">
        <f t="shared" si="112"/>
        <v>1</v>
      </c>
      <c r="AM188" s="1167">
        <f t="shared" si="113"/>
        <v>1</v>
      </c>
      <c r="AN188" s="1167">
        <f t="shared" si="114"/>
        <v>2</v>
      </c>
      <c r="AO188" s="1167">
        <f t="shared" si="115"/>
        <v>0</v>
      </c>
      <c r="AP188" s="1167">
        <f t="shared" si="116"/>
        <v>2</v>
      </c>
      <c r="AQ188" s="1167">
        <f t="shared" si="117"/>
        <v>1</v>
      </c>
      <c r="AR188" s="1167">
        <f t="shared" si="118"/>
        <v>0</v>
      </c>
      <c r="AS188" s="1167">
        <f t="shared" si="119"/>
        <v>0</v>
      </c>
      <c r="AT188" s="1167">
        <f t="shared" si="120"/>
        <v>0</v>
      </c>
      <c r="AU188" s="1167">
        <f t="shared" si="121"/>
        <v>0</v>
      </c>
      <c r="AV188" s="1167">
        <f t="shared" si="122"/>
        <v>3</v>
      </c>
      <c r="AW188" s="1167">
        <f t="shared" si="123"/>
        <v>0</v>
      </c>
      <c r="AX188" s="1167">
        <f t="shared" si="124"/>
        <v>0</v>
      </c>
      <c r="AY188" s="1167">
        <f t="shared" si="125"/>
        <v>0</v>
      </c>
      <c r="AZ188" s="1167">
        <f t="shared" si="126"/>
        <v>0</v>
      </c>
      <c r="BA188" s="1167">
        <f t="shared" si="127"/>
        <v>0</v>
      </c>
      <c r="BB188" s="1167">
        <f t="shared" si="128"/>
        <v>1</v>
      </c>
      <c r="BC188" s="1167">
        <f t="shared" si="129"/>
        <v>0</v>
      </c>
      <c r="BD188" s="1167">
        <f t="shared" si="130"/>
        <v>0</v>
      </c>
      <c r="BE188" s="1167">
        <f t="shared" si="131"/>
        <v>1</v>
      </c>
      <c r="BF188" s="1167">
        <f t="shared" si="132"/>
        <v>0</v>
      </c>
      <c r="BG188" s="1167">
        <f t="shared" si="133"/>
        <v>0</v>
      </c>
      <c r="BH188" s="1167">
        <f t="shared" si="134"/>
        <v>1</v>
      </c>
    </row>
    <row r="189" spans="2:138">
      <c r="B189" s="1725"/>
      <c r="D189" t="s">
        <v>2612</v>
      </c>
      <c r="E189" t="s">
        <v>2612</v>
      </c>
      <c r="F189" t="s">
        <v>2612</v>
      </c>
      <c r="G189" t="s">
        <v>2612</v>
      </c>
      <c r="H189" t="s">
        <v>2612</v>
      </c>
      <c r="I189" t="s">
        <v>2612</v>
      </c>
      <c r="J189" t="s">
        <v>2612</v>
      </c>
      <c r="K189" t="s">
        <v>2612</v>
      </c>
      <c r="L189" t="s">
        <v>2612</v>
      </c>
      <c r="M189" s="957" t="s">
        <v>2612</v>
      </c>
      <c r="Q189" s="911" t="s">
        <v>93</v>
      </c>
      <c r="R189" s="1166">
        <f t="shared" si="96"/>
        <v>0</v>
      </c>
      <c r="S189" s="1217">
        <f>AVERAGE(Table4854[[#This Row],[Season 1]:[Season 38]])</f>
        <v>0</v>
      </c>
      <c r="T189" s="1244">
        <f>MODE(Table4854[[#This Row],[Season 1]:[Season 38]])</f>
        <v>0</v>
      </c>
      <c r="U189" s="1244">
        <f>MAX(Table4854[[#This Row],[Season 1]:[Season 38]])</f>
        <v>0</v>
      </c>
      <c r="V189" s="1245">
        <f>MIN(Table4854[[#This Row],[Season 1]:[Season 38]])</f>
        <v>0</v>
      </c>
      <c r="W189" s="1167">
        <f t="shared" si="97"/>
        <v>0</v>
      </c>
      <c r="X189" s="1167">
        <f t="shared" si="98"/>
        <v>0</v>
      </c>
      <c r="Y189" s="1167">
        <f t="shared" si="99"/>
        <v>0</v>
      </c>
      <c r="Z189" s="1167">
        <f t="shared" si="100"/>
        <v>0</v>
      </c>
      <c r="AA189" s="1167">
        <f t="shared" si="101"/>
        <v>0</v>
      </c>
      <c r="AB189" s="1167">
        <f t="shared" si="102"/>
        <v>0</v>
      </c>
      <c r="AC189" s="1167">
        <f t="shared" si="103"/>
        <v>0</v>
      </c>
      <c r="AD189" s="1167">
        <f t="shared" si="104"/>
        <v>0</v>
      </c>
      <c r="AE189" s="1167">
        <f t="shared" si="105"/>
        <v>0</v>
      </c>
      <c r="AF189" s="1167">
        <f t="shared" si="106"/>
        <v>0</v>
      </c>
      <c r="AG189" s="1167">
        <f t="shared" si="107"/>
        <v>0</v>
      </c>
      <c r="AH189" s="1167">
        <f t="shared" si="108"/>
        <v>0</v>
      </c>
      <c r="AI189" s="1167">
        <f t="shared" si="109"/>
        <v>0</v>
      </c>
      <c r="AJ189" s="1167">
        <f t="shared" si="110"/>
        <v>0</v>
      </c>
      <c r="AK189" s="1167">
        <f t="shared" si="111"/>
        <v>0</v>
      </c>
      <c r="AL189" s="1167">
        <f t="shared" si="112"/>
        <v>0</v>
      </c>
      <c r="AM189" s="1167">
        <f t="shared" si="113"/>
        <v>0</v>
      </c>
      <c r="AN189" s="1167">
        <f t="shared" si="114"/>
        <v>0</v>
      </c>
      <c r="AO189" s="1167">
        <f t="shared" si="115"/>
        <v>0</v>
      </c>
      <c r="AP189" s="1167">
        <f t="shared" si="116"/>
        <v>0</v>
      </c>
      <c r="AQ189" s="1167">
        <f t="shared" si="117"/>
        <v>0</v>
      </c>
      <c r="AR189" s="1167">
        <f t="shared" si="118"/>
        <v>0</v>
      </c>
      <c r="AS189" s="1167">
        <f t="shared" si="119"/>
        <v>0</v>
      </c>
      <c r="AT189" s="1167">
        <f t="shared" si="120"/>
        <v>0</v>
      </c>
      <c r="AU189" s="1167">
        <f t="shared" si="121"/>
        <v>0</v>
      </c>
      <c r="AV189" s="1167">
        <f t="shared" si="122"/>
        <v>0</v>
      </c>
      <c r="AW189" s="1167">
        <f t="shared" si="123"/>
        <v>0</v>
      </c>
      <c r="AX189" s="1167">
        <f t="shared" si="124"/>
        <v>0</v>
      </c>
      <c r="AY189" s="1167">
        <f t="shared" si="125"/>
        <v>0</v>
      </c>
      <c r="AZ189" s="1167">
        <f t="shared" si="126"/>
        <v>0</v>
      </c>
      <c r="BA189" s="1167">
        <f t="shared" si="127"/>
        <v>0</v>
      </c>
      <c r="BB189" s="1167">
        <f t="shared" si="128"/>
        <v>0</v>
      </c>
      <c r="BC189" s="1167">
        <f t="shared" si="129"/>
        <v>0</v>
      </c>
      <c r="BD189" s="1167">
        <f t="shared" si="130"/>
        <v>0</v>
      </c>
      <c r="BE189" s="1167">
        <f t="shared" si="131"/>
        <v>0</v>
      </c>
      <c r="BF189" s="1167">
        <f t="shared" si="132"/>
        <v>0</v>
      </c>
      <c r="BG189" s="1167">
        <f t="shared" si="133"/>
        <v>0</v>
      </c>
      <c r="BH189" s="1167">
        <f t="shared" si="134"/>
        <v>0</v>
      </c>
    </row>
    <row r="190" spans="2:138" ht="15.95" customHeight="1">
      <c r="B190" s="1725"/>
      <c r="D190" s="967" t="s">
        <v>27</v>
      </c>
      <c r="E190" s="977" t="s">
        <v>1270</v>
      </c>
      <c r="F190" s="982" t="s">
        <v>29</v>
      </c>
      <c r="G190" s="977" t="s">
        <v>1270</v>
      </c>
      <c r="H190" s="977" t="s">
        <v>1270</v>
      </c>
      <c r="I190" s="979" t="s">
        <v>120</v>
      </c>
      <c r="J190" s="189" t="s">
        <v>47</v>
      </c>
      <c r="K190" s="984" t="s">
        <v>24</v>
      </c>
      <c r="L190" s="981" t="s">
        <v>1271</v>
      </c>
      <c r="M190" s="961" t="s">
        <v>339</v>
      </c>
      <c r="N190" s="58"/>
      <c r="O190" s="58"/>
      <c r="Q190" s="912" t="s">
        <v>1269</v>
      </c>
      <c r="R190" s="1166">
        <f t="shared" si="96"/>
        <v>41</v>
      </c>
      <c r="S190" s="1222">
        <f>AVERAGE(Table4854[[#This Row],[Season 1]:[Season 38]])</f>
        <v>1.0789473684210527</v>
      </c>
      <c r="T190" s="1254">
        <f>MODE(Table4854[[#This Row],[Season 1]:[Season 38]])</f>
        <v>1</v>
      </c>
      <c r="U190" s="1254">
        <f>MAX(Table4854[[#This Row],[Season 1]:[Season 38]])</f>
        <v>5</v>
      </c>
      <c r="V190" s="1255">
        <f>MIN(Table4854[[#This Row],[Season 1]:[Season 38]])</f>
        <v>0</v>
      </c>
      <c r="W190" s="1183">
        <f t="shared" si="97"/>
        <v>1</v>
      </c>
      <c r="X190" s="1183">
        <f t="shared" si="98"/>
        <v>2</v>
      </c>
      <c r="Y190" s="1183">
        <f t="shared" si="99"/>
        <v>0</v>
      </c>
      <c r="Z190" s="1183">
        <f t="shared" si="100"/>
        <v>0</v>
      </c>
      <c r="AA190" s="1183">
        <f t="shared" si="101"/>
        <v>1</v>
      </c>
      <c r="AB190" s="1183">
        <f t="shared" si="102"/>
        <v>3</v>
      </c>
      <c r="AC190" s="1183">
        <f t="shared" si="103"/>
        <v>1</v>
      </c>
      <c r="AD190" s="1183">
        <f t="shared" si="104"/>
        <v>1</v>
      </c>
      <c r="AE190" s="1183">
        <f t="shared" si="105"/>
        <v>0</v>
      </c>
      <c r="AF190" s="1183">
        <f t="shared" si="106"/>
        <v>0</v>
      </c>
      <c r="AG190" s="1183">
        <f t="shared" si="107"/>
        <v>0</v>
      </c>
      <c r="AH190" s="1183">
        <f t="shared" si="108"/>
        <v>1</v>
      </c>
      <c r="AI190" s="1183">
        <f t="shared" si="109"/>
        <v>0</v>
      </c>
      <c r="AJ190" s="1183">
        <f t="shared" si="110"/>
        <v>0</v>
      </c>
      <c r="AK190" s="1183">
        <f t="shared" si="111"/>
        <v>3</v>
      </c>
      <c r="AL190" s="1183">
        <f t="shared" si="112"/>
        <v>2</v>
      </c>
      <c r="AM190" s="1183">
        <f t="shared" si="113"/>
        <v>2</v>
      </c>
      <c r="AN190" s="1183">
        <f t="shared" si="114"/>
        <v>0</v>
      </c>
      <c r="AO190" s="1183">
        <f t="shared" si="115"/>
        <v>0</v>
      </c>
      <c r="AP190" s="1183">
        <f t="shared" si="116"/>
        <v>2</v>
      </c>
      <c r="AQ190" s="1183">
        <f t="shared" si="117"/>
        <v>0</v>
      </c>
      <c r="AR190" s="1183">
        <f t="shared" si="118"/>
        <v>0</v>
      </c>
      <c r="AS190" s="1183">
        <f t="shared" si="119"/>
        <v>1</v>
      </c>
      <c r="AT190" s="1183">
        <f t="shared" si="120"/>
        <v>5</v>
      </c>
      <c r="AU190" s="1183">
        <f t="shared" si="121"/>
        <v>1</v>
      </c>
      <c r="AV190" s="1183">
        <f t="shared" si="122"/>
        <v>2</v>
      </c>
      <c r="AW190" s="1183">
        <f t="shared" si="123"/>
        <v>3</v>
      </c>
      <c r="AX190" s="1183">
        <f t="shared" si="124"/>
        <v>1</v>
      </c>
      <c r="AY190" s="1183">
        <f t="shared" si="125"/>
        <v>1</v>
      </c>
      <c r="AZ190" s="1183">
        <f t="shared" si="126"/>
        <v>0</v>
      </c>
      <c r="BA190" s="1183">
        <f t="shared" si="127"/>
        <v>1</v>
      </c>
      <c r="BB190" s="1183">
        <f t="shared" si="128"/>
        <v>1</v>
      </c>
      <c r="BC190" s="1183">
        <f t="shared" si="129"/>
        <v>1</v>
      </c>
      <c r="BD190" s="1183">
        <f t="shared" si="130"/>
        <v>1</v>
      </c>
      <c r="BE190" s="1183">
        <f t="shared" si="131"/>
        <v>1</v>
      </c>
      <c r="BF190" s="1183">
        <f t="shared" si="132"/>
        <v>1</v>
      </c>
      <c r="BG190" s="1183">
        <f t="shared" si="133"/>
        <v>1</v>
      </c>
      <c r="BH190" s="1183">
        <f t="shared" si="134"/>
        <v>1</v>
      </c>
    </row>
    <row r="191" spans="2:138">
      <c r="B191" s="1725"/>
      <c r="F191" s="980" t="s">
        <v>1272</v>
      </c>
      <c r="I191" s="981" t="s">
        <v>1271</v>
      </c>
      <c r="J191" s="422"/>
      <c r="K191" s="990"/>
      <c r="L191" s="990"/>
      <c r="M191" s="990"/>
      <c r="N191" s="990"/>
      <c r="O191" s="990"/>
      <c r="Q191" s="913" t="s">
        <v>26</v>
      </c>
      <c r="R191" s="1166">
        <f t="shared" si="96"/>
        <v>27</v>
      </c>
      <c r="S191" s="1223">
        <f>AVERAGE(Table4854[[#This Row],[Season 1]:[Season 38]])</f>
        <v>0.71052631578947367</v>
      </c>
      <c r="T191" s="1256">
        <f>MODE(Table4854[[#This Row],[Season 1]:[Season 38]])</f>
        <v>0</v>
      </c>
      <c r="U191" s="1256">
        <f>MAX(Table4854[[#This Row],[Season 1]:[Season 38]])</f>
        <v>5</v>
      </c>
      <c r="V191" s="1257">
        <f>MIN(Table4854[[#This Row],[Season 1]:[Season 38]])</f>
        <v>0</v>
      </c>
      <c r="W191" s="1184">
        <f t="shared" si="97"/>
        <v>3</v>
      </c>
      <c r="X191" s="1184">
        <f t="shared" si="98"/>
        <v>5</v>
      </c>
      <c r="Y191" s="1184">
        <f t="shared" si="99"/>
        <v>4</v>
      </c>
      <c r="Z191" s="1184">
        <f t="shared" si="100"/>
        <v>4</v>
      </c>
      <c r="AA191" s="1184">
        <f t="shared" si="101"/>
        <v>3</v>
      </c>
      <c r="AB191" s="1184">
        <f t="shared" si="102"/>
        <v>1</v>
      </c>
      <c r="AC191" s="1184">
        <f t="shared" si="103"/>
        <v>1</v>
      </c>
      <c r="AD191" s="1184">
        <f t="shared" si="104"/>
        <v>1</v>
      </c>
      <c r="AE191" s="1184">
        <f t="shared" si="105"/>
        <v>0</v>
      </c>
      <c r="AF191" s="1184">
        <f t="shared" si="106"/>
        <v>0</v>
      </c>
      <c r="AG191" s="1184">
        <f t="shared" si="107"/>
        <v>0</v>
      </c>
      <c r="AH191" s="1184">
        <f t="shared" si="108"/>
        <v>1</v>
      </c>
      <c r="AI191" s="1184">
        <f t="shared" si="109"/>
        <v>0</v>
      </c>
      <c r="AJ191" s="1184">
        <f t="shared" si="110"/>
        <v>0</v>
      </c>
      <c r="AK191" s="1184">
        <f t="shared" si="111"/>
        <v>0</v>
      </c>
      <c r="AL191" s="1184">
        <f t="shared" si="112"/>
        <v>0</v>
      </c>
      <c r="AM191" s="1184">
        <f t="shared" si="113"/>
        <v>0</v>
      </c>
      <c r="AN191" s="1184">
        <f t="shared" si="114"/>
        <v>1</v>
      </c>
      <c r="AO191" s="1184">
        <f t="shared" si="115"/>
        <v>0</v>
      </c>
      <c r="AP191" s="1184">
        <f t="shared" si="116"/>
        <v>0</v>
      </c>
      <c r="AQ191" s="1184">
        <f t="shared" si="117"/>
        <v>0</v>
      </c>
      <c r="AR191" s="1184">
        <f t="shared" si="118"/>
        <v>0</v>
      </c>
      <c r="AS191" s="1184">
        <f t="shared" si="119"/>
        <v>0</v>
      </c>
      <c r="AT191" s="1184">
        <f t="shared" si="120"/>
        <v>0</v>
      </c>
      <c r="AU191" s="1184">
        <f t="shared" si="121"/>
        <v>0</v>
      </c>
      <c r="AV191" s="1184">
        <f t="shared" si="122"/>
        <v>2</v>
      </c>
      <c r="AW191" s="1184">
        <f t="shared" si="123"/>
        <v>0</v>
      </c>
      <c r="AX191" s="1184">
        <f t="shared" si="124"/>
        <v>1</v>
      </c>
      <c r="AY191" s="1184">
        <f t="shared" si="125"/>
        <v>0</v>
      </c>
      <c r="AZ191" s="1184">
        <f t="shared" si="126"/>
        <v>0</v>
      </c>
      <c r="BA191" s="1184">
        <f t="shared" si="127"/>
        <v>0</v>
      </c>
      <c r="BB191" s="1184">
        <f t="shared" si="128"/>
        <v>0</v>
      </c>
      <c r="BC191" s="1184">
        <f t="shared" si="129"/>
        <v>0</v>
      </c>
      <c r="BD191" s="1184">
        <f t="shared" si="130"/>
        <v>0</v>
      </c>
      <c r="BE191" s="1184">
        <f t="shared" si="131"/>
        <v>0</v>
      </c>
      <c r="BF191" s="1184">
        <f t="shared" si="132"/>
        <v>0</v>
      </c>
      <c r="BG191" s="1184">
        <f t="shared" si="133"/>
        <v>0</v>
      </c>
      <c r="BH191" s="1184">
        <f t="shared" si="134"/>
        <v>0</v>
      </c>
    </row>
    <row r="192" spans="2:138" ht="16.5" thickBot="1">
      <c r="B192" s="1726"/>
      <c r="C192" s="1036"/>
      <c r="D192" s="1036" t="s">
        <v>186</v>
      </c>
      <c r="E192" s="1036" t="s">
        <v>186</v>
      </c>
      <c r="F192" s="1036" t="s">
        <v>190</v>
      </c>
      <c r="G192" s="1036" t="s">
        <v>187</v>
      </c>
      <c r="H192" s="1036" t="s">
        <v>190</v>
      </c>
      <c r="I192" s="1036" t="s">
        <v>187</v>
      </c>
      <c r="J192" s="1052" t="s">
        <v>186</v>
      </c>
      <c r="K192" s="1036" t="s">
        <v>188</v>
      </c>
      <c r="L192" s="1036" t="s">
        <v>191</v>
      </c>
      <c r="M192" s="1036" t="s">
        <v>189</v>
      </c>
      <c r="N192" s="1036"/>
      <c r="O192" s="1036"/>
      <c r="Q192" s="914" t="s">
        <v>109</v>
      </c>
      <c r="R192" s="1166">
        <f t="shared" si="96"/>
        <v>21</v>
      </c>
      <c r="S192" s="1224">
        <f>AVERAGE(Table4854[[#This Row],[Season 1]:[Season 38]])</f>
        <v>0.55263157894736847</v>
      </c>
      <c r="T192" s="1258">
        <f>MODE(Table4854[[#This Row],[Season 1]:[Season 38]])</f>
        <v>0</v>
      </c>
      <c r="U192" s="1258">
        <f>MAX(Table4854[[#This Row],[Season 1]:[Season 38]])</f>
        <v>2</v>
      </c>
      <c r="V192" s="1259">
        <f>MIN(Table4854[[#This Row],[Season 1]:[Season 38]])</f>
        <v>0</v>
      </c>
      <c r="W192" s="1187">
        <f t="shared" si="97"/>
        <v>0</v>
      </c>
      <c r="X192" s="1187">
        <f t="shared" si="98"/>
        <v>0</v>
      </c>
      <c r="Y192" s="1187">
        <f t="shared" si="99"/>
        <v>0</v>
      </c>
      <c r="Z192" s="1187">
        <f t="shared" si="100"/>
        <v>0</v>
      </c>
      <c r="AA192" s="1187">
        <f t="shared" si="101"/>
        <v>0</v>
      </c>
      <c r="AB192" s="1187">
        <f t="shared" si="102"/>
        <v>0</v>
      </c>
      <c r="AC192" s="1187">
        <f t="shared" si="103"/>
        <v>0</v>
      </c>
      <c r="AD192" s="1187">
        <f t="shared" si="104"/>
        <v>0</v>
      </c>
      <c r="AE192" s="1187">
        <f t="shared" si="105"/>
        <v>1</v>
      </c>
      <c r="AF192" s="1187">
        <f t="shared" si="106"/>
        <v>0</v>
      </c>
      <c r="AG192" s="1187">
        <f t="shared" si="107"/>
        <v>0</v>
      </c>
      <c r="AH192" s="1187">
        <f t="shared" si="108"/>
        <v>2</v>
      </c>
      <c r="AI192" s="1187">
        <f t="shared" si="109"/>
        <v>0</v>
      </c>
      <c r="AJ192" s="1187">
        <f>SUM(AV225:AW225)</f>
        <v>2</v>
      </c>
      <c r="AK192" s="1187">
        <f t="shared" si="111"/>
        <v>1</v>
      </c>
      <c r="AL192" s="1187">
        <f t="shared" si="112"/>
        <v>1</v>
      </c>
      <c r="AM192" s="1187">
        <f t="shared" si="113"/>
        <v>0</v>
      </c>
      <c r="AN192" s="1187">
        <f t="shared" si="114"/>
        <v>0</v>
      </c>
      <c r="AO192" s="1187">
        <f t="shared" si="115"/>
        <v>0</v>
      </c>
      <c r="AP192" s="1187">
        <f t="shared" si="116"/>
        <v>0</v>
      </c>
      <c r="AQ192" s="1187">
        <f t="shared" si="117"/>
        <v>1</v>
      </c>
      <c r="AR192" s="1187">
        <f t="shared" si="118"/>
        <v>0</v>
      </c>
      <c r="AS192" s="1187">
        <f t="shared" si="119"/>
        <v>1</v>
      </c>
      <c r="AT192" s="1187">
        <f t="shared" si="120"/>
        <v>0</v>
      </c>
      <c r="AU192" s="1187">
        <f t="shared" si="121"/>
        <v>0</v>
      </c>
      <c r="AV192" s="1187">
        <f t="shared" si="122"/>
        <v>2</v>
      </c>
      <c r="AW192" s="1187">
        <f t="shared" si="123"/>
        <v>1</v>
      </c>
      <c r="AX192" s="1187">
        <f t="shared" si="124"/>
        <v>0</v>
      </c>
      <c r="AY192" s="1187">
        <f t="shared" si="125"/>
        <v>2</v>
      </c>
      <c r="AZ192" s="1187">
        <f t="shared" si="126"/>
        <v>1</v>
      </c>
      <c r="BA192" s="1187">
        <f t="shared" si="127"/>
        <v>1</v>
      </c>
      <c r="BB192" s="1187">
        <f t="shared" si="128"/>
        <v>2</v>
      </c>
      <c r="BC192" s="1187">
        <f t="shared" si="129"/>
        <v>0</v>
      </c>
      <c r="BD192" s="1187">
        <f t="shared" si="130"/>
        <v>2</v>
      </c>
      <c r="BE192" s="1187">
        <f t="shared" si="131"/>
        <v>0</v>
      </c>
      <c r="BF192" s="1187">
        <f t="shared" si="132"/>
        <v>0</v>
      </c>
      <c r="BG192" s="1187">
        <f t="shared" si="133"/>
        <v>0</v>
      </c>
      <c r="BH192" s="1187">
        <f t="shared" si="134"/>
        <v>1</v>
      </c>
    </row>
    <row r="193" spans="2:60" ht="17.100000000000001" customHeight="1" thickTop="1">
      <c r="B193" s="1728" t="s">
        <v>146</v>
      </c>
      <c r="D193" s="981" t="s">
        <v>1271</v>
      </c>
      <c r="E193" s="963" t="s">
        <v>46</v>
      </c>
      <c r="F193" s="189" t="s">
        <v>47</v>
      </c>
      <c r="G193" s="981" t="s">
        <v>1271</v>
      </c>
      <c r="H193" s="960" t="s">
        <v>43</v>
      </c>
      <c r="I193" s="964" t="s">
        <v>44</v>
      </c>
      <c r="J193" s="959" t="s">
        <v>155</v>
      </c>
      <c r="K193" s="977" t="s">
        <v>1270</v>
      </c>
      <c r="L193" s="189" t="s">
        <v>47</v>
      </c>
      <c r="M193" s="963" t="s">
        <v>46</v>
      </c>
      <c r="N193" s="58"/>
      <c r="O193" s="58"/>
      <c r="Q193" s="915" t="s">
        <v>114</v>
      </c>
      <c r="R193" s="1166">
        <f t="shared" si="96"/>
        <v>5</v>
      </c>
      <c r="S193" s="1225">
        <f>AVERAGE(Table4854[[#This Row],[Season 1]:[Season 38]])</f>
        <v>0.13157894736842105</v>
      </c>
      <c r="T193" s="1260">
        <f>MODE(Table4854[[#This Row],[Season 1]:[Season 38]])</f>
        <v>0</v>
      </c>
      <c r="U193" s="1260">
        <f>MAX(Table4854[[#This Row],[Season 1]:[Season 38]])</f>
        <v>2</v>
      </c>
      <c r="V193" s="1261">
        <f>MIN(Table4854[[#This Row],[Season 1]:[Season 38]])</f>
        <v>0</v>
      </c>
      <c r="W193" s="1176">
        <f t="shared" si="97"/>
        <v>0</v>
      </c>
      <c r="X193" s="1176">
        <f t="shared" si="98"/>
        <v>0</v>
      </c>
      <c r="Y193" s="1176">
        <f t="shared" si="99"/>
        <v>0</v>
      </c>
      <c r="Z193" s="1176">
        <f t="shared" si="100"/>
        <v>0</v>
      </c>
      <c r="AA193" s="1176">
        <f t="shared" si="101"/>
        <v>0</v>
      </c>
      <c r="AB193" s="1176">
        <f t="shared" si="102"/>
        <v>0</v>
      </c>
      <c r="AC193" s="1176">
        <f t="shared" si="103"/>
        <v>0</v>
      </c>
      <c r="AD193" s="1176">
        <f t="shared" si="104"/>
        <v>0</v>
      </c>
      <c r="AE193" s="1176">
        <f t="shared" si="105"/>
        <v>0</v>
      </c>
      <c r="AF193" s="1176">
        <f t="shared" si="106"/>
        <v>0</v>
      </c>
      <c r="AG193" s="1176">
        <f t="shared" si="107"/>
        <v>0</v>
      </c>
      <c r="AH193" s="1176">
        <f t="shared" si="108"/>
        <v>0</v>
      </c>
      <c r="AI193" s="1176">
        <f t="shared" si="109"/>
        <v>1</v>
      </c>
      <c r="AJ193" s="1176">
        <f t="shared" si="110"/>
        <v>0</v>
      </c>
      <c r="AK193" s="1176">
        <f t="shared" si="111"/>
        <v>1</v>
      </c>
      <c r="AL193" s="1176">
        <f t="shared" si="112"/>
        <v>0</v>
      </c>
      <c r="AM193" s="1176">
        <f t="shared" si="113"/>
        <v>0</v>
      </c>
      <c r="AN193" s="1176">
        <f t="shared" si="114"/>
        <v>0</v>
      </c>
      <c r="AO193" s="1176">
        <f t="shared" si="115"/>
        <v>0</v>
      </c>
      <c r="AP193" s="1176">
        <f t="shared" si="116"/>
        <v>0</v>
      </c>
      <c r="AQ193" s="1176">
        <f t="shared" si="117"/>
        <v>0</v>
      </c>
      <c r="AR193" s="1176">
        <f t="shared" si="118"/>
        <v>0</v>
      </c>
      <c r="AS193" s="1176">
        <f t="shared" si="119"/>
        <v>1</v>
      </c>
      <c r="AT193" s="1176">
        <f t="shared" si="120"/>
        <v>0</v>
      </c>
      <c r="AU193" s="1176">
        <f t="shared" si="121"/>
        <v>0</v>
      </c>
      <c r="AV193" s="1176">
        <f t="shared" si="122"/>
        <v>0</v>
      </c>
      <c r="AW193" s="1176">
        <f t="shared" si="123"/>
        <v>0</v>
      </c>
      <c r="AX193" s="1176">
        <f t="shared" si="124"/>
        <v>0</v>
      </c>
      <c r="AY193" s="1176">
        <f t="shared" si="125"/>
        <v>0</v>
      </c>
      <c r="AZ193" s="1176">
        <f t="shared" si="126"/>
        <v>2</v>
      </c>
      <c r="BA193" s="1176">
        <f t="shared" si="127"/>
        <v>0</v>
      </c>
      <c r="BB193" s="1176">
        <f t="shared" si="128"/>
        <v>0</v>
      </c>
      <c r="BC193" s="1176">
        <f t="shared" si="129"/>
        <v>0</v>
      </c>
      <c r="BD193" s="1176">
        <f t="shared" si="130"/>
        <v>0</v>
      </c>
      <c r="BE193" s="1176">
        <f t="shared" si="131"/>
        <v>0</v>
      </c>
      <c r="BF193" s="1176">
        <f t="shared" si="132"/>
        <v>0</v>
      </c>
      <c r="BG193" s="1176">
        <f t="shared" si="133"/>
        <v>0</v>
      </c>
      <c r="BH193" s="1176">
        <f t="shared" si="134"/>
        <v>0</v>
      </c>
    </row>
    <row r="194" spans="2:60">
      <c r="B194" s="1725"/>
      <c r="E194" s="982" t="s">
        <v>29</v>
      </c>
      <c r="F194" s="990"/>
      <c r="G194" s="189" t="s">
        <v>47</v>
      </c>
      <c r="H194" s="981" t="s">
        <v>1271</v>
      </c>
      <c r="I194" s="956" t="s">
        <v>109</v>
      </c>
      <c r="J194" s="990"/>
      <c r="K194" s="422"/>
      <c r="L194" s="58"/>
      <c r="M194" s="58"/>
      <c r="N194" s="58"/>
      <c r="O194" s="58"/>
      <c r="Q194" s="916" t="s">
        <v>1272</v>
      </c>
      <c r="R194" s="1166">
        <f t="shared" si="96"/>
        <v>23</v>
      </c>
      <c r="S194" s="1226">
        <f>AVERAGE(Table4854[[#This Row],[Season 1]:[Season 38]])</f>
        <v>0.60526315789473684</v>
      </c>
      <c r="T194" s="1262">
        <f>MODE(Table4854[[#This Row],[Season 1]:[Season 38]])</f>
        <v>0</v>
      </c>
      <c r="U194" s="1262">
        <f>MAX(Table4854[[#This Row],[Season 1]:[Season 38]])</f>
        <v>4</v>
      </c>
      <c r="V194" s="1263">
        <f>MIN(Table4854[[#This Row],[Season 1]:[Season 38]])</f>
        <v>0</v>
      </c>
      <c r="W194" s="1185">
        <f t="shared" si="97"/>
        <v>0</v>
      </c>
      <c r="X194" s="1185">
        <f t="shared" si="98"/>
        <v>0</v>
      </c>
      <c r="Y194" s="1185">
        <f t="shared" si="99"/>
        <v>0</v>
      </c>
      <c r="Z194" s="1185">
        <f t="shared" si="100"/>
        <v>0</v>
      </c>
      <c r="AA194" s="1185">
        <f t="shared" si="101"/>
        <v>0</v>
      </c>
      <c r="AB194" s="1185">
        <f t="shared" si="102"/>
        <v>0</v>
      </c>
      <c r="AC194" s="1185">
        <f t="shared" si="103"/>
        <v>0</v>
      </c>
      <c r="AD194" s="1185">
        <f t="shared" si="104"/>
        <v>0</v>
      </c>
      <c r="AE194" s="1185">
        <f t="shared" si="105"/>
        <v>0</v>
      </c>
      <c r="AF194" s="1185">
        <f t="shared" si="106"/>
        <v>0</v>
      </c>
      <c r="AG194" s="1185">
        <f t="shared" si="107"/>
        <v>0</v>
      </c>
      <c r="AH194" s="1185">
        <f t="shared" si="108"/>
        <v>0</v>
      </c>
      <c r="AI194" s="1185">
        <f t="shared" si="109"/>
        <v>0</v>
      </c>
      <c r="AJ194" s="1185">
        <f t="shared" si="110"/>
        <v>0</v>
      </c>
      <c r="AK194" s="1185">
        <f t="shared" si="111"/>
        <v>0</v>
      </c>
      <c r="AL194" s="1185">
        <f t="shared" si="112"/>
        <v>0</v>
      </c>
      <c r="AM194" s="1185">
        <f t="shared" si="113"/>
        <v>1</v>
      </c>
      <c r="AN194" s="1185">
        <f t="shared" si="114"/>
        <v>1</v>
      </c>
      <c r="AO194" s="1185">
        <f t="shared" si="115"/>
        <v>0</v>
      </c>
      <c r="AP194" s="1185">
        <f t="shared" si="116"/>
        <v>1</v>
      </c>
      <c r="AQ194" s="1185">
        <f t="shared" si="117"/>
        <v>0</v>
      </c>
      <c r="AR194" s="1185">
        <f t="shared" si="118"/>
        <v>1</v>
      </c>
      <c r="AS194" s="1185">
        <f t="shared" si="119"/>
        <v>0</v>
      </c>
      <c r="AT194" s="1185">
        <f t="shared" si="120"/>
        <v>1</v>
      </c>
      <c r="AU194" s="1185">
        <f t="shared" si="121"/>
        <v>1</v>
      </c>
      <c r="AV194" s="1185">
        <f t="shared" si="122"/>
        <v>0</v>
      </c>
      <c r="AW194" s="1185">
        <f t="shared" si="123"/>
        <v>0</v>
      </c>
      <c r="AX194" s="1185">
        <f t="shared" si="124"/>
        <v>0</v>
      </c>
      <c r="AY194" s="1185">
        <f t="shared" si="125"/>
        <v>0</v>
      </c>
      <c r="AZ194" s="1185">
        <f t="shared" si="126"/>
        <v>2</v>
      </c>
      <c r="BA194" s="1185">
        <f t="shared" si="127"/>
        <v>4</v>
      </c>
      <c r="BB194" s="1185">
        <f t="shared" si="128"/>
        <v>1</v>
      </c>
      <c r="BC194" s="1185">
        <f t="shared" si="129"/>
        <v>1</v>
      </c>
      <c r="BD194" s="1185">
        <f t="shared" si="130"/>
        <v>3</v>
      </c>
      <c r="BE194" s="1185">
        <f t="shared" si="131"/>
        <v>2</v>
      </c>
      <c r="BF194" s="1185">
        <f t="shared" si="132"/>
        <v>2</v>
      </c>
      <c r="BG194" s="1185">
        <f t="shared" si="133"/>
        <v>0</v>
      </c>
      <c r="BH194" s="1185">
        <f t="shared" si="134"/>
        <v>2</v>
      </c>
    </row>
    <row r="195" spans="2:60">
      <c r="B195" s="1725"/>
      <c r="E195" s="960" t="s">
        <v>43</v>
      </c>
      <c r="Q195" s="917" t="s">
        <v>68</v>
      </c>
      <c r="R195" s="1166">
        <f t="shared" si="96"/>
        <v>14</v>
      </c>
      <c r="S195" s="1227">
        <f>AVERAGE(Table4854[[#This Row],[Season 1]:[Season 38]])</f>
        <v>0.36842105263157893</v>
      </c>
      <c r="T195" s="1264">
        <f>MODE(Table4854[[#This Row],[Season 1]:[Season 38]])</f>
        <v>0</v>
      </c>
      <c r="U195" s="1264">
        <f>MAX(Table4854[[#This Row],[Season 1]:[Season 38]])</f>
        <v>2</v>
      </c>
      <c r="V195" s="1265">
        <f>MIN(Table4854[[#This Row],[Season 1]:[Season 38]])</f>
        <v>0</v>
      </c>
      <c r="W195" s="1188">
        <f t="shared" si="97"/>
        <v>0</v>
      </c>
      <c r="X195" s="1188">
        <f t="shared" si="98"/>
        <v>0</v>
      </c>
      <c r="Y195" s="1188">
        <f t="shared" si="99"/>
        <v>0</v>
      </c>
      <c r="Z195" s="1188">
        <f t="shared" si="100"/>
        <v>0</v>
      </c>
      <c r="AA195" s="1188">
        <f t="shared" si="101"/>
        <v>0</v>
      </c>
      <c r="AB195" s="1188">
        <f t="shared" si="102"/>
        <v>0</v>
      </c>
      <c r="AC195" s="1188">
        <f t="shared" si="103"/>
        <v>0</v>
      </c>
      <c r="AD195" s="1188">
        <f t="shared" si="104"/>
        <v>0</v>
      </c>
      <c r="AE195" s="1188">
        <f t="shared" si="105"/>
        <v>1</v>
      </c>
      <c r="AF195" s="1188">
        <f t="shared" si="106"/>
        <v>0</v>
      </c>
      <c r="AG195" s="1188">
        <f t="shared" si="107"/>
        <v>1</v>
      </c>
      <c r="AH195" s="1188">
        <f t="shared" si="108"/>
        <v>0</v>
      </c>
      <c r="AI195" s="1188">
        <f t="shared" si="109"/>
        <v>1</v>
      </c>
      <c r="AJ195" s="1188">
        <f t="shared" si="110"/>
        <v>0</v>
      </c>
      <c r="AK195" s="1188">
        <f t="shared" si="111"/>
        <v>0</v>
      </c>
      <c r="AL195" s="1188">
        <f t="shared" si="112"/>
        <v>1</v>
      </c>
      <c r="AM195" s="1188">
        <f t="shared" si="113"/>
        <v>2</v>
      </c>
      <c r="AN195" s="1188">
        <f t="shared" si="114"/>
        <v>0</v>
      </c>
      <c r="AO195" s="1188">
        <f t="shared" si="115"/>
        <v>1</v>
      </c>
      <c r="AP195" s="1188">
        <f t="shared" si="116"/>
        <v>0</v>
      </c>
      <c r="AQ195" s="1188">
        <f t="shared" si="117"/>
        <v>0</v>
      </c>
      <c r="AR195" s="1188">
        <f t="shared" si="118"/>
        <v>0</v>
      </c>
      <c r="AS195" s="1188">
        <f t="shared" si="119"/>
        <v>0</v>
      </c>
      <c r="AT195" s="1188">
        <f t="shared" si="120"/>
        <v>1</v>
      </c>
      <c r="AU195" s="1188">
        <f t="shared" si="121"/>
        <v>1</v>
      </c>
      <c r="AV195" s="1188">
        <f t="shared" si="122"/>
        <v>0</v>
      </c>
      <c r="AW195" s="1188">
        <f t="shared" si="123"/>
        <v>1</v>
      </c>
      <c r="AX195" s="1188">
        <f t="shared" si="124"/>
        <v>0</v>
      </c>
      <c r="AY195" s="1188">
        <f t="shared" si="125"/>
        <v>1</v>
      </c>
      <c r="AZ195" s="1188">
        <f t="shared" si="126"/>
        <v>0</v>
      </c>
      <c r="BA195" s="1188">
        <f t="shared" si="127"/>
        <v>0</v>
      </c>
      <c r="BB195" s="1188">
        <f t="shared" si="128"/>
        <v>0</v>
      </c>
      <c r="BC195" s="1188">
        <f t="shared" si="129"/>
        <v>0</v>
      </c>
      <c r="BD195" s="1188">
        <f t="shared" si="130"/>
        <v>1</v>
      </c>
      <c r="BE195" s="1188">
        <f t="shared" si="131"/>
        <v>0</v>
      </c>
      <c r="BF195" s="1188">
        <f t="shared" si="132"/>
        <v>1</v>
      </c>
      <c r="BG195" s="1188">
        <f t="shared" si="133"/>
        <v>0</v>
      </c>
      <c r="BH195" s="1188">
        <f t="shared" si="134"/>
        <v>1</v>
      </c>
    </row>
    <row r="196" spans="2:60">
      <c r="B196" s="1725"/>
      <c r="D196" t="s">
        <v>2612</v>
      </c>
      <c r="E196" t="s">
        <v>2612</v>
      </c>
      <c r="F196" t="s">
        <v>2612</v>
      </c>
      <c r="G196" t="s">
        <v>2612</v>
      </c>
      <c r="H196" t="s">
        <v>2612</v>
      </c>
      <c r="I196" t="s">
        <v>2612</v>
      </c>
      <c r="J196" t="s">
        <v>2612</v>
      </c>
      <c r="K196" t="s">
        <v>2612</v>
      </c>
      <c r="L196" t="s">
        <v>2612</v>
      </c>
      <c r="M196" s="957" t="s">
        <v>2612</v>
      </c>
      <c r="Q196" s="918" t="s">
        <v>234</v>
      </c>
      <c r="R196" s="1166">
        <f t="shared" si="96"/>
        <v>18</v>
      </c>
      <c r="S196" s="1228">
        <f>AVERAGE(Table4854[[#This Row],[Season 1]:[Season 38]])</f>
        <v>0.47368421052631576</v>
      </c>
      <c r="T196" s="1266">
        <f>MODE(Table4854[[#This Row],[Season 1]:[Season 38]])</f>
        <v>0</v>
      </c>
      <c r="U196" s="1266">
        <f>MAX(Table4854[[#This Row],[Season 1]:[Season 38]])</f>
        <v>5</v>
      </c>
      <c r="V196" s="1267">
        <f>MIN(Table4854[[#This Row],[Season 1]:[Season 38]])</f>
        <v>0</v>
      </c>
      <c r="W196" s="1186">
        <f t="shared" si="97"/>
        <v>1</v>
      </c>
      <c r="X196" s="1186">
        <f t="shared" si="98"/>
        <v>0</v>
      </c>
      <c r="Y196" s="1186">
        <f t="shared" si="99"/>
        <v>0</v>
      </c>
      <c r="Z196" s="1186">
        <f t="shared" si="100"/>
        <v>5</v>
      </c>
      <c r="AA196" s="1186">
        <f t="shared" si="101"/>
        <v>1</v>
      </c>
      <c r="AB196" s="1186">
        <f t="shared" si="102"/>
        <v>0</v>
      </c>
      <c r="AC196" s="1186">
        <f t="shared" si="103"/>
        <v>1</v>
      </c>
      <c r="AD196" s="1186">
        <f t="shared" si="104"/>
        <v>1</v>
      </c>
      <c r="AE196" s="1186">
        <f t="shared" si="105"/>
        <v>1</v>
      </c>
      <c r="AF196" s="1186">
        <f t="shared" si="106"/>
        <v>1</v>
      </c>
      <c r="AG196" s="1186">
        <f t="shared" si="107"/>
        <v>1</v>
      </c>
      <c r="AH196" s="1186">
        <f t="shared" si="108"/>
        <v>0</v>
      </c>
      <c r="AI196" s="1186">
        <f t="shared" si="109"/>
        <v>0</v>
      </c>
      <c r="AJ196" s="1186">
        <f t="shared" si="110"/>
        <v>0</v>
      </c>
      <c r="AK196" s="1186">
        <f t="shared" si="111"/>
        <v>0</v>
      </c>
      <c r="AL196" s="1186">
        <f t="shared" si="112"/>
        <v>1</v>
      </c>
      <c r="AM196" s="1186">
        <f t="shared" si="113"/>
        <v>1</v>
      </c>
      <c r="AN196" s="1186">
        <f t="shared" si="114"/>
        <v>0</v>
      </c>
      <c r="AO196" s="1186">
        <f t="shared" si="115"/>
        <v>0</v>
      </c>
      <c r="AP196" s="1186">
        <f t="shared" si="116"/>
        <v>0</v>
      </c>
      <c r="AQ196" s="1186">
        <f t="shared" si="117"/>
        <v>0</v>
      </c>
      <c r="AR196" s="1186">
        <f t="shared" si="118"/>
        <v>0</v>
      </c>
      <c r="AS196" s="1186">
        <f t="shared" si="119"/>
        <v>0</v>
      </c>
      <c r="AT196" s="1186">
        <f t="shared" si="120"/>
        <v>0</v>
      </c>
      <c r="AU196" s="1186">
        <f t="shared" si="121"/>
        <v>0</v>
      </c>
      <c r="AV196" s="1186">
        <f t="shared" si="122"/>
        <v>1</v>
      </c>
      <c r="AW196" s="1186">
        <f t="shared" si="123"/>
        <v>0</v>
      </c>
      <c r="AX196" s="1186">
        <f t="shared" si="124"/>
        <v>0</v>
      </c>
      <c r="AY196" s="1186">
        <f t="shared" si="125"/>
        <v>0</v>
      </c>
      <c r="AZ196" s="1186">
        <f t="shared" si="126"/>
        <v>1</v>
      </c>
      <c r="BA196" s="1186">
        <f t="shared" si="127"/>
        <v>0</v>
      </c>
      <c r="BB196" s="1186">
        <f t="shared" si="128"/>
        <v>1</v>
      </c>
      <c r="BC196" s="1186">
        <f t="shared" si="129"/>
        <v>0</v>
      </c>
      <c r="BD196" s="1186">
        <f t="shared" si="130"/>
        <v>1</v>
      </c>
      <c r="BE196" s="1186">
        <f t="shared" si="131"/>
        <v>0</v>
      </c>
      <c r="BF196" s="1186">
        <f t="shared" si="132"/>
        <v>0</v>
      </c>
      <c r="BG196" s="1186">
        <f t="shared" si="133"/>
        <v>0</v>
      </c>
      <c r="BH196" s="1186">
        <f t="shared" si="134"/>
        <v>0</v>
      </c>
    </row>
    <row r="197" spans="2:60" ht="15.95" customHeight="1">
      <c r="B197" s="1725"/>
      <c r="D197" s="981" t="s">
        <v>1271</v>
      </c>
      <c r="E197" s="959" t="s">
        <v>155</v>
      </c>
      <c r="F197" s="189" t="s">
        <v>47</v>
      </c>
      <c r="G197" s="981" t="s">
        <v>1271</v>
      </c>
      <c r="H197" s="983" t="s">
        <v>124</v>
      </c>
      <c r="I197" s="962" t="s">
        <v>216</v>
      </c>
      <c r="J197" s="964" t="s">
        <v>44</v>
      </c>
      <c r="K197" s="961" t="s">
        <v>339</v>
      </c>
      <c r="L197" s="981" t="s">
        <v>1271</v>
      </c>
      <c r="M197" s="967" t="s">
        <v>27</v>
      </c>
      <c r="N197" s="58"/>
      <c r="O197" s="58"/>
      <c r="Q197" s="919" t="s">
        <v>124</v>
      </c>
      <c r="R197" s="1166">
        <f t="shared" si="96"/>
        <v>12</v>
      </c>
      <c r="S197" s="1226">
        <f>AVERAGE(Table4854[[#This Row],[Season 1]:[Season 38]])</f>
        <v>0.31578947368421051</v>
      </c>
      <c r="T197" s="1262">
        <f>MODE(Table4854[[#This Row],[Season 1]:[Season 38]])</f>
        <v>0</v>
      </c>
      <c r="U197" s="1262">
        <f>MAX(Table4854[[#This Row],[Season 1]:[Season 38]])</f>
        <v>2</v>
      </c>
      <c r="V197" s="1263">
        <f>MIN(Table4854[[#This Row],[Season 1]:[Season 38]])</f>
        <v>0</v>
      </c>
      <c r="W197" s="1185">
        <f t="shared" si="97"/>
        <v>1</v>
      </c>
      <c r="X197" s="1185">
        <f t="shared" si="98"/>
        <v>0</v>
      </c>
      <c r="Y197" s="1185">
        <f t="shared" si="99"/>
        <v>0</v>
      </c>
      <c r="Z197" s="1185">
        <f t="shared" si="100"/>
        <v>1</v>
      </c>
      <c r="AA197" s="1185">
        <f t="shared" si="101"/>
        <v>0</v>
      </c>
      <c r="AB197" s="1185">
        <f t="shared" si="102"/>
        <v>0</v>
      </c>
      <c r="AC197" s="1185">
        <f t="shared" si="103"/>
        <v>0</v>
      </c>
      <c r="AD197" s="1185">
        <f t="shared" si="104"/>
        <v>1</v>
      </c>
      <c r="AE197" s="1185">
        <f t="shared" si="105"/>
        <v>1</v>
      </c>
      <c r="AF197" s="1185">
        <f t="shared" si="106"/>
        <v>1</v>
      </c>
      <c r="AG197" s="1185">
        <f t="shared" si="107"/>
        <v>0</v>
      </c>
      <c r="AH197" s="1185">
        <f t="shared" si="108"/>
        <v>2</v>
      </c>
      <c r="AI197" s="1185">
        <f t="shared" si="109"/>
        <v>0</v>
      </c>
      <c r="AJ197" s="1185">
        <f t="shared" si="110"/>
        <v>1</v>
      </c>
      <c r="AK197" s="1185">
        <f t="shared" si="111"/>
        <v>0</v>
      </c>
      <c r="AL197" s="1185">
        <f t="shared" si="112"/>
        <v>0</v>
      </c>
      <c r="AM197" s="1185">
        <f t="shared" si="113"/>
        <v>0</v>
      </c>
      <c r="AN197" s="1185">
        <f t="shared" si="114"/>
        <v>1</v>
      </c>
      <c r="AO197" s="1185">
        <f t="shared" si="115"/>
        <v>0</v>
      </c>
      <c r="AP197" s="1185">
        <f t="shared" si="116"/>
        <v>0</v>
      </c>
      <c r="AQ197" s="1185">
        <f t="shared" si="117"/>
        <v>1</v>
      </c>
      <c r="AR197" s="1185">
        <f t="shared" si="118"/>
        <v>0</v>
      </c>
      <c r="AS197" s="1185">
        <f t="shared" si="119"/>
        <v>0</v>
      </c>
      <c r="AT197" s="1185">
        <f t="shared" si="120"/>
        <v>1</v>
      </c>
      <c r="AU197" s="1185">
        <f t="shared" si="121"/>
        <v>1</v>
      </c>
      <c r="AV197" s="1185">
        <f t="shared" si="122"/>
        <v>0</v>
      </c>
      <c r="AW197" s="1185">
        <f t="shared" si="123"/>
        <v>0</v>
      </c>
      <c r="AX197" s="1185">
        <f t="shared" si="124"/>
        <v>0</v>
      </c>
      <c r="AY197" s="1185">
        <f t="shared" si="125"/>
        <v>0</v>
      </c>
      <c r="AZ197" s="1185">
        <f t="shared" si="126"/>
        <v>0</v>
      </c>
      <c r="BA197" s="1185">
        <f t="shared" si="127"/>
        <v>0</v>
      </c>
      <c r="BB197" s="1185">
        <f t="shared" si="128"/>
        <v>0</v>
      </c>
      <c r="BC197" s="1185">
        <f t="shared" si="129"/>
        <v>0</v>
      </c>
      <c r="BD197" s="1185">
        <f t="shared" si="130"/>
        <v>0</v>
      </c>
      <c r="BE197" s="1185">
        <f t="shared" si="131"/>
        <v>0</v>
      </c>
      <c r="BF197" s="1185">
        <f t="shared" si="132"/>
        <v>0</v>
      </c>
      <c r="BG197" s="1185">
        <f t="shared" si="133"/>
        <v>0</v>
      </c>
      <c r="BH197" s="1185">
        <f t="shared" si="134"/>
        <v>0</v>
      </c>
    </row>
    <row r="198" spans="2:60">
      <c r="B198" s="1725"/>
      <c r="D198" s="977" t="s">
        <v>1270</v>
      </c>
      <c r="F198" s="990"/>
      <c r="H198" s="1049"/>
      <c r="I198" s="959" t="s">
        <v>155</v>
      </c>
      <c r="J198" s="977" t="s">
        <v>1270</v>
      </c>
      <c r="K198" s="990"/>
      <c r="L198" s="990"/>
      <c r="M198" s="990"/>
      <c r="N198" s="990"/>
      <c r="O198" s="990"/>
      <c r="Q198" s="920" t="s">
        <v>74</v>
      </c>
      <c r="R198" s="1166">
        <f t="shared" si="96"/>
        <v>10</v>
      </c>
      <c r="S198" s="1225">
        <f>AVERAGE(Table4854[[#This Row],[Season 1]:[Season 38]])</f>
        <v>0.26315789473684209</v>
      </c>
      <c r="T198" s="1260">
        <f>MODE(Table4854[[#This Row],[Season 1]:[Season 38]])</f>
        <v>0</v>
      </c>
      <c r="U198" s="1260">
        <f>MAX(Table4854[[#This Row],[Season 1]:[Season 38]])</f>
        <v>2</v>
      </c>
      <c r="V198" s="1261">
        <f>MIN(Table4854[[#This Row],[Season 1]:[Season 38]])</f>
        <v>0</v>
      </c>
      <c r="W198" s="1176">
        <f t="shared" si="97"/>
        <v>0</v>
      </c>
      <c r="X198" s="1176">
        <f t="shared" si="98"/>
        <v>0</v>
      </c>
      <c r="Y198" s="1176">
        <f t="shared" si="99"/>
        <v>0</v>
      </c>
      <c r="Z198" s="1176">
        <f t="shared" si="100"/>
        <v>0</v>
      </c>
      <c r="AA198" s="1176">
        <f t="shared" si="101"/>
        <v>0</v>
      </c>
      <c r="AB198" s="1176">
        <f t="shared" si="102"/>
        <v>1</v>
      </c>
      <c r="AC198" s="1176">
        <f t="shared" si="103"/>
        <v>0</v>
      </c>
      <c r="AD198" s="1176">
        <f t="shared" si="104"/>
        <v>1</v>
      </c>
      <c r="AE198" s="1176">
        <f t="shared" si="105"/>
        <v>0</v>
      </c>
      <c r="AF198" s="1176">
        <f t="shared" si="106"/>
        <v>1</v>
      </c>
      <c r="AG198" s="1176">
        <f t="shared" si="107"/>
        <v>1</v>
      </c>
      <c r="AH198" s="1176">
        <f t="shared" si="108"/>
        <v>0</v>
      </c>
      <c r="AI198" s="1176">
        <f t="shared" si="109"/>
        <v>0</v>
      </c>
      <c r="AJ198" s="1176">
        <f t="shared" si="110"/>
        <v>1</v>
      </c>
      <c r="AK198" s="1176">
        <f t="shared" si="111"/>
        <v>0</v>
      </c>
      <c r="AL198" s="1176">
        <f t="shared" si="112"/>
        <v>0</v>
      </c>
      <c r="AM198" s="1176">
        <f t="shared" si="113"/>
        <v>0</v>
      </c>
      <c r="AN198" s="1176">
        <f t="shared" si="114"/>
        <v>2</v>
      </c>
      <c r="AO198" s="1176">
        <f t="shared" si="115"/>
        <v>0</v>
      </c>
      <c r="AP198" s="1176">
        <f t="shared" si="116"/>
        <v>0</v>
      </c>
      <c r="AQ198" s="1176">
        <f t="shared" si="117"/>
        <v>0</v>
      </c>
      <c r="AR198" s="1176">
        <f t="shared" si="118"/>
        <v>1</v>
      </c>
      <c r="AS198" s="1176">
        <f t="shared" si="119"/>
        <v>0</v>
      </c>
      <c r="AT198" s="1176">
        <f t="shared" si="120"/>
        <v>0</v>
      </c>
      <c r="AU198" s="1176">
        <f t="shared" si="121"/>
        <v>1</v>
      </c>
      <c r="AV198" s="1176">
        <f t="shared" si="122"/>
        <v>0</v>
      </c>
      <c r="AW198" s="1176">
        <f t="shared" si="123"/>
        <v>1</v>
      </c>
      <c r="AX198" s="1176">
        <f t="shared" si="124"/>
        <v>0</v>
      </c>
      <c r="AY198" s="1176">
        <f t="shared" si="125"/>
        <v>0</v>
      </c>
      <c r="AZ198" s="1176">
        <f t="shared" si="126"/>
        <v>0</v>
      </c>
      <c r="BA198" s="1176">
        <f t="shared" si="127"/>
        <v>0</v>
      </c>
      <c r="BB198" s="1176">
        <f t="shared" si="128"/>
        <v>0</v>
      </c>
      <c r="BC198" s="1176">
        <f t="shared" si="129"/>
        <v>0</v>
      </c>
      <c r="BD198" s="1176">
        <f t="shared" si="130"/>
        <v>0</v>
      </c>
      <c r="BE198" s="1176">
        <f t="shared" si="131"/>
        <v>0</v>
      </c>
      <c r="BF198" s="1176">
        <f t="shared" si="132"/>
        <v>0</v>
      </c>
      <c r="BG198" s="1176">
        <f t="shared" si="133"/>
        <v>0</v>
      </c>
      <c r="BH198" s="1176">
        <f t="shared" si="134"/>
        <v>0</v>
      </c>
    </row>
    <row r="199" spans="2:60" ht="16.5" thickBot="1">
      <c r="B199" s="1726"/>
      <c r="C199" s="1036"/>
      <c r="D199" s="1036" t="s">
        <v>190</v>
      </c>
      <c r="E199" s="1036" t="s">
        <v>188</v>
      </c>
      <c r="F199" s="1036" t="s">
        <v>189</v>
      </c>
      <c r="G199" s="1036" t="s">
        <v>188</v>
      </c>
      <c r="H199" s="860" t="s">
        <v>189</v>
      </c>
      <c r="I199" s="1036" t="s">
        <v>187</v>
      </c>
      <c r="J199" s="1052" t="s">
        <v>188</v>
      </c>
      <c r="K199" s="1036" t="s">
        <v>188</v>
      </c>
      <c r="L199" s="1036" t="s">
        <v>189</v>
      </c>
      <c r="M199" s="1036" t="s">
        <v>189</v>
      </c>
      <c r="N199" s="1036"/>
      <c r="O199" s="1036"/>
      <c r="Q199" s="921" t="s">
        <v>1271</v>
      </c>
      <c r="R199" s="1166">
        <f t="shared" si="96"/>
        <v>240</v>
      </c>
      <c r="S199" s="1229">
        <f>AVERAGE(Table4854[[#This Row],[Season 1]:[Season 38]])</f>
        <v>6.3157894736842106</v>
      </c>
      <c r="T199" s="1268">
        <f>MODE(Table4854[[#This Row],[Season 1]:[Season 38]])</f>
        <v>7</v>
      </c>
      <c r="U199" s="1268">
        <f>MAX(Table4854[[#This Row],[Season 1]:[Season 38]])</f>
        <v>13</v>
      </c>
      <c r="V199" s="1269">
        <f>MIN(Table4854[[#This Row],[Season 1]:[Season 38]])</f>
        <v>2</v>
      </c>
      <c r="W199" s="1177">
        <f t="shared" si="97"/>
        <v>7</v>
      </c>
      <c r="X199" s="1177">
        <f t="shared" si="98"/>
        <v>7</v>
      </c>
      <c r="Y199" s="1177">
        <f t="shared" si="99"/>
        <v>7</v>
      </c>
      <c r="Z199" s="1177">
        <f t="shared" si="100"/>
        <v>10</v>
      </c>
      <c r="AA199" s="1177">
        <f t="shared" si="101"/>
        <v>6</v>
      </c>
      <c r="AB199" s="1177">
        <f t="shared" si="102"/>
        <v>11</v>
      </c>
      <c r="AC199" s="1177">
        <f t="shared" si="103"/>
        <v>9</v>
      </c>
      <c r="AD199" s="1177">
        <f t="shared" si="104"/>
        <v>9</v>
      </c>
      <c r="AE199" s="1177">
        <f t="shared" si="105"/>
        <v>10</v>
      </c>
      <c r="AF199" s="1177">
        <f t="shared" si="106"/>
        <v>13</v>
      </c>
      <c r="AG199" s="1177">
        <f t="shared" si="107"/>
        <v>10</v>
      </c>
      <c r="AH199" s="1177">
        <f t="shared" si="108"/>
        <v>6</v>
      </c>
      <c r="AI199" s="1177">
        <f t="shared" si="109"/>
        <v>6</v>
      </c>
      <c r="AJ199" s="1177">
        <f t="shared" si="110"/>
        <v>5</v>
      </c>
      <c r="AK199" s="1177">
        <f t="shared" si="111"/>
        <v>5</v>
      </c>
      <c r="AL199" s="1177">
        <f t="shared" si="112"/>
        <v>4</v>
      </c>
      <c r="AM199" s="1177">
        <f t="shared" si="113"/>
        <v>9</v>
      </c>
      <c r="AN199" s="1177">
        <f t="shared" si="114"/>
        <v>6</v>
      </c>
      <c r="AO199" s="1177">
        <f t="shared" si="115"/>
        <v>7</v>
      </c>
      <c r="AP199" s="1177">
        <f t="shared" si="116"/>
        <v>3</v>
      </c>
      <c r="AQ199" s="1177">
        <f t="shared" si="117"/>
        <v>6</v>
      </c>
      <c r="AR199" s="1177">
        <f t="shared" si="118"/>
        <v>3</v>
      </c>
      <c r="AS199" s="1177">
        <f t="shared" si="119"/>
        <v>5</v>
      </c>
      <c r="AT199" s="1177">
        <f t="shared" si="120"/>
        <v>3</v>
      </c>
      <c r="AU199" s="1177">
        <f t="shared" si="121"/>
        <v>4</v>
      </c>
      <c r="AV199" s="1177">
        <f t="shared" si="122"/>
        <v>4</v>
      </c>
      <c r="AW199" s="1177">
        <f t="shared" si="123"/>
        <v>7</v>
      </c>
      <c r="AX199" s="1177">
        <f t="shared" si="124"/>
        <v>4</v>
      </c>
      <c r="AY199" s="1177">
        <f t="shared" si="125"/>
        <v>9</v>
      </c>
      <c r="AZ199" s="1177">
        <f t="shared" si="126"/>
        <v>4</v>
      </c>
      <c r="BA199" s="1177">
        <f t="shared" si="127"/>
        <v>7</v>
      </c>
      <c r="BB199" s="1177">
        <f t="shared" si="128"/>
        <v>2</v>
      </c>
      <c r="BC199" s="1177">
        <f t="shared" si="129"/>
        <v>3</v>
      </c>
      <c r="BD199" s="1177">
        <f t="shared" si="130"/>
        <v>5</v>
      </c>
      <c r="BE199" s="1177">
        <f t="shared" si="131"/>
        <v>7</v>
      </c>
      <c r="BF199" s="1177">
        <f t="shared" si="132"/>
        <v>6</v>
      </c>
      <c r="BG199" s="1177">
        <f t="shared" si="133"/>
        <v>6</v>
      </c>
      <c r="BH199" s="1177">
        <f t="shared" si="134"/>
        <v>5</v>
      </c>
    </row>
    <row r="200" spans="2:60" ht="17.100000000000001" customHeight="1" thickTop="1">
      <c r="B200" s="1728" t="s">
        <v>147</v>
      </c>
      <c r="D200" s="962" t="s">
        <v>216</v>
      </c>
      <c r="E200" s="984" t="s">
        <v>24</v>
      </c>
      <c r="F200" s="981" t="s">
        <v>1271</v>
      </c>
      <c r="G200" s="977" t="s">
        <v>1270</v>
      </c>
      <c r="H200" s="189" t="s">
        <v>47</v>
      </c>
      <c r="I200" s="967" t="s">
        <v>27</v>
      </c>
      <c r="K200" s="189" t="s">
        <v>47</v>
      </c>
      <c r="L200" s="963" t="s">
        <v>46</v>
      </c>
      <c r="M200" s="963" t="s">
        <v>46</v>
      </c>
      <c r="N200" s="58"/>
      <c r="O200" s="58"/>
      <c r="Q200" s="922" t="s">
        <v>20</v>
      </c>
      <c r="R200" s="1166">
        <f t="shared" si="96"/>
        <v>12</v>
      </c>
      <c r="S200" s="1230">
        <f>AVERAGE(Table4854[[#This Row],[Season 1]:[Season 38]])</f>
        <v>0.31578947368421051</v>
      </c>
      <c r="T200" s="1270">
        <f>MODE(Table4854[[#This Row],[Season 1]:[Season 38]])</f>
        <v>0</v>
      </c>
      <c r="U200" s="1270">
        <f>MAX(Table4854[[#This Row],[Season 1]:[Season 38]])</f>
        <v>1</v>
      </c>
      <c r="V200" s="1271">
        <f>MIN(Table4854[[#This Row],[Season 1]:[Season 38]])</f>
        <v>0</v>
      </c>
      <c r="W200" s="1178">
        <f t="shared" si="97"/>
        <v>1</v>
      </c>
      <c r="X200" s="1178">
        <f t="shared" si="98"/>
        <v>0</v>
      </c>
      <c r="Y200" s="1178">
        <f t="shared" si="99"/>
        <v>0</v>
      </c>
      <c r="Z200" s="1178">
        <f t="shared" si="100"/>
        <v>1</v>
      </c>
      <c r="AA200" s="1178">
        <f t="shared" si="101"/>
        <v>0</v>
      </c>
      <c r="AB200" s="1178">
        <f t="shared" si="102"/>
        <v>0</v>
      </c>
      <c r="AC200" s="1178">
        <f t="shared" si="103"/>
        <v>1</v>
      </c>
      <c r="AD200" s="1178">
        <f t="shared" si="104"/>
        <v>0</v>
      </c>
      <c r="AE200" s="1178">
        <f t="shared" si="105"/>
        <v>0</v>
      </c>
      <c r="AF200" s="1178">
        <f t="shared" si="106"/>
        <v>0</v>
      </c>
      <c r="AG200" s="1178">
        <f t="shared" si="107"/>
        <v>1</v>
      </c>
      <c r="AH200" s="1178">
        <f t="shared" si="108"/>
        <v>0</v>
      </c>
      <c r="AI200" s="1178">
        <f t="shared" si="109"/>
        <v>0</v>
      </c>
      <c r="AJ200" s="1178">
        <f t="shared" si="110"/>
        <v>0</v>
      </c>
      <c r="AK200" s="1178">
        <f t="shared" si="111"/>
        <v>1</v>
      </c>
      <c r="AL200" s="1178">
        <f t="shared" si="112"/>
        <v>0</v>
      </c>
      <c r="AM200" s="1178">
        <f t="shared" si="113"/>
        <v>1</v>
      </c>
      <c r="AN200" s="1178">
        <f t="shared" si="114"/>
        <v>0</v>
      </c>
      <c r="AO200" s="1178">
        <f t="shared" si="115"/>
        <v>0</v>
      </c>
      <c r="AP200" s="1178">
        <f t="shared" si="116"/>
        <v>0</v>
      </c>
      <c r="AQ200" s="1178">
        <f t="shared" si="117"/>
        <v>0</v>
      </c>
      <c r="AR200" s="1178">
        <f t="shared" si="118"/>
        <v>0</v>
      </c>
      <c r="AS200" s="1178">
        <f t="shared" si="119"/>
        <v>1</v>
      </c>
      <c r="AT200" s="1178">
        <f t="shared" si="120"/>
        <v>0</v>
      </c>
      <c r="AU200" s="1178">
        <f t="shared" si="121"/>
        <v>0</v>
      </c>
      <c r="AV200" s="1178">
        <f t="shared" si="122"/>
        <v>1</v>
      </c>
      <c r="AW200" s="1178">
        <f t="shared" si="123"/>
        <v>1</v>
      </c>
      <c r="AX200" s="1178">
        <f t="shared" si="124"/>
        <v>0</v>
      </c>
      <c r="AY200" s="1178">
        <f t="shared" si="125"/>
        <v>0</v>
      </c>
      <c r="AZ200" s="1178">
        <f t="shared" si="126"/>
        <v>1</v>
      </c>
      <c r="BA200" s="1178">
        <f t="shared" si="127"/>
        <v>0</v>
      </c>
      <c r="BB200" s="1178">
        <f t="shared" si="128"/>
        <v>0</v>
      </c>
      <c r="BC200" s="1178">
        <f t="shared" si="129"/>
        <v>0</v>
      </c>
      <c r="BD200" s="1178">
        <f t="shared" si="130"/>
        <v>1</v>
      </c>
      <c r="BE200" s="1178">
        <f t="shared" si="131"/>
        <v>0</v>
      </c>
      <c r="BF200" s="1178">
        <f t="shared" si="132"/>
        <v>1</v>
      </c>
      <c r="BG200" s="1178">
        <f t="shared" si="133"/>
        <v>0</v>
      </c>
      <c r="BH200" s="1178">
        <f t="shared" si="134"/>
        <v>0</v>
      </c>
    </row>
    <row r="201" spans="2:60">
      <c r="B201" s="1725"/>
      <c r="D201" s="964" t="s">
        <v>44</v>
      </c>
      <c r="E201" s="422"/>
      <c r="F201" s="422"/>
      <c r="G201" s="422"/>
      <c r="H201" s="422"/>
      <c r="I201" s="980" t="s">
        <v>1272</v>
      </c>
      <c r="K201" s="990"/>
      <c r="L201" s="990"/>
      <c r="M201" s="58"/>
      <c r="Q201" s="894" t="s">
        <v>44</v>
      </c>
      <c r="R201" s="1166">
        <f t="shared" si="96"/>
        <v>114</v>
      </c>
      <c r="S201" s="1231">
        <f>AVERAGE(Table4854[[#This Row],[Season 1]:[Season 38]])</f>
        <v>3</v>
      </c>
      <c r="T201" s="1272">
        <f>MODE(Table4854[[#This Row],[Season 1]:[Season 38]])</f>
        <v>1</v>
      </c>
      <c r="U201" s="1272">
        <f>MAX(Table4854[[#This Row],[Season 1]:[Season 38]])</f>
        <v>8</v>
      </c>
      <c r="V201" s="1273">
        <f>MIN(Table4854[[#This Row],[Season 1]:[Season 38]])</f>
        <v>0</v>
      </c>
      <c r="W201" s="1179">
        <f t="shared" si="97"/>
        <v>8</v>
      </c>
      <c r="X201" s="1179">
        <f t="shared" si="98"/>
        <v>6</v>
      </c>
      <c r="Y201" s="1179">
        <f t="shared" si="99"/>
        <v>7</v>
      </c>
      <c r="Z201" s="1179">
        <f t="shared" si="100"/>
        <v>4</v>
      </c>
      <c r="AA201" s="1179">
        <f t="shared" si="101"/>
        <v>2</v>
      </c>
      <c r="AB201" s="1179">
        <f t="shared" si="102"/>
        <v>5</v>
      </c>
      <c r="AC201" s="1179">
        <f t="shared" si="103"/>
        <v>7</v>
      </c>
      <c r="AD201" s="1179">
        <f t="shared" si="104"/>
        <v>4</v>
      </c>
      <c r="AE201" s="1179">
        <f t="shared" si="105"/>
        <v>5</v>
      </c>
      <c r="AF201" s="1179">
        <f t="shared" si="106"/>
        <v>3</v>
      </c>
      <c r="AG201" s="1179">
        <f t="shared" si="107"/>
        <v>4</v>
      </c>
      <c r="AH201" s="1179">
        <f t="shared" si="108"/>
        <v>3</v>
      </c>
      <c r="AI201" s="1179">
        <f t="shared" si="109"/>
        <v>4</v>
      </c>
      <c r="AJ201" s="1179">
        <f t="shared" si="110"/>
        <v>4</v>
      </c>
      <c r="AK201" s="1179">
        <f t="shared" si="111"/>
        <v>3</v>
      </c>
      <c r="AL201" s="1179">
        <f t="shared" si="112"/>
        <v>2</v>
      </c>
      <c r="AM201" s="1179">
        <f t="shared" si="113"/>
        <v>5</v>
      </c>
      <c r="AN201" s="1179">
        <f t="shared" si="114"/>
        <v>3</v>
      </c>
      <c r="AO201" s="1179">
        <f t="shared" si="115"/>
        <v>1</v>
      </c>
      <c r="AP201" s="1179">
        <f t="shared" si="116"/>
        <v>1</v>
      </c>
      <c r="AQ201" s="1179">
        <f t="shared" si="117"/>
        <v>2</v>
      </c>
      <c r="AR201" s="1179">
        <f t="shared" si="118"/>
        <v>2</v>
      </c>
      <c r="AS201" s="1179">
        <f t="shared" si="119"/>
        <v>3</v>
      </c>
      <c r="AT201" s="1179">
        <f t="shared" si="120"/>
        <v>1</v>
      </c>
      <c r="AU201" s="1179">
        <f t="shared" si="121"/>
        <v>0</v>
      </c>
      <c r="AV201" s="1179">
        <f t="shared" si="122"/>
        <v>1</v>
      </c>
      <c r="AW201" s="1179">
        <f t="shared" si="123"/>
        <v>1</v>
      </c>
      <c r="AX201" s="1179">
        <f t="shared" si="124"/>
        <v>1</v>
      </c>
      <c r="AY201" s="1179">
        <f t="shared" si="125"/>
        <v>4</v>
      </c>
      <c r="AZ201" s="1179">
        <f t="shared" si="126"/>
        <v>3</v>
      </c>
      <c r="BA201" s="1179">
        <f t="shared" si="127"/>
        <v>2</v>
      </c>
      <c r="BB201" s="1179">
        <f t="shared" si="128"/>
        <v>1</v>
      </c>
      <c r="BC201" s="1179">
        <f t="shared" si="129"/>
        <v>4</v>
      </c>
      <c r="BD201" s="1179">
        <f t="shared" si="130"/>
        <v>0</v>
      </c>
      <c r="BE201" s="1179">
        <f t="shared" si="131"/>
        <v>4</v>
      </c>
      <c r="BF201" s="1179">
        <f t="shared" si="132"/>
        <v>2</v>
      </c>
      <c r="BG201" s="1179">
        <f t="shared" si="133"/>
        <v>1</v>
      </c>
      <c r="BH201" s="1179">
        <f t="shared" si="134"/>
        <v>1</v>
      </c>
    </row>
    <row r="202" spans="2:60">
      <c r="B202" s="1725"/>
      <c r="D202" t="s">
        <v>2612</v>
      </c>
      <c r="E202" t="s">
        <v>2612</v>
      </c>
      <c r="F202" t="s">
        <v>2612</v>
      </c>
      <c r="G202" t="s">
        <v>2612</v>
      </c>
      <c r="H202" t="s">
        <v>2612</v>
      </c>
      <c r="I202" t="s">
        <v>2612</v>
      </c>
      <c r="K202" t="s">
        <v>2612</v>
      </c>
      <c r="L202" t="s">
        <v>2612</v>
      </c>
      <c r="M202" s="957" t="s">
        <v>2612</v>
      </c>
      <c r="Q202" s="923" t="s">
        <v>339</v>
      </c>
      <c r="R202" s="1166">
        <f t="shared" si="96"/>
        <v>21</v>
      </c>
      <c r="S202" s="1232">
        <f>AVERAGE(Table4854[[#This Row],[Season 1]:[Season 38]])</f>
        <v>0.55263157894736847</v>
      </c>
      <c r="T202" s="1274">
        <f>MODE(Table4854[[#This Row],[Season 1]:[Season 38]])</f>
        <v>0</v>
      </c>
      <c r="U202" s="1274">
        <f>MAX(Table4854[[#This Row],[Season 1]:[Season 38]])</f>
        <v>2</v>
      </c>
      <c r="V202" s="1275">
        <f>MIN(Table4854[[#This Row],[Season 1]:[Season 38]])</f>
        <v>0</v>
      </c>
      <c r="W202" s="1180">
        <f t="shared" si="97"/>
        <v>0</v>
      </c>
      <c r="X202" s="1180">
        <f t="shared" si="98"/>
        <v>1</v>
      </c>
      <c r="Y202" s="1180">
        <f t="shared" si="99"/>
        <v>1</v>
      </c>
      <c r="Z202" s="1180">
        <f t="shared" si="100"/>
        <v>0</v>
      </c>
      <c r="AA202" s="1180">
        <f t="shared" si="101"/>
        <v>0</v>
      </c>
      <c r="AB202" s="1180">
        <f t="shared" si="102"/>
        <v>0</v>
      </c>
      <c r="AC202" s="1180">
        <f t="shared" si="103"/>
        <v>1</v>
      </c>
      <c r="AD202" s="1180">
        <f t="shared" si="104"/>
        <v>0</v>
      </c>
      <c r="AE202" s="1180">
        <f t="shared" si="105"/>
        <v>1</v>
      </c>
      <c r="AF202" s="1180">
        <f t="shared" si="106"/>
        <v>0</v>
      </c>
      <c r="AG202" s="1180">
        <f t="shared" si="107"/>
        <v>1</v>
      </c>
      <c r="AH202" s="1180">
        <f t="shared" si="108"/>
        <v>0</v>
      </c>
      <c r="AI202" s="1180">
        <f t="shared" si="109"/>
        <v>2</v>
      </c>
      <c r="AJ202" s="1180">
        <f t="shared" si="110"/>
        <v>1</v>
      </c>
      <c r="AK202" s="1180">
        <f t="shared" si="111"/>
        <v>1</v>
      </c>
      <c r="AL202" s="1180">
        <f t="shared" si="112"/>
        <v>1</v>
      </c>
      <c r="AM202" s="1180">
        <f t="shared" si="113"/>
        <v>0</v>
      </c>
      <c r="AN202" s="1180">
        <f t="shared" si="114"/>
        <v>1</v>
      </c>
      <c r="AO202" s="1180">
        <f t="shared" si="115"/>
        <v>2</v>
      </c>
      <c r="AP202" s="1180">
        <f t="shared" si="116"/>
        <v>1</v>
      </c>
      <c r="AQ202" s="1180">
        <f t="shared" si="117"/>
        <v>1</v>
      </c>
      <c r="AR202" s="1180">
        <f t="shared" si="118"/>
        <v>0</v>
      </c>
      <c r="AS202" s="1180">
        <f t="shared" si="119"/>
        <v>1</v>
      </c>
      <c r="AT202" s="1180">
        <f t="shared" si="120"/>
        <v>0</v>
      </c>
      <c r="AU202" s="1180">
        <f t="shared" si="121"/>
        <v>0</v>
      </c>
      <c r="AV202" s="1180">
        <f t="shared" si="122"/>
        <v>1</v>
      </c>
      <c r="AW202" s="1180">
        <f t="shared" si="123"/>
        <v>1</v>
      </c>
      <c r="AX202" s="1180">
        <f t="shared" si="124"/>
        <v>1</v>
      </c>
      <c r="AY202" s="1180">
        <f t="shared" si="125"/>
        <v>0</v>
      </c>
      <c r="AZ202" s="1180">
        <f t="shared" si="126"/>
        <v>0</v>
      </c>
      <c r="BA202" s="1180">
        <f t="shared" si="127"/>
        <v>0</v>
      </c>
      <c r="BB202" s="1180">
        <f t="shared" si="128"/>
        <v>0</v>
      </c>
      <c r="BC202" s="1180">
        <f t="shared" si="129"/>
        <v>0</v>
      </c>
      <c r="BD202" s="1180">
        <f t="shared" si="130"/>
        <v>0</v>
      </c>
      <c r="BE202" s="1180">
        <f t="shared" si="131"/>
        <v>0</v>
      </c>
      <c r="BF202" s="1180">
        <f t="shared" si="132"/>
        <v>1</v>
      </c>
      <c r="BG202" s="1180">
        <f t="shared" si="133"/>
        <v>0</v>
      </c>
      <c r="BH202" s="1180">
        <f t="shared" si="134"/>
        <v>1</v>
      </c>
    </row>
    <row r="203" spans="2:60" ht="15.95" customHeight="1">
      <c r="B203" s="1725"/>
      <c r="D203" s="962" t="s">
        <v>216</v>
      </c>
      <c r="E203" s="967" t="s">
        <v>27</v>
      </c>
      <c r="F203" s="977" t="s">
        <v>1270</v>
      </c>
      <c r="G203" s="964" t="s">
        <v>44</v>
      </c>
      <c r="H203" s="189" t="s">
        <v>47</v>
      </c>
      <c r="I203" s="967" t="s">
        <v>27</v>
      </c>
      <c r="K203" s="981" t="s">
        <v>1271</v>
      </c>
      <c r="L203" s="981" t="s">
        <v>1271</v>
      </c>
      <c r="M203" s="958" t="s">
        <v>74</v>
      </c>
      <c r="N203" s="58"/>
      <c r="O203" s="58"/>
      <c r="Q203" s="924" t="s">
        <v>73</v>
      </c>
      <c r="R203" s="1166">
        <f t="shared" si="96"/>
        <v>7</v>
      </c>
      <c r="S203" s="1217">
        <f>AVERAGE(Table4854[[#This Row],[Season 1]:[Season 38]])</f>
        <v>0.18421052631578946</v>
      </c>
      <c r="T203" s="1244">
        <f>MODE(Table4854[[#This Row],[Season 1]:[Season 38]])</f>
        <v>0</v>
      </c>
      <c r="U203" s="1244">
        <f>MAX(Table4854[[#This Row],[Season 1]:[Season 38]])</f>
        <v>1</v>
      </c>
      <c r="V203" s="1245">
        <f>MIN(Table4854[[#This Row],[Season 1]:[Season 38]])</f>
        <v>0</v>
      </c>
      <c r="W203" s="1167">
        <f t="shared" si="97"/>
        <v>0</v>
      </c>
      <c r="X203" s="1167">
        <f t="shared" si="98"/>
        <v>0</v>
      </c>
      <c r="Y203" s="1167">
        <f t="shared" si="99"/>
        <v>0</v>
      </c>
      <c r="Z203" s="1167">
        <f t="shared" si="100"/>
        <v>0</v>
      </c>
      <c r="AA203" s="1167">
        <f t="shared" si="101"/>
        <v>0</v>
      </c>
      <c r="AB203" s="1167">
        <f t="shared" si="102"/>
        <v>0</v>
      </c>
      <c r="AC203" s="1167">
        <f t="shared" si="103"/>
        <v>0</v>
      </c>
      <c r="AD203" s="1167">
        <f t="shared" si="104"/>
        <v>0</v>
      </c>
      <c r="AE203" s="1167">
        <f t="shared" si="105"/>
        <v>0</v>
      </c>
      <c r="AF203" s="1167">
        <f t="shared" si="106"/>
        <v>1</v>
      </c>
      <c r="AG203" s="1167">
        <f t="shared" si="107"/>
        <v>0</v>
      </c>
      <c r="AH203" s="1167">
        <f t="shared" si="108"/>
        <v>0</v>
      </c>
      <c r="AI203" s="1167">
        <f t="shared" si="109"/>
        <v>0</v>
      </c>
      <c r="AJ203" s="1167">
        <f t="shared" si="110"/>
        <v>1</v>
      </c>
      <c r="AK203" s="1167">
        <f t="shared" si="111"/>
        <v>0</v>
      </c>
      <c r="AL203" s="1167">
        <f t="shared" si="112"/>
        <v>0</v>
      </c>
      <c r="AM203" s="1167">
        <f t="shared" si="113"/>
        <v>0</v>
      </c>
      <c r="AN203" s="1167">
        <f t="shared" si="114"/>
        <v>0</v>
      </c>
      <c r="AO203" s="1167">
        <f t="shared" si="115"/>
        <v>0</v>
      </c>
      <c r="AP203" s="1167">
        <f t="shared" si="116"/>
        <v>0</v>
      </c>
      <c r="AQ203" s="1167">
        <f t="shared" si="117"/>
        <v>0</v>
      </c>
      <c r="AR203" s="1167">
        <f t="shared" si="118"/>
        <v>0</v>
      </c>
      <c r="AS203" s="1167">
        <f t="shared" si="119"/>
        <v>0</v>
      </c>
      <c r="AT203" s="1167">
        <f t="shared" si="120"/>
        <v>0</v>
      </c>
      <c r="AU203" s="1167">
        <f t="shared" si="121"/>
        <v>0</v>
      </c>
      <c r="AV203" s="1167">
        <f t="shared" si="122"/>
        <v>0</v>
      </c>
      <c r="AW203" s="1167">
        <f t="shared" si="123"/>
        <v>1</v>
      </c>
      <c r="AX203" s="1167">
        <f t="shared" si="124"/>
        <v>0</v>
      </c>
      <c r="AY203" s="1167">
        <f t="shared" si="125"/>
        <v>1</v>
      </c>
      <c r="AZ203" s="1167">
        <f t="shared" si="126"/>
        <v>0</v>
      </c>
      <c r="BA203" s="1167">
        <f t="shared" si="127"/>
        <v>0</v>
      </c>
      <c r="BB203" s="1167">
        <f>SUM(CF236:CG236)</f>
        <v>1</v>
      </c>
      <c r="BC203" s="1167">
        <f>SUM(CH236:CI236)</f>
        <v>1</v>
      </c>
      <c r="BD203" s="1167">
        <f t="shared" si="130"/>
        <v>0</v>
      </c>
      <c r="BE203" s="1167">
        <f>SUM(CL236:CM236)</f>
        <v>0</v>
      </c>
      <c r="BF203" s="1167">
        <f t="shared" si="132"/>
        <v>1</v>
      </c>
      <c r="BG203" s="1167">
        <f t="shared" si="133"/>
        <v>0</v>
      </c>
      <c r="BH203" s="1167">
        <f t="shared" si="134"/>
        <v>0</v>
      </c>
    </row>
    <row r="204" spans="2:60">
      <c r="B204" s="1725"/>
      <c r="D204" s="977" t="s">
        <v>1270</v>
      </c>
      <c r="F204" s="189" t="s">
        <v>47</v>
      </c>
      <c r="G204" s="963" t="s">
        <v>46</v>
      </c>
      <c r="K204" s="990"/>
      <c r="L204" s="990"/>
      <c r="M204" s="990"/>
      <c r="N204" s="990"/>
      <c r="O204" s="990"/>
      <c r="Q204" s="925" t="s">
        <v>216</v>
      </c>
      <c r="R204" s="1166">
        <f t="shared" si="96"/>
        <v>16</v>
      </c>
      <c r="S204" s="1233">
        <f>AVERAGE(Table4854[[#This Row],[Season 1]:[Season 38]])</f>
        <v>0.42105263157894735</v>
      </c>
      <c r="T204" s="1276">
        <f>MODE(Table4854[[#This Row],[Season 1]:[Season 38]])</f>
        <v>0</v>
      </c>
      <c r="U204" s="1276">
        <f>MAX(Table4854[[#This Row],[Season 1]:[Season 38]])</f>
        <v>2</v>
      </c>
      <c r="V204" s="1277">
        <f>MIN(Table4854[[#This Row],[Season 1]:[Season 38]])</f>
        <v>0</v>
      </c>
      <c r="W204" s="1181">
        <f t="shared" si="97"/>
        <v>0</v>
      </c>
      <c r="X204" s="1181">
        <f t="shared" si="98"/>
        <v>0</v>
      </c>
      <c r="Y204" s="1181">
        <f t="shared" si="99"/>
        <v>2</v>
      </c>
      <c r="Z204" s="1181">
        <f t="shared" si="100"/>
        <v>0</v>
      </c>
      <c r="AA204" s="1181">
        <f t="shared" si="101"/>
        <v>0</v>
      </c>
      <c r="AB204" s="1181">
        <f t="shared" si="102"/>
        <v>1</v>
      </c>
      <c r="AC204" s="1181">
        <f t="shared" si="103"/>
        <v>0</v>
      </c>
      <c r="AD204" s="1181">
        <f t="shared" si="104"/>
        <v>0</v>
      </c>
      <c r="AE204" s="1181">
        <f t="shared" si="105"/>
        <v>2</v>
      </c>
      <c r="AF204" s="1181">
        <f t="shared" si="106"/>
        <v>0</v>
      </c>
      <c r="AG204" s="1181">
        <f t="shared" si="107"/>
        <v>1</v>
      </c>
      <c r="AH204" s="1181">
        <f t="shared" si="108"/>
        <v>0</v>
      </c>
      <c r="AI204" s="1181">
        <f t="shared" si="109"/>
        <v>0</v>
      </c>
      <c r="AJ204" s="1181">
        <f t="shared" si="110"/>
        <v>2</v>
      </c>
      <c r="AK204" s="1181">
        <f t="shared" si="111"/>
        <v>1</v>
      </c>
      <c r="AL204" s="1181">
        <f t="shared" si="112"/>
        <v>1</v>
      </c>
      <c r="AM204" s="1181">
        <f t="shared" si="113"/>
        <v>0</v>
      </c>
      <c r="AN204" s="1181">
        <f t="shared" si="114"/>
        <v>0</v>
      </c>
      <c r="AO204" s="1181">
        <f t="shared" si="115"/>
        <v>0</v>
      </c>
      <c r="AP204" s="1181">
        <f t="shared" si="116"/>
        <v>0</v>
      </c>
      <c r="AQ204" s="1181">
        <f t="shared" si="117"/>
        <v>1</v>
      </c>
      <c r="AR204" s="1181">
        <f t="shared" si="118"/>
        <v>2</v>
      </c>
      <c r="AS204" s="1181">
        <f t="shared" si="119"/>
        <v>0</v>
      </c>
      <c r="AT204" s="1181">
        <f t="shared" si="120"/>
        <v>0</v>
      </c>
      <c r="AU204" s="1181">
        <f t="shared" si="121"/>
        <v>0</v>
      </c>
      <c r="AV204" s="1181">
        <f t="shared" si="122"/>
        <v>0</v>
      </c>
      <c r="AW204" s="1181">
        <f t="shared" si="123"/>
        <v>1</v>
      </c>
      <c r="AX204" s="1181">
        <f t="shared" si="124"/>
        <v>0</v>
      </c>
      <c r="AY204" s="1181">
        <f t="shared" si="125"/>
        <v>0</v>
      </c>
      <c r="AZ204" s="1181">
        <f t="shared" si="126"/>
        <v>0</v>
      </c>
      <c r="BA204" s="1181">
        <f t="shared" si="127"/>
        <v>1</v>
      </c>
      <c r="BB204" s="1181">
        <f t="shared" si="128"/>
        <v>0</v>
      </c>
      <c r="BC204" s="1181">
        <f t="shared" si="129"/>
        <v>0</v>
      </c>
      <c r="BD204" s="1181">
        <f t="shared" si="130"/>
        <v>0</v>
      </c>
      <c r="BE204" s="1181">
        <f t="shared" si="131"/>
        <v>0</v>
      </c>
      <c r="BF204" s="1181">
        <f t="shared" si="132"/>
        <v>0</v>
      </c>
      <c r="BG204" s="1181">
        <f t="shared" si="133"/>
        <v>1</v>
      </c>
      <c r="BH204" s="1181">
        <f t="shared" si="134"/>
        <v>0</v>
      </c>
    </row>
    <row r="205" spans="2:60" ht="16.5" thickBot="1">
      <c r="B205" s="1726"/>
      <c r="C205" s="1036"/>
      <c r="D205" s="1036" t="s">
        <v>186</v>
      </c>
      <c r="E205" s="1036" t="s">
        <v>187</v>
      </c>
      <c r="F205" s="1036" t="s">
        <v>186</v>
      </c>
      <c r="G205" s="1036" t="s">
        <v>188</v>
      </c>
      <c r="H205" s="1036" t="s">
        <v>189</v>
      </c>
      <c r="I205" s="1036" t="s">
        <v>190</v>
      </c>
      <c r="J205" s="1036"/>
      <c r="K205" s="1036" t="s">
        <v>188</v>
      </c>
      <c r="L205" s="1036" t="s">
        <v>189</v>
      </c>
      <c r="M205" s="1036" t="s">
        <v>188</v>
      </c>
      <c r="N205" s="1036"/>
      <c r="O205" s="1036"/>
      <c r="Q205" s="926" t="s">
        <v>21</v>
      </c>
      <c r="R205" s="1166">
        <f t="shared" si="96"/>
        <v>0</v>
      </c>
      <c r="S205" s="1217">
        <f>AVERAGE(Table4854[[#This Row],[Season 1]:[Season 38]])</f>
        <v>0</v>
      </c>
      <c r="T205" s="1244">
        <f>MODE(Table4854[[#This Row],[Season 1]:[Season 38]])</f>
        <v>0</v>
      </c>
      <c r="U205" s="1278">
        <f>MAX(Table4854[[#This Row],[Season 1]:[Season 38]])</f>
        <v>0</v>
      </c>
      <c r="V205" s="1245">
        <f>MIN(Table4854[[#This Row],[Season 1]:[Season 38]])</f>
        <v>0</v>
      </c>
      <c r="W205" s="1167">
        <f t="shared" si="97"/>
        <v>0</v>
      </c>
      <c r="X205" s="1167">
        <f t="shared" si="98"/>
        <v>0</v>
      </c>
      <c r="Y205" s="1167">
        <f t="shared" si="99"/>
        <v>0</v>
      </c>
      <c r="Z205" s="1167">
        <f t="shared" si="100"/>
        <v>0</v>
      </c>
      <c r="AA205" s="1167">
        <f t="shared" si="101"/>
        <v>0</v>
      </c>
      <c r="AB205" s="1167">
        <f t="shared" si="102"/>
        <v>0</v>
      </c>
      <c r="AC205" s="1167">
        <f t="shared" si="103"/>
        <v>0</v>
      </c>
      <c r="AD205" s="1167">
        <f t="shared" si="104"/>
        <v>0</v>
      </c>
      <c r="AE205" s="1167">
        <f t="shared" si="105"/>
        <v>0</v>
      </c>
      <c r="AF205" s="1167">
        <f t="shared" si="106"/>
        <v>0</v>
      </c>
      <c r="AG205" s="1167">
        <f t="shared" si="107"/>
        <v>0</v>
      </c>
      <c r="AH205" s="1167">
        <f t="shared" si="108"/>
        <v>0</v>
      </c>
      <c r="AI205" s="1167">
        <f t="shared" si="109"/>
        <v>0</v>
      </c>
      <c r="AJ205" s="1167">
        <f t="shared" si="110"/>
        <v>0</v>
      </c>
      <c r="AK205" s="1167">
        <f t="shared" si="111"/>
        <v>0</v>
      </c>
      <c r="AL205" s="1167">
        <f t="shared" si="112"/>
        <v>0</v>
      </c>
      <c r="AM205" s="1167">
        <f t="shared" si="113"/>
        <v>0</v>
      </c>
      <c r="AN205" s="1167">
        <f t="shared" si="114"/>
        <v>0</v>
      </c>
      <c r="AO205" s="1167">
        <f t="shared" si="115"/>
        <v>0</v>
      </c>
      <c r="AP205" s="1167">
        <f t="shared" si="116"/>
        <v>0</v>
      </c>
      <c r="AQ205" s="1167">
        <f t="shared" si="117"/>
        <v>0</v>
      </c>
      <c r="AR205" s="1167">
        <f t="shared" si="118"/>
        <v>0</v>
      </c>
      <c r="AS205" s="1167">
        <f t="shared" si="119"/>
        <v>0</v>
      </c>
      <c r="AT205" s="1167">
        <f t="shared" si="120"/>
        <v>0</v>
      </c>
      <c r="AU205" s="1167">
        <f t="shared" si="121"/>
        <v>0</v>
      </c>
      <c r="AV205" s="1167">
        <f t="shared" si="122"/>
        <v>0</v>
      </c>
      <c r="AW205" s="1167">
        <f t="shared" si="123"/>
        <v>0</v>
      </c>
      <c r="AX205" s="1167">
        <f t="shared" si="124"/>
        <v>0</v>
      </c>
      <c r="AY205" s="1167">
        <f t="shared" si="125"/>
        <v>0</v>
      </c>
      <c r="AZ205" s="1167">
        <f t="shared" si="126"/>
        <v>0</v>
      </c>
      <c r="BA205" s="1167">
        <f t="shared" si="127"/>
        <v>0</v>
      </c>
      <c r="BB205" s="1167">
        <f t="shared" si="128"/>
        <v>0</v>
      </c>
      <c r="BC205" s="1167">
        <f t="shared" si="129"/>
        <v>0</v>
      </c>
      <c r="BD205" s="1167">
        <f t="shared" si="130"/>
        <v>0</v>
      </c>
      <c r="BE205" s="1167">
        <f t="shared" si="131"/>
        <v>0</v>
      </c>
      <c r="BF205" s="1167">
        <f t="shared" si="132"/>
        <v>0</v>
      </c>
      <c r="BG205" s="1167">
        <f t="shared" si="133"/>
        <v>0</v>
      </c>
      <c r="BH205" s="1167">
        <f t="shared" si="134"/>
        <v>0</v>
      </c>
    </row>
    <row r="206" spans="2:60" ht="17.100000000000001" customHeight="1" thickTop="1">
      <c r="B206" s="1728" t="s">
        <v>148</v>
      </c>
      <c r="D206" s="979" t="s">
        <v>120</v>
      </c>
      <c r="E206" s="189" t="s">
        <v>47</v>
      </c>
      <c r="F206" s="981" t="s">
        <v>1271</v>
      </c>
      <c r="G206" s="961" t="s">
        <v>339</v>
      </c>
      <c r="H206" s="189" t="s">
        <v>47</v>
      </c>
      <c r="I206" s="977" t="s">
        <v>1270</v>
      </c>
      <c r="J206" s="963" t="s">
        <v>46</v>
      </c>
      <c r="K206" s="964" t="s">
        <v>44</v>
      </c>
      <c r="L206" s="977" t="s">
        <v>1270</v>
      </c>
      <c r="M206" s="974" t="s">
        <v>1269</v>
      </c>
      <c r="N206" s="58"/>
      <c r="O206" s="58"/>
    </row>
    <row r="207" spans="2:60">
      <c r="B207" s="1725"/>
      <c r="D207" s="981" t="s">
        <v>1271</v>
      </c>
      <c r="E207" s="993" t="s">
        <v>20</v>
      </c>
      <c r="F207" s="977" t="s">
        <v>1270</v>
      </c>
      <c r="G207" s="422"/>
      <c r="H207" s="422"/>
      <c r="J207" s="977" t="s">
        <v>1270</v>
      </c>
      <c r="K207" s="981" t="s">
        <v>1271</v>
      </c>
      <c r="L207" s="990"/>
      <c r="M207" s="422"/>
    </row>
    <row r="208" spans="2:60" ht="19.5" thickBot="1">
      <c r="B208" s="1725"/>
      <c r="D208" t="s">
        <v>2612</v>
      </c>
      <c r="E208" t="s">
        <v>2612</v>
      </c>
      <c r="F208" t="s">
        <v>2612</v>
      </c>
      <c r="G208" t="s">
        <v>2612</v>
      </c>
      <c r="H208" t="s">
        <v>2612</v>
      </c>
      <c r="I208" t="s">
        <v>2612</v>
      </c>
      <c r="J208" t="s">
        <v>2612</v>
      </c>
      <c r="K208" t="s">
        <v>2612</v>
      </c>
      <c r="L208" t="s">
        <v>2612</v>
      </c>
      <c r="M208" s="957" t="s">
        <v>2612</v>
      </c>
      <c r="Q208" s="69" t="s">
        <v>2766</v>
      </c>
      <c r="U208" s="69" t="s">
        <v>2843</v>
      </c>
    </row>
    <row r="209" spans="2:97" ht="15.95" customHeight="1">
      <c r="B209" s="1725"/>
      <c r="D209" s="979" t="s">
        <v>120</v>
      </c>
      <c r="E209" s="1009" t="s">
        <v>114</v>
      </c>
      <c r="F209" s="981" t="s">
        <v>1271</v>
      </c>
      <c r="G209" s="959" t="s">
        <v>155</v>
      </c>
      <c r="H209" s="964" t="s">
        <v>44</v>
      </c>
      <c r="I209" s="189" t="s">
        <v>47</v>
      </c>
      <c r="J209" s="977" t="s">
        <v>1270</v>
      </c>
      <c r="K209" s="967" t="s">
        <v>27</v>
      </c>
      <c r="L209" s="964" t="s">
        <v>44</v>
      </c>
      <c r="M209" s="956" t="s">
        <v>109</v>
      </c>
      <c r="N209" s="58"/>
      <c r="O209" s="58"/>
      <c r="Q209" s="13" t="s">
        <v>19</v>
      </c>
      <c r="R209" s="13" t="s">
        <v>2627</v>
      </c>
      <c r="S209" s="13" t="s">
        <v>2628</v>
      </c>
      <c r="U209" s="1140"/>
      <c r="V209" s="1731" t="s">
        <v>126</v>
      </c>
      <c r="W209" s="1731"/>
      <c r="X209" s="1731" t="s">
        <v>127</v>
      </c>
      <c r="Y209" s="1731"/>
      <c r="Z209" s="1731" t="s">
        <v>128</v>
      </c>
      <c r="AA209" s="1731"/>
      <c r="AB209" s="1731" t="s">
        <v>129</v>
      </c>
      <c r="AC209" s="1731"/>
      <c r="AD209" s="1731" t="s">
        <v>130</v>
      </c>
      <c r="AE209" s="1731"/>
      <c r="AF209" s="1731" t="s">
        <v>131</v>
      </c>
      <c r="AG209" s="1731"/>
      <c r="AH209" s="1731" t="s">
        <v>132</v>
      </c>
      <c r="AI209" s="1731"/>
      <c r="AJ209" s="1731" t="s">
        <v>133</v>
      </c>
      <c r="AK209" s="1731"/>
      <c r="AL209" s="1731" t="s">
        <v>134</v>
      </c>
      <c r="AM209" s="1731"/>
      <c r="AN209" s="1731" t="s">
        <v>135</v>
      </c>
      <c r="AO209" s="1731"/>
      <c r="AP209" s="1731" t="s">
        <v>136</v>
      </c>
      <c r="AQ209" s="1731"/>
      <c r="AR209" s="1731" t="s">
        <v>137</v>
      </c>
      <c r="AS209" s="1731"/>
      <c r="AT209" s="1731" t="s">
        <v>138</v>
      </c>
      <c r="AU209" s="1731"/>
      <c r="AV209" s="1731" t="s">
        <v>139</v>
      </c>
      <c r="AW209" s="1731"/>
      <c r="AX209" s="1731" t="s">
        <v>140</v>
      </c>
      <c r="AY209" s="1731"/>
      <c r="AZ209" s="1731" t="s">
        <v>141</v>
      </c>
      <c r="BA209" s="1731"/>
      <c r="BB209" s="1731" t="s">
        <v>142</v>
      </c>
      <c r="BC209" s="1731"/>
      <c r="BD209" s="1731" t="s">
        <v>143</v>
      </c>
      <c r="BE209" s="1731"/>
      <c r="BF209" s="1731" t="s">
        <v>144</v>
      </c>
      <c r="BG209" s="1731"/>
      <c r="BH209" s="1731" t="s">
        <v>145</v>
      </c>
      <c r="BI209" s="1731"/>
      <c r="BJ209" s="1731" t="s">
        <v>146</v>
      </c>
      <c r="BK209" s="1731"/>
      <c r="BL209" s="1731" t="s">
        <v>147</v>
      </c>
      <c r="BM209" s="1731"/>
      <c r="BN209" s="1731" t="s">
        <v>148</v>
      </c>
      <c r="BO209" s="1731"/>
      <c r="BP209" s="1731" t="s">
        <v>125</v>
      </c>
      <c r="BQ209" s="1731"/>
      <c r="BR209" s="1731" t="s">
        <v>116</v>
      </c>
      <c r="BS209" s="1731"/>
      <c r="BT209" s="1731" t="s">
        <v>104</v>
      </c>
      <c r="BU209" s="1731"/>
      <c r="BV209" s="1731" t="s">
        <v>95</v>
      </c>
      <c r="BW209" s="1731"/>
      <c r="BX209" s="1731" t="s">
        <v>85</v>
      </c>
      <c r="BY209" s="1731"/>
      <c r="BZ209" s="1731" t="s">
        <v>66</v>
      </c>
      <c r="CA209" s="1731"/>
      <c r="CB209" s="1731" t="s">
        <v>65</v>
      </c>
      <c r="CC209" s="1731"/>
      <c r="CD209" s="1731" t="s">
        <v>60</v>
      </c>
      <c r="CE209" s="1731"/>
      <c r="CF209" s="1731" t="s">
        <v>35</v>
      </c>
      <c r="CG209" s="1731"/>
      <c r="CH209" s="1731" t="s">
        <v>11</v>
      </c>
      <c r="CI209" s="1731"/>
      <c r="CJ209" s="1731" t="s">
        <v>198</v>
      </c>
      <c r="CK209" s="1731"/>
      <c r="CL209" s="1731" t="s">
        <v>184</v>
      </c>
      <c r="CM209" s="1731"/>
      <c r="CN209" s="1731" t="s">
        <v>563</v>
      </c>
      <c r="CO209" s="1731"/>
      <c r="CP209" s="1731" t="s">
        <v>1742</v>
      </c>
      <c r="CQ209" s="1731"/>
      <c r="CR209" s="1731" t="s">
        <v>2056</v>
      </c>
      <c r="CS209" s="1732"/>
    </row>
    <row r="210" spans="2:97" ht="16.5" thickBot="1">
      <c r="B210" s="1725"/>
      <c r="D210" s="981" t="s">
        <v>1271</v>
      </c>
      <c r="H210" s="977" t="s">
        <v>1270</v>
      </c>
      <c r="J210" s="967" t="s">
        <v>27</v>
      </c>
      <c r="K210" s="990"/>
      <c r="L210" s="990"/>
      <c r="M210" s="1049"/>
      <c r="N210" s="990"/>
      <c r="O210" s="990"/>
      <c r="Q210" s="903" t="s">
        <v>27</v>
      </c>
      <c r="R210" s="1145">
        <f t="shared" ref="R210:R237" si="135">SUM(V211,X211,Z211,AB211,AD211,AF211,AH211,AJ211,AL211,AN211,AP211,AR211,AT211,AV211,AX211,AZ211,BB211,BD211,BF211,BH211,BJ211,BL211,BN211,BP211,BR211,BT211,BV211,BX211,BZ211,CB211,CD211,CF211,CH211,CJ211,CL211,CN211,CP211,CR211)</f>
        <v>33</v>
      </c>
      <c r="S210" s="1145">
        <f t="shared" ref="S210:S237" si="136">SUM(W211,Y211,AA211,AC211,AE211,AG211,AI211,AK211,AM211,AO211,AQ211,AS211,AU211,AW211,AY211,BA211,BC211,BE211,BG211,BI211,BK211,BM211,BO211,BQ211,BS211,BU211,BW211,BY211,CA211,CC211,CE211,CG211,CI211,CK211,CM211,CO211,CQ211,CS211)</f>
        <v>28</v>
      </c>
      <c r="U210" s="1141" t="s">
        <v>19</v>
      </c>
      <c r="V210" s="1139" t="s">
        <v>2627</v>
      </c>
      <c r="W210" s="1139" t="s">
        <v>2628</v>
      </c>
      <c r="X210" s="1139" t="s">
        <v>2629</v>
      </c>
      <c r="Y210" s="1139" t="s">
        <v>2630</v>
      </c>
      <c r="Z210" s="1139" t="s">
        <v>2631</v>
      </c>
      <c r="AA210" s="1139" t="s">
        <v>2632</v>
      </c>
      <c r="AB210" s="1139" t="s">
        <v>2633</v>
      </c>
      <c r="AC210" s="1139" t="s">
        <v>2634</v>
      </c>
      <c r="AD210" s="1139" t="s">
        <v>2635</v>
      </c>
      <c r="AE210" s="1139" t="s">
        <v>2636</v>
      </c>
      <c r="AF210" s="1139" t="s">
        <v>2637</v>
      </c>
      <c r="AG210" s="1139" t="s">
        <v>2638</v>
      </c>
      <c r="AH210" s="1139" t="s">
        <v>2639</v>
      </c>
      <c r="AI210" s="1139" t="s">
        <v>2640</v>
      </c>
      <c r="AJ210" s="1139" t="s">
        <v>2641</v>
      </c>
      <c r="AK210" s="1139" t="s">
        <v>2642</v>
      </c>
      <c r="AL210" s="1139" t="s">
        <v>2643</v>
      </c>
      <c r="AM210" s="1139" t="s">
        <v>2644</v>
      </c>
      <c r="AN210" s="1139" t="s">
        <v>2645</v>
      </c>
      <c r="AO210" s="1139" t="s">
        <v>2646</v>
      </c>
      <c r="AP210" s="1139" t="s">
        <v>2647</v>
      </c>
      <c r="AQ210" s="1139" t="s">
        <v>2648</v>
      </c>
      <c r="AR210" s="1139" t="s">
        <v>2649</v>
      </c>
      <c r="AS210" s="1139" t="s">
        <v>2650</v>
      </c>
      <c r="AT210" s="1139" t="s">
        <v>2651</v>
      </c>
      <c r="AU210" s="1139" t="s">
        <v>2652</v>
      </c>
      <c r="AV210" s="1139" t="s">
        <v>2653</v>
      </c>
      <c r="AW210" s="1139" t="s">
        <v>2654</v>
      </c>
      <c r="AX210" s="1139" t="s">
        <v>2655</v>
      </c>
      <c r="AY210" s="1139" t="s">
        <v>2656</v>
      </c>
      <c r="AZ210" s="1139" t="s">
        <v>2657</v>
      </c>
      <c r="BA210" s="1139" t="s">
        <v>2658</v>
      </c>
      <c r="BB210" s="1139" t="s">
        <v>2659</v>
      </c>
      <c r="BC210" s="1139" t="s">
        <v>2660</v>
      </c>
      <c r="BD210" s="1139" t="s">
        <v>2661</v>
      </c>
      <c r="BE210" s="1139" t="s">
        <v>2662</v>
      </c>
      <c r="BF210" s="1139" t="s">
        <v>2663</v>
      </c>
      <c r="BG210" s="1139" t="s">
        <v>2664</v>
      </c>
      <c r="BH210" s="1139" t="s">
        <v>2665</v>
      </c>
      <c r="BI210" s="1139" t="s">
        <v>2666</v>
      </c>
      <c r="BJ210" s="1139" t="s">
        <v>2667</v>
      </c>
      <c r="BK210" s="1139" t="s">
        <v>2668</v>
      </c>
      <c r="BL210" s="1139" t="s">
        <v>2669</v>
      </c>
      <c r="BM210" s="1139" t="s">
        <v>2670</v>
      </c>
      <c r="BN210" s="1139" t="s">
        <v>2671</v>
      </c>
      <c r="BO210" s="1139" t="s">
        <v>2672</v>
      </c>
      <c r="BP210" s="1139" t="s">
        <v>2673</v>
      </c>
      <c r="BQ210" s="1139" t="s">
        <v>2674</v>
      </c>
      <c r="BR210" s="1139" t="s">
        <v>2675</v>
      </c>
      <c r="BS210" s="1139" t="s">
        <v>2676</v>
      </c>
      <c r="BT210" s="1139" t="s">
        <v>2677</v>
      </c>
      <c r="BU210" s="1139" t="s">
        <v>2678</v>
      </c>
      <c r="BV210" s="1139" t="s">
        <v>2679</v>
      </c>
      <c r="BW210" s="1139" t="s">
        <v>2680</v>
      </c>
      <c r="BX210" s="1139" t="s">
        <v>2681</v>
      </c>
      <c r="BY210" s="1139" t="s">
        <v>2682</v>
      </c>
      <c r="BZ210" s="1139" t="s">
        <v>2683</v>
      </c>
      <c r="CA210" s="1139" t="s">
        <v>2684</v>
      </c>
      <c r="CB210" s="1139" t="s">
        <v>2685</v>
      </c>
      <c r="CC210" s="1139" t="s">
        <v>2686</v>
      </c>
      <c r="CD210" s="1139" t="s">
        <v>2687</v>
      </c>
      <c r="CE210" s="1139" t="s">
        <v>2688</v>
      </c>
      <c r="CF210" s="1139" t="s">
        <v>2689</v>
      </c>
      <c r="CG210" s="1139" t="s">
        <v>2690</v>
      </c>
      <c r="CH210" s="1139" t="s">
        <v>2691</v>
      </c>
      <c r="CI210" s="1139" t="s">
        <v>2692</v>
      </c>
      <c r="CJ210" s="1139" t="s">
        <v>2693</v>
      </c>
      <c r="CK210" s="1139" t="s">
        <v>2694</v>
      </c>
      <c r="CL210" s="1139" t="s">
        <v>2695</v>
      </c>
      <c r="CM210" s="1139" t="s">
        <v>2696</v>
      </c>
      <c r="CN210" s="1139" t="s">
        <v>2697</v>
      </c>
      <c r="CO210" s="1139" t="s">
        <v>2698</v>
      </c>
      <c r="CP210" s="1139" t="s">
        <v>2699</v>
      </c>
      <c r="CQ210" s="1139" t="s">
        <v>2700</v>
      </c>
      <c r="CR210" s="1139" t="s">
        <v>2701</v>
      </c>
      <c r="CS210" s="1142" t="s">
        <v>2702</v>
      </c>
    </row>
    <row r="211" spans="2:97" ht="16.5" thickBot="1">
      <c r="B211" s="1726"/>
      <c r="C211" s="1036"/>
      <c r="D211" s="1036" t="s">
        <v>187</v>
      </c>
      <c r="E211" s="1036" t="s">
        <v>187</v>
      </c>
      <c r="F211" s="1036" t="s">
        <v>186</v>
      </c>
      <c r="G211" s="1036" t="s">
        <v>187</v>
      </c>
      <c r="H211" s="1036" t="s">
        <v>187</v>
      </c>
      <c r="I211" s="1036" t="s">
        <v>187</v>
      </c>
      <c r="J211" s="1036" t="s">
        <v>188</v>
      </c>
      <c r="K211" s="1036" t="s">
        <v>188</v>
      </c>
      <c r="L211" s="1036" t="s">
        <v>188</v>
      </c>
      <c r="M211" s="1036" t="s">
        <v>186</v>
      </c>
      <c r="N211" s="1036"/>
      <c r="O211" s="1036"/>
      <c r="Q211" s="904" t="s">
        <v>1270</v>
      </c>
      <c r="R211" s="33">
        <f t="shared" si="135"/>
        <v>56</v>
      </c>
      <c r="S211" s="33">
        <f t="shared" si="136"/>
        <v>51</v>
      </c>
      <c r="U211" s="1138" t="s">
        <v>27</v>
      </c>
      <c r="V211" s="319">
        <f t="shared" ref="V211:V238" si="137">IF(COUNTIF(C$59:O$60,$U211)&gt;0,COUNTIF(C$59:O$60,$U211), "")</f>
        <v>1</v>
      </c>
      <c r="W211" s="319">
        <f t="shared" ref="W211:W238" si="138">IF(COUNTIF(C$62:O$63,$U211)&gt;0,COUNTIF(C$62:O$63,$U211), "")</f>
        <v>1</v>
      </c>
      <c r="X211" s="319" t="str">
        <f t="shared" ref="X211:X238" si="139">IF(COUNTIF(C$65:O$66,$U211)&gt;0,COUNTIF(C$65:O$66,$U211), "")</f>
        <v/>
      </c>
      <c r="Y211" s="319">
        <f t="shared" ref="Y211:Y238" si="140">IF(COUNTIF(C$68:O$69,$U211)&gt;0,COUNTIF(C$68:O$69,$U211), "")</f>
        <v>1</v>
      </c>
      <c r="Z211" s="319">
        <f t="shared" ref="Z211:Z238" si="141">IF(COUNTIF(C$71:O$72,$U211)&gt;0,COUNTIF(C$71:O$72,$U211), "")</f>
        <v>1</v>
      </c>
      <c r="AA211" s="319">
        <f t="shared" ref="AA211:AA238" si="142">IF(COUNTIF(C$74:O$76,$U211)&gt;0,COUNTIF(C$74:O$76,$U211), "")</f>
        <v>2</v>
      </c>
      <c r="AB211" s="319">
        <f t="shared" ref="AB211:AB238" si="143">IF(COUNTIF(C$78:O$80,$U211)&gt;0,COUNTIF(C$78:O$80,$U211), "")</f>
        <v>3</v>
      </c>
      <c r="AC211" s="319">
        <f t="shared" ref="AC211:AC238" si="144">IF(COUNTIF(C$82:O$83,$U211)&gt;0,COUNTIF(C$82:O$83,$U211), "")</f>
        <v>1</v>
      </c>
      <c r="AD211" s="319">
        <f t="shared" ref="AD211:AD238" si="145">IF(COUNTIF(C$85:O$86,$U211)&gt;0,COUNTIF(C$85:O$86,$U211), "")</f>
        <v>4</v>
      </c>
      <c r="AE211" s="319">
        <f t="shared" ref="AE211:AE238" si="146">IF(COUNTIF(C$88:O$89,$U211)&gt;0,COUNTIF(C$88:O$89,$U211), "")</f>
        <v>3</v>
      </c>
      <c r="AF211" s="319">
        <f t="shared" ref="AF211:AF238" si="147">IF(COUNTIF(C$91:O$92,$U211)+COUNTIF(C$97:O$98,$U211)&gt;0,COUNTIF(C$91:O$92,$U211)+COUNTIF(C$97:O$98,$U211), "")</f>
        <v>1</v>
      </c>
      <c r="AG211" s="319">
        <f t="shared" ref="AG211:AG238" si="148">IF(COUNTIF(C$100:O$100,$U211)+COUNTIF(C$94:O$95,$U211)&gt;0,COUNTIF(C$94:O$95,$U211)+COUNTIF(C$100:O$100,$U211), "")</f>
        <v>2</v>
      </c>
      <c r="AH211" s="319">
        <f t="shared" ref="AH211:AH238" si="149">IF(COUNTIF(C$102:O$103,$U211)&gt;0,COUNTIF(C$102:O$103,$U211), "")</f>
        <v>2</v>
      </c>
      <c r="AI211" s="319">
        <f t="shared" ref="AI211:AI238" si="150">IF(COUNTIF(C$105:O$106,$U211)&gt;0,COUNTIF(C$105:O$106,$U211), "")</f>
        <v>1</v>
      </c>
      <c r="AJ211" s="319">
        <f t="shared" ref="AJ211:AJ238" si="151">IF(COUNTIF(C$108:O$109,$U211)&gt;0,COUNTIF(C$108:O$109,$U211), "")</f>
        <v>1</v>
      </c>
      <c r="AK211" s="319" t="str">
        <f t="shared" ref="AK211:AK238" si="152">IF(COUNTIF(C$111:O$112,$U211)&gt;0,COUNTIF(C$111:O$112,$U211), "")</f>
        <v/>
      </c>
      <c r="AL211" s="319" t="str">
        <f t="shared" ref="AL211:AL238" si="153">IF(COUNTIF(C$114:O$115,$U211)&gt;0,COUNTIF(C$114:O$115,$U211), "")</f>
        <v/>
      </c>
      <c r="AM211" s="319" t="str">
        <f t="shared" ref="AM211:AM238" si="154">IF(COUNTIF(C$117:O$119,$U211)&gt;0,COUNTIF(C$117:O$119,$U211), "")</f>
        <v/>
      </c>
      <c r="AN211" s="319">
        <f t="shared" ref="AN211:AN238" si="155">IF(COUNTIF(C$127:O$127,$U211)+COUNTIF(C$121:O$122,$U211)&gt;0,COUNTIF(C$121:O$122,$U211)+COUNTIF(C$127:O$127,$U211), "")</f>
        <v>1</v>
      </c>
      <c r="AO211" s="319">
        <f t="shared" ref="AO211:AO238" si="156">IF(COUNTIF(C$129:O$129,$U211)+COUNTIF(C$124:O$125,$U211)&gt;0,COUNTIF(C$124:O$125,$U211)+COUNTIF(C$129:O$129,$U211), "")</f>
        <v>2</v>
      </c>
      <c r="AP211" s="319">
        <f t="shared" ref="AP211:AP238" si="157">IF(COUNTIF(C$131:O$132,$U211)&gt;0,COUNTIF(C$131:O$132,$U211), "")</f>
        <v>1</v>
      </c>
      <c r="AQ211" s="319" t="str">
        <f t="shared" ref="AQ211:AQ238" si="158">IF(COUNTIF(C$134:O$135,$U211)&gt;0,COUNTIF(C$134:O$135,$U211), "")</f>
        <v/>
      </c>
      <c r="AR211" s="319" t="str">
        <f t="shared" ref="AR211:AR238" si="159">IF(COUNTIF(C$137:O$138,$U211)&gt;0,COUNTIF(C$137:O$138,$U211), "")</f>
        <v/>
      </c>
      <c r="AS211" s="319" t="str">
        <f t="shared" ref="AS211:AS238" si="160">IF(COUNTIF(C$140:O$141,$U211)&gt;0,COUNTIF(C$140:O$141,$U211), "")</f>
        <v/>
      </c>
      <c r="AT211" s="319" t="str">
        <f t="shared" ref="AT211:AT238" si="161">IF(COUNTIF(C$143:O$144,$U211)&gt;0,COUNTIF(C$143:O$144,$U211), "")</f>
        <v/>
      </c>
      <c r="AU211" s="319" t="str">
        <f t="shared" ref="AU211:AU238" si="162">IF(COUNTIF(C$146:O$147,$U211)&gt;0,COUNTIF(C$146:O$147,$U211), "")</f>
        <v/>
      </c>
      <c r="AV211" s="319" t="str">
        <f t="shared" ref="AV211:AV238" si="163">IF(COUNTIF(C$149:O$150,$U211)&gt;0,COUNTIF(C$149:O$150,$U211), "")</f>
        <v/>
      </c>
      <c r="AW211" s="319" t="str">
        <f t="shared" ref="AW211:AW238" si="164">IF(COUNTIF(C$152:O$153,$U211)&gt;0,COUNTIF(C$152:O$153,$U211), "")</f>
        <v/>
      </c>
      <c r="AX211" s="319" t="str">
        <f t="shared" ref="AX211:AX238" si="165">IF(COUNTIF(C$155:O$157,$U211)&gt;0,COUNTIF(C$155:O$157,$U211), "")</f>
        <v/>
      </c>
      <c r="AY211" s="319" t="str">
        <f t="shared" ref="AY211:AY238" si="166">IF(COUNTIF(C$159:O$160,$U211)&gt;0,COUNTIF(C$159:O$160,$U211), "")</f>
        <v/>
      </c>
      <c r="AZ211" s="319">
        <f t="shared" ref="AZ211:AZ238" si="167">IF(COUNTIF(C$162:O$163,$U211)&gt;0,COUNTIF(C$162:O$163,$U211), "")</f>
        <v>2</v>
      </c>
      <c r="BA211" s="319">
        <f t="shared" ref="BA211:BA238" si="168">IF(COUNTIF(C$165:O$166,$U211)&gt;0,COUNTIF(C$165:O$166,$U211), "")</f>
        <v>1</v>
      </c>
      <c r="BB211" s="319" t="str">
        <f t="shared" ref="BB211:BB238" si="169">IF(COUNTIF(C$168:O$169,$U211)&gt;0,COUNTIF(C$168:O$169,$U211), "")</f>
        <v/>
      </c>
      <c r="BC211" s="319" t="str">
        <f t="shared" ref="BC211:BC238" si="170">IF(COUNTIF(C$171:O$172,$U211)&gt;0,COUNTIF(C$171:O$172,$U211), "")</f>
        <v/>
      </c>
      <c r="BD211" s="319" t="str">
        <f t="shared" ref="BD211:BD238" si="171">IF(COUNTIF(C$174:O$175,$U211)&gt;0,COUNTIF(C$174:O$175,$U211), "")</f>
        <v/>
      </c>
      <c r="BE211" s="319" t="str">
        <f t="shared" ref="BE211:BE238" si="172">IF(COUNTIF(C$177:O$178,$U211)&gt;0,COUNTIF(C$177:O$178,$U211), "")</f>
        <v/>
      </c>
      <c r="BF211" s="319">
        <f t="shared" ref="BF211:BF238" si="173">IF(COUNTIF(C$180:O$182,$U211)&gt;0,COUNTIF(C$180:O$182,$U211), "")</f>
        <v>1</v>
      </c>
      <c r="BG211" s="319">
        <f t="shared" ref="BG211:BG238" si="174">IF(COUNTIF(C$184:O$185,$U211)&gt;0,COUNTIF(C$184:O$185,$U211), "")</f>
        <v>1</v>
      </c>
      <c r="BH211" s="319">
        <f t="shared" ref="BH211:BH238" si="175">IF(COUNTIF(C$187:O$188,$U211)&gt;0,COUNTIF(C$187:O$188,$U211), "")</f>
        <v>1</v>
      </c>
      <c r="BI211" s="319">
        <f t="shared" ref="BI211:BI238" si="176">IF(COUNTIF(C$190:O$191,$U211)&gt;0,COUNTIF(C$190:O$191,$U211), "")</f>
        <v>1</v>
      </c>
      <c r="BJ211" s="319" t="str">
        <f t="shared" ref="BJ211:BJ238" si="177">IF(COUNTIF(C$193:O$195,$U211)&gt;0,COUNTIF(C$193:O$195,$U211), "")</f>
        <v/>
      </c>
      <c r="BK211" s="319">
        <f t="shared" ref="BK211:BK238" si="178">IF(COUNTIF(C$197:O$198,$U211)&gt;0,COUNTIF(C$197:O$198,$U211), "")</f>
        <v>1</v>
      </c>
      <c r="BL211" s="319">
        <f t="shared" ref="BL211:BL238" si="179">IF(COUNTIF(C$200:O$201,$U211)&gt;0,COUNTIF(C$200:O$201,$U211), "")</f>
        <v>1</v>
      </c>
      <c r="BM211" s="319">
        <f t="shared" ref="BM211:BM238" si="180">IF(COUNTIF(C$203:O$204,$U211)&gt;0,COUNTIF(C$203:O$204,$U211), "")</f>
        <v>2</v>
      </c>
      <c r="BN211" s="319" t="str">
        <f t="shared" ref="BN211:BN238" si="181">IF(COUNTIF(C$206:O$207,$U211)&gt;0,COUNTIF(C$206:O$207,$U211), "")</f>
        <v/>
      </c>
      <c r="BO211" s="319">
        <f t="shared" ref="BO211:BO238" si="182">IF(COUNTIF(C$209:O$210,$U211)&gt;0,COUNTIF(C$209:O$210,$U211), "")</f>
        <v>2</v>
      </c>
      <c r="BP211" s="319">
        <f t="shared" ref="BP211:BP238" si="183">IF(COUNTIF(C$212:O$213,$U211)&gt;0,COUNTIF(C$212:O$213,$U211), "")</f>
        <v>3</v>
      </c>
      <c r="BQ211" s="319" t="str">
        <f t="shared" ref="BQ211:BQ238" si="184">IF(COUNTIF(C$215:O$216,$U211)&gt;0,COUNTIF(C$215:O$216,$U211), "")</f>
        <v/>
      </c>
      <c r="BR211" s="319">
        <f t="shared" ref="BR211:BR238" si="185">IF(COUNTIF(C$218:O$219,$U211)&gt;0,COUNTIF(C$218:O$219,$U211), "")</f>
        <v>2</v>
      </c>
      <c r="BS211" s="319">
        <f t="shared" ref="BS211:BS238" si="186">IF(COUNTIF(C$221:O$222,$U211)&gt;0,COUNTIF(C$221:O$222,$U211), "")</f>
        <v>1</v>
      </c>
      <c r="BT211" s="319">
        <f t="shared" ref="BT211:BT238" si="187">IF(COUNTIF(C$224:O$226,$U211)&gt;0,COUNTIF(C$224:O$226,$U211), "")</f>
        <v>2</v>
      </c>
      <c r="BU211" s="319">
        <f t="shared" ref="BU211:BU238" si="188">IF(COUNTIF(C$228:O$229,$U211)&gt;0,COUNTIF(C$228:O$229,$U211), "")</f>
        <v>1</v>
      </c>
      <c r="BV211" s="319">
        <f t="shared" ref="BV211:BV238" si="189">IF(COUNTIF(C$231:O$232,$U211)&gt;0,COUNTIF(C$231:O$232,$U211), "")</f>
        <v>2</v>
      </c>
      <c r="BW211" s="319">
        <f t="shared" ref="BW211:BW238" si="190">IF(COUNTIF(C$234:O$235,$U211)&gt;0,COUNTIF(C$234:O$235,$U211), "")</f>
        <v>1</v>
      </c>
      <c r="BX211" s="319" t="str">
        <f t="shared" ref="BX211:BX238" si="191">IF(COUNTIF(C$237:O$238,$U211)&gt;0,COUNTIF(C$237:O$238,$U211), "")</f>
        <v/>
      </c>
      <c r="BY211" s="319">
        <f t="shared" ref="BY211:BY238" si="192">IF(COUNTIF(C$240:O$241,$U211)&gt;0,COUNTIF(C$240:O$241,$U211), "")</f>
        <v>2</v>
      </c>
      <c r="BZ211" s="319" t="str">
        <f t="shared" ref="BZ211:BZ238" si="193">IF(COUNTIF(C$243:O$244,$U211)&gt;0,COUNTIF(C$243:O$244,$U211), "")</f>
        <v/>
      </c>
      <c r="CA211" s="319" t="str">
        <f t="shared" ref="CA211:CA238" si="194">IF(COUNTIF(C$246:O$247,$U211)&gt;0,COUNTIF(C$246:O$247,$U211), "")</f>
        <v/>
      </c>
      <c r="CB211" s="319">
        <f t="shared" ref="CB211:CB238" si="195">IF(COUNTIF(C$249:O$251,$U211)&gt;0,COUNTIF(C$249:O$251,$U211), "")</f>
        <v>2</v>
      </c>
      <c r="CC211" s="319">
        <f t="shared" ref="CC211:CC238" si="196">IF(COUNTIF(C$253:O$254,$U211)&gt;0,COUNTIF(C$253:O$254,$U211), "")</f>
        <v>1</v>
      </c>
      <c r="CD211" s="319">
        <f t="shared" ref="CD211:CD238" si="197">IF(COUNTIF(C$256:O$257,$U211)&gt;0,COUNTIF(C$256:O$257,$U211), "")</f>
        <v>1</v>
      </c>
      <c r="CE211" s="319" t="str">
        <f t="shared" ref="CE211:CE238" si="198">IF(COUNTIF(C$259:O$260,$U211)&gt;0,COUNTIF(C$259:O$260,$U211), "")</f>
        <v/>
      </c>
      <c r="CF211" s="319" t="str">
        <f t="shared" ref="CF211:CF238" si="199">IF(COUNTIF(C$262:O$263,$U211)+COUNTIF(C$268:O$269,$U211)&gt;0,COUNTIF(C$262:O$263,$U211)+COUNTIF(C$268:O$269,$U211),"")</f>
        <v/>
      </c>
      <c r="CG211" s="319" t="str">
        <f t="shared" ref="CG211:CG238" si="200">IF(COUNTIF(C$265:O$266,$U211)+COUNTIF(C$271:O$272,$U211)&gt;0,COUNTIF(C$265:O$266,$U211)+COUNTIF(C$271:O$272,$U211),"")</f>
        <v/>
      </c>
      <c r="CH211" s="319" t="str">
        <f t="shared" ref="CH211:CH238" si="201">IF(COUNTIF(C$274:O$276,$U211)&gt;0,COUNTIF(C$274:O$276,$U211), "")</f>
        <v/>
      </c>
      <c r="CI211" s="319">
        <f t="shared" ref="CI211:CI238" si="202">IF(COUNTIF(C$278:O$280,$U211)&gt;0,COUNTIF(C$278:O$280,$U211), "")</f>
        <v>1</v>
      </c>
      <c r="CJ211" s="319">
        <f>IF(COUNTIF(C$282:O$283,$U211)+COUNTIF(C$288:O$289,$U211)&gt;0,COUNTIF(C$282:O$283,$U211)+COUNTIF(C$288:O$289,$U211),"")</f>
        <v>1</v>
      </c>
      <c r="CK211" s="319" t="str">
        <f>IF(COUNTIF(C$285:O$286,$U211)+COUNTIF(C$291:O$292,$U211)&gt;0,COUNTIF(C$285:O$286,$U211)+COUNTIF(C$291:O$292,$U211),"")</f>
        <v/>
      </c>
      <c r="CL211" s="319" t="str">
        <f t="shared" ref="CL211:CL238" si="203">IF(COUNTIF(C$294:O$295,$U211)&gt;0,COUNTIF(C$294:O$295,$U211), "")</f>
        <v/>
      </c>
      <c r="CM211" s="319" t="str">
        <f t="shared" ref="CM211:CM238" si="204">IF(COUNTIF(C$297:O$298,$U211)&gt;0,COUNTIF(C$297:O$298,$U211),"")</f>
        <v/>
      </c>
      <c r="CN211" s="319" t="str">
        <f t="shared" ref="CN211:CN238" si="205">IF(COUNTIF(C$300:O$301,$U211)+COUNTIF(C$306:O$307,$U211)&gt;0,COUNTIF(C$300:O$301,$U211)+COUNTIF(C$306:O$307,$U211),"")</f>
        <v/>
      </c>
      <c r="CO211" s="319" t="str">
        <f t="shared" ref="CO211:CO238" si="206">IF(COUNTIF(C$303:O$304,$U211)+COUNTIF(C$309:O$310,$U211)&gt;0,COUNTIF(C$309:O$310,$U211)+COUNTIF(C$303:O$304,$U211),"")</f>
        <v/>
      </c>
      <c r="CP211" s="319" t="str">
        <f t="shared" ref="CP211:CP238" si="207">IF(COUNTIF(C$312:O$313,$U211)&gt;0,COUNTIF(C$312:O$313,$U211), "")</f>
        <v/>
      </c>
      <c r="CQ211" s="319" t="str">
        <f t="shared" ref="CQ211:CQ238" si="208">IF(COUNTIF(C$315:O$317,$U211)&gt;0,COUNTIF(C$315:O$317,$U211), "")</f>
        <v/>
      </c>
      <c r="CR211" s="319" t="str">
        <f t="shared" ref="CR211:CR238" si="209">IF(COUNTIF(C$319:O$322,$U211)&gt;0,COUNTIF(C$319:O$322,$U211), "")</f>
        <v/>
      </c>
      <c r="CS211" s="1143" t="str">
        <f t="shared" ref="CS211:CS238" si="210">IF(COUNTIF(C$324:O$326,$U211)&gt;0,COUNTIF(C$324:O$326,$U211), "")</f>
        <v/>
      </c>
    </row>
    <row r="212" spans="2:97" ht="17.100000000000001" customHeight="1" thickTop="1">
      <c r="B212" s="1728" t="s">
        <v>125</v>
      </c>
      <c r="D212" s="974" t="s">
        <v>1269</v>
      </c>
      <c r="E212" s="189" t="s">
        <v>47</v>
      </c>
      <c r="F212" s="970" t="s">
        <v>68</v>
      </c>
      <c r="G212" s="967" t="s">
        <v>27</v>
      </c>
      <c r="H212" s="967" t="s">
        <v>27</v>
      </c>
      <c r="I212" s="959" t="s">
        <v>155</v>
      </c>
      <c r="J212" s="967" t="s">
        <v>27</v>
      </c>
      <c r="K212" s="58"/>
      <c r="L212" s="959" t="s">
        <v>155</v>
      </c>
      <c r="M212" s="974" t="s">
        <v>1269</v>
      </c>
      <c r="O212" s="58"/>
      <c r="Q212" s="896" t="s">
        <v>43</v>
      </c>
      <c r="R212" s="587">
        <f t="shared" si="135"/>
        <v>15</v>
      </c>
      <c r="S212" s="587">
        <f t="shared" si="136"/>
        <v>13</v>
      </c>
      <c r="U212" s="1111" t="s">
        <v>1270</v>
      </c>
      <c r="V212" s="33" t="str">
        <f t="shared" si="137"/>
        <v/>
      </c>
      <c r="W212" s="33" t="str">
        <f t="shared" si="138"/>
        <v/>
      </c>
      <c r="X212" s="33" t="str">
        <f t="shared" si="139"/>
        <v/>
      </c>
      <c r="Y212" s="33" t="str">
        <f t="shared" si="140"/>
        <v/>
      </c>
      <c r="Z212" s="33" t="str">
        <f t="shared" si="141"/>
        <v/>
      </c>
      <c r="AA212" s="33" t="str">
        <f t="shared" si="142"/>
        <v/>
      </c>
      <c r="AB212" s="33">
        <f t="shared" si="143"/>
        <v>1</v>
      </c>
      <c r="AC212" s="33" t="str">
        <f t="shared" si="144"/>
        <v/>
      </c>
      <c r="AD212" s="33" t="str">
        <f t="shared" si="145"/>
        <v/>
      </c>
      <c r="AE212" s="33" t="str">
        <f t="shared" si="146"/>
        <v/>
      </c>
      <c r="AF212" s="33">
        <f t="shared" si="147"/>
        <v>1</v>
      </c>
      <c r="AG212" s="33" t="str">
        <f t="shared" si="148"/>
        <v/>
      </c>
      <c r="AH212" s="33" t="str">
        <f t="shared" si="149"/>
        <v/>
      </c>
      <c r="AI212" s="33">
        <f t="shared" si="150"/>
        <v>1</v>
      </c>
      <c r="AJ212" s="33">
        <f t="shared" si="151"/>
        <v>1</v>
      </c>
      <c r="AK212" s="33" t="str">
        <f t="shared" si="152"/>
        <v/>
      </c>
      <c r="AL212" s="33">
        <f t="shared" si="153"/>
        <v>1</v>
      </c>
      <c r="AM212" s="33">
        <f t="shared" si="154"/>
        <v>2</v>
      </c>
      <c r="AN212" s="33">
        <f t="shared" si="155"/>
        <v>3</v>
      </c>
      <c r="AO212" s="33">
        <f t="shared" si="156"/>
        <v>3</v>
      </c>
      <c r="AP212" s="33">
        <f t="shared" si="157"/>
        <v>1</v>
      </c>
      <c r="AQ212" s="33">
        <f t="shared" si="158"/>
        <v>3</v>
      </c>
      <c r="AR212" s="33">
        <f t="shared" si="159"/>
        <v>1</v>
      </c>
      <c r="AS212" s="33">
        <f t="shared" si="160"/>
        <v>1</v>
      </c>
      <c r="AT212" s="33">
        <f t="shared" si="161"/>
        <v>1</v>
      </c>
      <c r="AU212" s="33">
        <f t="shared" si="162"/>
        <v>1</v>
      </c>
      <c r="AV212" s="33">
        <f t="shared" si="163"/>
        <v>2</v>
      </c>
      <c r="AW212" s="33" t="str">
        <f t="shared" si="164"/>
        <v/>
      </c>
      <c r="AX212" s="33" t="str">
        <f t="shared" si="165"/>
        <v/>
      </c>
      <c r="AY212" s="33" t="str">
        <f t="shared" si="166"/>
        <v/>
      </c>
      <c r="AZ212" s="33" t="str">
        <f t="shared" si="167"/>
        <v/>
      </c>
      <c r="BA212" s="33" t="str">
        <f t="shared" si="168"/>
        <v/>
      </c>
      <c r="BB212" s="33" t="str">
        <f t="shared" si="169"/>
        <v/>
      </c>
      <c r="BC212" s="33">
        <f t="shared" si="170"/>
        <v>1</v>
      </c>
      <c r="BD212" s="33">
        <f t="shared" si="171"/>
        <v>3</v>
      </c>
      <c r="BE212" s="33" t="str">
        <f t="shared" si="172"/>
        <v/>
      </c>
      <c r="BF212" s="33">
        <f t="shared" si="173"/>
        <v>1</v>
      </c>
      <c r="BG212" s="33">
        <f t="shared" si="174"/>
        <v>1</v>
      </c>
      <c r="BH212" s="33">
        <f t="shared" si="175"/>
        <v>4</v>
      </c>
      <c r="BI212" s="33">
        <f t="shared" si="176"/>
        <v>3</v>
      </c>
      <c r="BJ212" s="33">
        <f t="shared" si="177"/>
        <v>1</v>
      </c>
      <c r="BK212" s="33">
        <f t="shared" si="178"/>
        <v>2</v>
      </c>
      <c r="BL212" s="33">
        <f t="shared" si="179"/>
        <v>1</v>
      </c>
      <c r="BM212" s="33">
        <f t="shared" si="180"/>
        <v>2</v>
      </c>
      <c r="BN212" s="33">
        <f t="shared" si="181"/>
        <v>4</v>
      </c>
      <c r="BO212" s="33">
        <f t="shared" si="182"/>
        <v>2</v>
      </c>
      <c r="BP212" s="33" t="str">
        <f t="shared" si="183"/>
        <v/>
      </c>
      <c r="BQ212" s="33">
        <f t="shared" si="184"/>
        <v>1</v>
      </c>
      <c r="BR212" s="33">
        <f t="shared" si="185"/>
        <v>3</v>
      </c>
      <c r="BS212" s="33">
        <f t="shared" si="186"/>
        <v>3</v>
      </c>
      <c r="BT212" s="33" t="str">
        <f t="shared" si="187"/>
        <v/>
      </c>
      <c r="BU212" s="33">
        <f t="shared" si="188"/>
        <v>2</v>
      </c>
      <c r="BV212" s="33">
        <f t="shared" si="189"/>
        <v>2</v>
      </c>
      <c r="BW212" s="33">
        <f t="shared" si="190"/>
        <v>2</v>
      </c>
      <c r="BX212" s="33">
        <f t="shared" si="191"/>
        <v>3</v>
      </c>
      <c r="BY212" s="33">
        <f t="shared" si="192"/>
        <v>1</v>
      </c>
      <c r="BZ212" s="33" t="str">
        <f t="shared" si="193"/>
        <v/>
      </c>
      <c r="CA212" s="33">
        <f t="shared" si="194"/>
        <v>2</v>
      </c>
      <c r="CB212" s="33">
        <f t="shared" si="195"/>
        <v>2</v>
      </c>
      <c r="CC212" s="33">
        <f t="shared" si="196"/>
        <v>2</v>
      </c>
      <c r="CD212" s="33">
        <f t="shared" si="197"/>
        <v>1</v>
      </c>
      <c r="CE212" s="33">
        <f t="shared" si="198"/>
        <v>1</v>
      </c>
      <c r="CF212" s="33">
        <f t="shared" si="199"/>
        <v>3</v>
      </c>
      <c r="CG212" s="33">
        <f t="shared" si="200"/>
        <v>1</v>
      </c>
      <c r="CH212" s="33">
        <f t="shared" si="201"/>
        <v>3</v>
      </c>
      <c r="CI212" s="33">
        <f t="shared" si="202"/>
        <v>3</v>
      </c>
      <c r="CJ212" s="33">
        <f t="shared" ref="CJ212:CJ238" si="211">IF(COUNTIF(C$282:O$283,$U212)+COUNTIF(C$288:O$289,$U212)&gt;0,COUNTIF(C$282:O$283,$U212)+COUNTIF(C$288:O$289,$U212),"")</f>
        <v>2</v>
      </c>
      <c r="CK212" s="33">
        <f t="shared" ref="CK212:CK238" si="212">IF(COUNTIF(C$285:O$286,$U212)+COUNTIF(C$291:O$292,$U212)&gt;0,COUNTIF(C$285:O$286,$U212)+COUNTIF(C$291:O$292,$U212),"")</f>
        <v>1</v>
      </c>
      <c r="CL212" s="33">
        <f t="shared" si="203"/>
        <v>5</v>
      </c>
      <c r="CM212" s="33">
        <f>IF(COUNTIF(C$297:O$298,$U212)&gt;0,COUNTIF(C$297:O$298,$U212),"")</f>
        <v>3</v>
      </c>
      <c r="CN212" s="33">
        <f t="shared" si="205"/>
        <v>1</v>
      </c>
      <c r="CO212" s="33">
        <f t="shared" si="206"/>
        <v>2</v>
      </c>
      <c r="CP212" s="33">
        <f t="shared" si="207"/>
        <v>4</v>
      </c>
      <c r="CQ212" s="33">
        <f t="shared" si="208"/>
        <v>4</v>
      </c>
      <c r="CR212" s="33">
        <f t="shared" si="209"/>
        <v>1</v>
      </c>
      <c r="CS212" s="1146">
        <f t="shared" si="210"/>
        <v>1</v>
      </c>
    </row>
    <row r="213" spans="2:97">
      <c r="B213" s="1725"/>
      <c r="D213" s="422"/>
      <c r="E213" s="981" t="s">
        <v>1271</v>
      </c>
      <c r="F213" s="422"/>
      <c r="G213" s="422"/>
      <c r="H213" s="422"/>
      <c r="J213" s="990"/>
      <c r="L213" s="58"/>
      <c r="Q213" s="905" t="s">
        <v>120</v>
      </c>
      <c r="R213" s="66">
        <f t="shared" si="135"/>
        <v>13</v>
      </c>
      <c r="S213" s="66">
        <f t="shared" si="136"/>
        <v>15</v>
      </c>
      <c r="U213" s="1112" t="s">
        <v>43</v>
      </c>
      <c r="V213" s="587" t="str">
        <f t="shared" si="137"/>
        <v/>
      </c>
      <c r="W213" s="587" t="str">
        <f t="shared" si="138"/>
        <v/>
      </c>
      <c r="X213" s="587" t="str">
        <f t="shared" si="139"/>
        <v/>
      </c>
      <c r="Y213" s="587" t="str">
        <f t="shared" si="140"/>
        <v/>
      </c>
      <c r="Z213" s="587">
        <f t="shared" si="141"/>
        <v>2</v>
      </c>
      <c r="AA213" s="587">
        <f t="shared" si="142"/>
        <v>1</v>
      </c>
      <c r="AB213" s="587" t="str">
        <f t="shared" si="143"/>
        <v/>
      </c>
      <c r="AC213" s="587" t="str">
        <f t="shared" si="144"/>
        <v/>
      </c>
      <c r="AD213" s="587" t="str">
        <f t="shared" si="145"/>
        <v/>
      </c>
      <c r="AE213" s="587" t="str">
        <f t="shared" si="146"/>
        <v/>
      </c>
      <c r="AF213" s="587">
        <f t="shared" si="147"/>
        <v>2</v>
      </c>
      <c r="AG213" s="587" t="str">
        <f t="shared" si="148"/>
        <v/>
      </c>
      <c r="AH213" s="587">
        <f t="shared" si="149"/>
        <v>2</v>
      </c>
      <c r="AI213" s="587" t="str">
        <f t="shared" si="150"/>
        <v/>
      </c>
      <c r="AJ213" s="587" t="str">
        <f t="shared" si="151"/>
        <v/>
      </c>
      <c r="AK213" s="587" t="str">
        <f t="shared" si="152"/>
        <v/>
      </c>
      <c r="AL213" s="587" t="str">
        <f t="shared" si="153"/>
        <v/>
      </c>
      <c r="AM213" s="587" t="str">
        <f t="shared" si="154"/>
        <v/>
      </c>
      <c r="AN213" s="587" t="str">
        <f t="shared" si="155"/>
        <v/>
      </c>
      <c r="AO213" s="587" t="str">
        <f t="shared" si="156"/>
        <v/>
      </c>
      <c r="AP213" s="587" t="str">
        <f t="shared" si="157"/>
        <v/>
      </c>
      <c r="AQ213" s="587" t="str">
        <f t="shared" si="158"/>
        <v/>
      </c>
      <c r="AR213" s="587" t="str">
        <f t="shared" si="159"/>
        <v/>
      </c>
      <c r="AS213" s="587">
        <f t="shared" si="160"/>
        <v>1</v>
      </c>
      <c r="AT213" s="587" t="str">
        <f t="shared" si="161"/>
        <v/>
      </c>
      <c r="AU213" s="587" t="str">
        <f t="shared" si="162"/>
        <v/>
      </c>
      <c r="AV213" s="587" t="str">
        <f t="shared" si="163"/>
        <v/>
      </c>
      <c r="AW213" s="587" t="str">
        <f t="shared" si="164"/>
        <v/>
      </c>
      <c r="AX213" s="587" t="str">
        <f t="shared" si="165"/>
        <v/>
      </c>
      <c r="AY213" s="587" t="str">
        <f t="shared" si="166"/>
        <v/>
      </c>
      <c r="AZ213" s="587" t="str">
        <f t="shared" si="167"/>
        <v/>
      </c>
      <c r="BA213" s="587">
        <f t="shared" si="168"/>
        <v>1</v>
      </c>
      <c r="BB213" s="587">
        <f t="shared" si="169"/>
        <v>1</v>
      </c>
      <c r="BC213" s="587">
        <f t="shared" si="170"/>
        <v>2</v>
      </c>
      <c r="BD213" s="587" t="str">
        <f t="shared" si="171"/>
        <v/>
      </c>
      <c r="BE213" s="587" t="str">
        <f t="shared" si="172"/>
        <v/>
      </c>
      <c r="BF213" s="587" t="str">
        <f t="shared" si="173"/>
        <v/>
      </c>
      <c r="BG213" s="587" t="str">
        <f t="shared" si="174"/>
        <v/>
      </c>
      <c r="BH213" s="587">
        <f t="shared" si="175"/>
        <v>1</v>
      </c>
      <c r="BI213" s="587" t="str">
        <f t="shared" si="176"/>
        <v/>
      </c>
      <c r="BJ213" s="587">
        <f t="shared" si="177"/>
        <v>2</v>
      </c>
      <c r="BK213" s="587" t="str">
        <f t="shared" si="178"/>
        <v/>
      </c>
      <c r="BL213" s="587" t="str">
        <f t="shared" si="179"/>
        <v/>
      </c>
      <c r="BM213" s="587" t="str">
        <f t="shared" si="180"/>
        <v/>
      </c>
      <c r="BN213" s="587" t="str">
        <f t="shared" si="181"/>
        <v/>
      </c>
      <c r="BO213" s="587" t="str">
        <f t="shared" si="182"/>
        <v/>
      </c>
      <c r="BP213" s="587" t="str">
        <f t="shared" si="183"/>
        <v/>
      </c>
      <c r="BQ213" s="587">
        <f t="shared" si="184"/>
        <v>1</v>
      </c>
      <c r="BR213" s="587">
        <f t="shared" si="185"/>
        <v>1</v>
      </c>
      <c r="BS213" s="587">
        <f t="shared" si="186"/>
        <v>1</v>
      </c>
      <c r="BT213" s="587">
        <f t="shared" si="187"/>
        <v>2</v>
      </c>
      <c r="BU213" s="587">
        <f t="shared" si="188"/>
        <v>2</v>
      </c>
      <c r="BV213" s="587" t="str">
        <f t="shared" si="189"/>
        <v/>
      </c>
      <c r="BW213" s="587" t="str">
        <f t="shared" si="190"/>
        <v/>
      </c>
      <c r="BX213" s="587">
        <f t="shared" si="191"/>
        <v>1</v>
      </c>
      <c r="BY213" s="587" t="str">
        <f t="shared" si="192"/>
        <v/>
      </c>
      <c r="BZ213" s="587" t="str">
        <f t="shared" si="193"/>
        <v/>
      </c>
      <c r="CA213" s="587" t="str">
        <f t="shared" si="194"/>
        <v/>
      </c>
      <c r="CB213" s="587" t="str">
        <f t="shared" si="195"/>
        <v/>
      </c>
      <c r="CC213" s="587" t="str">
        <f t="shared" si="196"/>
        <v/>
      </c>
      <c r="CD213" s="587" t="str">
        <f t="shared" si="197"/>
        <v/>
      </c>
      <c r="CE213" s="587" t="str">
        <f t="shared" si="198"/>
        <v/>
      </c>
      <c r="CF213" s="587">
        <f t="shared" si="199"/>
        <v>1</v>
      </c>
      <c r="CG213" s="587">
        <f t="shared" si="200"/>
        <v>1</v>
      </c>
      <c r="CH213" s="587" t="str">
        <f t="shared" si="201"/>
        <v/>
      </c>
      <c r="CI213" s="587" t="str">
        <f t="shared" si="202"/>
        <v/>
      </c>
      <c r="CJ213" s="587" t="str">
        <f t="shared" si="211"/>
        <v/>
      </c>
      <c r="CK213" s="587">
        <f t="shared" si="212"/>
        <v>1</v>
      </c>
      <c r="CL213" s="587" t="str">
        <f t="shared" si="203"/>
        <v/>
      </c>
      <c r="CM213" s="587" t="str">
        <f t="shared" si="204"/>
        <v/>
      </c>
      <c r="CN213" s="587" t="str">
        <f t="shared" si="205"/>
        <v/>
      </c>
      <c r="CO213" s="587" t="str">
        <f t="shared" si="206"/>
        <v/>
      </c>
      <c r="CP213" s="587" t="str">
        <f t="shared" si="207"/>
        <v/>
      </c>
      <c r="CQ213" s="587">
        <f t="shared" si="208"/>
        <v>1</v>
      </c>
      <c r="CR213" s="587" t="str">
        <f t="shared" si="209"/>
        <v/>
      </c>
      <c r="CS213" s="1147">
        <f t="shared" si="210"/>
        <v>1</v>
      </c>
    </row>
    <row r="214" spans="2:97" ht="16.5" thickBot="1">
      <c r="B214" s="1725"/>
      <c r="D214" t="s">
        <v>2612</v>
      </c>
      <c r="E214" t="s">
        <v>2612</v>
      </c>
      <c r="F214" t="s">
        <v>2612</v>
      </c>
      <c r="G214" t="s">
        <v>2612</v>
      </c>
      <c r="H214" t="s">
        <v>2612</v>
      </c>
      <c r="I214" t="s">
        <v>2612</v>
      </c>
      <c r="J214" t="s">
        <v>2612</v>
      </c>
      <c r="L214" s="957" t="s">
        <v>2612</v>
      </c>
      <c r="M214" t="s">
        <v>2612</v>
      </c>
      <c r="Q214" s="906" t="s">
        <v>47</v>
      </c>
      <c r="R214" s="642">
        <f t="shared" si="135"/>
        <v>35</v>
      </c>
      <c r="S214" s="642">
        <f t="shared" si="136"/>
        <v>36</v>
      </c>
      <c r="U214" s="1113" t="s">
        <v>120</v>
      </c>
      <c r="V214" s="66" t="str">
        <f t="shared" si="137"/>
        <v/>
      </c>
      <c r="W214" s="66">
        <f t="shared" si="138"/>
        <v>1</v>
      </c>
      <c r="X214" s="66">
        <f t="shared" si="139"/>
        <v>1</v>
      </c>
      <c r="Y214" s="66" t="str">
        <f t="shared" si="140"/>
        <v/>
      </c>
      <c r="Z214" s="66" t="str">
        <f t="shared" si="141"/>
        <v/>
      </c>
      <c r="AA214" s="66">
        <f t="shared" si="142"/>
        <v>2</v>
      </c>
      <c r="AB214" s="66">
        <f t="shared" si="143"/>
        <v>1</v>
      </c>
      <c r="AC214" s="66" t="str">
        <f t="shared" si="144"/>
        <v/>
      </c>
      <c r="AD214" s="66">
        <f t="shared" si="145"/>
        <v>1</v>
      </c>
      <c r="AE214" s="66">
        <f t="shared" si="146"/>
        <v>2</v>
      </c>
      <c r="AF214" s="66" t="str">
        <f t="shared" si="147"/>
        <v/>
      </c>
      <c r="AG214" s="66">
        <f t="shared" si="148"/>
        <v>1</v>
      </c>
      <c r="AH214" s="66" t="str">
        <f t="shared" si="149"/>
        <v/>
      </c>
      <c r="AI214" s="66">
        <f t="shared" si="150"/>
        <v>1</v>
      </c>
      <c r="AJ214" s="66">
        <f t="shared" si="151"/>
        <v>1</v>
      </c>
      <c r="AK214" s="66" t="str">
        <f t="shared" si="152"/>
        <v/>
      </c>
      <c r="AL214" s="66">
        <f t="shared" si="153"/>
        <v>1</v>
      </c>
      <c r="AM214" s="66">
        <f t="shared" si="154"/>
        <v>2</v>
      </c>
      <c r="AN214" s="66" t="str">
        <f t="shared" si="155"/>
        <v/>
      </c>
      <c r="AO214" s="66" t="str">
        <f t="shared" si="156"/>
        <v/>
      </c>
      <c r="AP214" s="66" t="str">
        <f t="shared" si="157"/>
        <v/>
      </c>
      <c r="AQ214" s="66" t="str">
        <f t="shared" si="158"/>
        <v/>
      </c>
      <c r="AR214" s="66" t="str">
        <f t="shared" si="159"/>
        <v/>
      </c>
      <c r="AS214" s="66" t="str">
        <f t="shared" si="160"/>
        <v/>
      </c>
      <c r="AT214" s="66" t="str">
        <f t="shared" si="161"/>
        <v/>
      </c>
      <c r="AU214" s="66">
        <f t="shared" si="162"/>
        <v>1</v>
      </c>
      <c r="AV214" s="66">
        <f t="shared" si="163"/>
        <v>1</v>
      </c>
      <c r="AW214" s="66" t="str">
        <f t="shared" si="164"/>
        <v/>
      </c>
      <c r="AX214" s="66">
        <f t="shared" si="165"/>
        <v>1</v>
      </c>
      <c r="AY214" s="66" t="str">
        <f t="shared" si="166"/>
        <v/>
      </c>
      <c r="AZ214" s="66" t="str">
        <f t="shared" si="167"/>
        <v/>
      </c>
      <c r="BA214" s="66" t="str">
        <f t="shared" si="168"/>
        <v/>
      </c>
      <c r="BB214" s="66">
        <f t="shared" si="169"/>
        <v>1</v>
      </c>
      <c r="BC214" s="66" t="str">
        <f t="shared" si="170"/>
        <v/>
      </c>
      <c r="BD214" s="66" t="str">
        <f t="shared" si="171"/>
        <v/>
      </c>
      <c r="BE214" s="66" t="str">
        <f t="shared" si="172"/>
        <v/>
      </c>
      <c r="BF214" s="66" t="str">
        <f t="shared" si="173"/>
        <v/>
      </c>
      <c r="BG214" s="66" t="str">
        <f t="shared" si="174"/>
        <v/>
      </c>
      <c r="BH214" s="66">
        <f t="shared" si="175"/>
        <v>1</v>
      </c>
      <c r="BI214" s="66">
        <f t="shared" si="176"/>
        <v>1</v>
      </c>
      <c r="BJ214" s="66" t="str">
        <f t="shared" si="177"/>
        <v/>
      </c>
      <c r="BK214" s="66" t="str">
        <f t="shared" si="178"/>
        <v/>
      </c>
      <c r="BL214" s="66" t="str">
        <f t="shared" si="179"/>
        <v/>
      </c>
      <c r="BM214" s="66" t="str">
        <f t="shared" si="180"/>
        <v/>
      </c>
      <c r="BN214" s="66">
        <f t="shared" si="181"/>
        <v>1</v>
      </c>
      <c r="BO214" s="66">
        <f t="shared" si="182"/>
        <v>1</v>
      </c>
      <c r="BP214" s="66" t="str">
        <f t="shared" si="183"/>
        <v/>
      </c>
      <c r="BQ214" s="66" t="str">
        <f t="shared" si="184"/>
        <v/>
      </c>
      <c r="BR214" s="66" t="str">
        <f t="shared" si="185"/>
        <v/>
      </c>
      <c r="BS214" s="66">
        <f t="shared" si="186"/>
        <v>2</v>
      </c>
      <c r="BT214" s="66" t="str">
        <f t="shared" si="187"/>
        <v/>
      </c>
      <c r="BU214" s="66" t="str">
        <f t="shared" si="188"/>
        <v/>
      </c>
      <c r="BV214" s="66">
        <f t="shared" si="189"/>
        <v>1</v>
      </c>
      <c r="BW214" s="66" t="str">
        <f t="shared" si="190"/>
        <v/>
      </c>
      <c r="BX214" s="66">
        <f t="shared" si="191"/>
        <v>1</v>
      </c>
      <c r="BY214" s="66" t="str">
        <f t="shared" si="192"/>
        <v/>
      </c>
      <c r="BZ214" s="66" t="str">
        <f t="shared" si="193"/>
        <v/>
      </c>
      <c r="CA214" s="66" t="str">
        <f t="shared" si="194"/>
        <v/>
      </c>
      <c r="CB214" s="66" t="str">
        <f t="shared" si="195"/>
        <v/>
      </c>
      <c r="CC214" s="66" t="str">
        <f t="shared" si="196"/>
        <v/>
      </c>
      <c r="CD214" s="66" t="str">
        <f t="shared" si="197"/>
        <v/>
      </c>
      <c r="CE214" s="66" t="str">
        <f t="shared" si="198"/>
        <v/>
      </c>
      <c r="CF214" s="66" t="str">
        <f t="shared" si="199"/>
        <v/>
      </c>
      <c r="CG214" s="66" t="str">
        <f t="shared" si="200"/>
        <v/>
      </c>
      <c r="CH214" s="66" t="str">
        <f t="shared" si="201"/>
        <v/>
      </c>
      <c r="CI214" s="66" t="str">
        <f t="shared" si="202"/>
        <v/>
      </c>
      <c r="CJ214" s="66" t="str">
        <f t="shared" si="211"/>
        <v/>
      </c>
      <c r="CK214" s="66" t="str">
        <f t="shared" si="212"/>
        <v/>
      </c>
      <c r="CL214" s="66" t="str">
        <f t="shared" si="203"/>
        <v/>
      </c>
      <c r="CM214" s="66">
        <f t="shared" si="204"/>
        <v>1</v>
      </c>
      <c r="CN214" s="66" t="str">
        <f t="shared" si="205"/>
        <v/>
      </c>
      <c r="CO214" s="66" t="str">
        <f t="shared" si="206"/>
        <v/>
      </c>
      <c r="CP214" s="66">
        <f t="shared" si="207"/>
        <v>1</v>
      </c>
      <c r="CQ214" s="66" t="str">
        <f t="shared" si="208"/>
        <v/>
      </c>
      <c r="CR214" s="66" t="str">
        <f t="shared" si="209"/>
        <v/>
      </c>
      <c r="CS214" s="1148" t="str">
        <f t="shared" si="210"/>
        <v/>
      </c>
    </row>
    <row r="215" spans="2:97" ht="15.95" customHeight="1" thickBot="1">
      <c r="B215" s="1725"/>
      <c r="D215" s="983" t="s">
        <v>124</v>
      </c>
      <c r="E215" s="964" t="s">
        <v>44</v>
      </c>
      <c r="F215" s="974" t="s">
        <v>1269</v>
      </c>
      <c r="G215" s="959" t="s">
        <v>155</v>
      </c>
      <c r="H215" s="977" t="s">
        <v>1270</v>
      </c>
      <c r="I215" s="974" t="s">
        <v>1269</v>
      </c>
      <c r="J215" s="189" t="s">
        <v>47</v>
      </c>
      <c r="K215" s="58"/>
      <c r="L215" s="981" t="s">
        <v>1271</v>
      </c>
      <c r="M215" s="981" t="s">
        <v>1271</v>
      </c>
      <c r="O215" s="58"/>
      <c r="Q215" s="907" t="s">
        <v>46</v>
      </c>
      <c r="R215">
        <f t="shared" si="135"/>
        <v>18</v>
      </c>
      <c r="S215">
        <f t="shared" si="136"/>
        <v>17</v>
      </c>
      <c r="U215" s="1114" t="s">
        <v>47</v>
      </c>
      <c r="V215" s="233" t="str">
        <f t="shared" si="137"/>
        <v/>
      </c>
      <c r="W215" s="233" t="str">
        <f t="shared" si="138"/>
        <v/>
      </c>
      <c r="X215" s="233" t="str">
        <f t="shared" si="139"/>
        <v/>
      </c>
      <c r="Y215" s="233" t="str">
        <f t="shared" si="140"/>
        <v/>
      </c>
      <c r="Z215" s="233" t="str">
        <f t="shared" si="141"/>
        <v/>
      </c>
      <c r="AA215" s="233" t="str">
        <f t="shared" si="142"/>
        <v/>
      </c>
      <c r="AB215" s="233" t="str">
        <f t="shared" si="143"/>
        <v/>
      </c>
      <c r="AC215" s="233" t="str">
        <f t="shared" si="144"/>
        <v/>
      </c>
      <c r="AD215" s="233" t="str">
        <f t="shared" si="145"/>
        <v/>
      </c>
      <c r="AE215" s="233" t="str">
        <f t="shared" si="146"/>
        <v/>
      </c>
      <c r="AF215" s="233" t="str">
        <f t="shared" si="147"/>
        <v/>
      </c>
      <c r="AG215" s="233">
        <f t="shared" si="148"/>
        <v>2</v>
      </c>
      <c r="AH215" s="233" t="str">
        <f t="shared" si="149"/>
        <v/>
      </c>
      <c r="AI215" s="233">
        <f t="shared" si="150"/>
        <v>1</v>
      </c>
      <c r="AJ215" s="233">
        <f t="shared" si="151"/>
        <v>2</v>
      </c>
      <c r="AK215" s="233">
        <f t="shared" si="152"/>
        <v>1</v>
      </c>
      <c r="AL215" s="233">
        <f t="shared" si="153"/>
        <v>1</v>
      </c>
      <c r="AM215" s="233">
        <f t="shared" si="154"/>
        <v>1</v>
      </c>
      <c r="AN215" s="233">
        <f t="shared" si="155"/>
        <v>1</v>
      </c>
      <c r="AO215" s="233">
        <f t="shared" si="156"/>
        <v>1</v>
      </c>
      <c r="AP215" s="233" t="str">
        <f t="shared" si="157"/>
        <v/>
      </c>
      <c r="AQ215" s="233" t="str">
        <f t="shared" si="158"/>
        <v/>
      </c>
      <c r="AR215" s="233">
        <f t="shared" si="159"/>
        <v>1</v>
      </c>
      <c r="AS215" s="233" t="str">
        <f t="shared" si="160"/>
        <v/>
      </c>
      <c r="AT215" s="233" t="str">
        <f t="shared" si="161"/>
        <v/>
      </c>
      <c r="AU215" s="233">
        <f t="shared" si="162"/>
        <v>1</v>
      </c>
      <c r="AV215" s="233" t="str">
        <f t="shared" si="163"/>
        <v/>
      </c>
      <c r="AW215" s="233">
        <f t="shared" si="164"/>
        <v>1</v>
      </c>
      <c r="AX215" s="233">
        <f t="shared" si="165"/>
        <v>1</v>
      </c>
      <c r="AY215" s="233">
        <f t="shared" si="166"/>
        <v>1</v>
      </c>
      <c r="AZ215" s="233">
        <f t="shared" si="167"/>
        <v>1</v>
      </c>
      <c r="BA215" s="233" t="str">
        <f t="shared" si="168"/>
        <v/>
      </c>
      <c r="BB215" s="233">
        <f t="shared" si="169"/>
        <v>1</v>
      </c>
      <c r="BC215" s="233">
        <f t="shared" si="170"/>
        <v>1</v>
      </c>
      <c r="BD215" s="233" t="str">
        <f t="shared" si="171"/>
        <v/>
      </c>
      <c r="BE215" s="233">
        <f t="shared" si="172"/>
        <v>1</v>
      </c>
      <c r="BF215" s="233">
        <f t="shared" si="173"/>
        <v>3</v>
      </c>
      <c r="BG215" s="233">
        <f t="shared" si="174"/>
        <v>3</v>
      </c>
      <c r="BH215" s="233">
        <f t="shared" si="175"/>
        <v>3</v>
      </c>
      <c r="BI215" s="233">
        <f t="shared" si="176"/>
        <v>1</v>
      </c>
      <c r="BJ215" s="233">
        <f t="shared" si="177"/>
        <v>3</v>
      </c>
      <c r="BK215" s="233">
        <f t="shared" si="178"/>
        <v>1</v>
      </c>
      <c r="BL215" s="233">
        <f t="shared" si="179"/>
        <v>2</v>
      </c>
      <c r="BM215" s="233">
        <f t="shared" si="180"/>
        <v>2</v>
      </c>
      <c r="BN215" s="233">
        <f t="shared" si="181"/>
        <v>2</v>
      </c>
      <c r="BO215" s="233">
        <f t="shared" si="182"/>
        <v>1</v>
      </c>
      <c r="BP215" s="233">
        <f t="shared" si="183"/>
        <v>1</v>
      </c>
      <c r="BQ215" s="233">
        <f t="shared" si="184"/>
        <v>1</v>
      </c>
      <c r="BR215" s="233">
        <f t="shared" si="185"/>
        <v>3</v>
      </c>
      <c r="BS215" s="233">
        <f t="shared" si="186"/>
        <v>2</v>
      </c>
      <c r="BT215" s="233">
        <f t="shared" si="187"/>
        <v>1</v>
      </c>
      <c r="BU215" s="233">
        <f t="shared" si="188"/>
        <v>1</v>
      </c>
      <c r="BV215" s="233" t="str">
        <f t="shared" si="189"/>
        <v/>
      </c>
      <c r="BW215" s="233">
        <f t="shared" si="190"/>
        <v>1</v>
      </c>
      <c r="BX215" s="233">
        <f t="shared" si="191"/>
        <v>2</v>
      </c>
      <c r="BY215" s="233">
        <f t="shared" si="192"/>
        <v>3</v>
      </c>
      <c r="BZ215" s="233">
        <f t="shared" si="193"/>
        <v>2</v>
      </c>
      <c r="CA215" s="233">
        <f t="shared" si="194"/>
        <v>1</v>
      </c>
      <c r="CB215" s="233" t="str">
        <f t="shared" si="195"/>
        <v/>
      </c>
      <c r="CC215" s="233">
        <f t="shared" si="196"/>
        <v>1</v>
      </c>
      <c r="CD215" s="233" t="str">
        <f t="shared" si="197"/>
        <v/>
      </c>
      <c r="CE215" s="233">
        <f t="shared" si="198"/>
        <v>1</v>
      </c>
      <c r="CF215" s="233">
        <f t="shared" si="199"/>
        <v>1</v>
      </c>
      <c r="CG215" s="233" t="str">
        <f t="shared" si="200"/>
        <v/>
      </c>
      <c r="CH215" s="233" t="str">
        <f t="shared" si="201"/>
        <v/>
      </c>
      <c r="CI215" s="233">
        <f t="shared" si="202"/>
        <v>1</v>
      </c>
      <c r="CJ215" s="233" t="str">
        <f t="shared" si="211"/>
        <v/>
      </c>
      <c r="CK215" s="233">
        <f t="shared" si="212"/>
        <v>1</v>
      </c>
      <c r="CL215" s="233">
        <f t="shared" si="203"/>
        <v>1</v>
      </c>
      <c r="CM215" s="233">
        <f t="shared" si="204"/>
        <v>1</v>
      </c>
      <c r="CN215" s="233">
        <f t="shared" si="205"/>
        <v>2</v>
      </c>
      <c r="CO215" s="233" t="str">
        <f t="shared" si="206"/>
        <v/>
      </c>
      <c r="CP215" s="233" t="str">
        <f t="shared" si="207"/>
        <v/>
      </c>
      <c r="CQ215" s="233">
        <f t="shared" si="208"/>
        <v>2</v>
      </c>
      <c r="CR215" s="233">
        <f t="shared" si="209"/>
        <v>1</v>
      </c>
      <c r="CS215" s="1149">
        <f t="shared" si="210"/>
        <v>1</v>
      </c>
    </row>
    <row r="216" spans="2:97">
      <c r="B216" s="1725"/>
      <c r="D216" s="1049"/>
      <c r="E216" s="974" t="s">
        <v>1269</v>
      </c>
      <c r="G216" s="960" t="s">
        <v>43</v>
      </c>
      <c r="J216" s="990"/>
      <c r="K216" s="990"/>
      <c r="L216" s="980" t="s">
        <v>1272</v>
      </c>
      <c r="M216" s="990"/>
      <c r="O216" s="990"/>
      <c r="Q216" s="908" t="s">
        <v>397</v>
      </c>
      <c r="R216" s="588">
        <f t="shared" si="135"/>
        <v>3</v>
      </c>
      <c r="S216" s="588">
        <f t="shared" si="136"/>
        <v>1</v>
      </c>
      <c r="U216" s="1115" t="s">
        <v>46</v>
      </c>
      <c r="V216" t="str">
        <f t="shared" si="137"/>
        <v/>
      </c>
      <c r="W216" t="str">
        <f t="shared" si="138"/>
        <v/>
      </c>
      <c r="X216" t="str">
        <f t="shared" si="139"/>
        <v/>
      </c>
      <c r="Y216" t="str">
        <f t="shared" si="140"/>
        <v/>
      </c>
      <c r="Z216" t="str">
        <f t="shared" si="141"/>
        <v/>
      </c>
      <c r="AA216" t="str">
        <f t="shared" si="142"/>
        <v/>
      </c>
      <c r="AB216" t="str">
        <f t="shared" si="143"/>
        <v/>
      </c>
      <c r="AC216" t="str">
        <f t="shared" si="144"/>
        <v/>
      </c>
      <c r="AD216" t="str">
        <f t="shared" si="145"/>
        <v/>
      </c>
      <c r="AE216" t="str">
        <f t="shared" si="146"/>
        <v/>
      </c>
      <c r="AF216" t="str">
        <f t="shared" si="147"/>
        <v/>
      </c>
      <c r="AG216">
        <f t="shared" si="148"/>
        <v>1</v>
      </c>
      <c r="AH216" t="str">
        <f t="shared" si="149"/>
        <v/>
      </c>
      <c r="AI216" t="str">
        <f t="shared" si="150"/>
        <v/>
      </c>
      <c r="AJ216">
        <f t="shared" si="151"/>
        <v>1</v>
      </c>
      <c r="AK216" t="str">
        <f t="shared" si="152"/>
        <v/>
      </c>
      <c r="AL216" t="str">
        <f t="shared" si="153"/>
        <v/>
      </c>
      <c r="AM216" t="str">
        <f t="shared" si="154"/>
        <v/>
      </c>
      <c r="AN216" t="str">
        <f t="shared" si="155"/>
        <v/>
      </c>
      <c r="AO216" t="str">
        <f t="shared" si="156"/>
        <v/>
      </c>
      <c r="AP216">
        <f t="shared" si="157"/>
        <v>2</v>
      </c>
      <c r="AQ216">
        <f t="shared" si="158"/>
        <v>1</v>
      </c>
      <c r="AR216" t="str">
        <f t="shared" si="159"/>
        <v/>
      </c>
      <c r="AS216" t="str">
        <f t="shared" si="160"/>
        <v/>
      </c>
      <c r="AT216" t="str">
        <f t="shared" si="161"/>
        <v/>
      </c>
      <c r="AU216" t="str">
        <f t="shared" si="162"/>
        <v/>
      </c>
      <c r="AV216" t="str">
        <f t="shared" si="163"/>
        <v/>
      </c>
      <c r="AW216" t="str">
        <f t="shared" si="164"/>
        <v/>
      </c>
      <c r="AX216" t="str">
        <f t="shared" si="165"/>
        <v/>
      </c>
      <c r="AY216" t="str">
        <f t="shared" si="166"/>
        <v/>
      </c>
      <c r="AZ216" t="str">
        <f t="shared" si="167"/>
        <v/>
      </c>
      <c r="BA216" t="str">
        <f t="shared" si="168"/>
        <v/>
      </c>
      <c r="BB216" t="str">
        <f t="shared" si="169"/>
        <v/>
      </c>
      <c r="BC216" t="str">
        <f t="shared" si="170"/>
        <v/>
      </c>
      <c r="BD216">
        <f t="shared" si="171"/>
        <v>3</v>
      </c>
      <c r="BE216" t="str">
        <f t="shared" si="172"/>
        <v/>
      </c>
      <c r="BF216" t="str">
        <f t="shared" si="173"/>
        <v/>
      </c>
      <c r="BG216">
        <f t="shared" si="174"/>
        <v>1</v>
      </c>
      <c r="BH216" t="str">
        <f t="shared" si="175"/>
        <v/>
      </c>
      <c r="BI216" t="str">
        <f t="shared" si="176"/>
        <v/>
      </c>
      <c r="BJ216">
        <f t="shared" si="177"/>
        <v>2</v>
      </c>
      <c r="BK216" t="str">
        <f t="shared" si="178"/>
        <v/>
      </c>
      <c r="BL216">
        <f t="shared" si="179"/>
        <v>2</v>
      </c>
      <c r="BM216">
        <f t="shared" si="180"/>
        <v>1</v>
      </c>
      <c r="BN216">
        <f t="shared" si="181"/>
        <v>1</v>
      </c>
      <c r="BO216" t="str">
        <f t="shared" si="182"/>
        <v/>
      </c>
      <c r="BP216" t="str">
        <f t="shared" si="183"/>
        <v/>
      </c>
      <c r="BQ216" t="str">
        <f t="shared" si="184"/>
        <v/>
      </c>
      <c r="BR216" t="str">
        <f t="shared" si="185"/>
        <v/>
      </c>
      <c r="BS216">
        <f t="shared" si="186"/>
        <v>2</v>
      </c>
      <c r="BT216">
        <f t="shared" si="187"/>
        <v>1</v>
      </c>
      <c r="BU216">
        <f t="shared" si="188"/>
        <v>1</v>
      </c>
      <c r="BV216" t="str">
        <f t="shared" si="189"/>
        <v/>
      </c>
      <c r="BW216">
        <f t="shared" si="190"/>
        <v>2</v>
      </c>
      <c r="BX216" t="str">
        <f t="shared" si="191"/>
        <v/>
      </c>
      <c r="BY216">
        <f t="shared" si="192"/>
        <v>3</v>
      </c>
      <c r="BZ216" t="str">
        <f t="shared" si="193"/>
        <v/>
      </c>
      <c r="CA216" t="str">
        <f t="shared" si="194"/>
        <v/>
      </c>
      <c r="CB216">
        <f t="shared" si="195"/>
        <v>1</v>
      </c>
      <c r="CC216" t="str">
        <f t="shared" si="196"/>
        <v/>
      </c>
      <c r="CD216">
        <f t="shared" si="197"/>
        <v>1</v>
      </c>
      <c r="CE216">
        <f t="shared" si="198"/>
        <v>1</v>
      </c>
      <c r="CF216" t="str">
        <f t="shared" si="199"/>
        <v/>
      </c>
      <c r="CG216">
        <f t="shared" si="200"/>
        <v>1</v>
      </c>
      <c r="CH216">
        <f t="shared" si="201"/>
        <v>1</v>
      </c>
      <c r="CI216">
        <f t="shared" si="202"/>
        <v>1</v>
      </c>
      <c r="CJ216">
        <f t="shared" si="211"/>
        <v>1</v>
      </c>
      <c r="CK216" t="str">
        <f t="shared" si="212"/>
        <v/>
      </c>
      <c r="CL216">
        <f t="shared" si="203"/>
        <v>1</v>
      </c>
      <c r="CM216" t="str">
        <f t="shared" si="204"/>
        <v/>
      </c>
      <c r="CN216">
        <f t="shared" si="205"/>
        <v>1</v>
      </c>
      <c r="CO216">
        <f t="shared" si="206"/>
        <v>1</v>
      </c>
      <c r="CP216" t="str">
        <f t="shared" si="207"/>
        <v/>
      </c>
      <c r="CQ216" t="str">
        <f t="shared" si="208"/>
        <v/>
      </c>
      <c r="CR216" t="str">
        <f t="shared" si="209"/>
        <v/>
      </c>
      <c r="CS216" s="1110">
        <f t="shared" si="210"/>
        <v>1</v>
      </c>
    </row>
    <row r="217" spans="2:97" ht="16.5" thickBot="1">
      <c r="B217" s="1726"/>
      <c r="C217" s="1036"/>
      <c r="D217" s="1036" t="s">
        <v>189</v>
      </c>
      <c r="E217" s="1036" t="s">
        <v>188</v>
      </c>
      <c r="F217" s="1036" t="s">
        <v>188</v>
      </c>
      <c r="G217" s="1036" t="s">
        <v>187</v>
      </c>
      <c r="H217" s="1036" t="s">
        <v>189</v>
      </c>
      <c r="I217" s="1036" t="s">
        <v>187</v>
      </c>
      <c r="J217" s="1036" t="s">
        <v>186</v>
      </c>
      <c r="K217" s="1036"/>
      <c r="L217" s="1036" t="s">
        <v>190</v>
      </c>
      <c r="M217" s="1036" t="s">
        <v>189</v>
      </c>
      <c r="N217" s="1036"/>
      <c r="O217" s="1036"/>
      <c r="Q217" s="909" t="s">
        <v>155</v>
      </c>
      <c r="R217" s="233">
        <f t="shared" si="135"/>
        <v>15</v>
      </c>
      <c r="S217" s="233">
        <f t="shared" si="136"/>
        <v>16</v>
      </c>
      <c r="U217" s="1116" t="s">
        <v>397</v>
      </c>
      <c r="V217" s="588" t="str">
        <f t="shared" si="137"/>
        <v/>
      </c>
      <c r="W217" s="588" t="str">
        <f t="shared" si="138"/>
        <v/>
      </c>
      <c r="X217" s="588" t="str">
        <f t="shared" si="139"/>
        <v/>
      </c>
      <c r="Y217" s="588" t="str">
        <f t="shared" si="140"/>
        <v/>
      </c>
      <c r="Z217" s="588">
        <f t="shared" si="141"/>
        <v>1</v>
      </c>
      <c r="AA217" s="588" t="str">
        <f t="shared" si="142"/>
        <v/>
      </c>
      <c r="AB217" s="588" t="str">
        <f t="shared" si="143"/>
        <v/>
      </c>
      <c r="AC217" s="588" t="str">
        <f t="shared" si="144"/>
        <v/>
      </c>
      <c r="AD217" s="588" t="str">
        <f t="shared" si="145"/>
        <v/>
      </c>
      <c r="AE217" s="588" t="str">
        <f t="shared" si="146"/>
        <v/>
      </c>
      <c r="AF217" s="588">
        <f t="shared" si="147"/>
        <v>1</v>
      </c>
      <c r="AG217" s="588" t="str">
        <f t="shared" si="148"/>
        <v/>
      </c>
      <c r="AH217" s="588" t="str">
        <f t="shared" si="149"/>
        <v/>
      </c>
      <c r="AI217" s="588" t="str">
        <f t="shared" si="150"/>
        <v/>
      </c>
      <c r="AJ217" s="588" t="str">
        <f t="shared" si="151"/>
        <v/>
      </c>
      <c r="AK217" s="588" t="str">
        <f t="shared" si="152"/>
        <v/>
      </c>
      <c r="AL217" s="588" t="str">
        <f t="shared" si="153"/>
        <v/>
      </c>
      <c r="AM217" s="588" t="str">
        <f t="shared" si="154"/>
        <v/>
      </c>
      <c r="AN217" s="588" t="str">
        <f t="shared" si="155"/>
        <v/>
      </c>
      <c r="AO217" s="588" t="str">
        <f t="shared" si="156"/>
        <v/>
      </c>
      <c r="AP217" s="588" t="str">
        <f t="shared" si="157"/>
        <v/>
      </c>
      <c r="AQ217" s="588" t="str">
        <f t="shared" si="158"/>
        <v/>
      </c>
      <c r="AR217" s="588">
        <f t="shared" si="159"/>
        <v>1</v>
      </c>
      <c r="AS217" s="588" t="str">
        <f t="shared" si="160"/>
        <v/>
      </c>
      <c r="AT217" s="588" t="str">
        <f t="shared" si="161"/>
        <v/>
      </c>
      <c r="AU217" s="588" t="str">
        <f t="shared" si="162"/>
        <v/>
      </c>
      <c r="AV217" s="588" t="str">
        <f t="shared" si="163"/>
        <v/>
      </c>
      <c r="AW217" s="588" t="str">
        <f t="shared" si="164"/>
        <v/>
      </c>
      <c r="AX217" s="588" t="str">
        <f t="shared" si="165"/>
        <v/>
      </c>
      <c r="AY217" s="588" t="str">
        <f t="shared" si="166"/>
        <v/>
      </c>
      <c r="AZ217" s="588" t="str">
        <f t="shared" si="167"/>
        <v/>
      </c>
      <c r="BA217" s="588" t="str">
        <f t="shared" si="168"/>
        <v/>
      </c>
      <c r="BB217" s="588" t="str">
        <f t="shared" si="169"/>
        <v/>
      </c>
      <c r="BC217" s="588" t="str">
        <f t="shared" si="170"/>
        <v/>
      </c>
      <c r="BD217" s="588" t="str">
        <f t="shared" si="171"/>
        <v/>
      </c>
      <c r="BE217" s="588" t="str">
        <f t="shared" si="172"/>
        <v/>
      </c>
      <c r="BF217" s="588" t="str">
        <f t="shared" si="173"/>
        <v/>
      </c>
      <c r="BG217" s="588" t="str">
        <f t="shared" si="174"/>
        <v/>
      </c>
      <c r="BH217" s="588" t="str">
        <f t="shared" si="175"/>
        <v/>
      </c>
      <c r="BI217" s="588" t="str">
        <f t="shared" si="176"/>
        <v/>
      </c>
      <c r="BJ217" s="588" t="str">
        <f t="shared" si="177"/>
        <v/>
      </c>
      <c r="BK217" s="588" t="str">
        <f t="shared" si="178"/>
        <v/>
      </c>
      <c r="BL217" s="588" t="str">
        <f t="shared" si="179"/>
        <v/>
      </c>
      <c r="BM217" s="588" t="str">
        <f t="shared" si="180"/>
        <v/>
      </c>
      <c r="BN217" s="588" t="str">
        <f t="shared" si="181"/>
        <v/>
      </c>
      <c r="BO217" s="588" t="str">
        <f t="shared" si="182"/>
        <v/>
      </c>
      <c r="BP217" s="588" t="str">
        <f t="shared" si="183"/>
        <v/>
      </c>
      <c r="BQ217" s="588" t="str">
        <f t="shared" si="184"/>
        <v/>
      </c>
      <c r="BR217" s="588" t="str">
        <f t="shared" si="185"/>
        <v/>
      </c>
      <c r="BS217" s="588" t="str">
        <f t="shared" si="186"/>
        <v/>
      </c>
      <c r="BT217" s="588" t="str">
        <f t="shared" si="187"/>
        <v/>
      </c>
      <c r="BU217" s="588" t="str">
        <f t="shared" si="188"/>
        <v/>
      </c>
      <c r="BV217" s="588" t="str">
        <f t="shared" si="189"/>
        <v/>
      </c>
      <c r="BW217" s="588" t="str">
        <f t="shared" si="190"/>
        <v/>
      </c>
      <c r="BX217" s="588" t="str">
        <f t="shared" si="191"/>
        <v/>
      </c>
      <c r="BY217" s="588">
        <f t="shared" si="192"/>
        <v>1</v>
      </c>
      <c r="BZ217" s="588" t="str">
        <f t="shared" si="193"/>
        <v/>
      </c>
      <c r="CA217" s="588" t="str">
        <f t="shared" si="194"/>
        <v/>
      </c>
      <c r="CB217" s="588" t="str">
        <f t="shared" si="195"/>
        <v/>
      </c>
      <c r="CC217" s="588" t="str">
        <f t="shared" si="196"/>
        <v/>
      </c>
      <c r="CD217" s="588" t="str">
        <f t="shared" si="197"/>
        <v/>
      </c>
      <c r="CE217" s="588" t="str">
        <f t="shared" si="198"/>
        <v/>
      </c>
      <c r="CF217" s="588" t="str">
        <f t="shared" si="199"/>
        <v/>
      </c>
      <c r="CG217" s="588" t="str">
        <f t="shared" si="200"/>
        <v/>
      </c>
      <c r="CH217" s="588" t="str">
        <f t="shared" si="201"/>
        <v/>
      </c>
      <c r="CI217" s="588" t="str">
        <f t="shared" si="202"/>
        <v/>
      </c>
      <c r="CJ217" s="588" t="str">
        <f t="shared" si="211"/>
        <v/>
      </c>
      <c r="CK217" s="588" t="str">
        <f t="shared" si="212"/>
        <v/>
      </c>
      <c r="CL217" s="588" t="str">
        <f t="shared" si="203"/>
        <v/>
      </c>
      <c r="CM217" s="588" t="str">
        <f t="shared" si="204"/>
        <v/>
      </c>
      <c r="CN217" s="588" t="str">
        <f t="shared" si="205"/>
        <v/>
      </c>
      <c r="CO217" s="588" t="str">
        <f t="shared" si="206"/>
        <v/>
      </c>
      <c r="CP217" s="588" t="str">
        <f t="shared" si="207"/>
        <v/>
      </c>
      <c r="CQ217" s="588" t="str">
        <f t="shared" si="208"/>
        <v/>
      </c>
      <c r="CR217" s="588" t="str">
        <f t="shared" si="209"/>
        <v/>
      </c>
      <c r="CS217" s="1150" t="str">
        <f t="shared" si="210"/>
        <v/>
      </c>
    </row>
    <row r="218" spans="2:97" ht="16.5" thickTop="1">
      <c r="B218" s="1728" t="s">
        <v>116</v>
      </c>
      <c r="D218" s="959" t="s">
        <v>155</v>
      </c>
      <c r="E218" s="189" t="s">
        <v>47</v>
      </c>
      <c r="F218" s="189" t="s">
        <v>47</v>
      </c>
      <c r="G218" s="970" t="s">
        <v>68</v>
      </c>
      <c r="H218" s="977" t="s">
        <v>1270</v>
      </c>
      <c r="I218" s="977" t="s">
        <v>1270</v>
      </c>
      <c r="J218" s="981" t="s">
        <v>1271</v>
      </c>
      <c r="K218" s="983" t="s">
        <v>124</v>
      </c>
      <c r="L218" s="967" t="s">
        <v>27</v>
      </c>
      <c r="M218" s="974" t="s">
        <v>1269</v>
      </c>
      <c r="O218" s="58"/>
      <c r="Q218" s="897" t="s">
        <v>24</v>
      </c>
      <c r="R218" s="36">
        <f t="shared" si="135"/>
        <v>18</v>
      </c>
      <c r="S218" s="36">
        <f t="shared" si="136"/>
        <v>19</v>
      </c>
      <c r="U218" s="1117" t="s">
        <v>155</v>
      </c>
      <c r="V218" s="233" t="str">
        <f t="shared" si="137"/>
        <v/>
      </c>
      <c r="W218" s="233" t="str">
        <f t="shared" si="138"/>
        <v/>
      </c>
      <c r="X218" s="233">
        <f t="shared" si="139"/>
        <v>1</v>
      </c>
      <c r="Y218" s="233" t="str">
        <f t="shared" si="140"/>
        <v/>
      </c>
      <c r="Z218" s="233" t="str">
        <f t="shared" si="141"/>
        <v/>
      </c>
      <c r="AA218" s="233" t="str">
        <f t="shared" si="142"/>
        <v/>
      </c>
      <c r="AB218" s="233" t="str">
        <f t="shared" si="143"/>
        <v/>
      </c>
      <c r="AC218" s="233" t="str">
        <f t="shared" si="144"/>
        <v/>
      </c>
      <c r="AD218" s="233" t="str">
        <f t="shared" si="145"/>
        <v/>
      </c>
      <c r="AE218" s="233" t="str">
        <f t="shared" si="146"/>
        <v/>
      </c>
      <c r="AF218" s="233" t="str">
        <f t="shared" si="147"/>
        <v/>
      </c>
      <c r="AG218" s="233" t="str">
        <f t="shared" si="148"/>
        <v/>
      </c>
      <c r="AH218" s="233" t="str">
        <f t="shared" si="149"/>
        <v/>
      </c>
      <c r="AI218" s="233" t="str">
        <f t="shared" si="150"/>
        <v/>
      </c>
      <c r="AJ218" s="233" t="str">
        <f t="shared" si="151"/>
        <v/>
      </c>
      <c r="AK218" s="233" t="str">
        <f t="shared" si="152"/>
        <v/>
      </c>
      <c r="AL218" s="233" t="str">
        <f t="shared" si="153"/>
        <v/>
      </c>
      <c r="AM218" s="233">
        <f t="shared" si="154"/>
        <v>1</v>
      </c>
      <c r="AN218" s="233" t="str">
        <f t="shared" si="155"/>
        <v/>
      </c>
      <c r="AO218" s="233" t="str">
        <f t="shared" si="156"/>
        <v/>
      </c>
      <c r="AP218" s="233" t="str">
        <f t="shared" si="157"/>
        <v/>
      </c>
      <c r="AQ218" s="233" t="str">
        <f t="shared" si="158"/>
        <v/>
      </c>
      <c r="AR218" s="233" t="str">
        <f t="shared" si="159"/>
        <v/>
      </c>
      <c r="AS218" s="233">
        <f t="shared" si="160"/>
        <v>2</v>
      </c>
      <c r="AT218" s="233">
        <f t="shared" si="161"/>
        <v>1</v>
      </c>
      <c r="AU218" s="233" t="str">
        <f t="shared" si="162"/>
        <v/>
      </c>
      <c r="AV218" s="233">
        <f t="shared" si="163"/>
        <v>1</v>
      </c>
      <c r="AW218" s="233">
        <f t="shared" si="164"/>
        <v>1</v>
      </c>
      <c r="AX218" s="233" t="str">
        <f t="shared" si="165"/>
        <v/>
      </c>
      <c r="AY218" s="233">
        <f t="shared" si="166"/>
        <v>1</v>
      </c>
      <c r="AZ218" s="233" t="str">
        <f t="shared" si="167"/>
        <v/>
      </c>
      <c r="BA218" s="233" t="str">
        <f t="shared" si="168"/>
        <v/>
      </c>
      <c r="BB218" s="233" t="str">
        <f t="shared" si="169"/>
        <v/>
      </c>
      <c r="BC218" s="233" t="str">
        <f t="shared" si="170"/>
        <v/>
      </c>
      <c r="BD218" s="233">
        <f t="shared" si="171"/>
        <v>1</v>
      </c>
      <c r="BE218" s="233" t="str">
        <f t="shared" si="172"/>
        <v/>
      </c>
      <c r="BF218" s="233">
        <f t="shared" si="173"/>
        <v>1</v>
      </c>
      <c r="BG218" s="233" t="str">
        <f t="shared" si="174"/>
        <v/>
      </c>
      <c r="BH218" s="233" t="str">
        <f t="shared" si="175"/>
        <v/>
      </c>
      <c r="BI218" s="233" t="str">
        <f t="shared" si="176"/>
        <v/>
      </c>
      <c r="BJ218" s="233">
        <f t="shared" si="177"/>
        <v>1</v>
      </c>
      <c r="BK218" s="233">
        <f t="shared" si="178"/>
        <v>2</v>
      </c>
      <c r="BL218" s="233" t="str">
        <f t="shared" si="179"/>
        <v/>
      </c>
      <c r="BM218" s="233" t="str">
        <f t="shared" si="180"/>
        <v/>
      </c>
      <c r="BN218" s="233" t="str">
        <f t="shared" si="181"/>
        <v/>
      </c>
      <c r="BO218" s="233">
        <f t="shared" si="182"/>
        <v>1</v>
      </c>
      <c r="BP218" s="233">
        <f t="shared" si="183"/>
        <v>2</v>
      </c>
      <c r="BQ218" s="233">
        <f t="shared" si="184"/>
        <v>1</v>
      </c>
      <c r="BR218" s="233">
        <f t="shared" si="185"/>
        <v>1</v>
      </c>
      <c r="BS218" s="233" t="str">
        <f t="shared" si="186"/>
        <v/>
      </c>
      <c r="BT218" s="233">
        <f t="shared" si="187"/>
        <v>2</v>
      </c>
      <c r="BU218" s="233" t="str">
        <f t="shared" si="188"/>
        <v/>
      </c>
      <c r="BV218" s="233" t="str">
        <f t="shared" si="189"/>
        <v/>
      </c>
      <c r="BW218" s="233" t="str">
        <f t="shared" si="190"/>
        <v/>
      </c>
      <c r="BX218" s="233" t="str">
        <f t="shared" si="191"/>
        <v/>
      </c>
      <c r="BY218" s="233" t="str">
        <f t="shared" si="192"/>
        <v/>
      </c>
      <c r="BZ218" s="233" t="str">
        <f t="shared" si="193"/>
        <v/>
      </c>
      <c r="CA218" s="233" t="str">
        <f t="shared" si="194"/>
        <v/>
      </c>
      <c r="CB218" s="233" t="str">
        <f t="shared" si="195"/>
        <v/>
      </c>
      <c r="CC218" s="233">
        <f t="shared" si="196"/>
        <v>1</v>
      </c>
      <c r="CD218" s="233" t="str">
        <f t="shared" si="197"/>
        <v/>
      </c>
      <c r="CE218" s="233">
        <f t="shared" si="198"/>
        <v>1</v>
      </c>
      <c r="CF218" s="233" t="str">
        <f t="shared" si="199"/>
        <v/>
      </c>
      <c r="CG218" s="233">
        <f t="shared" si="200"/>
        <v>2</v>
      </c>
      <c r="CH218" s="233">
        <f t="shared" si="201"/>
        <v>1</v>
      </c>
      <c r="CI218" s="233">
        <f t="shared" si="202"/>
        <v>1</v>
      </c>
      <c r="CJ218" s="233">
        <f t="shared" si="211"/>
        <v>1</v>
      </c>
      <c r="CK218" s="233">
        <f t="shared" si="212"/>
        <v>1</v>
      </c>
      <c r="CL218" s="233" t="str">
        <f t="shared" si="203"/>
        <v/>
      </c>
      <c r="CM218" s="233" t="str">
        <f t="shared" si="204"/>
        <v/>
      </c>
      <c r="CN218" s="233">
        <f t="shared" si="205"/>
        <v>1</v>
      </c>
      <c r="CO218" s="233" t="str">
        <f t="shared" si="206"/>
        <v/>
      </c>
      <c r="CP218" s="233" t="str">
        <f t="shared" si="207"/>
        <v/>
      </c>
      <c r="CQ218" s="233" t="str">
        <f t="shared" si="208"/>
        <v/>
      </c>
      <c r="CR218" s="233">
        <f t="shared" si="209"/>
        <v>1</v>
      </c>
      <c r="CS218" s="1149">
        <f t="shared" si="210"/>
        <v>1</v>
      </c>
    </row>
    <row r="219" spans="2:97">
      <c r="B219" s="1725"/>
      <c r="E219" s="967" t="s">
        <v>27</v>
      </c>
      <c r="F219" s="977" t="s">
        <v>1270</v>
      </c>
      <c r="G219" s="422"/>
      <c r="H219" s="189" t="s">
        <v>47</v>
      </c>
      <c r="I219" s="958" t="s">
        <v>74</v>
      </c>
      <c r="J219" s="960" t="s">
        <v>43</v>
      </c>
      <c r="L219" s="58"/>
      <c r="Q219" s="910" t="s">
        <v>23</v>
      </c>
      <c r="R219" s="577">
        <f t="shared" si="135"/>
        <v>0</v>
      </c>
      <c r="S219" s="577">
        <f t="shared" si="136"/>
        <v>0</v>
      </c>
      <c r="U219" s="1118" t="s">
        <v>24</v>
      </c>
      <c r="V219" s="1086">
        <f t="shared" si="137"/>
        <v>3</v>
      </c>
      <c r="W219" s="1086">
        <f t="shared" si="138"/>
        <v>3</v>
      </c>
      <c r="X219" s="1086" t="str">
        <f t="shared" si="139"/>
        <v/>
      </c>
      <c r="Y219" s="1086" t="str">
        <f t="shared" si="140"/>
        <v/>
      </c>
      <c r="Z219" s="1086">
        <f t="shared" si="141"/>
        <v>1</v>
      </c>
      <c r="AA219" s="1086">
        <f t="shared" si="142"/>
        <v>3</v>
      </c>
      <c r="AB219" s="1086">
        <f t="shared" si="143"/>
        <v>3</v>
      </c>
      <c r="AC219" s="1086">
        <f t="shared" si="144"/>
        <v>2</v>
      </c>
      <c r="AD219" s="1086">
        <f t="shared" si="145"/>
        <v>1</v>
      </c>
      <c r="AE219" s="1086">
        <f t="shared" si="146"/>
        <v>2</v>
      </c>
      <c r="AF219" s="1086">
        <f t="shared" si="147"/>
        <v>1</v>
      </c>
      <c r="AG219" s="1086">
        <f t="shared" si="148"/>
        <v>1</v>
      </c>
      <c r="AH219" s="1086" t="str">
        <f t="shared" si="149"/>
        <v/>
      </c>
      <c r="AI219" s="1086" t="str">
        <f t="shared" si="150"/>
        <v/>
      </c>
      <c r="AJ219" s="1086">
        <f t="shared" si="151"/>
        <v>2</v>
      </c>
      <c r="AK219" s="1086">
        <f t="shared" si="152"/>
        <v>2</v>
      </c>
      <c r="AL219" s="1086">
        <f t="shared" si="153"/>
        <v>2</v>
      </c>
      <c r="AM219" s="1086">
        <f t="shared" si="154"/>
        <v>2</v>
      </c>
      <c r="AN219" s="1086" t="str">
        <f t="shared" si="155"/>
        <v/>
      </c>
      <c r="AO219" s="1086" t="str">
        <f t="shared" si="156"/>
        <v/>
      </c>
      <c r="AP219" s="1086" t="str">
        <f t="shared" si="157"/>
        <v/>
      </c>
      <c r="AQ219" s="1086" t="str">
        <f t="shared" si="158"/>
        <v/>
      </c>
      <c r="AR219" s="1086" t="str">
        <f t="shared" si="159"/>
        <v/>
      </c>
      <c r="AS219" s="1086" t="str">
        <f t="shared" si="160"/>
        <v/>
      </c>
      <c r="AT219" s="1086" t="str">
        <f t="shared" si="161"/>
        <v/>
      </c>
      <c r="AU219" s="1086" t="str">
        <f t="shared" si="162"/>
        <v/>
      </c>
      <c r="AV219" s="1086">
        <f t="shared" si="163"/>
        <v>2</v>
      </c>
      <c r="AW219" s="1086">
        <f t="shared" si="164"/>
        <v>1</v>
      </c>
      <c r="AX219" s="1086" t="str">
        <f t="shared" si="165"/>
        <v/>
      </c>
      <c r="AY219" s="1086" t="str">
        <f t="shared" si="166"/>
        <v/>
      </c>
      <c r="AZ219" s="1086">
        <f t="shared" si="167"/>
        <v>1</v>
      </c>
      <c r="BA219" s="1086">
        <f t="shared" si="168"/>
        <v>1</v>
      </c>
      <c r="BB219" s="1086" t="str">
        <f t="shared" si="169"/>
        <v/>
      </c>
      <c r="BC219" s="1086" t="str">
        <f t="shared" si="170"/>
        <v/>
      </c>
      <c r="BD219" s="1086" t="str">
        <f t="shared" si="171"/>
        <v/>
      </c>
      <c r="BE219" s="1086" t="str">
        <f t="shared" si="172"/>
        <v/>
      </c>
      <c r="BF219" s="1086" t="str">
        <f t="shared" si="173"/>
        <v/>
      </c>
      <c r="BG219" s="1086" t="str">
        <f t="shared" si="174"/>
        <v/>
      </c>
      <c r="BH219" s="1086" t="str">
        <f t="shared" si="175"/>
        <v/>
      </c>
      <c r="BI219" s="1086">
        <f t="shared" si="176"/>
        <v>1</v>
      </c>
      <c r="BJ219" s="1086" t="str">
        <f t="shared" si="177"/>
        <v/>
      </c>
      <c r="BK219" s="1086" t="str">
        <f t="shared" si="178"/>
        <v/>
      </c>
      <c r="BL219" s="1086">
        <f t="shared" si="179"/>
        <v>1</v>
      </c>
      <c r="BM219" s="1086" t="str">
        <f t="shared" si="180"/>
        <v/>
      </c>
      <c r="BN219" s="1086" t="str">
        <f t="shared" si="181"/>
        <v/>
      </c>
      <c r="BO219" s="1086" t="str">
        <f t="shared" si="182"/>
        <v/>
      </c>
      <c r="BP219" s="1086" t="str">
        <f t="shared" si="183"/>
        <v/>
      </c>
      <c r="BQ219" s="1086" t="str">
        <f t="shared" si="184"/>
        <v/>
      </c>
      <c r="BR219" s="1086" t="str">
        <f t="shared" si="185"/>
        <v/>
      </c>
      <c r="BS219" s="1086" t="str">
        <f t="shared" si="186"/>
        <v/>
      </c>
      <c r="BT219" s="1086" t="str">
        <f t="shared" si="187"/>
        <v/>
      </c>
      <c r="BU219" s="1086" t="str">
        <f t="shared" si="188"/>
        <v/>
      </c>
      <c r="BV219" s="1086">
        <f t="shared" si="189"/>
        <v>1</v>
      </c>
      <c r="BW219" s="1086" t="str">
        <f t="shared" si="190"/>
        <v/>
      </c>
      <c r="BX219" s="1086" t="str">
        <f t="shared" si="191"/>
        <v/>
      </c>
      <c r="BY219" s="1086" t="str">
        <f t="shared" si="192"/>
        <v/>
      </c>
      <c r="BZ219" s="1086" t="str">
        <f t="shared" si="193"/>
        <v/>
      </c>
      <c r="CA219" s="1086" t="str">
        <f t="shared" si="194"/>
        <v/>
      </c>
      <c r="CB219" s="1086" t="str">
        <f t="shared" si="195"/>
        <v/>
      </c>
      <c r="CC219" s="1086">
        <f t="shared" si="196"/>
        <v>1</v>
      </c>
      <c r="CD219" s="1086" t="str">
        <f t="shared" si="197"/>
        <v/>
      </c>
      <c r="CE219" s="1086" t="str">
        <f t="shared" si="198"/>
        <v/>
      </c>
      <c r="CF219" s="1086" t="str">
        <f t="shared" si="199"/>
        <v/>
      </c>
      <c r="CG219" s="1086" t="str">
        <f t="shared" si="200"/>
        <v/>
      </c>
      <c r="CH219" s="1086" t="str">
        <f t="shared" si="201"/>
        <v/>
      </c>
      <c r="CI219" s="1086" t="str">
        <f t="shared" si="202"/>
        <v/>
      </c>
      <c r="CJ219" s="1086" t="str">
        <f t="shared" si="211"/>
        <v/>
      </c>
      <c r="CK219" s="1086" t="str">
        <f t="shared" si="212"/>
        <v/>
      </c>
      <c r="CL219" s="1086" t="str">
        <f t="shared" si="203"/>
        <v/>
      </c>
      <c r="CM219" s="1086" t="str">
        <f t="shared" si="204"/>
        <v/>
      </c>
      <c r="CN219" s="1086" t="str">
        <f t="shared" si="205"/>
        <v/>
      </c>
      <c r="CO219" s="1086" t="str">
        <f t="shared" si="206"/>
        <v/>
      </c>
      <c r="CP219" s="1086" t="str">
        <f t="shared" si="207"/>
        <v/>
      </c>
      <c r="CQ219" s="1086" t="str">
        <f t="shared" si="208"/>
        <v/>
      </c>
      <c r="CR219" s="1086" t="str">
        <f t="shared" si="209"/>
        <v/>
      </c>
      <c r="CS219" s="1151" t="str">
        <f t="shared" si="210"/>
        <v/>
      </c>
    </row>
    <row r="220" spans="2:97">
      <c r="B220" s="1725"/>
      <c r="D220" t="s">
        <v>2612</v>
      </c>
      <c r="E220" t="s">
        <v>2612</v>
      </c>
      <c r="F220" t="s">
        <v>2612</v>
      </c>
      <c r="G220" t="s">
        <v>2612</v>
      </c>
      <c r="H220" t="s">
        <v>2612</v>
      </c>
      <c r="I220" t="s">
        <v>2612</v>
      </c>
      <c r="J220" t="s">
        <v>2612</v>
      </c>
      <c r="K220" t="s">
        <v>2612</v>
      </c>
      <c r="L220" s="957" t="s">
        <v>2612</v>
      </c>
      <c r="M220" t="s">
        <v>2612</v>
      </c>
      <c r="Q220" s="895" t="s">
        <v>29</v>
      </c>
      <c r="R220">
        <f t="shared" si="135"/>
        <v>7</v>
      </c>
      <c r="S220">
        <f t="shared" si="136"/>
        <v>13</v>
      </c>
      <c r="U220" s="1119" t="s">
        <v>23</v>
      </c>
      <c r="V220" s="577" t="str">
        <f t="shared" si="137"/>
        <v/>
      </c>
      <c r="W220" s="577" t="str">
        <f t="shared" si="138"/>
        <v/>
      </c>
      <c r="X220" s="577" t="str">
        <f t="shared" si="139"/>
        <v/>
      </c>
      <c r="Y220" s="577" t="str">
        <f t="shared" si="140"/>
        <v/>
      </c>
      <c r="Z220" s="577" t="str">
        <f t="shared" si="141"/>
        <v/>
      </c>
      <c r="AA220" s="577" t="str">
        <f t="shared" si="142"/>
        <v/>
      </c>
      <c r="AB220" s="577" t="str">
        <f t="shared" si="143"/>
        <v/>
      </c>
      <c r="AC220" s="577" t="str">
        <f t="shared" si="144"/>
        <v/>
      </c>
      <c r="AD220" s="577" t="str">
        <f t="shared" si="145"/>
        <v/>
      </c>
      <c r="AE220" s="577" t="str">
        <f t="shared" si="146"/>
        <v/>
      </c>
      <c r="AF220" s="577" t="str">
        <f t="shared" si="147"/>
        <v/>
      </c>
      <c r="AG220" s="577" t="str">
        <f t="shared" si="148"/>
        <v/>
      </c>
      <c r="AH220" s="577" t="str">
        <f t="shared" si="149"/>
        <v/>
      </c>
      <c r="AI220" s="577" t="str">
        <f t="shared" si="150"/>
        <v/>
      </c>
      <c r="AJ220" s="577" t="str">
        <f t="shared" si="151"/>
        <v/>
      </c>
      <c r="AK220" s="577" t="str">
        <f t="shared" si="152"/>
        <v/>
      </c>
      <c r="AL220" s="577" t="str">
        <f t="shared" si="153"/>
        <v/>
      </c>
      <c r="AM220" s="577" t="str">
        <f t="shared" si="154"/>
        <v/>
      </c>
      <c r="AN220" s="577" t="str">
        <f t="shared" si="155"/>
        <v/>
      </c>
      <c r="AO220" s="577" t="str">
        <f t="shared" si="156"/>
        <v/>
      </c>
      <c r="AP220" s="577" t="str">
        <f t="shared" si="157"/>
        <v/>
      </c>
      <c r="AQ220" s="577" t="str">
        <f t="shared" si="158"/>
        <v/>
      </c>
      <c r="AR220" s="577" t="str">
        <f t="shared" si="159"/>
        <v/>
      </c>
      <c r="AS220" s="577" t="str">
        <f t="shared" si="160"/>
        <v/>
      </c>
      <c r="AT220" s="577" t="str">
        <f t="shared" si="161"/>
        <v/>
      </c>
      <c r="AU220" s="577" t="str">
        <f t="shared" si="162"/>
        <v/>
      </c>
      <c r="AV220" s="577" t="str">
        <f t="shared" si="163"/>
        <v/>
      </c>
      <c r="AW220" s="577" t="str">
        <f t="shared" si="164"/>
        <v/>
      </c>
      <c r="AX220" s="577" t="str">
        <f t="shared" si="165"/>
        <v/>
      </c>
      <c r="AY220" s="577" t="str">
        <f t="shared" si="166"/>
        <v/>
      </c>
      <c r="AZ220" s="577" t="str">
        <f t="shared" si="167"/>
        <v/>
      </c>
      <c r="BA220" s="577" t="str">
        <f t="shared" si="168"/>
        <v/>
      </c>
      <c r="BB220" s="577" t="str">
        <f t="shared" si="169"/>
        <v/>
      </c>
      <c r="BC220" s="577" t="str">
        <f t="shared" si="170"/>
        <v/>
      </c>
      <c r="BD220" s="577" t="str">
        <f t="shared" si="171"/>
        <v/>
      </c>
      <c r="BE220" s="577" t="str">
        <f t="shared" si="172"/>
        <v/>
      </c>
      <c r="BF220" s="577" t="str">
        <f t="shared" si="173"/>
        <v/>
      </c>
      <c r="BG220" s="577" t="str">
        <f t="shared" si="174"/>
        <v/>
      </c>
      <c r="BH220" s="577" t="str">
        <f t="shared" si="175"/>
        <v/>
      </c>
      <c r="BI220" s="577" t="str">
        <f t="shared" si="176"/>
        <v/>
      </c>
      <c r="BJ220" s="577" t="str">
        <f t="shared" si="177"/>
        <v/>
      </c>
      <c r="BK220" s="577" t="str">
        <f t="shared" si="178"/>
        <v/>
      </c>
      <c r="BL220" s="577" t="str">
        <f t="shared" si="179"/>
        <v/>
      </c>
      <c r="BM220" s="577" t="str">
        <f t="shared" si="180"/>
        <v/>
      </c>
      <c r="BN220" s="577" t="str">
        <f t="shared" si="181"/>
        <v/>
      </c>
      <c r="BO220" s="577" t="str">
        <f t="shared" si="182"/>
        <v/>
      </c>
      <c r="BP220" s="577" t="str">
        <f t="shared" si="183"/>
        <v/>
      </c>
      <c r="BQ220" s="577" t="str">
        <f t="shared" si="184"/>
        <v/>
      </c>
      <c r="BR220" s="577" t="str">
        <f t="shared" si="185"/>
        <v/>
      </c>
      <c r="BS220" s="577" t="str">
        <f t="shared" si="186"/>
        <v/>
      </c>
      <c r="BT220" s="577" t="str">
        <f t="shared" si="187"/>
        <v/>
      </c>
      <c r="BU220" s="577" t="str">
        <f t="shared" si="188"/>
        <v/>
      </c>
      <c r="BV220" s="577" t="str">
        <f t="shared" si="189"/>
        <v/>
      </c>
      <c r="BW220" s="577" t="str">
        <f t="shared" si="190"/>
        <v/>
      </c>
      <c r="BX220" s="577" t="str">
        <f t="shared" si="191"/>
        <v/>
      </c>
      <c r="BY220" s="577" t="str">
        <f t="shared" si="192"/>
        <v/>
      </c>
      <c r="BZ220" s="577" t="str">
        <f t="shared" si="193"/>
        <v/>
      </c>
      <c r="CA220" s="577" t="str">
        <f t="shared" si="194"/>
        <v/>
      </c>
      <c r="CB220" s="577" t="str">
        <f t="shared" si="195"/>
        <v/>
      </c>
      <c r="CC220" s="577" t="str">
        <f t="shared" si="196"/>
        <v/>
      </c>
      <c r="CD220" s="577" t="str">
        <f t="shared" si="197"/>
        <v/>
      </c>
      <c r="CE220" s="577" t="str">
        <f t="shared" si="198"/>
        <v/>
      </c>
      <c r="CF220" s="577" t="str">
        <f t="shared" si="199"/>
        <v/>
      </c>
      <c r="CG220" s="577" t="str">
        <f t="shared" si="200"/>
        <v/>
      </c>
      <c r="CH220" s="577" t="str">
        <f t="shared" si="201"/>
        <v/>
      </c>
      <c r="CI220" s="577" t="str">
        <f t="shared" si="202"/>
        <v/>
      </c>
      <c r="CJ220" s="577" t="str">
        <f t="shared" si="211"/>
        <v/>
      </c>
      <c r="CK220" s="577" t="str">
        <f t="shared" si="212"/>
        <v/>
      </c>
      <c r="CL220" s="577" t="str">
        <f t="shared" si="203"/>
        <v/>
      </c>
      <c r="CM220" s="577" t="str">
        <f t="shared" si="204"/>
        <v/>
      </c>
      <c r="CN220" s="577" t="str">
        <f t="shared" si="205"/>
        <v/>
      </c>
      <c r="CO220" s="577" t="str">
        <f t="shared" si="206"/>
        <v/>
      </c>
      <c r="CP220" s="577" t="str">
        <f t="shared" si="207"/>
        <v/>
      </c>
      <c r="CQ220" s="577" t="str">
        <f t="shared" si="208"/>
        <v/>
      </c>
      <c r="CR220" s="577" t="str">
        <f t="shared" si="209"/>
        <v/>
      </c>
      <c r="CS220" s="1152" t="str">
        <f t="shared" si="210"/>
        <v/>
      </c>
    </row>
    <row r="221" spans="2:97">
      <c r="B221" s="1725"/>
      <c r="D221" s="963" t="s">
        <v>46</v>
      </c>
      <c r="E221" s="189" t="s">
        <v>47</v>
      </c>
      <c r="F221" s="963" t="s">
        <v>46</v>
      </c>
      <c r="G221" s="960" t="s">
        <v>43</v>
      </c>
      <c r="H221" s="967" t="s">
        <v>27</v>
      </c>
      <c r="I221" s="980" t="s">
        <v>1272</v>
      </c>
      <c r="J221" s="977" t="s">
        <v>1270</v>
      </c>
      <c r="K221" s="981" t="s">
        <v>1271</v>
      </c>
      <c r="L221" s="189" t="s">
        <v>47</v>
      </c>
      <c r="M221" s="979" t="s">
        <v>120</v>
      </c>
      <c r="O221" s="58"/>
      <c r="Q221" s="911" t="s">
        <v>93</v>
      </c>
      <c r="R221">
        <f t="shared" si="135"/>
        <v>0</v>
      </c>
      <c r="S221">
        <f t="shared" si="136"/>
        <v>0</v>
      </c>
      <c r="U221" s="1120" t="s">
        <v>29</v>
      </c>
      <c r="V221" t="str">
        <f t="shared" si="137"/>
        <v/>
      </c>
      <c r="W221" t="str">
        <f t="shared" si="138"/>
        <v/>
      </c>
      <c r="X221" t="str">
        <f t="shared" si="139"/>
        <v/>
      </c>
      <c r="Y221">
        <f t="shared" si="140"/>
        <v>1</v>
      </c>
      <c r="Z221" t="str">
        <f t="shared" si="141"/>
        <v/>
      </c>
      <c r="AA221" t="str">
        <f t="shared" si="142"/>
        <v/>
      </c>
      <c r="AB221" t="str">
        <f t="shared" si="143"/>
        <v/>
      </c>
      <c r="AC221">
        <f t="shared" si="144"/>
        <v>1</v>
      </c>
      <c r="AD221" t="str">
        <f t="shared" si="145"/>
        <v/>
      </c>
      <c r="AE221">
        <f t="shared" si="146"/>
        <v>1</v>
      </c>
      <c r="AF221" t="str">
        <f t="shared" si="147"/>
        <v/>
      </c>
      <c r="AG221" t="str">
        <f t="shared" si="148"/>
        <v/>
      </c>
      <c r="AH221" t="str">
        <f t="shared" si="149"/>
        <v/>
      </c>
      <c r="AI221" t="str">
        <f t="shared" si="150"/>
        <v/>
      </c>
      <c r="AJ221" t="str">
        <f t="shared" si="151"/>
        <v/>
      </c>
      <c r="AK221" t="str">
        <f t="shared" si="152"/>
        <v/>
      </c>
      <c r="AL221" t="str">
        <f t="shared" si="153"/>
        <v/>
      </c>
      <c r="AM221" t="str">
        <f t="shared" si="154"/>
        <v/>
      </c>
      <c r="AN221" t="str">
        <f t="shared" si="155"/>
        <v/>
      </c>
      <c r="AO221" t="str">
        <f t="shared" si="156"/>
        <v/>
      </c>
      <c r="AP221">
        <f t="shared" si="157"/>
        <v>1</v>
      </c>
      <c r="AQ221" t="str">
        <f t="shared" si="158"/>
        <v/>
      </c>
      <c r="AR221" t="str">
        <f t="shared" si="159"/>
        <v/>
      </c>
      <c r="AS221" t="str">
        <f t="shared" si="160"/>
        <v/>
      </c>
      <c r="AT221">
        <f t="shared" si="161"/>
        <v>1</v>
      </c>
      <c r="AU221">
        <f t="shared" si="162"/>
        <v>1</v>
      </c>
      <c r="AV221" t="str">
        <f t="shared" si="163"/>
        <v/>
      </c>
      <c r="AW221" t="str">
        <f t="shared" si="164"/>
        <v/>
      </c>
      <c r="AX221" t="str">
        <f t="shared" si="165"/>
        <v/>
      </c>
      <c r="AY221">
        <f t="shared" si="166"/>
        <v>1</v>
      </c>
      <c r="AZ221" t="str">
        <f t="shared" si="167"/>
        <v/>
      </c>
      <c r="BA221">
        <f t="shared" si="168"/>
        <v>1</v>
      </c>
      <c r="BB221" t="str">
        <f t="shared" si="169"/>
        <v/>
      </c>
      <c r="BC221">
        <f t="shared" si="170"/>
        <v>1</v>
      </c>
      <c r="BD221">
        <f t="shared" si="171"/>
        <v>1</v>
      </c>
      <c r="BE221">
        <f t="shared" si="172"/>
        <v>1</v>
      </c>
      <c r="BF221" t="str">
        <f t="shared" si="173"/>
        <v/>
      </c>
      <c r="BG221" t="str">
        <f t="shared" si="174"/>
        <v/>
      </c>
      <c r="BH221">
        <f t="shared" si="175"/>
        <v>1</v>
      </c>
      <c r="BI221">
        <f t="shared" si="176"/>
        <v>1</v>
      </c>
      <c r="BJ221">
        <f t="shared" si="177"/>
        <v>1</v>
      </c>
      <c r="BK221" t="str">
        <f t="shared" si="178"/>
        <v/>
      </c>
      <c r="BL221" t="str">
        <f t="shared" si="179"/>
        <v/>
      </c>
      <c r="BM221" t="str">
        <f t="shared" si="180"/>
        <v/>
      </c>
      <c r="BN221" t="str">
        <f t="shared" si="181"/>
        <v/>
      </c>
      <c r="BO221" t="str">
        <f t="shared" si="182"/>
        <v/>
      </c>
      <c r="BP221" t="str">
        <f t="shared" si="183"/>
        <v/>
      </c>
      <c r="BQ221" t="str">
        <f t="shared" si="184"/>
        <v/>
      </c>
      <c r="BR221" t="str">
        <f t="shared" si="185"/>
        <v/>
      </c>
      <c r="BS221" t="str">
        <f t="shared" si="186"/>
        <v/>
      </c>
      <c r="BT221">
        <f t="shared" si="187"/>
        <v>2</v>
      </c>
      <c r="BU221">
        <f t="shared" si="188"/>
        <v>1</v>
      </c>
      <c r="BV221" t="str">
        <f t="shared" si="189"/>
        <v/>
      </c>
      <c r="BW221" t="str">
        <f t="shared" si="190"/>
        <v/>
      </c>
      <c r="BX221" t="str">
        <f t="shared" si="191"/>
        <v/>
      </c>
      <c r="BY221" t="str">
        <f t="shared" si="192"/>
        <v/>
      </c>
      <c r="BZ221" t="str">
        <f t="shared" si="193"/>
        <v/>
      </c>
      <c r="CA221" t="str">
        <f t="shared" si="194"/>
        <v/>
      </c>
      <c r="CB221" t="str">
        <f t="shared" si="195"/>
        <v/>
      </c>
      <c r="CC221" t="str">
        <f t="shared" si="196"/>
        <v/>
      </c>
      <c r="CD221" t="str">
        <f t="shared" si="197"/>
        <v/>
      </c>
      <c r="CE221" t="str">
        <f t="shared" si="198"/>
        <v/>
      </c>
      <c r="CF221" t="str">
        <f t="shared" si="199"/>
        <v/>
      </c>
      <c r="CG221">
        <f t="shared" si="200"/>
        <v>1</v>
      </c>
      <c r="CH221" t="str">
        <f t="shared" si="201"/>
        <v/>
      </c>
      <c r="CI221" t="str">
        <f t="shared" si="202"/>
        <v/>
      </c>
      <c r="CJ221" t="str">
        <f t="shared" si="211"/>
        <v/>
      </c>
      <c r="CK221" t="str">
        <f t="shared" si="212"/>
        <v/>
      </c>
      <c r="CL221" t="str">
        <f t="shared" si="203"/>
        <v/>
      </c>
      <c r="CM221">
        <f t="shared" si="204"/>
        <v>1</v>
      </c>
      <c r="CN221" t="str">
        <f t="shared" si="205"/>
        <v/>
      </c>
      <c r="CO221" t="str">
        <f t="shared" si="206"/>
        <v/>
      </c>
      <c r="CP221" t="str">
        <f t="shared" si="207"/>
        <v/>
      </c>
      <c r="CQ221" t="str">
        <f t="shared" si="208"/>
        <v/>
      </c>
      <c r="CR221" t="str">
        <f t="shared" si="209"/>
        <v/>
      </c>
      <c r="CS221" s="1110">
        <f t="shared" si="210"/>
        <v>1</v>
      </c>
    </row>
    <row r="222" spans="2:97">
      <c r="B222" s="1725"/>
      <c r="D222" s="981" t="s">
        <v>1271</v>
      </c>
      <c r="E222" s="977" t="s">
        <v>1270</v>
      </c>
      <c r="F222" s="979" t="s">
        <v>120</v>
      </c>
      <c r="H222" s="981" t="s">
        <v>1271</v>
      </c>
      <c r="I222" s="977" t="s">
        <v>1270</v>
      </c>
      <c r="K222" s="990"/>
      <c r="L222" s="990"/>
      <c r="O222" s="990"/>
      <c r="Q222" s="912" t="s">
        <v>1269</v>
      </c>
      <c r="R222" s="242">
        <f t="shared" si="135"/>
        <v>23</v>
      </c>
      <c r="S222" s="242">
        <f t="shared" si="136"/>
        <v>18</v>
      </c>
      <c r="U222" s="1121" t="s">
        <v>93</v>
      </c>
      <c r="V222" t="str">
        <f t="shared" si="137"/>
        <v/>
      </c>
      <c r="W222" t="str">
        <f t="shared" si="138"/>
        <v/>
      </c>
      <c r="X222" t="str">
        <f t="shared" si="139"/>
        <v/>
      </c>
      <c r="Y222" t="str">
        <f t="shared" si="140"/>
        <v/>
      </c>
      <c r="Z222" t="str">
        <f t="shared" si="141"/>
        <v/>
      </c>
      <c r="AA222" t="str">
        <f t="shared" si="142"/>
        <v/>
      </c>
      <c r="AB222" t="str">
        <f t="shared" si="143"/>
        <v/>
      </c>
      <c r="AC222" t="str">
        <f t="shared" si="144"/>
        <v/>
      </c>
      <c r="AD222" t="str">
        <f t="shared" si="145"/>
        <v/>
      </c>
      <c r="AE222" t="str">
        <f t="shared" si="146"/>
        <v/>
      </c>
      <c r="AF222" t="str">
        <f t="shared" si="147"/>
        <v/>
      </c>
      <c r="AG222" t="str">
        <f t="shared" si="148"/>
        <v/>
      </c>
      <c r="AH222" t="str">
        <f t="shared" si="149"/>
        <v/>
      </c>
      <c r="AI222" t="str">
        <f t="shared" si="150"/>
        <v/>
      </c>
      <c r="AJ222" t="str">
        <f t="shared" si="151"/>
        <v/>
      </c>
      <c r="AK222" t="str">
        <f t="shared" si="152"/>
        <v/>
      </c>
      <c r="AL222" t="str">
        <f t="shared" si="153"/>
        <v/>
      </c>
      <c r="AM222" t="str">
        <f t="shared" si="154"/>
        <v/>
      </c>
      <c r="AN222" t="str">
        <f t="shared" si="155"/>
        <v/>
      </c>
      <c r="AO222" t="str">
        <f t="shared" si="156"/>
        <v/>
      </c>
      <c r="AP222" t="str">
        <f t="shared" si="157"/>
        <v/>
      </c>
      <c r="AQ222" t="str">
        <f t="shared" si="158"/>
        <v/>
      </c>
      <c r="AR222" t="str">
        <f t="shared" si="159"/>
        <v/>
      </c>
      <c r="AS222" t="str">
        <f t="shared" si="160"/>
        <v/>
      </c>
      <c r="AT222" t="str">
        <f t="shared" si="161"/>
        <v/>
      </c>
      <c r="AU222" t="str">
        <f t="shared" si="162"/>
        <v/>
      </c>
      <c r="AV222" t="str">
        <f t="shared" si="163"/>
        <v/>
      </c>
      <c r="AW222" t="str">
        <f t="shared" si="164"/>
        <v/>
      </c>
      <c r="AX222" t="str">
        <f t="shared" si="165"/>
        <v/>
      </c>
      <c r="AY222" t="str">
        <f t="shared" si="166"/>
        <v/>
      </c>
      <c r="AZ222" t="str">
        <f t="shared" si="167"/>
        <v/>
      </c>
      <c r="BA222" t="str">
        <f t="shared" si="168"/>
        <v/>
      </c>
      <c r="BB222" t="str">
        <f t="shared" si="169"/>
        <v/>
      </c>
      <c r="BC222" t="str">
        <f t="shared" si="170"/>
        <v/>
      </c>
      <c r="BD222" t="str">
        <f t="shared" si="171"/>
        <v/>
      </c>
      <c r="BE222" t="str">
        <f t="shared" si="172"/>
        <v/>
      </c>
      <c r="BF222" t="str">
        <f t="shared" si="173"/>
        <v/>
      </c>
      <c r="BG222" t="str">
        <f t="shared" si="174"/>
        <v/>
      </c>
      <c r="BH222" t="str">
        <f t="shared" si="175"/>
        <v/>
      </c>
      <c r="BI222" t="str">
        <f t="shared" si="176"/>
        <v/>
      </c>
      <c r="BJ222" t="str">
        <f t="shared" si="177"/>
        <v/>
      </c>
      <c r="BK222" t="str">
        <f t="shared" si="178"/>
        <v/>
      </c>
      <c r="BL222" t="str">
        <f t="shared" si="179"/>
        <v/>
      </c>
      <c r="BM222" t="str">
        <f t="shared" si="180"/>
        <v/>
      </c>
      <c r="BN222" t="str">
        <f t="shared" si="181"/>
        <v/>
      </c>
      <c r="BO222" t="str">
        <f t="shared" si="182"/>
        <v/>
      </c>
      <c r="BP222" t="str">
        <f t="shared" si="183"/>
        <v/>
      </c>
      <c r="BQ222" t="str">
        <f t="shared" si="184"/>
        <v/>
      </c>
      <c r="BR222" t="str">
        <f t="shared" si="185"/>
        <v/>
      </c>
      <c r="BS222" t="str">
        <f t="shared" si="186"/>
        <v/>
      </c>
      <c r="BT222" t="str">
        <f t="shared" si="187"/>
        <v/>
      </c>
      <c r="BU222" t="str">
        <f t="shared" si="188"/>
        <v/>
      </c>
      <c r="BV222" t="str">
        <f t="shared" si="189"/>
        <v/>
      </c>
      <c r="BW222" t="str">
        <f t="shared" si="190"/>
        <v/>
      </c>
      <c r="BX222" t="str">
        <f t="shared" si="191"/>
        <v/>
      </c>
      <c r="BY222" t="str">
        <f t="shared" si="192"/>
        <v/>
      </c>
      <c r="BZ222" t="str">
        <f t="shared" si="193"/>
        <v/>
      </c>
      <c r="CA222" t="str">
        <f t="shared" si="194"/>
        <v/>
      </c>
      <c r="CB222" t="str">
        <f t="shared" si="195"/>
        <v/>
      </c>
      <c r="CC222" t="str">
        <f t="shared" si="196"/>
        <v/>
      </c>
      <c r="CD222" t="str">
        <f t="shared" si="197"/>
        <v/>
      </c>
      <c r="CE222" t="str">
        <f t="shared" si="198"/>
        <v/>
      </c>
      <c r="CF222" t="str">
        <f t="shared" si="199"/>
        <v/>
      </c>
      <c r="CG222" t="str">
        <f t="shared" si="200"/>
        <v/>
      </c>
      <c r="CH222" t="str">
        <f t="shared" si="201"/>
        <v/>
      </c>
      <c r="CI222" t="str">
        <f t="shared" si="202"/>
        <v/>
      </c>
      <c r="CJ222" t="str">
        <f t="shared" si="211"/>
        <v/>
      </c>
      <c r="CK222" t="str">
        <f t="shared" si="212"/>
        <v/>
      </c>
      <c r="CL222" t="str">
        <f t="shared" si="203"/>
        <v/>
      </c>
      <c r="CM222" t="str">
        <f t="shared" si="204"/>
        <v/>
      </c>
      <c r="CN222" t="str">
        <f t="shared" si="205"/>
        <v/>
      </c>
      <c r="CO222" t="str">
        <f t="shared" si="206"/>
        <v/>
      </c>
      <c r="CP222" t="str">
        <f t="shared" si="207"/>
        <v/>
      </c>
      <c r="CQ222" t="str">
        <f t="shared" si="208"/>
        <v/>
      </c>
      <c r="CR222" t="str">
        <f t="shared" si="209"/>
        <v/>
      </c>
      <c r="CS222" s="1110" t="str">
        <f t="shared" si="210"/>
        <v/>
      </c>
    </row>
    <row r="223" spans="2:97" ht="16.5" thickBot="1">
      <c r="B223" s="1726"/>
      <c r="C223" s="1036"/>
      <c r="D223" s="1036" t="s">
        <v>186</v>
      </c>
      <c r="E223" s="1036" t="s">
        <v>187</v>
      </c>
      <c r="F223" s="1036" t="s">
        <v>187</v>
      </c>
      <c r="G223" s="1036" t="s">
        <v>191</v>
      </c>
      <c r="H223" s="1036" t="s">
        <v>187</v>
      </c>
      <c r="I223" s="1036" t="s">
        <v>188</v>
      </c>
      <c r="J223" s="1036" t="s">
        <v>190</v>
      </c>
      <c r="K223" s="1036" t="s">
        <v>190</v>
      </c>
      <c r="L223" s="1036" t="s">
        <v>187</v>
      </c>
      <c r="M223" s="1036" t="s">
        <v>187</v>
      </c>
      <c r="N223" s="1036"/>
      <c r="O223" s="1036"/>
      <c r="Q223" s="913" t="s">
        <v>26</v>
      </c>
      <c r="R223" s="8">
        <f t="shared" si="135"/>
        <v>20</v>
      </c>
      <c r="S223" s="8">
        <f t="shared" si="136"/>
        <v>7</v>
      </c>
      <c r="U223" s="1122" t="s">
        <v>1269</v>
      </c>
      <c r="V223" s="242">
        <f t="shared" si="137"/>
        <v>1</v>
      </c>
      <c r="W223" s="242" t="str">
        <f t="shared" si="138"/>
        <v/>
      </c>
      <c r="X223" s="242">
        <f t="shared" si="139"/>
        <v>1</v>
      </c>
      <c r="Y223" s="242">
        <f t="shared" si="140"/>
        <v>1</v>
      </c>
      <c r="Z223" s="242" t="str">
        <f t="shared" si="141"/>
        <v/>
      </c>
      <c r="AA223" s="242" t="str">
        <f t="shared" si="142"/>
        <v/>
      </c>
      <c r="AB223" s="242" t="str">
        <f t="shared" si="143"/>
        <v/>
      </c>
      <c r="AC223" s="242" t="str">
        <f t="shared" si="144"/>
        <v/>
      </c>
      <c r="AD223" s="242">
        <f t="shared" si="145"/>
        <v>1</v>
      </c>
      <c r="AE223" s="242" t="str">
        <f t="shared" si="146"/>
        <v/>
      </c>
      <c r="AF223" s="242">
        <f>IF(COUNTIF(C$91:O$92,$U223)+COUNTIF(C$97:O$98,$U223)&gt;0,COUNTIF(C$91:O$92,$U223)+COUNTIF(C$97:O$98,$U223), "")</f>
        <v>1</v>
      </c>
      <c r="AG223" s="242">
        <f t="shared" si="148"/>
        <v>2</v>
      </c>
      <c r="AH223" s="242" t="str">
        <f t="shared" si="149"/>
        <v/>
      </c>
      <c r="AI223" s="242">
        <f t="shared" si="150"/>
        <v>1</v>
      </c>
      <c r="AJ223" s="242">
        <f t="shared" si="151"/>
        <v>1</v>
      </c>
      <c r="AK223" s="242" t="str">
        <f t="shared" si="152"/>
        <v/>
      </c>
      <c r="AL223" s="242" t="str">
        <f t="shared" si="153"/>
        <v/>
      </c>
      <c r="AM223" s="242" t="str">
        <f t="shared" si="154"/>
        <v/>
      </c>
      <c r="AN223" s="242" t="str">
        <f t="shared" si="155"/>
        <v/>
      </c>
      <c r="AO223" s="242" t="str">
        <f t="shared" si="156"/>
        <v/>
      </c>
      <c r="AP223" s="242" t="str">
        <f t="shared" si="157"/>
        <v/>
      </c>
      <c r="AQ223" s="242" t="str">
        <f t="shared" si="158"/>
        <v/>
      </c>
      <c r="AR223" s="242">
        <f t="shared" si="159"/>
        <v>1</v>
      </c>
      <c r="AS223" s="242" t="str">
        <f t="shared" si="160"/>
        <v/>
      </c>
      <c r="AT223" s="242" t="str">
        <f t="shared" si="161"/>
        <v/>
      </c>
      <c r="AU223" s="242" t="str">
        <f t="shared" si="162"/>
        <v/>
      </c>
      <c r="AV223" s="242" t="str">
        <f t="shared" si="163"/>
        <v/>
      </c>
      <c r="AW223" s="242" t="str">
        <f t="shared" si="164"/>
        <v/>
      </c>
      <c r="AX223" s="242">
        <f t="shared" si="165"/>
        <v>2</v>
      </c>
      <c r="AY223" s="242">
        <f t="shared" si="166"/>
        <v>1</v>
      </c>
      <c r="AZ223" s="242">
        <f t="shared" si="167"/>
        <v>2</v>
      </c>
      <c r="BA223" s="242" t="str">
        <f t="shared" si="168"/>
        <v/>
      </c>
      <c r="BB223" s="242">
        <f t="shared" si="169"/>
        <v>1</v>
      </c>
      <c r="BC223" s="242">
        <f t="shared" si="170"/>
        <v>1</v>
      </c>
      <c r="BD223" s="242" t="str">
        <f t="shared" si="171"/>
        <v/>
      </c>
      <c r="BE223" s="242" t="str">
        <f t="shared" si="172"/>
        <v/>
      </c>
      <c r="BF223" s="242" t="str">
        <f t="shared" si="173"/>
        <v/>
      </c>
      <c r="BG223" s="242" t="str">
        <f t="shared" si="174"/>
        <v/>
      </c>
      <c r="BH223" s="242">
        <f t="shared" si="175"/>
        <v>2</v>
      </c>
      <c r="BI223" s="242" t="str">
        <f t="shared" si="176"/>
        <v/>
      </c>
      <c r="BJ223" s="242" t="str">
        <f t="shared" si="177"/>
        <v/>
      </c>
      <c r="BK223" s="242" t="str">
        <f t="shared" si="178"/>
        <v/>
      </c>
      <c r="BL223" s="242" t="str">
        <f t="shared" si="179"/>
        <v/>
      </c>
      <c r="BM223" s="242" t="str">
        <f t="shared" si="180"/>
        <v/>
      </c>
      <c r="BN223" s="242">
        <f t="shared" si="181"/>
        <v>1</v>
      </c>
      <c r="BO223" s="242" t="str">
        <f t="shared" si="182"/>
        <v/>
      </c>
      <c r="BP223" s="242">
        <f t="shared" si="183"/>
        <v>2</v>
      </c>
      <c r="BQ223" s="242">
        <f t="shared" si="184"/>
        <v>3</v>
      </c>
      <c r="BR223" s="242">
        <f t="shared" si="185"/>
        <v>1</v>
      </c>
      <c r="BS223" s="242" t="str">
        <f t="shared" si="186"/>
        <v/>
      </c>
      <c r="BT223" s="242">
        <f t="shared" si="187"/>
        <v>1</v>
      </c>
      <c r="BU223" s="242">
        <f t="shared" si="188"/>
        <v>1</v>
      </c>
      <c r="BV223" s="242">
        <f t="shared" si="189"/>
        <v>1</v>
      </c>
      <c r="BW223" s="242">
        <f t="shared" si="190"/>
        <v>2</v>
      </c>
      <c r="BX223" s="242" t="str">
        <f t="shared" si="191"/>
        <v/>
      </c>
      <c r="BY223" s="242">
        <f t="shared" si="192"/>
        <v>1</v>
      </c>
      <c r="BZ223" s="242">
        <f t="shared" si="193"/>
        <v>1</v>
      </c>
      <c r="CA223" s="242" t="str">
        <f t="shared" si="194"/>
        <v/>
      </c>
      <c r="CB223" s="242" t="str">
        <f t="shared" si="195"/>
        <v/>
      </c>
      <c r="CC223" s="242" t="str">
        <f t="shared" si="196"/>
        <v/>
      </c>
      <c r="CD223" s="242" t="str">
        <f t="shared" si="197"/>
        <v/>
      </c>
      <c r="CE223" s="242">
        <f t="shared" si="198"/>
        <v>1</v>
      </c>
      <c r="CF223" s="242" t="str">
        <f t="shared" si="199"/>
        <v/>
      </c>
      <c r="CG223" s="242">
        <f t="shared" si="200"/>
        <v>1</v>
      </c>
      <c r="CH223" s="242">
        <f t="shared" si="201"/>
        <v>1</v>
      </c>
      <c r="CI223" s="242" t="str">
        <f t="shared" si="202"/>
        <v/>
      </c>
      <c r="CJ223" s="242" t="str">
        <f t="shared" si="211"/>
        <v/>
      </c>
      <c r="CK223" s="242">
        <f t="shared" si="212"/>
        <v>1</v>
      </c>
      <c r="CL223" s="242">
        <f t="shared" si="203"/>
        <v>1</v>
      </c>
      <c r="CM223" s="242" t="str">
        <f t="shared" si="204"/>
        <v/>
      </c>
      <c r="CN223" s="242" t="str">
        <f t="shared" si="205"/>
        <v/>
      </c>
      <c r="CO223" s="242">
        <f t="shared" si="206"/>
        <v>1</v>
      </c>
      <c r="CP223" s="242" t="str">
        <f t="shared" si="207"/>
        <v/>
      </c>
      <c r="CQ223" s="242">
        <f t="shared" si="208"/>
        <v>1</v>
      </c>
      <c r="CR223" s="242">
        <f t="shared" si="209"/>
        <v>1</v>
      </c>
      <c r="CS223" s="1153" t="str">
        <f t="shared" si="210"/>
        <v/>
      </c>
    </row>
    <row r="224" spans="2:97" ht="16.5" thickTop="1">
      <c r="B224" s="1728" t="s">
        <v>104</v>
      </c>
      <c r="C224" s="959" t="s">
        <v>155</v>
      </c>
      <c r="D224" s="982" t="s">
        <v>29</v>
      </c>
      <c r="E224" s="960" t="s">
        <v>43</v>
      </c>
      <c r="F224" s="974" t="s">
        <v>1269</v>
      </c>
      <c r="G224" s="981" t="s">
        <v>1271</v>
      </c>
      <c r="H224" s="963" t="s">
        <v>46</v>
      </c>
      <c r="I224" s="955" t="s">
        <v>234</v>
      </c>
      <c r="J224" s="189" t="s">
        <v>47</v>
      </c>
      <c r="K224" s="993" t="s">
        <v>20</v>
      </c>
      <c r="L224" s="964" t="s">
        <v>44</v>
      </c>
      <c r="M224" s="959" t="s">
        <v>155</v>
      </c>
      <c r="O224" s="58"/>
      <c r="Q224" s="914" t="s">
        <v>109</v>
      </c>
      <c r="R224" s="576">
        <f t="shared" si="135"/>
        <v>11</v>
      </c>
      <c r="S224" s="576">
        <f t="shared" si="136"/>
        <v>10</v>
      </c>
      <c r="U224" s="1123" t="s">
        <v>26</v>
      </c>
      <c r="V224" s="8">
        <f t="shared" si="137"/>
        <v>2</v>
      </c>
      <c r="W224" s="8">
        <f t="shared" si="138"/>
        <v>1</v>
      </c>
      <c r="X224" s="8">
        <f t="shared" si="139"/>
        <v>4</v>
      </c>
      <c r="Y224" s="8">
        <f t="shared" si="140"/>
        <v>1</v>
      </c>
      <c r="Z224" s="8">
        <f t="shared" si="141"/>
        <v>4</v>
      </c>
      <c r="AA224" s="8" t="str">
        <f t="shared" si="142"/>
        <v/>
      </c>
      <c r="AB224" s="8">
        <f t="shared" si="143"/>
        <v>3</v>
      </c>
      <c r="AC224" s="8">
        <f t="shared" si="144"/>
        <v>1</v>
      </c>
      <c r="AD224" s="8">
        <f t="shared" si="145"/>
        <v>3</v>
      </c>
      <c r="AE224" s="8" t="str">
        <f t="shared" si="146"/>
        <v/>
      </c>
      <c r="AF224" s="8">
        <f t="shared" si="147"/>
        <v>1</v>
      </c>
      <c r="AG224" s="8" t="str">
        <f t="shared" si="148"/>
        <v/>
      </c>
      <c r="AH224" s="8">
        <f t="shared" si="149"/>
        <v>1</v>
      </c>
      <c r="AI224" s="8" t="str">
        <f t="shared" si="150"/>
        <v/>
      </c>
      <c r="AJ224" s="8" t="str">
        <f t="shared" si="151"/>
        <v/>
      </c>
      <c r="AK224" s="8">
        <f t="shared" si="152"/>
        <v>1</v>
      </c>
      <c r="AL224" s="8" t="str">
        <f t="shared" si="153"/>
        <v/>
      </c>
      <c r="AM224" s="8" t="str">
        <f t="shared" si="154"/>
        <v/>
      </c>
      <c r="AN224" s="8" t="str">
        <f t="shared" si="155"/>
        <v/>
      </c>
      <c r="AO224" s="8" t="str">
        <f t="shared" si="156"/>
        <v/>
      </c>
      <c r="AP224" s="8" t="str">
        <f t="shared" si="157"/>
        <v/>
      </c>
      <c r="AQ224" s="8" t="str">
        <f t="shared" si="158"/>
        <v/>
      </c>
      <c r="AR224" s="8">
        <f t="shared" si="159"/>
        <v>1</v>
      </c>
      <c r="AS224" s="8" t="str">
        <f t="shared" si="160"/>
        <v/>
      </c>
      <c r="AT224" s="8" t="str">
        <f t="shared" si="161"/>
        <v/>
      </c>
      <c r="AU224" s="8" t="str">
        <f t="shared" si="162"/>
        <v/>
      </c>
      <c r="AV224" s="8" t="str">
        <f t="shared" si="163"/>
        <v/>
      </c>
      <c r="AW224" s="8" t="str">
        <f t="shared" si="164"/>
        <v/>
      </c>
      <c r="AX224" s="8" t="str">
        <f t="shared" si="165"/>
        <v/>
      </c>
      <c r="AY224" s="8" t="str">
        <f t="shared" si="166"/>
        <v/>
      </c>
      <c r="AZ224" s="8" t="str">
        <f t="shared" si="167"/>
        <v/>
      </c>
      <c r="BA224" s="8" t="str">
        <f t="shared" si="168"/>
        <v/>
      </c>
      <c r="BB224" s="8" t="str">
        <f t="shared" si="169"/>
        <v/>
      </c>
      <c r="BC224" s="8" t="str">
        <f t="shared" si="170"/>
        <v/>
      </c>
      <c r="BD224" s="8" t="str">
        <f t="shared" si="171"/>
        <v/>
      </c>
      <c r="BE224" s="8">
        <f t="shared" si="172"/>
        <v>1</v>
      </c>
      <c r="BF224" s="8" t="str">
        <f t="shared" si="173"/>
        <v/>
      </c>
      <c r="BG224" s="8" t="str">
        <f t="shared" si="174"/>
        <v/>
      </c>
      <c r="BH224" s="8" t="str">
        <f t="shared" si="175"/>
        <v/>
      </c>
      <c r="BI224" s="8" t="str">
        <f t="shared" si="176"/>
        <v/>
      </c>
      <c r="BJ224" s="8" t="str">
        <f t="shared" si="177"/>
        <v/>
      </c>
      <c r="BK224" s="8" t="str">
        <f t="shared" si="178"/>
        <v/>
      </c>
      <c r="BL224" s="8" t="str">
        <f t="shared" si="179"/>
        <v/>
      </c>
      <c r="BM224" s="8" t="str">
        <f t="shared" si="180"/>
        <v/>
      </c>
      <c r="BN224" s="8" t="str">
        <f t="shared" si="181"/>
        <v/>
      </c>
      <c r="BO224" s="8" t="str">
        <f t="shared" si="182"/>
        <v/>
      </c>
      <c r="BP224" s="8" t="str">
        <f t="shared" si="183"/>
        <v/>
      </c>
      <c r="BQ224" s="8" t="str">
        <f t="shared" si="184"/>
        <v/>
      </c>
      <c r="BR224" s="8" t="str">
        <f t="shared" si="185"/>
        <v/>
      </c>
      <c r="BS224" s="8" t="str">
        <f t="shared" si="186"/>
        <v/>
      </c>
      <c r="BT224" s="8" t="str">
        <f t="shared" si="187"/>
        <v/>
      </c>
      <c r="BU224" s="8">
        <f t="shared" si="188"/>
        <v>2</v>
      </c>
      <c r="BV224" s="8" t="str">
        <f t="shared" si="189"/>
        <v/>
      </c>
      <c r="BW224" s="8" t="str">
        <f t="shared" si="190"/>
        <v/>
      </c>
      <c r="BX224" s="8">
        <f t="shared" si="191"/>
        <v>1</v>
      </c>
      <c r="BY224" s="8" t="str">
        <f t="shared" si="192"/>
        <v/>
      </c>
      <c r="BZ224" s="8" t="str">
        <f t="shared" si="193"/>
        <v/>
      </c>
      <c r="CA224" s="8" t="str">
        <f t="shared" si="194"/>
        <v/>
      </c>
      <c r="CB224" s="8" t="str">
        <f t="shared" si="195"/>
        <v/>
      </c>
      <c r="CC224" s="8" t="str">
        <f t="shared" si="196"/>
        <v/>
      </c>
      <c r="CD224" s="8" t="str">
        <f t="shared" si="197"/>
        <v/>
      </c>
      <c r="CE224" s="8" t="str">
        <f t="shared" si="198"/>
        <v/>
      </c>
      <c r="CF224" s="8" t="str">
        <f t="shared" si="199"/>
        <v/>
      </c>
      <c r="CG224" s="8" t="str">
        <f t="shared" si="200"/>
        <v/>
      </c>
      <c r="CH224" s="8" t="str">
        <f t="shared" si="201"/>
        <v/>
      </c>
      <c r="CI224" s="8" t="str">
        <f t="shared" si="202"/>
        <v/>
      </c>
      <c r="CJ224" s="8" t="str">
        <f t="shared" si="211"/>
        <v/>
      </c>
      <c r="CK224" s="8" t="str">
        <f t="shared" si="212"/>
        <v/>
      </c>
      <c r="CL224" s="8" t="str">
        <f t="shared" si="203"/>
        <v/>
      </c>
      <c r="CM224" s="8" t="str">
        <f t="shared" si="204"/>
        <v/>
      </c>
      <c r="CN224" s="8" t="str">
        <f t="shared" si="205"/>
        <v/>
      </c>
      <c r="CO224" s="8" t="str">
        <f t="shared" si="206"/>
        <v/>
      </c>
      <c r="CP224" s="8" t="str">
        <f t="shared" si="207"/>
        <v/>
      </c>
      <c r="CQ224" s="8" t="str">
        <f t="shared" si="208"/>
        <v/>
      </c>
      <c r="CR224" s="8" t="str">
        <f t="shared" si="209"/>
        <v/>
      </c>
      <c r="CS224" s="1154" t="str">
        <f t="shared" si="210"/>
        <v/>
      </c>
    </row>
    <row r="225" spans="2:97">
      <c r="B225" s="1725"/>
      <c r="F225" s="967" t="s">
        <v>27</v>
      </c>
      <c r="G225" s="960" t="s">
        <v>43</v>
      </c>
      <c r="I225" s="967" t="s">
        <v>27</v>
      </c>
      <c r="L225" s="956" t="s">
        <v>109</v>
      </c>
      <c r="O225" s="58"/>
      <c r="Q225" s="915" t="s">
        <v>114</v>
      </c>
      <c r="R225" s="498">
        <f t="shared" si="135"/>
        <v>3</v>
      </c>
      <c r="S225" s="498">
        <f t="shared" si="136"/>
        <v>2</v>
      </c>
      <c r="U225" s="1124" t="s">
        <v>109</v>
      </c>
      <c r="V225" s="238" t="str">
        <f t="shared" si="137"/>
        <v/>
      </c>
      <c r="W225" s="238" t="str">
        <f t="shared" si="138"/>
        <v/>
      </c>
      <c r="X225" s="238" t="str">
        <f t="shared" si="139"/>
        <v/>
      </c>
      <c r="Y225" s="238" t="str">
        <f t="shared" si="140"/>
        <v/>
      </c>
      <c r="Z225" s="238" t="str">
        <f t="shared" si="141"/>
        <v/>
      </c>
      <c r="AA225" s="238" t="str">
        <f t="shared" si="142"/>
        <v/>
      </c>
      <c r="AB225" s="238" t="str">
        <f t="shared" si="143"/>
        <v/>
      </c>
      <c r="AC225" s="238" t="str">
        <f t="shared" si="144"/>
        <v/>
      </c>
      <c r="AD225" s="238" t="str">
        <f t="shared" si="145"/>
        <v/>
      </c>
      <c r="AE225" s="238" t="str">
        <f t="shared" si="146"/>
        <v/>
      </c>
      <c r="AF225" s="238" t="str">
        <f t="shared" si="147"/>
        <v/>
      </c>
      <c r="AG225" s="238" t="str">
        <f t="shared" si="148"/>
        <v/>
      </c>
      <c r="AH225" s="238" t="str">
        <f t="shared" si="149"/>
        <v/>
      </c>
      <c r="AI225" s="238" t="str">
        <f t="shared" si="150"/>
        <v/>
      </c>
      <c r="AJ225" s="238" t="str">
        <f t="shared" si="151"/>
        <v/>
      </c>
      <c r="AK225" s="238" t="str">
        <f t="shared" si="152"/>
        <v/>
      </c>
      <c r="AL225" s="238" t="str">
        <f t="shared" si="153"/>
        <v/>
      </c>
      <c r="AM225" s="238">
        <f t="shared" si="154"/>
        <v>1</v>
      </c>
      <c r="AN225" s="238" t="str">
        <f t="shared" si="155"/>
        <v/>
      </c>
      <c r="AO225" s="238" t="str">
        <f t="shared" si="156"/>
        <v/>
      </c>
      <c r="AP225" s="238" t="str">
        <f t="shared" si="157"/>
        <v/>
      </c>
      <c r="AQ225" s="238" t="str">
        <f t="shared" si="158"/>
        <v/>
      </c>
      <c r="AR225" s="238">
        <f t="shared" si="159"/>
        <v>1</v>
      </c>
      <c r="AS225" s="238">
        <f t="shared" si="160"/>
        <v>1</v>
      </c>
      <c r="AT225" s="238" t="str">
        <f t="shared" si="161"/>
        <v/>
      </c>
      <c r="AU225" s="238" t="str">
        <f t="shared" si="162"/>
        <v/>
      </c>
      <c r="AV225" s="238" t="str">
        <f t="shared" si="163"/>
        <v/>
      </c>
      <c r="AW225" s="238">
        <f t="shared" si="164"/>
        <v>2</v>
      </c>
      <c r="AX225" s="238" t="str">
        <f t="shared" si="165"/>
        <v/>
      </c>
      <c r="AY225" s="238">
        <f t="shared" si="166"/>
        <v>1</v>
      </c>
      <c r="AZ225" s="238">
        <f t="shared" si="167"/>
        <v>1</v>
      </c>
      <c r="BA225" s="238" t="str">
        <f t="shared" si="168"/>
        <v/>
      </c>
      <c r="BB225" s="238" t="str">
        <f t="shared" si="169"/>
        <v/>
      </c>
      <c r="BC225" s="238" t="str">
        <f t="shared" si="170"/>
        <v/>
      </c>
      <c r="BD225" s="238" t="str">
        <f t="shared" si="171"/>
        <v/>
      </c>
      <c r="BE225" s="238" t="str">
        <f t="shared" si="172"/>
        <v/>
      </c>
      <c r="BF225" s="238" t="str">
        <f t="shared" si="173"/>
        <v/>
      </c>
      <c r="BG225" s="238" t="str">
        <f t="shared" si="174"/>
        <v/>
      </c>
      <c r="BH225" s="238" t="str">
        <f t="shared" si="175"/>
        <v/>
      </c>
      <c r="BI225" s="238" t="str">
        <f t="shared" si="176"/>
        <v/>
      </c>
      <c r="BJ225" s="238">
        <f t="shared" si="177"/>
        <v>1</v>
      </c>
      <c r="BK225" s="238" t="str">
        <f t="shared" si="178"/>
        <v/>
      </c>
      <c r="BL225" s="238" t="str">
        <f t="shared" si="179"/>
        <v/>
      </c>
      <c r="BM225" s="238" t="str">
        <f t="shared" si="180"/>
        <v/>
      </c>
      <c r="BN225" s="238" t="str">
        <f t="shared" si="181"/>
        <v/>
      </c>
      <c r="BO225" s="238">
        <f t="shared" si="182"/>
        <v>1</v>
      </c>
      <c r="BP225" s="238" t="str">
        <f t="shared" si="183"/>
        <v/>
      </c>
      <c r="BQ225" s="238" t="str">
        <f t="shared" si="184"/>
        <v/>
      </c>
      <c r="BR225" s="238" t="str">
        <f t="shared" si="185"/>
        <v/>
      </c>
      <c r="BS225" s="238" t="str">
        <f t="shared" si="186"/>
        <v/>
      </c>
      <c r="BT225" s="238">
        <f t="shared" si="187"/>
        <v>1</v>
      </c>
      <c r="BU225" s="238">
        <f t="shared" si="188"/>
        <v>1</v>
      </c>
      <c r="BV225" s="238">
        <f t="shared" si="189"/>
        <v>1</v>
      </c>
      <c r="BW225" s="238" t="str">
        <f t="shared" si="190"/>
        <v/>
      </c>
      <c r="BX225" s="238" t="str">
        <f t="shared" si="191"/>
        <v/>
      </c>
      <c r="BY225" s="238" t="str">
        <f t="shared" si="192"/>
        <v/>
      </c>
      <c r="BZ225" s="238">
        <f t="shared" si="193"/>
        <v>2</v>
      </c>
      <c r="CA225" s="238" t="str">
        <f t="shared" si="194"/>
        <v/>
      </c>
      <c r="CB225" s="238" t="str">
        <f t="shared" si="195"/>
        <v/>
      </c>
      <c r="CC225" s="238">
        <f t="shared" si="196"/>
        <v>1</v>
      </c>
      <c r="CD225" s="238">
        <f t="shared" si="197"/>
        <v>1</v>
      </c>
      <c r="CE225" s="238" t="str">
        <f t="shared" si="198"/>
        <v/>
      </c>
      <c r="CF225" s="238">
        <f t="shared" si="199"/>
        <v>1</v>
      </c>
      <c r="CG225" s="238">
        <f t="shared" si="200"/>
        <v>1</v>
      </c>
      <c r="CH225" s="238" t="str">
        <f t="shared" si="201"/>
        <v/>
      </c>
      <c r="CI225" s="238" t="str">
        <f t="shared" si="202"/>
        <v/>
      </c>
      <c r="CJ225" s="238">
        <f>IF(COUNTIF(C$282:O$283,$U225)+COUNTIF(C$288:O$289,$U225)&gt;0,COUNTIF(C$282:O$283,$U225)+COUNTIF(C$288:O$289,$U225),"")</f>
        <v>1</v>
      </c>
      <c r="CK225" s="238">
        <f t="shared" si="212"/>
        <v>1</v>
      </c>
      <c r="CL225" s="238" t="str">
        <f t="shared" si="203"/>
        <v/>
      </c>
      <c r="CM225" s="238" t="str">
        <f t="shared" si="204"/>
        <v/>
      </c>
      <c r="CN225" s="238" t="str">
        <f t="shared" si="205"/>
        <v/>
      </c>
      <c r="CO225" s="238" t="str">
        <f t="shared" si="206"/>
        <v/>
      </c>
      <c r="CP225" s="238" t="str">
        <f t="shared" si="207"/>
        <v/>
      </c>
      <c r="CQ225" s="238" t="str">
        <f t="shared" si="208"/>
        <v/>
      </c>
      <c r="CR225" s="238">
        <f t="shared" si="209"/>
        <v>1</v>
      </c>
      <c r="CS225" s="1155" t="str">
        <f t="shared" si="210"/>
        <v/>
      </c>
    </row>
    <row r="226" spans="2:97">
      <c r="B226" s="1725"/>
      <c r="L226" s="982" t="s">
        <v>29</v>
      </c>
      <c r="Q226" s="916" t="s">
        <v>1272</v>
      </c>
      <c r="R226" s="142">
        <f t="shared" si="135"/>
        <v>12</v>
      </c>
      <c r="S226" s="142">
        <f t="shared" si="136"/>
        <v>11</v>
      </c>
      <c r="U226" s="1125" t="s">
        <v>114</v>
      </c>
      <c r="V226" s="498" t="str">
        <f t="shared" si="137"/>
        <v/>
      </c>
      <c r="W226" s="498" t="str">
        <f t="shared" si="138"/>
        <v/>
      </c>
      <c r="X226" s="498" t="str">
        <f t="shared" si="139"/>
        <v/>
      </c>
      <c r="Y226" s="498" t="str">
        <f t="shared" si="140"/>
        <v/>
      </c>
      <c r="Z226" s="498" t="str">
        <f t="shared" si="141"/>
        <v/>
      </c>
      <c r="AA226" s="498" t="str">
        <f t="shared" si="142"/>
        <v/>
      </c>
      <c r="AB226" s="498" t="str">
        <f t="shared" si="143"/>
        <v/>
      </c>
      <c r="AC226" s="498" t="str">
        <f t="shared" si="144"/>
        <v/>
      </c>
      <c r="AD226" s="498" t="str">
        <f t="shared" si="145"/>
        <v/>
      </c>
      <c r="AE226" s="498" t="str">
        <f t="shared" si="146"/>
        <v/>
      </c>
      <c r="AF226" s="498" t="str">
        <f t="shared" si="147"/>
        <v/>
      </c>
      <c r="AG226" s="498" t="str">
        <f t="shared" si="148"/>
        <v/>
      </c>
      <c r="AH226" s="498" t="str">
        <f t="shared" si="149"/>
        <v/>
      </c>
      <c r="AI226" s="498" t="str">
        <f t="shared" si="150"/>
        <v/>
      </c>
      <c r="AJ226" s="498" t="str">
        <f t="shared" si="151"/>
        <v/>
      </c>
      <c r="AK226" s="498" t="str">
        <f t="shared" si="152"/>
        <v/>
      </c>
      <c r="AL226" s="498" t="str">
        <f t="shared" si="153"/>
        <v/>
      </c>
      <c r="AM226" s="498" t="str">
        <f t="shared" si="154"/>
        <v/>
      </c>
      <c r="AN226" s="498" t="str">
        <f t="shared" si="155"/>
        <v/>
      </c>
      <c r="AO226" s="498" t="str">
        <f t="shared" si="156"/>
        <v/>
      </c>
      <c r="AP226" s="498" t="str">
        <f t="shared" si="157"/>
        <v/>
      </c>
      <c r="AQ226" s="498" t="str">
        <f t="shared" si="158"/>
        <v/>
      </c>
      <c r="AR226" s="498" t="str">
        <f t="shared" si="159"/>
        <v/>
      </c>
      <c r="AS226" s="498" t="str">
        <f t="shared" si="160"/>
        <v/>
      </c>
      <c r="AT226" s="498">
        <f t="shared" si="161"/>
        <v>1</v>
      </c>
      <c r="AU226" s="498" t="str">
        <f t="shared" si="162"/>
        <v/>
      </c>
      <c r="AV226" s="498" t="str">
        <f t="shared" si="163"/>
        <v/>
      </c>
      <c r="AW226" s="498" t="str">
        <f t="shared" si="164"/>
        <v/>
      </c>
      <c r="AX226" s="498">
        <f t="shared" si="165"/>
        <v>1</v>
      </c>
      <c r="AY226" s="498" t="str">
        <f t="shared" si="166"/>
        <v/>
      </c>
      <c r="AZ226" s="498" t="str">
        <f t="shared" si="167"/>
        <v/>
      </c>
      <c r="BA226" s="498" t="str">
        <f t="shared" si="168"/>
        <v/>
      </c>
      <c r="BB226" s="498" t="str">
        <f t="shared" si="169"/>
        <v/>
      </c>
      <c r="BC226" s="498" t="str">
        <f t="shared" si="170"/>
        <v/>
      </c>
      <c r="BD226" s="498" t="str">
        <f t="shared" si="171"/>
        <v/>
      </c>
      <c r="BE226" s="498" t="str">
        <f t="shared" si="172"/>
        <v/>
      </c>
      <c r="BF226" s="498" t="str">
        <f t="shared" si="173"/>
        <v/>
      </c>
      <c r="BG226" s="498" t="str">
        <f t="shared" si="174"/>
        <v/>
      </c>
      <c r="BH226" s="498" t="str">
        <f t="shared" si="175"/>
        <v/>
      </c>
      <c r="BI226" s="498" t="str">
        <f t="shared" si="176"/>
        <v/>
      </c>
      <c r="BJ226" s="498" t="str">
        <f t="shared" si="177"/>
        <v/>
      </c>
      <c r="BK226" s="498" t="str">
        <f t="shared" si="178"/>
        <v/>
      </c>
      <c r="BL226" s="498" t="str">
        <f t="shared" si="179"/>
        <v/>
      </c>
      <c r="BM226" s="498" t="str">
        <f t="shared" si="180"/>
        <v/>
      </c>
      <c r="BN226" s="498" t="str">
        <f t="shared" si="181"/>
        <v/>
      </c>
      <c r="BO226" s="498">
        <f t="shared" si="182"/>
        <v>1</v>
      </c>
      <c r="BP226" s="498" t="str">
        <f t="shared" si="183"/>
        <v/>
      </c>
      <c r="BQ226" s="498" t="str">
        <f t="shared" si="184"/>
        <v/>
      </c>
      <c r="BR226" s="498" t="str">
        <f t="shared" si="185"/>
        <v/>
      </c>
      <c r="BS226" s="498" t="str">
        <f t="shared" si="186"/>
        <v/>
      </c>
      <c r="BT226" s="498" t="str">
        <f t="shared" si="187"/>
        <v/>
      </c>
      <c r="BU226" s="498" t="str">
        <f t="shared" si="188"/>
        <v/>
      </c>
      <c r="BV226" s="498" t="str">
        <f t="shared" si="189"/>
        <v/>
      </c>
      <c r="BW226" s="498" t="str">
        <f t="shared" si="190"/>
        <v/>
      </c>
      <c r="BX226" s="498" t="str">
        <f t="shared" si="191"/>
        <v/>
      </c>
      <c r="BY226" s="498" t="str">
        <f t="shared" si="192"/>
        <v/>
      </c>
      <c r="BZ226" s="498" t="str">
        <f t="shared" si="193"/>
        <v/>
      </c>
      <c r="CA226" s="498" t="str">
        <f t="shared" si="194"/>
        <v/>
      </c>
      <c r="CB226" s="498">
        <f t="shared" si="195"/>
        <v>1</v>
      </c>
      <c r="CC226" s="498">
        <f t="shared" si="196"/>
        <v>1</v>
      </c>
      <c r="CD226" s="498" t="str">
        <f t="shared" si="197"/>
        <v/>
      </c>
      <c r="CE226" s="498" t="str">
        <f t="shared" si="198"/>
        <v/>
      </c>
      <c r="CF226" s="498" t="str">
        <f t="shared" si="199"/>
        <v/>
      </c>
      <c r="CG226" s="498" t="str">
        <f t="shared" si="200"/>
        <v/>
      </c>
      <c r="CH226" s="498" t="str">
        <f t="shared" si="201"/>
        <v/>
      </c>
      <c r="CI226" s="498" t="str">
        <f t="shared" si="202"/>
        <v/>
      </c>
      <c r="CJ226" s="498" t="str">
        <f t="shared" si="211"/>
        <v/>
      </c>
      <c r="CK226" s="498" t="str">
        <f t="shared" si="212"/>
        <v/>
      </c>
      <c r="CL226" s="498" t="str">
        <f t="shared" si="203"/>
        <v/>
      </c>
      <c r="CM226" s="498" t="str">
        <f t="shared" si="204"/>
        <v/>
      </c>
      <c r="CN226" s="498" t="str">
        <f t="shared" si="205"/>
        <v/>
      </c>
      <c r="CO226" s="498" t="str">
        <f t="shared" si="206"/>
        <v/>
      </c>
      <c r="CP226" s="498" t="str">
        <f t="shared" si="207"/>
        <v/>
      </c>
      <c r="CQ226" s="498" t="str">
        <f t="shared" si="208"/>
        <v/>
      </c>
      <c r="CR226" s="498" t="str">
        <f t="shared" si="209"/>
        <v/>
      </c>
      <c r="CS226" s="1156" t="str">
        <f t="shared" si="210"/>
        <v/>
      </c>
    </row>
    <row r="227" spans="2:97">
      <c r="B227" s="1725"/>
      <c r="C227" t="s">
        <v>2612</v>
      </c>
      <c r="D227" t="s">
        <v>2612</v>
      </c>
      <c r="E227" t="s">
        <v>2612</v>
      </c>
      <c r="F227" t="s">
        <v>2612</v>
      </c>
      <c r="G227" t="s">
        <v>2612</v>
      </c>
      <c r="H227" t="s">
        <v>2612</v>
      </c>
      <c r="I227" t="s">
        <v>2612</v>
      </c>
      <c r="J227" t="s">
        <v>2612</v>
      </c>
      <c r="K227" t="s">
        <v>2612</v>
      </c>
      <c r="L227" s="957" t="s">
        <v>2612</v>
      </c>
      <c r="M227" t="s">
        <v>2612</v>
      </c>
      <c r="Q227" s="917" t="s">
        <v>68</v>
      </c>
      <c r="R227" s="329">
        <f t="shared" si="135"/>
        <v>11</v>
      </c>
      <c r="S227" s="329">
        <f t="shared" si="136"/>
        <v>3</v>
      </c>
      <c r="U227" s="1126" t="s">
        <v>1272</v>
      </c>
      <c r="V227" s="1088" t="str">
        <f t="shared" si="137"/>
        <v/>
      </c>
      <c r="W227" s="1088" t="str">
        <f t="shared" si="138"/>
        <v/>
      </c>
      <c r="X227" s="1088" t="str">
        <f t="shared" si="139"/>
        <v/>
      </c>
      <c r="Y227" s="1088" t="str">
        <f t="shared" si="140"/>
        <v/>
      </c>
      <c r="Z227" s="1088" t="str">
        <f t="shared" si="141"/>
        <v/>
      </c>
      <c r="AA227" s="1088" t="str">
        <f t="shared" si="142"/>
        <v/>
      </c>
      <c r="AB227" s="1088" t="str">
        <f t="shared" si="143"/>
        <v/>
      </c>
      <c r="AC227" s="1088" t="str">
        <f t="shared" si="144"/>
        <v/>
      </c>
      <c r="AD227" s="1088" t="str">
        <f t="shared" si="145"/>
        <v/>
      </c>
      <c r="AE227" s="1088" t="str">
        <f t="shared" si="146"/>
        <v/>
      </c>
      <c r="AF227" s="1088" t="str">
        <f t="shared" si="147"/>
        <v/>
      </c>
      <c r="AG227" s="1088" t="str">
        <f t="shared" si="148"/>
        <v/>
      </c>
      <c r="AH227" s="1088" t="str">
        <f t="shared" si="149"/>
        <v/>
      </c>
      <c r="AI227" s="1088" t="str">
        <f t="shared" si="150"/>
        <v/>
      </c>
      <c r="AJ227" s="1088" t="str">
        <f t="shared" si="151"/>
        <v/>
      </c>
      <c r="AK227" s="1088" t="str">
        <f t="shared" si="152"/>
        <v/>
      </c>
      <c r="AL227" s="1088" t="str">
        <f t="shared" si="153"/>
        <v/>
      </c>
      <c r="AM227" s="1088" t="str">
        <f t="shared" si="154"/>
        <v/>
      </c>
      <c r="AN227" s="1088" t="str">
        <f t="shared" si="155"/>
        <v/>
      </c>
      <c r="AO227" s="1088" t="str">
        <f t="shared" si="156"/>
        <v/>
      </c>
      <c r="AP227" s="1088" t="str">
        <f t="shared" si="157"/>
        <v/>
      </c>
      <c r="AQ227" s="1088" t="str">
        <f t="shared" si="158"/>
        <v/>
      </c>
      <c r="AR227" s="1088" t="str">
        <f t="shared" si="159"/>
        <v/>
      </c>
      <c r="AS227" s="1088" t="str">
        <f t="shared" si="160"/>
        <v/>
      </c>
      <c r="AT227" s="1088" t="str">
        <f t="shared" si="161"/>
        <v/>
      </c>
      <c r="AU227" s="1088" t="str">
        <f t="shared" si="162"/>
        <v/>
      </c>
      <c r="AV227" s="1088" t="str">
        <f t="shared" si="163"/>
        <v/>
      </c>
      <c r="AW227" s="1088" t="str">
        <f t="shared" si="164"/>
        <v/>
      </c>
      <c r="AX227" s="1088" t="str">
        <f t="shared" si="165"/>
        <v/>
      </c>
      <c r="AY227" s="1088" t="str">
        <f t="shared" si="166"/>
        <v/>
      </c>
      <c r="AZ227" s="1088" t="str">
        <f t="shared" si="167"/>
        <v/>
      </c>
      <c r="BA227" s="1088" t="str">
        <f t="shared" si="168"/>
        <v/>
      </c>
      <c r="BB227" s="1088">
        <f t="shared" si="169"/>
        <v>1</v>
      </c>
      <c r="BC227" s="1088" t="str">
        <f t="shared" si="170"/>
        <v/>
      </c>
      <c r="BD227" s="1088">
        <f t="shared" si="171"/>
        <v>1</v>
      </c>
      <c r="BE227" s="1088" t="str">
        <f t="shared" si="172"/>
        <v/>
      </c>
      <c r="BF227" s="1088" t="str">
        <f t="shared" si="173"/>
        <v/>
      </c>
      <c r="BG227" s="1088" t="str">
        <f t="shared" si="174"/>
        <v/>
      </c>
      <c r="BH227" s="1088" t="str">
        <f t="shared" si="175"/>
        <v/>
      </c>
      <c r="BI227" s="1088">
        <f t="shared" si="176"/>
        <v>1</v>
      </c>
      <c r="BJ227" s="1088" t="str">
        <f t="shared" si="177"/>
        <v/>
      </c>
      <c r="BK227" s="1088" t="str">
        <f t="shared" si="178"/>
        <v/>
      </c>
      <c r="BL227" s="1088">
        <f t="shared" si="179"/>
        <v>1</v>
      </c>
      <c r="BM227" s="1088" t="str">
        <f t="shared" si="180"/>
        <v/>
      </c>
      <c r="BN227" s="1088" t="str">
        <f t="shared" si="181"/>
        <v/>
      </c>
      <c r="BO227" s="1088" t="str">
        <f t="shared" si="182"/>
        <v/>
      </c>
      <c r="BP227" s="1088" t="str">
        <f t="shared" si="183"/>
        <v/>
      </c>
      <c r="BQ227" s="1088">
        <f t="shared" si="184"/>
        <v>1</v>
      </c>
      <c r="BR227" s="1088" t="str">
        <f t="shared" si="185"/>
        <v/>
      </c>
      <c r="BS227" s="1088">
        <f t="shared" si="186"/>
        <v>1</v>
      </c>
      <c r="BT227" s="1088" t="str">
        <f t="shared" si="187"/>
        <v/>
      </c>
      <c r="BU227" s="1088" t="str">
        <f t="shared" si="188"/>
        <v/>
      </c>
      <c r="BV227" s="1088" t="str">
        <f t="shared" si="189"/>
        <v/>
      </c>
      <c r="BW227" s="1088" t="str">
        <f t="shared" si="190"/>
        <v/>
      </c>
      <c r="BX227" s="1088" t="str">
        <f t="shared" si="191"/>
        <v/>
      </c>
      <c r="BY227" s="1088" t="str">
        <f t="shared" si="192"/>
        <v/>
      </c>
      <c r="BZ227" s="1088" t="str">
        <f t="shared" si="193"/>
        <v/>
      </c>
      <c r="CA227" s="1088" t="str">
        <f t="shared" si="194"/>
        <v/>
      </c>
      <c r="CB227" s="1088" t="str">
        <f t="shared" si="195"/>
        <v/>
      </c>
      <c r="CC227" s="1088">
        <f t="shared" si="196"/>
        <v>2</v>
      </c>
      <c r="CD227" s="1088">
        <f t="shared" si="197"/>
        <v>4</v>
      </c>
      <c r="CE227" s="1088" t="str">
        <f t="shared" si="198"/>
        <v/>
      </c>
      <c r="CF227" s="1088">
        <f t="shared" si="199"/>
        <v>1</v>
      </c>
      <c r="CG227" s="1088" t="str">
        <f t="shared" si="200"/>
        <v/>
      </c>
      <c r="CH227" s="1088" t="str">
        <f t="shared" si="201"/>
        <v/>
      </c>
      <c r="CI227" s="1088">
        <f t="shared" si="202"/>
        <v>1</v>
      </c>
      <c r="CJ227" s="1088">
        <f t="shared" si="211"/>
        <v>3</v>
      </c>
      <c r="CK227" s="1088" t="str">
        <f t="shared" si="212"/>
        <v/>
      </c>
      <c r="CL227" s="1088" t="str">
        <f t="shared" si="203"/>
        <v/>
      </c>
      <c r="CM227" s="1088">
        <f t="shared" si="204"/>
        <v>2</v>
      </c>
      <c r="CN227" s="1088" t="str">
        <f t="shared" si="205"/>
        <v/>
      </c>
      <c r="CO227" s="1088">
        <f t="shared" si="206"/>
        <v>2</v>
      </c>
      <c r="CP227" s="1088" t="str">
        <f t="shared" si="207"/>
        <v/>
      </c>
      <c r="CQ227" s="1088" t="str">
        <f t="shared" si="208"/>
        <v/>
      </c>
      <c r="CR227" s="1088">
        <f t="shared" si="209"/>
        <v>1</v>
      </c>
      <c r="CS227" s="1157">
        <f t="shared" si="210"/>
        <v>1</v>
      </c>
    </row>
    <row r="228" spans="2:97">
      <c r="B228" s="1725"/>
      <c r="C228" s="961" t="s">
        <v>339</v>
      </c>
      <c r="D228" s="981" t="s">
        <v>1271</v>
      </c>
      <c r="E228" s="960" t="s">
        <v>43</v>
      </c>
      <c r="F228" s="982" t="s">
        <v>29</v>
      </c>
      <c r="G228" s="981" t="s">
        <v>1271</v>
      </c>
      <c r="H228" s="968" t="s">
        <v>26</v>
      </c>
      <c r="I228" s="963" t="s">
        <v>46</v>
      </c>
      <c r="J228" s="981" t="s">
        <v>1271</v>
      </c>
      <c r="K228" s="974" t="s">
        <v>1269</v>
      </c>
      <c r="L228" s="977" t="s">
        <v>1270</v>
      </c>
      <c r="M228" s="189" t="s">
        <v>47</v>
      </c>
      <c r="O228" s="58"/>
      <c r="Q228" s="918" t="s">
        <v>234</v>
      </c>
      <c r="R228" s="33">
        <f t="shared" si="135"/>
        <v>9</v>
      </c>
      <c r="S228" s="33">
        <f t="shared" si="136"/>
        <v>9</v>
      </c>
      <c r="U228" s="1127" t="s">
        <v>68</v>
      </c>
      <c r="V228" s="1092" t="str">
        <f t="shared" si="137"/>
        <v/>
      </c>
      <c r="W228" s="1092" t="str">
        <f t="shared" si="138"/>
        <v/>
      </c>
      <c r="X228" s="1092" t="str">
        <f t="shared" si="139"/>
        <v/>
      </c>
      <c r="Y228" s="1092" t="str">
        <f t="shared" si="140"/>
        <v/>
      </c>
      <c r="Z228" s="1092" t="str">
        <f t="shared" si="141"/>
        <v/>
      </c>
      <c r="AA228" s="1092" t="str">
        <f t="shared" si="142"/>
        <v/>
      </c>
      <c r="AB228" s="1092" t="str">
        <f t="shared" si="143"/>
        <v/>
      </c>
      <c r="AC228" s="1092" t="str">
        <f t="shared" si="144"/>
        <v/>
      </c>
      <c r="AD228" s="1092" t="str">
        <f t="shared" si="145"/>
        <v/>
      </c>
      <c r="AE228" s="1092" t="str">
        <f t="shared" si="146"/>
        <v/>
      </c>
      <c r="AF228" s="1092" t="str">
        <f t="shared" si="147"/>
        <v/>
      </c>
      <c r="AG228" s="1092" t="str">
        <f t="shared" si="148"/>
        <v/>
      </c>
      <c r="AH228" s="1092" t="str">
        <f t="shared" si="149"/>
        <v/>
      </c>
      <c r="AI228" s="1092" t="str">
        <f t="shared" si="150"/>
        <v/>
      </c>
      <c r="AJ228" s="1092" t="str">
        <f t="shared" si="151"/>
        <v/>
      </c>
      <c r="AK228" s="1092" t="str">
        <f t="shared" si="152"/>
        <v/>
      </c>
      <c r="AL228" s="1092" t="str">
        <f t="shared" si="153"/>
        <v/>
      </c>
      <c r="AM228" s="1092">
        <f t="shared" si="154"/>
        <v>1</v>
      </c>
      <c r="AN228" s="1092" t="str">
        <f t="shared" si="155"/>
        <v/>
      </c>
      <c r="AO228" s="1092" t="str">
        <f t="shared" si="156"/>
        <v/>
      </c>
      <c r="AP228" s="1092">
        <f t="shared" si="157"/>
        <v>1</v>
      </c>
      <c r="AQ228" s="1092" t="str">
        <f t="shared" si="158"/>
        <v/>
      </c>
      <c r="AR228" s="1092" t="str">
        <f t="shared" si="159"/>
        <v/>
      </c>
      <c r="AS228" s="1092" t="str">
        <f t="shared" si="160"/>
        <v/>
      </c>
      <c r="AT228" s="1092">
        <f t="shared" si="161"/>
        <v>1</v>
      </c>
      <c r="AU228" s="1092" t="str">
        <f t="shared" si="162"/>
        <v/>
      </c>
      <c r="AV228" s="1092" t="str">
        <f t="shared" si="163"/>
        <v/>
      </c>
      <c r="AW228" s="1092" t="str">
        <f t="shared" si="164"/>
        <v/>
      </c>
      <c r="AX228" s="1092" t="str">
        <f t="shared" si="165"/>
        <v/>
      </c>
      <c r="AY228" s="1092" t="str">
        <f t="shared" si="166"/>
        <v/>
      </c>
      <c r="AZ228" s="1092">
        <f t="shared" si="167"/>
        <v>1</v>
      </c>
      <c r="BA228" s="1092" t="str">
        <f t="shared" si="168"/>
        <v/>
      </c>
      <c r="BB228" s="1092">
        <f t="shared" si="169"/>
        <v>2</v>
      </c>
      <c r="BC228" s="1092" t="str">
        <f t="shared" si="170"/>
        <v/>
      </c>
      <c r="BD228" s="1092" t="str">
        <f t="shared" si="171"/>
        <v/>
      </c>
      <c r="BE228" s="1092" t="str">
        <f t="shared" si="172"/>
        <v/>
      </c>
      <c r="BF228" s="1092">
        <f t="shared" si="173"/>
        <v>1</v>
      </c>
      <c r="BG228" s="1092" t="str">
        <f t="shared" si="174"/>
        <v/>
      </c>
      <c r="BH228" s="1092" t="str">
        <f t="shared" si="175"/>
        <v/>
      </c>
      <c r="BI228" s="1092" t="str">
        <f t="shared" si="176"/>
        <v/>
      </c>
      <c r="BJ228" s="1092" t="str">
        <f t="shared" si="177"/>
        <v/>
      </c>
      <c r="BK228" s="1092" t="str">
        <f t="shared" si="178"/>
        <v/>
      </c>
      <c r="BL228" s="1092" t="str">
        <f t="shared" si="179"/>
        <v/>
      </c>
      <c r="BM228" s="1092" t="str">
        <f t="shared" si="180"/>
        <v/>
      </c>
      <c r="BN228" s="1092" t="str">
        <f t="shared" si="181"/>
        <v/>
      </c>
      <c r="BO228" s="1092" t="str">
        <f t="shared" si="182"/>
        <v/>
      </c>
      <c r="BP228" s="1092">
        <f t="shared" si="183"/>
        <v>1</v>
      </c>
      <c r="BQ228" s="1092" t="str">
        <f t="shared" si="184"/>
        <v/>
      </c>
      <c r="BR228" s="1092">
        <f t="shared" si="185"/>
        <v>1</v>
      </c>
      <c r="BS228" s="1092" t="str">
        <f t="shared" si="186"/>
        <v/>
      </c>
      <c r="BT228" s="1092" t="str">
        <f t="shared" si="187"/>
        <v/>
      </c>
      <c r="BU228" s="1092" t="str">
        <f t="shared" si="188"/>
        <v/>
      </c>
      <c r="BV228" s="1092" t="str">
        <f t="shared" si="189"/>
        <v/>
      </c>
      <c r="BW228" s="1092">
        <f t="shared" si="190"/>
        <v>1</v>
      </c>
      <c r="BX228" s="1092" t="str">
        <f t="shared" si="191"/>
        <v/>
      </c>
      <c r="BY228" s="1092" t="str">
        <f t="shared" si="192"/>
        <v/>
      </c>
      <c r="BZ228" s="1092">
        <f t="shared" si="193"/>
        <v>1</v>
      </c>
      <c r="CA228" s="1092" t="str">
        <f t="shared" si="194"/>
        <v/>
      </c>
      <c r="CB228" s="1092" t="str">
        <f t="shared" si="195"/>
        <v/>
      </c>
      <c r="CC228" s="1092" t="str">
        <f t="shared" si="196"/>
        <v/>
      </c>
      <c r="CD228" s="1092" t="str">
        <f t="shared" si="197"/>
        <v/>
      </c>
      <c r="CE228" s="1092" t="str">
        <f t="shared" si="198"/>
        <v/>
      </c>
      <c r="CF228" s="1092" t="str">
        <f t="shared" si="199"/>
        <v/>
      </c>
      <c r="CG228" s="1092" t="str">
        <f t="shared" si="200"/>
        <v/>
      </c>
      <c r="CH228" s="1092" t="str">
        <f t="shared" si="201"/>
        <v/>
      </c>
      <c r="CI228" s="1092" t="str">
        <f t="shared" si="202"/>
        <v/>
      </c>
      <c r="CJ228" s="1092">
        <f t="shared" si="211"/>
        <v>1</v>
      </c>
      <c r="CK228" s="1092" t="str">
        <f t="shared" si="212"/>
        <v/>
      </c>
      <c r="CL228" s="1092" t="str">
        <f t="shared" si="203"/>
        <v/>
      </c>
      <c r="CM228" s="1092" t="str">
        <f t="shared" si="204"/>
        <v/>
      </c>
      <c r="CN228" s="1092">
        <f t="shared" si="205"/>
        <v>1</v>
      </c>
      <c r="CO228" s="1092" t="str">
        <f t="shared" si="206"/>
        <v/>
      </c>
      <c r="CP228" s="1092" t="str">
        <f t="shared" si="207"/>
        <v/>
      </c>
      <c r="CQ228" s="1092" t="str">
        <f t="shared" si="208"/>
        <v/>
      </c>
      <c r="CR228" s="1092" t="str">
        <f t="shared" si="209"/>
        <v/>
      </c>
      <c r="CS228" s="1158">
        <f t="shared" si="210"/>
        <v>1</v>
      </c>
    </row>
    <row r="229" spans="2:97">
      <c r="B229" s="1725"/>
      <c r="D229" s="960" t="s">
        <v>43</v>
      </c>
      <c r="E229" s="968" t="s">
        <v>26</v>
      </c>
      <c r="F229" s="956" t="s">
        <v>109</v>
      </c>
      <c r="I229" s="967" t="s">
        <v>27</v>
      </c>
      <c r="K229" s="990"/>
      <c r="M229" s="977" t="s">
        <v>1270</v>
      </c>
      <c r="O229" s="990"/>
      <c r="Q229" s="919" t="s">
        <v>124</v>
      </c>
      <c r="R229" s="501">
        <f t="shared" si="135"/>
        <v>6</v>
      </c>
      <c r="S229" s="501">
        <f t="shared" si="136"/>
        <v>6</v>
      </c>
      <c r="U229" s="1128" t="s">
        <v>234</v>
      </c>
      <c r="V229" s="1159" t="str">
        <f t="shared" si="137"/>
        <v/>
      </c>
      <c r="W229" s="1159">
        <f t="shared" si="138"/>
        <v>1</v>
      </c>
      <c r="X229" s="1159" t="str">
        <f t="shared" si="139"/>
        <v/>
      </c>
      <c r="Y229" s="1159" t="str">
        <f t="shared" si="140"/>
        <v/>
      </c>
      <c r="Z229" s="1159" t="str">
        <f t="shared" si="141"/>
        <v/>
      </c>
      <c r="AA229" s="1159" t="str">
        <f t="shared" si="142"/>
        <v/>
      </c>
      <c r="AB229" s="1159">
        <f t="shared" si="143"/>
        <v>2</v>
      </c>
      <c r="AC229" s="1159">
        <f t="shared" si="144"/>
        <v>3</v>
      </c>
      <c r="AD229" s="1159">
        <f t="shared" si="145"/>
        <v>1</v>
      </c>
      <c r="AE229" s="1159" t="str">
        <f t="shared" si="146"/>
        <v/>
      </c>
      <c r="AF229" s="1159" t="str">
        <f t="shared" si="147"/>
        <v/>
      </c>
      <c r="AG229" s="1159" t="str">
        <f t="shared" si="148"/>
        <v/>
      </c>
      <c r="AH229" s="1159">
        <f t="shared" si="149"/>
        <v>1</v>
      </c>
      <c r="AI229" s="1159" t="str">
        <f t="shared" si="150"/>
        <v/>
      </c>
      <c r="AJ229" s="1159">
        <f t="shared" si="151"/>
        <v>1</v>
      </c>
      <c r="AK229" s="1159" t="str">
        <f t="shared" si="152"/>
        <v/>
      </c>
      <c r="AL229" s="1159" t="str">
        <f t="shared" si="153"/>
        <v/>
      </c>
      <c r="AM229" s="1159">
        <f t="shared" si="154"/>
        <v>1</v>
      </c>
      <c r="AN229" s="1159" t="str">
        <f t="shared" si="155"/>
        <v/>
      </c>
      <c r="AO229" s="1159">
        <f t="shared" si="156"/>
        <v>1</v>
      </c>
      <c r="AP229" s="1159">
        <f t="shared" si="157"/>
        <v>1</v>
      </c>
      <c r="AQ229" s="1159" t="str">
        <f t="shared" si="158"/>
        <v/>
      </c>
      <c r="AR229" s="1159" t="str">
        <f t="shared" si="159"/>
        <v/>
      </c>
      <c r="AS229" s="1159" t="str">
        <f t="shared" si="160"/>
        <v/>
      </c>
      <c r="AT229" s="1159" t="str">
        <f t="shared" si="161"/>
        <v/>
      </c>
      <c r="AU229" s="1159" t="str">
        <f t="shared" si="162"/>
        <v/>
      </c>
      <c r="AV229" s="1159" t="str">
        <f t="shared" si="163"/>
        <v/>
      </c>
      <c r="AW229" s="1159" t="str">
        <f t="shared" si="164"/>
        <v/>
      </c>
      <c r="AX229" s="1159" t="str">
        <f t="shared" si="165"/>
        <v/>
      </c>
      <c r="AY229" s="1159" t="str">
        <f t="shared" si="166"/>
        <v/>
      </c>
      <c r="AZ229" s="1159" t="str">
        <f t="shared" si="167"/>
        <v/>
      </c>
      <c r="BA229" s="1159">
        <f t="shared" si="168"/>
        <v>1</v>
      </c>
      <c r="BB229" s="1159" t="str">
        <f t="shared" si="169"/>
        <v/>
      </c>
      <c r="BC229" s="1159">
        <f t="shared" si="170"/>
        <v>1</v>
      </c>
      <c r="BD229" s="1159" t="str">
        <f t="shared" si="171"/>
        <v/>
      </c>
      <c r="BE229" s="1159" t="str">
        <f t="shared" si="172"/>
        <v/>
      </c>
      <c r="BF229" s="1159" t="str">
        <f t="shared" si="173"/>
        <v/>
      </c>
      <c r="BG229" s="1159" t="str">
        <f t="shared" si="174"/>
        <v/>
      </c>
      <c r="BH229" s="1159" t="str">
        <f t="shared" si="175"/>
        <v/>
      </c>
      <c r="BI229" s="1159" t="str">
        <f t="shared" si="176"/>
        <v/>
      </c>
      <c r="BJ229" s="1159" t="str">
        <f t="shared" si="177"/>
        <v/>
      </c>
      <c r="BK229" s="1159" t="str">
        <f t="shared" si="178"/>
        <v/>
      </c>
      <c r="BL229" s="1159" t="str">
        <f t="shared" si="179"/>
        <v/>
      </c>
      <c r="BM229" s="1159" t="str">
        <f t="shared" si="180"/>
        <v/>
      </c>
      <c r="BN229" s="1159" t="str">
        <f t="shared" si="181"/>
        <v/>
      </c>
      <c r="BO229" s="1159" t="str">
        <f t="shared" si="182"/>
        <v/>
      </c>
      <c r="BP229" s="1159" t="str">
        <f t="shared" si="183"/>
        <v/>
      </c>
      <c r="BQ229" s="1159" t="str">
        <f t="shared" si="184"/>
        <v/>
      </c>
      <c r="BR229" s="1159" t="str">
        <f t="shared" si="185"/>
        <v/>
      </c>
      <c r="BS229" s="1159" t="str">
        <f t="shared" si="186"/>
        <v/>
      </c>
      <c r="BT229" s="1159">
        <f t="shared" si="187"/>
        <v>1</v>
      </c>
      <c r="BU229" s="1159" t="str">
        <f t="shared" si="188"/>
        <v/>
      </c>
      <c r="BV229" s="1159" t="str">
        <f t="shared" si="189"/>
        <v/>
      </c>
      <c r="BW229" s="1159" t="str">
        <f t="shared" si="190"/>
        <v/>
      </c>
      <c r="BX229" s="1159" t="str">
        <f t="shared" si="191"/>
        <v/>
      </c>
      <c r="BY229" s="1159" t="str">
        <f t="shared" si="192"/>
        <v/>
      </c>
      <c r="BZ229" s="1159" t="str">
        <f t="shared" si="193"/>
        <v/>
      </c>
      <c r="CA229" s="1159" t="str">
        <f t="shared" si="194"/>
        <v/>
      </c>
      <c r="CB229" s="1159">
        <f t="shared" si="195"/>
        <v>1</v>
      </c>
      <c r="CC229" s="1159" t="str">
        <f t="shared" si="196"/>
        <v/>
      </c>
      <c r="CD229" s="1159" t="str">
        <f t="shared" si="197"/>
        <v/>
      </c>
      <c r="CE229" s="1159" t="str">
        <f t="shared" si="198"/>
        <v/>
      </c>
      <c r="CF229" s="1159">
        <f t="shared" si="199"/>
        <v>1</v>
      </c>
      <c r="CG229" s="1159" t="str">
        <f t="shared" si="200"/>
        <v/>
      </c>
      <c r="CH229" s="1159" t="str">
        <f t="shared" si="201"/>
        <v/>
      </c>
      <c r="CI229" s="1159" t="str">
        <f t="shared" si="202"/>
        <v/>
      </c>
      <c r="CJ229" s="1159" t="str">
        <f t="shared" si="211"/>
        <v/>
      </c>
      <c r="CK229" s="1159">
        <f t="shared" si="212"/>
        <v>1</v>
      </c>
      <c r="CL229" s="1159" t="str">
        <f t="shared" si="203"/>
        <v/>
      </c>
      <c r="CM229" s="1159" t="str">
        <f t="shared" si="204"/>
        <v/>
      </c>
      <c r="CN229" s="1159" t="str">
        <f t="shared" si="205"/>
        <v/>
      </c>
      <c r="CO229" s="1159" t="str">
        <f t="shared" si="206"/>
        <v/>
      </c>
      <c r="CP229" s="1159" t="str">
        <f t="shared" si="207"/>
        <v/>
      </c>
      <c r="CQ229" s="1159" t="str">
        <f t="shared" si="208"/>
        <v/>
      </c>
      <c r="CR229" s="1159" t="str">
        <f t="shared" si="209"/>
        <v/>
      </c>
      <c r="CS229" s="1160" t="str">
        <f t="shared" si="210"/>
        <v/>
      </c>
    </row>
    <row r="230" spans="2:97" ht="16.5" thickBot="1">
      <c r="B230" s="1726"/>
      <c r="C230" s="1036" t="s">
        <v>186</v>
      </c>
      <c r="D230" s="1036" t="s">
        <v>188</v>
      </c>
      <c r="E230" s="1036" t="s">
        <v>187</v>
      </c>
      <c r="F230" s="1036" t="s">
        <v>186</v>
      </c>
      <c r="G230" s="1036" t="s">
        <v>189</v>
      </c>
      <c r="H230" s="1036" t="s">
        <v>188</v>
      </c>
      <c r="I230" s="1036" t="s">
        <v>189</v>
      </c>
      <c r="J230" s="1036" t="s">
        <v>189</v>
      </c>
      <c r="K230" s="1036" t="s">
        <v>188</v>
      </c>
      <c r="L230" s="1036" t="s">
        <v>192</v>
      </c>
      <c r="M230" s="1036" t="s">
        <v>186</v>
      </c>
      <c r="N230" s="1036"/>
      <c r="O230" s="1036"/>
      <c r="Q230" s="920" t="s">
        <v>74</v>
      </c>
      <c r="R230" s="276">
        <f t="shared" si="135"/>
        <v>6</v>
      </c>
      <c r="S230" s="276">
        <f t="shared" si="136"/>
        <v>4</v>
      </c>
      <c r="U230" s="1129" t="s">
        <v>124</v>
      </c>
      <c r="V230" s="1088" t="str">
        <f t="shared" si="137"/>
        <v/>
      </c>
      <c r="W230" s="1088">
        <f t="shared" si="138"/>
        <v>1</v>
      </c>
      <c r="X230" s="1088" t="str">
        <f t="shared" si="139"/>
        <v/>
      </c>
      <c r="Y230" s="1088" t="str">
        <f t="shared" si="140"/>
        <v/>
      </c>
      <c r="Z230" s="1088" t="str">
        <f t="shared" si="141"/>
        <v/>
      </c>
      <c r="AA230" s="1088" t="str">
        <f t="shared" si="142"/>
        <v/>
      </c>
      <c r="AB230" s="1088">
        <f t="shared" si="143"/>
        <v>1</v>
      </c>
      <c r="AC230" s="1088" t="str">
        <f t="shared" si="144"/>
        <v/>
      </c>
      <c r="AD230" s="1088" t="str">
        <f t="shared" si="145"/>
        <v/>
      </c>
      <c r="AE230" s="1088" t="str">
        <f t="shared" si="146"/>
        <v/>
      </c>
      <c r="AF230" s="1088" t="str">
        <f t="shared" si="147"/>
        <v/>
      </c>
      <c r="AG230" s="1088" t="str">
        <f t="shared" si="148"/>
        <v/>
      </c>
      <c r="AH230" s="1088" t="str">
        <f t="shared" si="149"/>
        <v/>
      </c>
      <c r="AI230" s="1088" t="str">
        <f t="shared" si="150"/>
        <v/>
      </c>
      <c r="AJ230" s="1088">
        <f t="shared" si="151"/>
        <v>1</v>
      </c>
      <c r="AK230" s="1088" t="str">
        <f t="shared" si="152"/>
        <v/>
      </c>
      <c r="AL230" s="1088">
        <f t="shared" si="153"/>
        <v>1</v>
      </c>
      <c r="AM230" s="1088" t="str">
        <f t="shared" si="154"/>
        <v/>
      </c>
      <c r="AN230" s="1088" t="str">
        <f t="shared" si="155"/>
        <v/>
      </c>
      <c r="AO230" s="1088">
        <f t="shared" si="156"/>
        <v>1</v>
      </c>
      <c r="AP230" s="1088" t="str">
        <f t="shared" si="157"/>
        <v/>
      </c>
      <c r="AQ230" s="1088" t="str">
        <f t="shared" si="158"/>
        <v/>
      </c>
      <c r="AR230" s="1088">
        <f t="shared" si="159"/>
        <v>1</v>
      </c>
      <c r="AS230" s="1088">
        <f t="shared" si="160"/>
        <v>1</v>
      </c>
      <c r="AT230" s="1088" t="str">
        <f t="shared" si="161"/>
        <v/>
      </c>
      <c r="AU230" s="1088" t="str">
        <f t="shared" si="162"/>
        <v/>
      </c>
      <c r="AV230" s="1088" t="str">
        <f t="shared" si="163"/>
        <v/>
      </c>
      <c r="AW230" s="1088">
        <f t="shared" si="164"/>
        <v>1</v>
      </c>
      <c r="AX230" s="1088" t="str">
        <f t="shared" si="165"/>
        <v/>
      </c>
      <c r="AY230" s="1088" t="str">
        <f t="shared" si="166"/>
        <v/>
      </c>
      <c r="AZ230" s="1088" t="str">
        <f t="shared" si="167"/>
        <v/>
      </c>
      <c r="BA230" s="1088" t="str">
        <f t="shared" si="168"/>
        <v/>
      </c>
      <c r="BB230" s="1088" t="str">
        <f t="shared" si="169"/>
        <v/>
      </c>
      <c r="BC230" s="1088" t="str">
        <f t="shared" si="170"/>
        <v/>
      </c>
      <c r="BD230" s="1088">
        <f t="shared" si="171"/>
        <v>1</v>
      </c>
      <c r="BE230" s="1088" t="str">
        <f t="shared" si="172"/>
        <v/>
      </c>
      <c r="BF230" s="1088" t="str">
        <f t="shared" si="173"/>
        <v/>
      </c>
      <c r="BG230" s="1088" t="str">
        <f t="shared" si="174"/>
        <v/>
      </c>
      <c r="BH230" s="1088" t="str">
        <f t="shared" si="175"/>
        <v/>
      </c>
      <c r="BI230" s="1088" t="str">
        <f t="shared" si="176"/>
        <v/>
      </c>
      <c r="BJ230" s="1088" t="str">
        <f t="shared" si="177"/>
        <v/>
      </c>
      <c r="BK230" s="1088">
        <f t="shared" si="178"/>
        <v>1</v>
      </c>
      <c r="BL230" s="1088" t="str">
        <f t="shared" si="179"/>
        <v/>
      </c>
      <c r="BM230" s="1088" t="str">
        <f t="shared" si="180"/>
        <v/>
      </c>
      <c r="BN230" s="1088" t="str">
        <f t="shared" si="181"/>
        <v/>
      </c>
      <c r="BO230" s="1088" t="str">
        <f t="shared" si="182"/>
        <v/>
      </c>
      <c r="BP230" s="1088" t="str">
        <f t="shared" si="183"/>
        <v/>
      </c>
      <c r="BQ230" s="1088">
        <f t="shared" si="184"/>
        <v>1</v>
      </c>
      <c r="BR230" s="1088">
        <f t="shared" si="185"/>
        <v>1</v>
      </c>
      <c r="BS230" s="1088" t="str">
        <f t="shared" si="186"/>
        <v/>
      </c>
      <c r="BT230" s="1088" t="str">
        <f t="shared" si="187"/>
        <v/>
      </c>
      <c r="BU230" s="1088" t="str">
        <f t="shared" si="188"/>
        <v/>
      </c>
      <c r="BV230" s="1088" t="str">
        <f t="shared" si="189"/>
        <v/>
      </c>
      <c r="BW230" s="1088" t="str">
        <f t="shared" si="190"/>
        <v/>
      </c>
      <c r="BX230" s="1088" t="str">
        <f t="shared" si="191"/>
        <v/>
      </c>
      <c r="BY230" s="1088" t="str">
        <f t="shared" si="192"/>
        <v/>
      </c>
      <c r="BZ230" s="1088" t="str">
        <f t="shared" si="193"/>
        <v/>
      </c>
      <c r="CA230" s="1088" t="str">
        <f t="shared" si="194"/>
        <v/>
      </c>
      <c r="CB230" s="1088" t="str">
        <f t="shared" si="195"/>
        <v/>
      </c>
      <c r="CC230" s="1088" t="str">
        <f t="shared" si="196"/>
        <v/>
      </c>
      <c r="CD230" s="1088" t="str">
        <f t="shared" si="197"/>
        <v/>
      </c>
      <c r="CE230" s="1088" t="str">
        <f t="shared" si="198"/>
        <v/>
      </c>
      <c r="CF230" s="1088" t="str">
        <f t="shared" si="199"/>
        <v/>
      </c>
      <c r="CG230" s="1088" t="str">
        <f t="shared" si="200"/>
        <v/>
      </c>
      <c r="CH230" s="1088" t="str">
        <f t="shared" si="201"/>
        <v/>
      </c>
      <c r="CI230" s="1088" t="str">
        <f t="shared" si="202"/>
        <v/>
      </c>
      <c r="CJ230" s="1088" t="str">
        <f t="shared" si="211"/>
        <v/>
      </c>
      <c r="CK230" s="1088" t="str">
        <f t="shared" si="212"/>
        <v/>
      </c>
      <c r="CL230" s="1088" t="str">
        <f t="shared" si="203"/>
        <v/>
      </c>
      <c r="CM230" s="1088" t="str">
        <f t="shared" si="204"/>
        <v/>
      </c>
      <c r="CN230" s="1088" t="str">
        <f t="shared" si="205"/>
        <v/>
      </c>
      <c r="CO230" s="1088" t="str">
        <f t="shared" si="206"/>
        <v/>
      </c>
      <c r="CP230" s="1088" t="str">
        <f t="shared" si="207"/>
        <v/>
      </c>
      <c r="CQ230" s="1088" t="str">
        <f t="shared" si="208"/>
        <v/>
      </c>
      <c r="CR230" s="1088" t="str">
        <f t="shared" si="209"/>
        <v/>
      </c>
      <c r="CS230" s="1157" t="str">
        <f t="shared" si="210"/>
        <v/>
      </c>
    </row>
    <row r="231" spans="2:97" ht="16.5" thickTop="1">
      <c r="B231" s="1728" t="s">
        <v>95</v>
      </c>
      <c r="C231" s="974" t="s">
        <v>1269</v>
      </c>
      <c r="D231" s="981" t="s">
        <v>1271</v>
      </c>
      <c r="E231" s="977" t="s">
        <v>1270</v>
      </c>
      <c r="F231" s="958" t="s">
        <v>74</v>
      </c>
      <c r="G231" s="962" t="s">
        <v>216</v>
      </c>
      <c r="H231" s="966" t="s">
        <v>73</v>
      </c>
      <c r="I231" s="984" t="s">
        <v>24</v>
      </c>
      <c r="J231" s="981" t="s">
        <v>1271</v>
      </c>
      <c r="K231" s="979" t="s">
        <v>120</v>
      </c>
      <c r="L231" s="981" t="s">
        <v>1271</v>
      </c>
      <c r="M231" s="977" t="s">
        <v>1270</v>
      </c>
      <c r="O231" s="58"/>
      <c r="Q231" s="921" t="s">
        <v>1271</v>
      </c>
      <c r="R231" s="927">
        <f t="shared" si="135"/>
        <v>112</v>
      </c>
      <c r="S231" s="927">
        <f t="shared" si="136"/>
        <v>128</v>
      </c>
      <c r="U231" s="1130" t="s">
        <v>74</v>
      </c>
      <c r="V231" s="1086" t="str">
        <f t="shared" si="137"/>
        <v/>
      </c>
      <c r="W231" s="1086" t="str">
        <f t="shared" si="138"/>
        <v/>
      </c>
      <c r="X231" s="1086" t="str">
        <f t="shared" si="139"/>
        <v/>
      </c>
      <c r="Y231" s="1086" t="str">
        <f t="shared" si="140"/>
        <v/>
      </c>
      <c r="Z231" s="1086" t="str">
        <f t="shared" si="141"/>
        <v/>
      </c>
      <c r="AA231" s="1086" t="str">
        <f t="shared" si="142"/>
        <v/>
      </c>
      <c r="AB231" s="1086" t="str">
        <f t="shared" si="143"/>
        <v/>
      </c>
      <c r="AC231" s="1086" t="str">
        <f t="shared" si="144"/>
        <v/>
      </c>
      <c r="AD231" s="1086" t="str">
        <f t="shared" si="145"/>
        <v/>
      </c>
      <c r="AE231" s="1086" t="str">
        <f t="shared" si="146"/>
        <v/>
      </c>
      <c r="AF231" s="1086">
        <f t="shared" si="147"/>
        <v>1</v>
      </c>
      <c r="AG231" s="1086" t="str">
        <f t="shared" si="148"/>
        <v/>
      </c>
      <c r="AH231" s="1086" t="str">
        <f t="shared" si="149"/>
        <v/>
      </c>
      <c r="AI231" s="1086" t="str">
        <f t="shared" si="150"/>
        <v/>
      </c>
      <c r="AJ231" s="1086">
        <f t="shared" si="151"/>
        <v>1</v>
      </c>
      <c r="AK231" s="1086" t="str">
        <f t="shared" si="152"/>
        <v/>
      </c>
      <c r="AL231" s="1086" t="str">
        <f t="shared" si="153"/>
        <v/>
      </c>
      <c r="AM231" s="1086" t="str">
        <f t="shared" si="154"/>
        <v/>
      </c>
      <c r="AN231" s="1086" t="str">
        <f t="shared" si="155"/>
        <v/>
      </c>
      <c r="AO231" s="1086">
        <f t="shared" si="156"/>
        <v>1</v>
      </c>
      <c r="AP231" s="1086">
        <f t="shared" si="157"/>
        <v>1</v>
      </c>
      <c r="AQ231" s="1086" t="str">
        <f t="shared" si="158"/>
        <v/>
      </c>
      <c r="AR231" s="1086" t="str">
        <f t="shared" si="159"/>
        <v/>
      </c>
      <c r="AS231" s="1086" t="str">
        <f t="shared" si="160"/>
        <v/>
      </c>
      <c r="AT231" s="1086" t="str">
        <f t="shared" si="161"/>
        <v/>
      </c>
      <c r="AU231" s="1086" t="str">
        <f t="shared" si="162"/>
        <v/>
      </c>
      <c r="AV231" s="1086" t="str">
        <f t="shared" si="163"/>
        <v/>
      </c>
      <c r="AW231" s="1086">
        <f t="shared" si="164"/>
        <v>1</v>
      </c>
      <c r="AX231" s="1086" t="str">
        <f t="shared" si="165"/>
        <v/>
      </c>
      <c r="AY231" s="1086" t="str">
        <f t="shared" si="166"/>
        <v/>
      </c>
      <c r="AZ231" s="1086" t="str">
        <f t="shared" si="167"/>
        <v/>
      </c>
      <c r="BA231" s="1086" t="str">
        <f t="shared" si="168"/>
        <v/>
      </c>
      <c r="BB231" s="1086" t="str">
        <f t="shared" si="169"/>
        <v/>
      </c>
      <c r="BC231" s="1086" t="str">
        <f t="shared" si="170"/>
        <v/>
      </c>
      <c r="BD231" s="1086">
        <f t="shared" si="171"/>
        <v>1</v>
      </c>
      <c r="BE231" s="1086">
        <f t="shared" si="172"/>
        <v>1</v>
      </c>
      <c r="BF231" s="1086" t="str">
        <f t="shared" si="173"/>
        <v/>
      </c>
      <c r="BG231" s="1086" t="str">
        <f t="shared" si="174"/>
        <v/>
      </c>
      <c r="BH231" s="1086" t="str">
        <f t="shared" si="175"/>
        <v/>
      </c>
      <c r="BI231" s="1086" t="str">
        <f t="shared" si="176"/>
        <v/>
      </c>
      <c r="BJ231" s="1086" t="str">
        <f t="shared" si="177"/>
        <v/>
      </c>
      <c r="BK231" s="1086" t="str">
        <f t="shared" si="178"/>
        <v/>
      </c>
      <c r="BL231" s="1086" t="str">
        <f t="shared" si="179"/>
        <v/>
      </c>
      <c r="BM231" s="1086">
        <f t="shared" si="180"/>
        <v>1</v>
      </c>
      <c r="BN231" s="1086" t="str">
        <f t="shared" si="181"/>
        <v/>
      </c>
      <c r="BO231" s="1086" t="str">
        <f t="shared" si="182"/>
        <v/>
      </c>
      <c r="BP231" s="1086" t="str">
        <f t="shared" si="183"/>
        <v/>
      </c>
      <c r="BQ231" s="1086" t="str">
        <f t="shared" si="184"/>
        <v/>
      </c>
      <c r="BR231" s="1086">
        <f t="shared" si="185"/>
        <v>1</v>
      </c>
      <c r="BS231" s="1086" t="str">
        <f t="shared" si="186"/>
        <v/>
      </c>
      <c r="BT231" s="1086" t="str">
        <f t="shared" si="187"/>
        <v/>
      </c>
      <c r="BU231" s="1086" t="str">
        <f t="shared" si="188"/>
        <v/>
      </c>
      <c r="BV231" s="1086">
        <f t="shared" si="189"/>
        <v>1</v>
      </c>
      <c r="BW231" s="1086" t="str">
        <f t="shared" si="190"/>
        <v/>
      </c>
      <c r="BX231" s="1086" t="str">
        <f t="shared" si="191"/>
        <v/>
      </c>
      <c r="BY231" s="1086" t="str">
        <f t="shared" si="192"/>
        <v/>
      </c>
      <c r="BZ231" s="1086" t="str">
        <f t="shared" si="193"/>
        <v/>
      </c>
      <c r="CA231" s="1086" t="str">
        <f t="shared" si="194"/>
        <v/>
      </c>
      <c r="CB231" s="1086" t="str">
        <f t="shared" si="195"/>
        <v/>
      </c>
      <c r="CC231" s="1086" t="str">
        <f t="shared" si="196"/>
        <v/>
      </c>
      <c r="CD231" s="1086" t="str">
        <f t="shared" si="197"/>
        <v/>
      </c>
      <c r="CE231" s="1086" t="str">
        <f t="shared" si="198"/>
        <v/>
      </c>
      <c r="CF231" s="1086" t="str">
        <f t="shared" si="199"/>
        <v/>
      </c>
      <c r="CG231" s="1086" t="str">
        <f t="shared" si="200"/>
        <v/>
      </c>
      <c r="CH231" s="1086" t="str">
        <f t="shared" si="201"/>
        <v/>
      </c>
      <c r="CI231" s="1086" t="str">
        <f t="shared" si="202"/>
        <v/>
      </c>
      <c r="CJ231" s="1086" t="str">
        <f t="shared" si="211"/>
        <v/>
      </c>
      <c r="CK231" s="1086" t="str">
        <f t="shared" si="212"/>
        <v/>
      </c>
      <c r="CL231" s="1086" t="str">
        <f t="shared" si="203"/>
        <v/>
      </c>
      <c r="CM231" s="1086" t="str">
        <f t="shared" si="204"/>
        <v/>
      </c>
      <c r="CN231" s="1086" t="str">
        <f t="shared" si="205"/>
        <v/>
      </c>
      <c r="CO231" s="1086" t="str">
        <f t="shared" si="206"/>
        <v/>
      </c>
      <c r="CP231" s="1086" t="str">
        <f t="shared" si="207"/>
        <v/>
      </c>
      <c r="CQ231" s="1086" t="str">
        <f t="shared" si="208"/>
        <v/>
      </c>
      <c r="CR231" s="1086" t="str">
        <f t="shared" si="209"/>
        <v/>
      </c>
      <c r="CS231" s="1151" t="str">
        <f t="shared" si="210"/>
        <v/>
      </c>
    </row>
    <row r="232" spans="2:97">
      <c r="B232" s="1725"/>
      <c r="E232" s="967" t="s">
        <v>27</v>
      </c>
      <c r="G232" s="967" t="s">
        <v>27</v>
      </c>
      <c r="H232" s="956" t="s">
        <v>109</v>
      </c>
      <c r="Q232" s="922" t="s">
        <v>20</v>
      </c>
      <c r="R232" s="10">
        <f t="shared" si="135"/>
        <v>5</v>
      </c>
      <c r="S232" s="10">
        <f t="shared" si="136"/>
        <v>7</v>
      </c>
      <c r="U232" s="1131" t="s">
        <v>1271</v>
      </c>
      <c r="V232" s="1101">
        <f t="shared" si="137"/>
        <v>3</v>
      </c>
      <c r="W232" s="1101">
        <f t="shared" si="138"/>
        <v>4</v>
      </c>
      <c r="X232" s="1101">
        <f t="shared" si="139"/>
        <v>2</v>
      </c>
      <c r="Y232" s="1101">
        <f t="shared" si="140"/>
        <v>5</v>
      </c>
      <c r="Z232" s="1101">
        <f t="shared" si="141"/>
        <v>4</v>
      </c>
      <c r="AA232" s="1101">
        <f t="shared" si="142"/>
        <v>3</v>
      </c>
      <c r="AB232" s="1101">
        <f t="shared" si="143"/>
        <v>4</v>
      </c>
      <c r="AC232" s="1101">
        <f t="shared" si="144"/>
        <v>6</v>
      </c>
      <c r="AD232" s="1101">
        <f t="shared" si="145"/>
        <v>3</v>
      </c>
      <c r="AE232" s="1101">
        <f t="shared" si="146"/>
        <v>3</v>
      </c>
      <c r="AF232" s="1101">
        <f t="shared" si="147"/>
        <v>6</v>
      </c>
      <c r="AG232" s="1101">
        <f t="shared" si="148"/>
        <v>5</v>
      </c>
      <c r="AH232" s="1101">
        <f t="shared" si="149"/>
        <v>3</v>
      </c>
      <c r="AI232" s="1101">
        <f t="shared" si="150"/>
        <v>6</v>
      </c>
      <c r="AJ232" s="1101">
        <f t="shared" si="151"/>
        <v>2</v>
      </c>
      <c r="AK232" s="1101">
        <f t="shared" si="152"/>
        <v>7</v>
      </c>
      <c r="AL232" s="1101">
        <f t="shared" si="153"/>
        <v>9</v>
      </c>
      <c r="AM232" s="1101">
        <f t="shared" si="154"/>
        <v>1</v>
      </c>
      <c r="AN232" s="1101">
        <f t="shared" si="155"/>
        <v>7</v>
      </c>
      <c r="AO232" s="1101">
        <f t="shared" si="156"/>
        <v>6</v>
      </c>
      <c r="AP232" s="1101">
        <f t="shared" si="157"/>
        <v>3</v>
      </c>
      <c r="AQ232" s="1101">
        <f t="shared" si="158"/>
        <v>7</v>
      </c>
      <c r="AR232" s="1101">
        <f t="shared" si="159"/>
        <v>3</v>
      </c>
      <c r="AS232" s="1101">
        <f t="shared" si="160"/>
        <v>3</v>
      </c>
      <c r="AT232" s="1101">
        <f t="shared" si="161"/>
        <v>3</v>
      </c>
      <c r="AU232" s="1101">
        <f t="shared" si="162"/>
        <v>3</v>
      </c>
      <c r="AV232" s="1101">
        <f t="shared" si="163"/>
        <v>3</v>
      </c>
      <c r="AW232" s="1101">
        <f t="shared" si="164"/>
        <v>2</v>
      </c>
      <c r="AX232" s="1101">
        <f t="shared" si="165"/>
        <v>3</v>
      </c>
      <c r="AY232" s="1101">
        <f t="shared" si="166"/>
        <v>2</v>
      </c>
      <c r="AZ232" s="1101">
        <f t="shared" si="167"/>
        <v>1</v>
      </c>
      <c r="BA232" s="1101">
        <f t="shared" si="168"/>
        <v>3</v>
      </c>
      <c r="BB232" s="1101">
        <f t="shared" si="169"/>
        <v>4</v>
      </c>
      <c r="BC232" s="1101">
        <f t="shared" si="170"/>
        <v>5</v>
      </c>
      <c r="BD232" s="1101">
        <f t="shared" si="171"/>
        <v>2</v>
      </c>
      <c r="BE232" s="1101">
        <f t="shared" si="172"/>
        <v>4</v>
      </c>
      <c r="BF232" s="1101">
        <f t="shared" si="173"/>
        <v>3</v>
      </c>
      <c r="BG232" s="1101">
        <f t="shared" si="174"/>
        <v>4</v>
      </c>
      <c r="BH232" s="1101">
        <f t="shared" si="175"/>
        <v>1</v>
      </c>
      <c r="BI232" s="1101">
        <f t="shared" si="176"/>
        <v>2</v>
      </c>
      <c r="BJ232" s="1101">
        <f t="shared" si="177"/>
        <v>3</v>
      </c>
      <c r="BK232" s="1101">
        <f t="shared" si="178"/>
        <v>3</v>
      </c>
      <c r="BL232" s="1101">
        <f t="shared" si="179"/>
        <v>1</v>
      </c>
      <c r="BM232" s="1101">
        <f t="shared" si="180"/>
        <v>2</v>
      </c>
      <c r="BN232" s="1101">
        <f t="shared" si="181"/>
        <v>3</v>
      </c>
      <c r="BO232" s="1101">
        <f t="shared" si="182"/>
        <v>2</v>
      </c>
      <c r="BP232" s="1101">
        <f t="shared" si="183"/>
        <v>1</v>
      </c>
      <c r="BQ232" s="1101">
        <f t="shared" si="184"/>
        <v>2</v>
      </c>
      <c r="BR232" s="1101">
        <f t="shared" si="185"/>
        <v>1</v>
      </c>
      <c r="BS232" s="1101">
        <f t="shared" si="186"/>
        <v>3</v>
      </c>
      <c r="BT232" s="1101">
        <f t="shared" si="187"/>
        <v>1</v>
      </c>
      <c r="BU232" s="1101">
        <f t="shared" si="188"/>
        <v>3</v>
      </c>
      <c r="BV232" s="1101">
        <f t="shared" si="189"/>
        <v>3</v>
      </c>
      <c r="BW232" s="1101">
        <f t="shared" si="190"/>
        <v>4</v>
      </c>
      <c r="BX232" s="1101">
        <f t="shared" si="191"/>
        <v>2</v>
      </c>
      <c r="BY232" s="1101">
        <f t="shared" si="192"/>
        <v>2</v>
      </c>
      <c r="BZ232" s="1101">
        <f t="shared" si="193"/>
        <v>3</v>
      </c>
      <c r="CA232" s="1101">
        <f t="shared" si="194"/>
        <v>6</v>
      </c>
      <c r="CB232" s="1101">
        <f t="shared" si="195"/>
        <v>3</v>
      </c>
      <c r="CC232" s="1101">
        <f t="shared" si="196"/>
        <v>1</v>
      </c>
      <c r="CD232" s="1101">
        <f t="shared" si="197"/>
        <v>3</v>
      </c>
      <c r="CE232" s="1101">
        <f t="shared" si="198"/>
        <v>4</v>
      </c>
      <c r="CF232" s="1101">
        <f t="shared" si="199"/>
        <v>1</v>
      </c>
      <c r="CG232" s="1101">
        <f t="shared" si="200"/>
        <v>1</v>
      </c>
      <c r="CH232" s="1101">
        <f t="shared" si="201"/>
        <v>3</v>
      </c>
      <c r="CI232" s="1101" t="str">
        <f t="shared" si="202"/>
        <v/>
      </c>
      <c r="CJ232" s="1101">
        <f t="shared" si="211"/>
        <v>1</v>
      </c>
      <c r="CK232" s="1101">
        <f t="shared" si="212"/>
        <v>4</v>
      </c>
      <c r="CL232" s="1101">
        <f t="shared" si="203"/>
        <v>4</v>
      </c>
      <c r="CM232" s="1101">
        <f t="shared" si="204"/>
        <v>3</v>
      </c>
      <c r="CN232" s="1101">
        <f t="shared" si="205"/>
        <v>3</v>
      </c>
      <c r="CO232" s="1101">
        <f t="shared" si="206"/>
        <v>3</v>
      </c>
      <c r="CP232" s="1101">
        <f t="shared" si="207"/>
        <v>4</v>
      </c>
      <c r="CQ232" s="1101">
        <f t="shared" si="208"/>
        <v>2</v>
      </c>
      <c r="CR232" s="1101">
        <f t="shared" si="209"/>
        <v>3</v>
      </c>
      <c r="CS232" s="1161">
        <f t="shared" si="210"/>
        <v>2</v>
      </c>
    </row>
    <row r="233" spans="2:97">
      <c r="B233" s="1725"/>
      <c r="C233" t="s">
        <v>2612</v>
      </c>
      <c r="D233" t="s">
        <v>2612</v>
      </c>
      <c r="E233" t="s">
        <v>2612</v>
      </c>
      <c r="F233" t="s">
        <v>2612</v>
      </c>
      <c r="G233" t="s">
        <v>2612</v>
      </c>
      <c r="H233" t="s">
        <v>2612</v>
      </c>
      <c r="I233" t="s">
        <v>2612</v>
      </c>
      <c r="J233" t="s">
        <v>2612</v>
      </c>
      <c r="K233" t="s">
        <v>2612</v>
      </c>
      <c r="L233" s="957" t="s">
        <v>2612</v>
      </c>
      <c r="M233" t="s">
        <v>2612</v>
      </c>
      <c r="Q233" s="894" t="s">
        <v>44</v>
      </c>
      <c r="R233" s="39">
        <f t="shared" si="135"/>
        <v>45</v>
      </c>
      <c r="S233" s="39">
        <f t="shared" si="136"/>
        <v>69</v>
      </c>
      <c r="U233" s="1132" t="s">
        <v>20</v>
      </c>
      <c r="V233" s="10">
        <f t="shared" si="137"/>
        <v>1</v>
      </c>
      <c r="W233" s="10" t="str">
        <f t="shared" si="138"/>
        <v/>
      </c>
      <c r="X233" s="10" t="str">
        <f t="shared" si="139"/>
        <v/>
      </c>
      <c r="Y233" s="10" t="str">
        <f t="shared" si="140"/>
        <v/>
      </c>
      <c r="Z233" s="10" t="str">
        <f t="shared" si="141"/>
        <v/>
      </c>
      <c r="AA233" s="10" t="str">
        <f t="shared" si="142"/>
        <v/>
      </c>
      <c r="AB233" s="10" t="str">
        <f t="shared" si="143"/>
        <v/>
      </c>
      <c r="AC233" s="10">
        <f t="shared" si="144"/>
        <v>1</v>
      </c>
      <c r="AD233" s="10" t="str">
        <f t="shared" si="145"/>
        <v/>
      </c>
      <c r="AE233" s="10" t="str">
        <f t="shared" si="146"/>
        <v/>
      </c>
      <c r="AF233" s="10" t="str">
        <f t="shared" si="147"/>
        <v/>
      </c>
      <c r="AG233" s="10" t="str">
        <f t="shared" si="148"/>
        <v/>
      </c>
      <c r="AH233" s="10">
        <f t="shared" si="149"/>
        <v>1</v>
      </c>
      <c r="AI233" s="10" t="str">
        <f t="shared" si="150"/>
        <v/>
      </c>
      <c r="AJ233" s="10" t="str">
        <f t="shared" si="151"/>
        <v/>
      </c>
      <c r="AK233" s="10" t="str">
        <f t="shared" si="152"/>
        <v/>
      </c>
      <c r="AL233" s="10" t="str">
        <f t="shared" si="153"/>
        <v/>
      </c>
      <c r="AM233" s="10" t="str">
        <f t="shared" si="154"/>
        <v/>
      </c>
      <c r="AN233" s="10" t="str">
        <f t="shared" si="155"/>
        <v/>
      </c>
      <c r="AO233" s="10" t="str">
        <f t="shared" si="156"/>
        <v/>
      </c>
      <c r="AP233" s="10">
        <f t="shared" si="157"/>
        <v>1</v>
      </c>
      <c r="AQ233" s="10" t="str">
        <f t="shared" si="158"/>
        <v/>
      </c>
      <c r="AR233" s="10" t="str">
        <f t="shared" si="159"/>
        <v/>
      </c>
      <c r="AS233" s="10" t="str">
        <f t="shared" si="160"/>
        <v/>
      </c>
      <c r="AT233" s="10" t="str">
        <f t="shared" si="161"/>
        <v/>
      </c>
      <c r="AU233" s="10" t="str">
        <f t="shared" si="162"/>
        <v/>
      </c>
      <c r="AV233" s="10" t="str">
        <f t="shared" si="163"/>
        <v/>
      </c>
      <c r="AW233" s="10" t="str">
        <f t="shared" si="164"/>
        <v/>
      </c>
      <c r="AX233" s="10" t="str">
        <f t="shared" si="165"/>
        <v/>
      </c>
      <c r="AY233" s="10">
        <f t="shared" si="166"/>
        <v>1</v>
      </c>
      <c r="AZ233" s="10" t="str">
        <f t="shared" si="167"/>
        <v/>
      </c>
      <c r="BA233" s="10" t="str">
        <f t="shared" si="168"/>
        <v/>
      </c>
      <c r="BB233" s="10" t="str">
        <f t="shared" si="169"/>
        <v/>
      </c>
      <c r="BC233" s="10">
        <f t="shared" si="170"/>
        <v>1</v>
      </c>
      <c r="BD233" s="10" t="str">
        <f t="shared" si="171"/>
        <v/>
      </c>
      <c r="BE233" s="10" t="str">
        <f t="shared" si="172"/>
        <v/>
      </c>
      <c r="BF233" s="10" t="str">
        <f t="shared" si="173"/>
        <v/>
      </c>
      <c r="BG233" s="10" t="str">
        <f t="shared" si="174"/>
        <v/>
      </c>
      <c r="BH233" s="10" t="str">
        <f t="shared" si="175"/>
        <v/>
      </c>
      <c r="BI233" s="10" t="str">
        <f t="shared" si="176"/>
        <v/>
      </c>
      <c r="BJ233" s="10" t="str">
        <f t="shared" si="177"/>
        <v/>
      </c>
      <c r="BK233" s="10" t="str">
        <f t="shared" si="178"/>
        <v/>
      </c>
      <c r="BL233" s="10" t="str">
        <f t="shared" si="179"/>
        <v/>
      </c>
      <c r="BM233" s="10" t="str">
        <f t="shared" si="180"/>
        <v/>
      </c>
      <c r="BN233" s="10">
        <f t="shared" si="181"/>
        <v>1</v>
      </c>
      <c r="BO233" s="10" t="str">
        <f t="shared" si="182"/>
        <v/>
      </c>
      <c r="BP233" s="10" t="str">
        <f t="shared" si="183"/>
        <v/>
      </c>
      <c r="BQ233" s="10" t="str">
        <f t="shared" si="184"/>
        <v/>
      </c>
      <c r="BR233" s="10" t="str">
        <f t="shared" si="185"/>
        <v/>
      </c>
      <c r="BS233" s="10" t="str">
        <f t="shared" si="186"/>
        <v/>
      </c>
      <c r="BT233" s="10">
        <f t="shared" si="187"/>
        <v>1</v>
      </c>
      <c r="BU233" s="10" t="str">
        <f t="shared" si="188"/>
        <v/>
      </c>
      <c r="BV233" s="10" t="str">
        <f t="shared" si="189"/>
        <v/>
      </c>
      <c r="BW233" s="10">
        <f t="shared" si="190"/>
        <v>1</v>
      </c>
      <c r="BX233" s="10" t="str">
        <f t="shared" si="191"/>
        <v/>
      </c>
      <c r="BY233" s="10" t="str">
        <f t="shared" si="192"/>
        <v/>
      </c>
      <c r="BZ233" s="10" t="str">
        <f t="shared" si="193"/>
        <v/>
      </c>
      <c r="CA233" s="10" t="str">
        <f t="shared" si="194"/>
        <v/>
      </c>
      <c r="CB233" s="10" t="str">
        <f t="shared" si="195"/>
        <v/>
      </c>
      <c r="CC233" s="10">
        <f t="shared" si="196"/>
        <v>1</v>
      </c>
      <c r="CD233" s="10" t="str">
        <f t="shared" si="197"/>
        <v/>
      </c>
      <c r="CE233" s="10" t="str">
        <f t="shared" si="198"/>
        <v/>
      </c>
      <c r="CF233" s="10" t="str">
        <f t="shared" si="199"/>
        <v/>
      </c>
      <c r="CG233" s="10" t="str">
        <f t="shared" si="200"/>
        <v/>
      </c>
      <c r="CH233" s="10" t="str">
        <f t="shared" si="201"/>
        <v/>
      </c>
      <c r="CI233" s="10" t="str">
        <f t="shared" si="202"/>
        <v/>
      </c>
      <c r="CJ233" s="10" t="str">
        <f t="shared" si="211"/>
        <v/>
      </c>
      <c r="CK233" s="10">
        <f t="shared" si="212"/>
        <v>1</v>
      </c>
      <c r="CL233" s="10" t="str">
        <f t="shared" si="203"/>
        <v/>
      </c>
      <c r="CM233" s="10" t="str">
        <f t="shared" si="204"/>
        <v/>
      </c>
      <c r="CN233" s="10" t="str">
        <f t="shared" si="205"/>
        <v/>
      </c>
      <c r="CO233" s="10">
        <f t="shared" si="206"/>
        <v>1</v>
      </c>
      <c r="CP233" s="10" t="str">
        <f t="shared" si="207"/>
        <v/>
      </c>
      <c r="CQ233" s="10" t="str">
        <f t="shared" si="208"/>
        <v/>
      </c>
      <c r="CR233" s="10" t="str">
        <f t="shared" si="209"/>
        <v/>
      </c>
      <c r="CS233" s="1162" t="str">
        <f t="shared" si="210"/>
        <v/>
      </c>
    </row>
    <row r="234" spans="2:97">
      <c r="B234" s="1725"/>
      <c r="C234" s="993" t="s">
        <v>20</v>
      </c>
      <c r="D234" s="981" t="s">
        <v>1271</v>
      </c>
      <c r="E234" s="977" t="s">
        <v>1270</v>
      </c>
      <c r="F234" s="974" t="s">
        <v>1269</v>
      </c>
      <c r="G234" s="981" t="s">
        <v>1271</v>
      </c>
      <c r="H234" s="963" t="s">
        <v>46</v>
      </c>
      <c r="I234" s="974" t="s">
        <v>1269</v>
      </c>
      <c r="J234" s="970" t="s">
        <v>68</v>
      </c>
      <c r="K234" s="963" t="s">
        <v>46</v>
      </c>
      <c r="L234" s="981" t="s">
        <v>1271</v>
      </c>
      <c r="M234" s="964" t="s">
        <v>44</v>
      </c>
      <c r="O234" s="58"/>
      <c r="Q234" s="923" t="s">
        <v>339</v>
      </c>
      <c r="R234" s="277">
        <f t="shared" si="135"/>
        <v>9</v>
      </c>
      <c r="S234" s="277">
        <f t="shared" si="136"/>
        <v>12</v>
      </c>
      <c r="U234" s="1133" t="s">
        <v>44</v>
      </c>
      <c r="V234" s="39">
        <f t="shared" si="137"/>
        <v>3</v>
      </c>
      <c r="W234" s="39">
        <f t="shared" si="138"/>
        <v>5</v>
      </c>
      <c r="X234" s="39">
        <f t="shared" si="139"/>
        <v>2</v>
      </c>
      <c r="Y234" s="39">
        <f t="shared" si="140"/>
        <v>4</v>
      </c>
      <c r="Z234" s="39">
        <f t="shared" si="141"/>
        <v>4</v>
      </c>
      <c r="AA234" s="39">
        <f t="shared" si="142"/>
        <v>3</v>
      </c>
      <c r="AB234" s="39">
        <f t="shared" si="143"/>
        <v>2</v>
      </c>
      <c r="AC234" s="39">
        <f t="shared" si="144"/>
        <v>2</v>
      </c>
      <c r="AD234" s="39" t="str">
        <f t="shared" si="145"/>
        <v/>
      </c>
      <c r="AE234" s="39">
        <f t="shared" si="146"/>
        <v>2</v>
      </c>
      <c r="AF234" s="39">
        <f t="shared" si="147"/>
        <v>2</v>
      </c>
      <c r="AG234" s="39">
        <f t="shared" si="148"/>
        <v>3</v>
      </c>
      <c r="AH234" s="39">
        <f t="shared" si="149"/>
        <v>4</v>
      </c>
      <c r="AI234" s="39">
        <f t="shared" si="150"/>
        <v>3</v>
      </c>
      <c r="AJ234" s="39">
        <f t="shared" si="151"/>
        <v>2</v>
      </c>
      <c r="AK234" s="39">
        <f t="shared" si="152"/>
        <v>2</v>
      </c>
      <c r="AL234" s="39" t="str">
        <f t="shared" si="153"/>
        <v/>
      </c>
      <c r="AM234" s="39">
        <f t="shared" si="154"/>
        <v>5</v>
      </c>
      <c r="AN234" s="39">
        <f t="shared" si="155"/>
        <v>1</v>
      </c>
      <c r="AO234" s="39">
        <f t="shared" si="156"/>
        <v>2</v>
      </c>
      <c r="AP234" s="39" t="str">
        <f t="shared" si="157"/>
        <v/>
      </c>
      <c r="AQ234" s="39">
        <f t="shared" si="158"/>
        <v>4</v>
      </c>
      <c r="AR234" s="39" t="str">
        <f t="shared" si="159"/>
        <v/>
      </c>
      <c r="AS234" s="39">
        <f t="shared" si="160"/>
        <v>3</v>
      </c>
      <c r="AT234" s="39">
        <f t="shared" si="161"/>
        <v>2</v>
      </c>
      <c r="AU234" s="39">
        <f t="shared" si="162"/>
        <v>2</v>
      </c>
      <c r="AV234" s="39">
        <f t="shared" si="163"/>
        <v>2</v>
      </c>
      <c r="AW234" s="39">
        <f t="shared" si="164"/>
        <v>2</v>
      </c>
      <c r="AX234" s="39" t="str">
        <f t="shared" si="165"/>
        <v/>
      </c>
      <c r="AY234" s="39">
        <f t="shared" si="166"/>
        <v>3</v>
      </c>
      <c r="AZ234" s="39">
        <f t="shared" si="167"/>
        <v>1</v>
      </c>
      <c r="BA234" s="39">
        <f t="shared" si="168"/>
        <v>1</v>
      </c>
      <c r="BB234" s="39">
        <f t="shared" si="169"/>
        <v>1</v>
      </c>
      <c r="BC234" s="39">
        <f t="shared" si="170"/>
        <v>4</v>
      </c>
      <c r="BD234" s="39">
        <f t="shared" si="171"/>
        <v>1</v>
      </c>
      <c r="BE234" s="39">
        <f t="shared" si="172"/>
        <v>2</v>
      </c>
      <c r="BF234" s="39">
        <f t="shared" si="173"/>
        <v>1</v>
      </c>
      <c r="BG234" s="39" t="str">
        <f t="shared" si="174"/>
        <v/>
      </c>
      <c r="BH234" s="39">
        <f t="shared" si="175"/>
        <v>1</v>
      </c>
      <c r="BI234" s="39" t="str">
        <f t="shared" si="176"/>
        <v/>
      </c>
      <c r="BJ234" s="39">
        <f t="shared" si="177"/>
        <v>1</v>
      </c>
      <c r="BK234" s="39">
        <f t="shared" si="178"/>
        <v>1</v>
      </c>
      <c r="BL234" s="39">
        <f t="shared" si="179"/>
        <v>1</v>
      </c>
      <c r="BM234" s="39">
        <f t="shared" si="180"/>
        <v>1</v>
      </c>
      <c r="BN234" s="39">
        <f t="shared" si="181"/>
        <v>1</v>
      </c>
      <c r="BO234" s="39">
        <f t="shared" si="182"/>
        <v>2</v>
      </c>
      <c r="BP234" s="39" t="str">
        <f t="shared" si="183"/>
        <v/>
      </c>
      <c r="BQ234" s="39">
        <f t="shared" si="184"/>
        <v>1</v>
      </c>
      <c r="BR234" s="39" t="str">
        <f t="shared" si="185"/>
        <v/>
      </c>
      <c r="BS234" s="39" t="str">
        <f t="shared" si="186"/>
        <v/>
      </c>
      <c r="BT234" s="39">
        <f t="shared" si="187"/>
        <v>1</v>
      </c>
      <c r="BU234" s="39" t="str">
        <f t="shared" si="188"/>
        <v/>
      </c>
      <c r="BV234" s="39" t="str">
        <f t="shared" si="189"/>
        <v/>
      </c>
      <c r="BW234" s="39">
        <f t="shared" si="190"/>
        <v>1</v>
      </c>
      <c r="BX234" s="39">
        <f t="shared" si="191"/>
        <v>1</v>
      </c>
      <c r="BY234" s="39" t="str">
        <f t="shared" si="192"/>
        <v/>
      </c>
      <c r="BZ234" s="39">
        <f t="shared" si="193"/>
        <v>2</v>
      </c>
      <c r="CA234" s="39">
        <f t="shared" si="194"/>
        <v>2</v>
      </c>
      <c r="CB234" s="39">
        <f t="shared" si="195"/>
        <v>3</v>
      </c>
      <c r="CC234" s="39" t="str">
        <f t="shared" si="196"/>
        <v/>
      </c>
      <c r="CD234" s="39" t="str">
        <f t="shared" si="197"/>
        <v/>
      </c>
      <c r="CE234" s="39">
        <f t="shared" si="198"/>
        <v>2</v>
      </c>
      <c r="CF234" s="39">
        <f t="shared" si="199"/>
        <v>1</v>
      </c>
      <c r="CG234" s="39" t="str">
        <f t="shared" si="200"/>
        <v/>
      </c>
      <c r="CH234" s="39">
        <f t="shared" si="201"/>
        <v>1</v>
      </c>
      <c r="CI234" s="39">
        <f t="shared" si="202"/>
        <v>3</v>
      </c>
      <c r="CJ234" s="39" t="str">
        <f t="shared" si="211"/>
        <v/>
      </c>
      <c r="CK234" s="39" t="str">
        <f t="shared" si="212"/>
        <v/>
      </c>
      <c r="CL234" s="39">
        <f t="shared" si="203"/>
        <v>1</v>
      </c>
      <c r="CM234" s="39">
        <f t="shared" si="204"/>
        <v>3</v>
      </c>
      <c r="CN234" s="39">
        <f t="shared" si="205"/>
        <v>1</v>
      </c>
      <c r="CO234" s="39">
        <f t="shared" si="206"/>
        <v>1</v>
      </c>
      <c r="CP234" s="39">
        <f t="shared" si="207"/>
        <v>1</v>
      </c>
      <c r="CQ234" s="39" t="str">
        <f t="shared" si="208"/>
        <v/>
      </c>
      <c r="CR234" s="39">
        <f t="shared" si="209"/>
        <v>1</v>
      </c>
      <c r="CS234" s="1163" t="str">
        <f t="shared" si="210"/>
        <v/>
      </c>
    </row>
    <row r="235" spans="2:97">
      <c r="B235" s="1725"/>
      <c r="D235" s="189" t="s">
        <v>47</v>
      </c>
      <c r="E235" s="967" t="s">
        <v>27</v>
      </c>
      <c r="H235" s="977" t="s">
        <v>1270</v>
      </c>
      <c r="J235" s="961" t="s">
        <v>339</v>
      </c>
      <c r="K235" s="981" t="s">
        <v>1271</v>
      </c>
      <c r="O235" s="990"/>
      <c r="Q235" s="924" t="s">
        <v>73</v>
      </c>
      <c r="R235">
        <f t="shared" si="135"/>
        <v>5</v>
      </c>
      <c r="S235">
        <f t="shared" si="136"/>
        <v>2</v>
      </c>
      <c r="U235" s="1134" t="s">
        <v>339</v>
      </c>
      <c r="V235" s="361" t="str">
        <f t="shared" si="137"/>
        <v/>
      </c>
      <c r="W235" s="361" t="str">
        <f t="shared" si="138"/>
        <v/>
      </c>
      <c r="X235" s="361">
        <f t="shared" si="139"/>
        <v>1</v>
      </c>
      <c r="Y235" s="361" t="str">
        <f t="shared" si="140"/>
        <v/>
      </c>
      <c r="Z235" s="361" t="str">
        <f t="shared" si="141"/>
        <v/>
      </c>
      <c r="AA235" s="361">
        <f t="shared" si="142"/>
        <v>1</v>
      </c>
      <c r="AB235" s="361" t="str">
        <f t="shared" si="143"/>
        <v/>
      </c>
      <c r="AC235" s="361" t="str">
        <f t="shared" si="144"/>
        <v/>
      </c>
      <c r="AD235" s="361" t="str">
        <f t="shared" si="145"/>
        <v/>
      </c>
      <c r="AE235" s="361" t="str">
        <f t="shared" si="146"/>
        <v/>
      </c>
      <c r="AF235" s="361" t="str">
        <f t="shared" si="147"/>
        <v/>
      </c>
      <c r="AG235" s="361" t="str">
        <f>IF(COUNTIF(C$100:O$100,$U235)+COUNTIF(C$94:O$95,$U235)&gt;0,COUNTIF(C$94:O$95,$U235)+COUNTIF(C$100:O$100,$U235), "")</f>
        <v/>
      </c>
      <c r="AH235" s="361" t="str">
        <f t="shared" si="149"/>
        <v/>
      </c>
      <c r="AI235" s="361">
        <f t="shared" si="150"/>
        <v>1</v>
      </c>
      <c r="AJ235" s="361" t="str">
        <f t="shared" si="151"/>
        <v/>
      </c>
      <c r="AK235" s="361" t="str">
        <f t="shared" si="152"/>
        <v/>
      </c>
      <c r="AL235" s="361" t="str">
        <f t="shared" si="153"/>
        <v/>
      </c>
      <c r="AM235" s="361">
        <f t="shared" si="154"/>
        <v>1</v>
      </c>
      <c r="AN235" s="361" t="str">
        <f t="shared" si="155"/>
        <v/>
      </c>
      <c r="AO235" s="361" t="str">
        <f t="shared" si="156"/>
        <v/>
      </c>
      <c r="AP235" s="361">
        <f t="shared" si="157"/>
        <v>1</v>
      </c>
      <c r="AQ235" s="361" t="str">
        <f t="shared" si="158"/>
        <v/>
      </c>
      <c r="AR235" s="361" t="str">
        <f t="shared" si="159"/>
        <v/>
      </c>
      <c r="AS235" s="361" t="str">
        <f t="shared" si="160"/>
        <v/>
      </c>
      <c r="AT235" s="361">
        <f t="shared" si="161"/>
        <v>1</v>
      </c>
      <c r="AU235" s="361">
        <f t="shared" si="162"/>
        <v>1</v>
      </c>
      <c r="AV235" s="361" t="str">
        <f t="shared" si="163"/>
        <v/>
      </c>
      <c r="AW235" s="361">
        <f t="shared" si="164"/>
        <v>1</v>
      </c>
      <c r="AX235" s="361">
        <f t="shared" si="165"/>
        <v>1</v>
      </c>
      <c r="AY235" s="361" t="str">
        <f t="shared" si="166"/>
        <v/>
      </c>
      <c r="AZ235" s="361" t="str">
        <f t="shared" si="167"/>
        <v/>
      </c>
      <c r="BA235" s="361">
        <f t="shared" si="168"/>
        <v>1</v>
      </c>
      <c r="BB235" s="361" t="str">
        <f t="shared" si="169"/>
        <v/>
      </c>
      <c r="BC235" s="361" t="str">
        <f t="shared" si="170"/>
        <v/>
      </c>
      <c r="BD235" s="361" t="str">
        <f t="shared" si="171"/>
        <v/>
      </c>
      <c r="BE235" s="361">
        <f t="shared" si="172"/>
        <v>1</v>
      </c>
      <c r="BF235" s="361">
        <f t="shared" si="173"/>
        <v>1</v>
      </c>
      <c r="BG235" s="361">
        <f t="shared" si="174"/>
        <v>1</v>
      </c>
      <c r="BH235" s="361" t="str">
        <f t="shared" si="175"/>
        <v/>
      </c>
      <c r="BI235" s="361">
        <f t="shared" si="176"/>
        <v>1</v>
      </c>
      <c r="BJ235" s="361" t="str">
        <f t="shared" si="177"/>
        <v/>
      </c>
      <c r="BK235" s="361">
        <f t="shared" si="178"/>
        <v>1</v>
      </c>
      <c r="BL235" s="361" t="str">
        <f t="shared" si="179"/>
        <v/>
      </c>
      <c r="BM235" s="361" t="str">
        <f t="shared" si="180"/>
        <v/>
      </c>
      <c r="BN235" s="361">
        <f t="shared" si="181"/>
        <v>1</v>
      </c>
      <c r="BO235" s="361" t="str">
        <f t="shared" si="182"/>
        <v/>
      </c>
      <c r="BP235" s="361" t="str">
        <f t="shared" si="183"/>
        <v/>
      </c>
      <c r="BQ235" s="361" t="str">
        <f t="shared" si="184"/>
        <v/>
      </c>
      <c r="BR235" s="361" t="str">
        <f t="shared" si="185"/>
        <v/>
      </c>
      <c r="BS235" s="361" t="str">
        <f t="shared" si="186"/>
        <v/>
      </c>
      <c r="BT235" s="361" t="str">
        <f t="shared" si="187"/>
        <v/>
      </c>
      <c r="BU235" s="361">
        <f t="shared" si="188"/>
        <v>1</v>
      </c>
      <c r="BV235" s="361" t="str">
        <f t="shared" si="189"/>
        <v/>
      </c>
      <c r="BW235" s="361">
        <f t="shared" si="190"/>
        <v>1</v>
      </c>
      <c r="BX235" s="361">
        <f t="shared" si="191"/>
        <v>1</v>
      </c>
      <c r="BY235" s="361" t="str">
        <f t="shared" si="192"/>
        <v/>
      </c>
      <c r="BZ235" s="361" t="str">
        <f t="shared" si="193"/>
        <v/>
      </c>
      <c r="CA235" s="361" t="str">
        <f t="shared" si="194"/>
        <v/>
      </c>
      <c r="CB235" s="361" t="str">
        <f t="shared" si="195"/>
        <v/>
      </c>
      <c r="CC235" s="361" t="str">
        <f t="shared" si="196"/>
        <v/>
      </c>
      <c r="CD235" s="361" t="str">
        <f t="shared" si="197"/>
        <v/>
      </c>
      <c r="CE235" s="361" t="str">
        <f t="shared" si="198"/>
        <v/>
      </c>
      <c r="CF235" s="361" t="str">
        <f t="shared" si="199"/>
        <v/>
      </c>
      <c r="CG235" s="361" t="str">
        <f t="shared" si="200"/>
        <v/>
      </c>
      <c r="CH235" s="361" t="str">
        <f t="shared" si="201"/>
        <v/>
      </c>
      <c r="CI235" s="361" t="str">
        <f t="shared" si="202"/>
        <v/>
      </c>
      <c r="CJ235" s="361" t="str">
        <f t="shared" si="211"/>
        <v/>
      </c>
      <c r="CK235" s="361" t="str">
        <f t="shared" si="212"/>
        <v/>
      </c>
      <c r="CL235" s="361" t="str">
        <f t="shared" si="203"/>
        <v/>
      </c>
      <c r="CM235" s="361" t="str">
        <f t="shared" si="204"/>
        <v/>
      </c>
      <c r="CN235" s="361">
        <f t="shared" si="205"/>
        <v>1</v>
      </c>
      <c r="CO235" s="361" t="str">
        <f t="shared" si="206"/>
        <v/>
      </c>
      <c r="CP235" s="361" t="str">
        <f t="shared" si="207"/>
        <v/>
      </c>
      <c r="CQ235" s="361" t="str">
        <f t="shared" si="208"/>
        <v/>
      </c>
      <c r="CR235" s="361">
        <f t="shared" si="209"/>
        <v>1</v>
      </c>
      <c r="CS235" s="1164" t="str">
        <f t="shared" si="210"/>
        <v/>
      </c>
    </row>
    <row r="236" spans="2:97" ht="16.5" thickBot="1">
      <c r="B236" s="1726"/>
      <c r="C236" s="1036" t="s">
        <v>188</v>
      </c>
      <c r="D236" s="1036" t="s">
        <v>186</v>
      </c>
      <c r="E236" s="1036" t="s">
        <v>188</v>
      </c>
      <c r="F236" s="1036" t="s">
        <v>189</v>
      </c>
      <c r="G236" s="1036" t="s">
        <v>187</v>
      </c>
      <c r="H236" s="1036" t="s">
        <v>189</v>
      </c>
      <c r="I236" s="1036" t="s">
        <v>190</v>
      </c>
      <c r="J236" s="1036" t="s">
        <v>186</v>
      </c>
      <c r="K236" s="1036" t="s">
        <v>189</v>
      </c>
      <c r="L236" s="1036" t="s">
        <v>188</v>
      </c>
      <c r="M236" s="1036" t="s">
        <v>186</v>
      </c>
      <c r="N236" s="1036"/>
      <c r="O236" s="1036"/>
      <c r="Q236" s="925" t="s">
        <v>216</v>
      </c>
      <c r="R236" s="279">
        <f t="shared" si="135"/>
        <v>8</v>
      </c>
      <c r="S236" s="279">
        <f t="shared" si="136"/>
        <v>8</v>
      </c>
      <c r="U236" s="1135" t="s">
        <v>73</v>
      </c>
      <c r="V236" t="str">
        <f t="shared" si="137"/>
        <v/>
      </c>
      <c r="W236" t="str">
        <f t="shared" si="138"/>
        <v/>
      </c>
      <c r="X236" t="str">
        <f t="shared" si="139"/>
        <v/>
      </c>
      <c r="Y236" t="str">
        <f t="shared" si="140"/>
        <v/>
      </c>
      <c r="Z236" t="str">
        <f t="shared" si="141"/>
        <v/>
      </c>
      <c r="AA236" t="str">
        <f t="shared" si="142"/>
        <v/>
      </c>
      <c r="AB236" t="str">
        <f t="shared" si="143"/>
        <v/>
      </c>
      <c r="AC236" t="str">
        <f t="shared" si="144"/>
        <v/>
      </c>
      <c r="AD236" t="str">
        <f t="shared" si="145"/>
        <v/>
      </c>
      <c r="AE236" t="str">
        <f t="shared" si="146"/>
        <v/>
      </c>
      <c r="AF236" t="str">
        <f t="shared" si="147"/>
        <v/>
      </c>
      <c r="AG236" t="str">
        <f t="shared" si="148"/>
        <v/>
      </c>
      <c r="AH236" t="str">
        <f t="shared" si="149"/>
        <v/>
      </c>
      <c r="AI236" t="str">
        <f t="shared" si="150"/>
        <v/>
      </c>
      <c r="AJ236" t="str">
        <f t="shared" si="151"/>
        <v/>
      </c>
      <c r="AK236" t="str">
        <f t="shared" si="152"/>
        <v/>
      </c>
      <c r="AL236" t="str">
        <f t="shared" si="153"/>
        <v/>
      </c>
      <c r="AM236" t="str">
        <f t="shared" si="154"/>
        <v/>
      </c>
      <c r="AN236">
        <f t="shared" si="155"/>
        <v>1</v>
      </c>
      <c r="AO236" t="str">
        <f t="shared" si="156"/>
        <v/>
      </c>
      <c r="AP236" t="str">
        <f t="shared" si="157"/>
        <v/>
      </c>
      <c r="AQ236" t="str">
        <f t="shared" si="158"/>
        <v/>
      </c>
      <c r="AR236" t="str">
        <f t="shared" si="159"/>
        <v/>
      </c>
      <c r="AS236" t="str">
        <f t="shared" si="160"/>
        <v/>
      </c>
      <c r="AT236" t="str">
        <f t="shared" si="161"/>
        <v/>
      </c>
      <c r="AU236" t="str">
        <f t="shared" si="162"/>
        <v/>
      </c>
      <c r="AV236" t="str">
        <f t="shared" si="163"/>
        <v/>
      </c>
      <c r="AW236">
        <f t="shared" si="164"/>
        <v>1</v>
      </c>
      <c r="AX236" t="str">
        <f t="shared" si="165"/>
        <v/>
      </c>
      <c r="AY236" t="str">
        <f t="shared" si="166"/>
        <v/>
      </c>
      <c r="AZ236" t="str">
        <f t="shared" si="167"/>
        <v/>
      </c>
      <c r="BA236" t="str">
        <f t="shared" si="168"/>
        <v/>
      </c>
      <c r="BB236" t="str">
        <f t="shared" si="169"/>
        <v/>
      </c>
      <c r="BC236" t="str">
        <f t="shared" si="170"/>
        <v/>
      </c>
      <c r="BD236" t="str">
        <f t="shared" si="171"/>
        <v/>
      </c>
      <c r="BE236" t="str">
        <f t="shared" si="172"/>
        <v/>
      </c>
      <c r="BF236" t="str">
        <f t="shared" si="173"/>
        <v/>
      </c>
      <c r="BG236" t="str">
        <f t="shared" si="174"/>
        <v/>
      </c>
      <c r="BH236" t="str">
        <f t="shared" si="175"/>
        <v/>
      </c>
      <c r="BI236" t="str">
        <f t="shared" si="176"/>
        <v/>
      </c>
      <c r="BJ236" t="str">
        <f t="shared" si="177"/>
        <v/>
      </c>
      <c r="BK236" t="str">
        <f t="shared" si="178"/>
        <v/>
      </c>
      <c r="BL236" t="str">
        <f t="shared" si="179"/>
        <v/>
      </c>
      <c r="BM236" t="str">
        <f t="shared" si="180"/>
        <v/>
      </c>
      <c r="BN236" t="str">
        <f t="shared" si="181"/>
        <v/>
      </c>
      <c r="BO236" t="str">
        <f t="shared" si="182"/>
        <v/>
      </c>
      <c r="BP236" t="str">
        <f t="shared" si="183"/>
        <v/>
      </c>
      <c r="BQ236" t="str">
        <f t="shared" si="184"/>
        <v/>
      </c>
      <c r="BR236" t="str">
        <f t="shared" si="185"/>
        <v/>
      </c>
      <c r="BS236" t="str">
        <f t="shared" si="186"/>
        <v/>
      </c>
      <c r="BT236" t="str">
        <f t="shared" si="187"/>
        <v/>
      </c>
      <c r="BU236" t="str">
        <f t="shared" si="188"/>
        <v/>
      </c>
      <c r="BV236">
        <f t="shared" si="189"/>
        <v>1</v>
      </c>
      <c r="BW236" t="str">
        <f t="shared" si="190"/>
        <v/>
      </c>
      <c r="BX236" t="str">
        <f t="shared" si="191"/>
        <v/>
      </c>
      <c r="BY236" t="str">
        <f t="shared" si="192"/>
        <v/>
      </c>
      <c r="BZ236">
        <f t="shared" si="193"/>
        <v>1</v>
      </c>
      <c r="CA236" t="str">
        <f t="shared" si="194"/>
        <v/>
      </c>
      <c r="CB236" t="str">
        <f t="shared" si="195"/>
        <v/>
      </c>
      <c r="CC236" t="str">
        <f t="shared" si="196"/>
        <v/>
      </c>
      <c r="CD236" t="str">
        <f t="shared" si="197"/>
        <v/>
      </c>
      <c r="CE236" t="str">
        <f t="shared" si="198"/>
        <v/>
      </c>
      <c r="CF236">
        <f t="shared" si="199"/>
        <v>1</v>
      </c>
      <c r="CG236" t="str">
        <f t="shared" si="200"/>
        <v/>
      </c>
      <c r="CH236">
        <f t="shared" si="201"/>
        <v>1</v>
      </c>
      <c r="CI236" t="str">
        <f t="shared" si="202"/>
        <v/>
      </c>
      <c r="CJ236" t="str">
        <f t="shared" si="211"/>
        <v/>
      </c>
      <c r="CK236" t="str">
        <f t="shared" si="212"/>
        <v/>
      </c>
      <c r="CL236" t="str">
        <f t="shared" si="203"/>
        <v/>
      </c>
      <c r="CM236" t="str">
        <f t="shared" si="204"/>
        <v/>
      </c>
      <c r="CN236" t="str">
        <f t="shared" si="205"/>
        <v/>
      </c>
      <c r="CO236">
        <f t="shared" si="206"/>
        <v>1</v>
      </c>
      <c r="CP236" t="str">
        <f t="shared" si="207"/>
        <v/>
      </c>
      <c r="CQ236" t="str">
        <f t="shared" si="208"/>
        <v/>
      </c>
      <c r="CR236" t="str">
        <f t="shared" si="209"/>
        <v/>
      </c>
      <c r="CS236" s="1110" t="str">
        <f t="shared" si="210"/>
        <v/>
      </c>
    </row>
    <row r="237" spans="2:97" ht="16.5" thickTop="1">
      <c r="B237" s="1728" t="s">
        <v>85</v>
      </c>
      <c r="C237" s="964" t="s">
        <v>44</v>
      </c>
      <c r="D237" s="189" t="s">
        <v>47</v>
      </c>
      <c r="E237" s="961" t="s">
        <v>339</v>
      </c>
      <c r="F237" s="977" t="s">
        <v>1270</v>
      </c>
      <c r="G237" s="968" t="s">
        <v>26</v>
      </c>
      <c r="H237" s="977" t="s">
        <v>1270</v>
      </c>
      <c r="I237" s="977" t="s">
        <v>1270</v>
      </c>
      <c r="J237" s="979" t="s">
        <v>120</v>
      </c>
      <c r="L237" s="981" t="s">
        <v>1271</v>
      </c>
      <c r="M237" s="960" t="s">
        <v>43</v>
      </c>
      <c r="O237" s="58"/>
      <c r="Q237" s="926" t="s">
        <v>21</v>
      </c>
      <c r="R237">
        <f t="shared" si="135"/>
        <v>0</v>
      </c>
      <c r="S237">
        <f t="shared" si="136"/>
        <v>0</v>
      </c>
      <c r="U237" s="1136" t="s">
        <v>216</v>
      </c>
      <c r="V237" s="590" t="str">
        <f t="shared" si="137"/>
        <v/>
      </c>
      <c r="W237" s="590" t="str">
        <f t="shared" si="138"/>
        <v/>
      </c>
      <c r="X237" s="590" t="str">
        <f t="shared" si="139"/>
        <v/>
      </c>
      <c r="Y237" s="590" t="str">
        <f t="shared" si="140"/>
        <v/>
      </c>
      <c r="Z237" s="590">
        <f t="shared" si="141"/>
        <v>1</v>
      </c>
      <c r="AA237" s="590">
        <f t="shared" si="142"/>
        <v>1</v>
      </c>
      <c r="AB237" s="590" t="str">
        <f t="shared" si="143"/>
        <v/>
      </c>
      <c r="AC237" s="590" t="str">
        <f t="shared" si="144"/>
        <v/>
      </c>
      <c r="AD237" s="590" t="str">
        <f t="shared" si="145"/>
        <v/>
      </c>
      <c r="AE237" s="590" t="str">
        <f t="shared" si="146"/>
        <v/>
      </c>
      <c r="AF237" s="590">
        <f t="shared" si="147"/>
        <v>1</v>
      </c>
      <c r="AG237" s="590" t="str">
        <f t="shared" si="148"/>
        <v/>
      </c>
      <c r="AH237" s="590" t="str">
        <f t="shared" si="149"/>
        <v/>
      </c>
      <c r="AI237" s="590" t="str">
        <f t="shared" si="150"/>
        <v/>
      </c>
      <c r="AJ237" s="590" t="str">
        <f t="shared" si="151"/>
        <v/>
      </c>
      <c r="AK237" s="590" t="str">
        <f t="shared" si="152"/>
        <v/>
      </c>
      <c r="AL237" s="590">
        <f t="shared" si="153"/>
        <v>1</v>
      </c>
      <c r="AM237" s="590">
        <f t="shared" si="154"/>
        <v>1</v>
      </c>
      <c r="AN237" s="590" t="str">
        <f t="shared" si="155"/>
        <v/>
      </c>
      <c r="AO237" s="590" t="str">
        <f t="shared" si="156"/>
        <v/>
      </c>
      <c r="AP237" s="590">
        <f t="shared" si="157"/>
        <v>1</v>
      </c>
      <c r="AQ237" s="590" t="str">
        <f t="shared" si="158"/>
        <v/>
      </c>
      <c r="AR237" s="590" t="str">
        <f t="shared" si="159"/>
        <v/>
      </c>
      <c r="AS237" s="590" t="str">
        <f t="shared" si="160"/>
        <v/>
      </c>
      <c r="AT237" s="590" t="str">
        <f t="shared" si="161"/>
        <v/>
      </c>
      <c r="AU237" s="590" t="str">
        <f t="shared" si="162"/>
        <v/>
      </c>
      <c r="AV237" s="590">
        <f t="shared" si="163"/>
        <v>1</v>
      </c>
      <c r="AW237" s="590">
        <f t="shared" si="164"/>
        <v>1</v>
      </c>
      <c r="AX237" s="590">
        <f t="shared" si="165"/>
        <v>1</v>
      </c>
      <c r="AY237" s="590" t="str">
        <f t="shared" si="166"/>
        <v/>
      </c>
      <c r="AZ237" s="590" t="str">
        <f t="shared" si="167"/>
        <v/>
      </c>
      <c r="BA237" s="590">
        <f t="shared" si="168"/>
        <v>1</v>
      </c>
      <c r="BB237" s="590" t="str">
        <f t="shared" si="169"/>
        <v/>
      </c>
      <c r="BC237" s="590" t="str">
        <f t="shared" si="170"/>
        <v/>
      </c>
      <c r="BD237" s="590" t="str">
        <f t="shared" si="171"/>
        <v/>
      </c>
      <c r="BE237" s="590" t="str">
        <f t="shared" si="172"/>
        <v/>
      </c>
      <c r="BF237" s="590" t="str">
        <f t="shared" si="173"/>
        <v/>
      </c>
      <c r="BG237" s="590" t="str">
        <f t="shared" si="174"/>
        <v/>
      </c>
      <c r="BH237" s="590" t="str">
        <f t="shared" si="175"/>
        <v/>
      </c>
      <c r="BI237" s="590" t="str">
        <f t="shared" si="176"/>
        <v/>
      </c>
      <c r="BJ237" s="590" t="str">
        <f t="shared" si="177"/>
        <v/>
      </c>
      <c r="BK237" s="590">
        <f t="shared" si="178"/>
        <v>1</v>
      </c>
      <c r="BL237" s="590">
        <f t="shared" si="179"/>
        <v>1</v>
      </c>
      <c r="BM237" s="590">
        <f t="shared" si="180"/>
        <v>1</v>
      </c>
      <c r="BN237" s="590" t="str">
        <f t="shared" si="181"/>
        <v/>
      </c>
      <c r="BO237" s="590" t="str">
        <f t="shared" si="182"/>
        <v/>
      </c>
      <c r="BP237" s="590" t="str">
        <f t="shared" si="183"/>
        <v/>
      </c>
      <c r="BQ237" s="590" t="str">
        <f t="shared" si="184"/>
        <v/>
      </c>
      <c r="BR237" s="590" t="str">
        <f t="shared" si="185"/>
        <v/>
      </c>
      <c r="BS237" s="590" t="str">
        <f t="shared" si="186"/>
        <v/>
      </c>
      <c r="BT237" s="590" t="str">
        <f t="shared" si="187"/>
        <v/>
      </c>
      <c r="BU237" s="590" t="str">
        <f t="shared" si="188"/>
        <v/>
      </c>
      <c r="BV237" s="590">
        <f t="shared" si="189"/>
        <v>1</v>
      </c>
      <c r="BW237" s="590" t="str">
        <f t="shared" si="190"/>
        <v/>
      </c>
      <c r="BX237" s="590" t="str">
        <f t="shared" si="191"/>
        <v/>
      </c>
      <c r="BY237" s="590" t="str">
        <f t="shared" si="192"/>
        <v/>
      </c>
      <c r="BZ237" s="590" t="str">
        <f t="shared" si="193"/>
        <v/>
      </c>
      <c r="CA237" s="590" t="str">
        <f t="shared" si="194"/>
        <v/>
      </c>
      <c r="CB237" s="590" t="str">
        <f t="shared" si="195"/>
        <v/>
      </c>
      <c r="CC237" s="590" t="str">
        <f t="shared" si="196"/>
        <v/>
      </c>
      <c r="CD237" s="590" t="str">
        <f t="shared" si="197"/>
        <v/>
      </c>
      <c r="CE237" s="590">
        <f t="shared" si="198"/>
        <v>1</v>
      </c>
      <c r="CF237" s="590" t="str">
        <f t="shared" si="199"/>
        <v/>
      </c>
      <c r="CG237" s="590" t="str">
        <f t="shared" si="200"/>
        <v/>
      </c>
      <c r="CH237" s="590" t="str">
        <f t="shared" si="201"/>
        <v/>
      </c>
      <c r="CI237" s="590" t="str">
        <f t="shared" si="202"/>
        <v/>
      </c>
      <c r="CJ237" s="590" t="str">
        <f t="shared" si="211"/>
        <v/>
      </c>
      <c r="CK237" s="590" t="str">
        <f t="shared" si="212"/>
        <v/>
      </c>
      <c r="CL237" s="590" t="str">
        <f t="shared" si="203"/>
        <v/>
      </c>
      <c r="CM237" s="590" t="str">
        <f t="shared" si="204"/>
        <v/>
      </c>
      <c r="CN237" s="590" t="str">
        <f t="shared" si="205"/>
        <v/>
      </c>
      <c r="CO237" s="590" t="str">
        <f t="shared" si="206"/>
        <v/>
      </c>
      <c r="CP237" s="590" t="str">
        <f t="shared" si="207"/>
        <v/>
      </c>
      <c r="CQ237" s="590">
        <f t="shared" si="208"/>
        <v>1</v>
      </c>
      <c r="CR237" s="590" t="str">
        <f t="shared" si="209"/>
        <v/>
      </c>
      <c r="CS237" s="1165" t="str">
        <f t="shared" si="210"/>
        <v/>
      </c>
    </row>
    <row r="238" spans="2:97" ht="16.5" thickBot="1">
      <c r="B238" s="1725"/>
      <c r="F238" s="189" t="s">
        <v>47</v>
      </c>
      <c r="J238" s="981" t="s">
        <v>1271</v>
      </c>
      <c r="U238" s="1137" t="s">
        <v>21</v>
      </c>
      <c r="V238" s="1108" t="str">
        <f t="shared" si="137"/>
        <v/>
      </c>
      <c r="W238" s="1108" t="str">
        <f t="shared" si="138"/>
        <v/>
      </c>
      <c r="X238" s="1108" t="str">
        <f t="shared" si="139"/>
        <v/>
      </c>
      <c r="Y238" s="1108" t="str">
        <f t="shared" si="140"/>
        <v/>
      </c>
      <c r="Z238" s="1108" t="str">
        <f t="shared" si="141"/>
        <v/>
      </c>
      <c r="AA238" s="1108" t="str">
        <f t="shared" si="142"/>
        <v/>
      </c>
      <c r="AB238" s="1108" t="str">
        <f t="shared" si="143"/>
        <v/>
      </c>
      <c r="AC238" s="1108" t="str">
        <f t="shared" si="144"/>
        <v/>
      </c>
      <c r="AD238" s="1108" t="str">
        <f t="shared" si="145"/>
        <v/>
      </c>
      <c r="AE238" s="1108" t="str">
        <f t="shared" si="146"/>
        <v/>
      </c>
      <c r="AF238" s="1108" t="str">
        <f t="shared" si="147"/>
        <v/>
      </c>
      <c r="AG238" s="1108" t="str">
        <f t="shared" si="148"/>
        <v/>
      </c>
      <c r="AH238" s="1108" t="str">
        <f t="shared" si="149"/>
        <v/>
      </c>
      <c r="AI238" s="1108" t="str">
        <f t="shared" si="150"/>
        <v/>
      </c>
      <c r="AJ238" s="1108" t="str">
        <f t="shared" si="151"/>
        <v/>
      </c>
      <c r="AK238" s="1108" t="str">
        <f t="shared" si="152"/>
        <v/>
      </c>
      <c r="AL238" s="1108" t="str">
        <f t="shared" si="153"/>
        <v/>
      </c>
      <c r="AM238" s="1108" t="str">
        <f t="shared" si="154"/>
        <v/>
      </c>
      <c r="AN238" s="1108" t="str">
        <f t="shared" si="155"/>
        <v/>
      </c>
      <c r="AO238" s="1108" t="str">
        <f t="shared" si="156"/>
        <v/>
      </c>
      <c r="AP238" s="1108" t="str">
        <f t="shared" si="157"/>
        <v/>
      </c>
      <c r="AQ238" s="1108" t="str">
        <f t="shared" si="158"/>
        <v/>
      </c>
      <c r="AR238" s="1108" t="str">
        <f t="shared" si="159"/>
        <v/>
      </c>
      <c r="AS238" s="1108" t="str">
        <f t="shared" si="160"/>
        <v/>
      </c>
      <c r="AT238" s="1108" t="str">
        <f t="shared" si="161"/>
        <v/>
      </c>
      <c r="AU238" s="1108" t="str">
        <f t="shared" si="162"/>
        <v/>
      </c>
      <c r="AV238" s="1108" t="str">
        <f t="shared" si="163"/>
        <v/>
      </c>
      <c r="AW238" s="1108" t="str">
        <f t="shared" si="164"/>
        <v/>
      </c>
      <c r="AX238" s="1108" t="str">
        <f t="shared" si="165"/>
        <v/>
      </c>
      <c r="AY238" s="1108" t="str">
        <f t="shared" si="166"/>
        <v/>
      </c>
      <c r="AZ238" s="1108" t="str">
        <f t="shared" si="167"/>
        <v/>
      </c>
      <c r="BA238" s="1108" t="str">
        <f t="shared" si="168"/>
        <v/>
      </c>
      <c r="BB238" s="1108" t="str">
        <f t="shared" si="169"/>
        <v/>
      </c>
      <c r="BC238" s="1108" t="str">
        <f t="shared" si="170"/>
        <v/>
      </c>
      <c r="BD238" s="1108" t="str">
        <f t="shared" si="171"/>
        <v/>
      </c>
      <c r="BE238" s="1108" t="str">
        <f t="shared" si="172"/>
        <v/>
      </c>
      <c r="BF238" s="1108" t="str">
        <f t="shared" si="173"/>
        <v/>
      </c>
      <c r="BG238" s="1108" t="str">
        <f t="shared" si="174"/>
        <v/>
      </c>
      <c r="BH238" s="1108" t="str">
        <f t="shared" si="175"/>
        <v/>
      </c>
      <c r="BI238" s="1108" t="str">
        <f t="shared" si="176"/>
        <v/>
      </c>
      <c r="BJ238" s="1108" t="str">
        <f t="shared" si="177"/>
        <v/>
      </c>
      <c r="BK238" s="1108" t="str">
        <f t="shared" si="178"/>
        <v/>
      </c>
      <c r="BL238" s="1108" t="str">
        <f t="shared" si="179"/>
        <v/>
      </c>
      <c r="BM238" s="1108" t="str">
        <f t="shared" si="180"/>
        <v/>
      </c>
      <c r="BN238" s="1108" t="str">
        <f t="shared" si="181"/>
        <v/>
      </c>
      <c r="BO238" s="1108" t="str">
        <f t="shared" si="182"/>
        <v/>
      </c>
      <c r="BP238" s="1108" t="str">
        <f t="shared" si="183"/>
        <v/>
      </c>
      <c r="BQ238" s="1108" t="str">
        <f t="shared" si="184"/>
        <v/>
      </c>
      <c r="BR238" s="1108" t="str">
        <f t="shared" si="185"/>
        <v/>
      </c>
      <c r="BS238" s="1108" t="str">
        <f t="shared" si="186"/>
        <v/>
      </c>
      <c r="BT238" s="1108" t="str">
        <f t="shared" si="187"/>
        <v/>
      </c>
      <c r="BU238" s="1108" t="str">
        <f t="shared" si="188"/>
        <v/>
      </c>
      <c r="BV238" s="1108" t="str">
        <f t="shared" si="189"/>
        <v/>
      </c>
      <c r="BW238" s="1108" t="str">
        <f t="shared" si="190"/>
        <v/>
      </c>
      <c r="BX238" s="1108" t="str">
        <f t="shared" si="191"/>
        <v/>
      </c>
      <c r="BY238" s="1108" t="str">
        <f t="shared" si="192"/>
        <v/>
      </c>
      <c r="BZ238" s="1108" t="str">
        <f t="shared" si="193"/>
        <v/>
      </c>
      <c r="CA238" s="1108" t="str">
        <f t="shared" si="194"/>
        <v/>
      </c>
      <c r="CB238" s="1108" t="str">
        <f t="shared" si="195"/>
        <v/>
      </c>
      <c r="CC238" s="1108" t="str">
        <f t="shared" si="196"/>
        <v/>
      </c>
      <c r="CD238" s="1108" t="str">
        <f t="shared" si="197"/>
        <v/>
      </c>
      <c r="CE238" s="1108" t="str">
        <f t="shared" si="198"/>
        <v/>
      </c>
      <c r="CF238" s="1108" t="str">
        <f t="shared" si="199"/>
        <v/>
      </c>
      <c r="CG238" s="1108" t="str">
        <f t="shared" si="200"/>
        <v/>
      </c>
      <c r="CH238" s="1108" t="str">
        <f t="shared" si="201"/>
        <v/>
      </c>
      <c r="CI238" s="1108" t="str">
        <f t="shared" si="202"/>
        <v/>
      </c>
      <c r="CJ238" s="1108" t="str">
        <f t="shared" si="211"/>
        <v/>
      </c>
      <c r="CK238" s="1108" t="str">
        <f t="shared" si="212"/>
        <v/>
      </c>
      <c r="CL238" s="1108" t="str">
        <f t="shared" si="203"/>
        <v/>
      </c>
      <c r="CM238" s="1108" t="str">
        <f t="shared" si="204"/>
        <v/>
      </c>
      <c r="CN238" s="1108" t="str">
        <f t="shared" si="205"/>
        <v/>
      </c>
      <c r="CO238" s="1108" t="str">
        <f t="shared" si="206"/>
        <v/>
      </c>
      <c r="CP238" s="1108" t="str">
        <f t="shared" si="207"/>
        <v/>
      </c>
      <c r="CQ238" s="1108" t="str">
        <f t="shared" si="208"/>
        <v/>
      </c>
      <c r="CR238" s="1108" t="str">
        <f t="shared" si="209"/>
        <v/>
      </c>
      <c r="CS238" s="1109" t="str">
        <f t="shared" si="210"/>
        <v/>
      </c>
    </row>
    <row r="239" spans="2:97">
      <c r="B239" s="1725"/>
      <c r="C239" t="s">
        <v>2612</v>
      </c>
      <c r="D239" t="s">
        <v>2612</v>
      </c>
      <c r="E239" t="s">
        <v>2612</v>
      </c>
      <c r="F239" t="s">
        <v>2612</v>
      </c>
      <c r="G239" t="s">
        <v>2612</v>
      </c>
      <c r="H239" t="s">
        <v>2612</v>
      </c>
      <c r="I239" t="s">
        <v>2612</v>
      </c>
      <c r="J239" t="s">
        <v>2612</v>
      </c>
      <c r="L239" s="957" t="s">
        <v>2612</v>
      </c>
      <c r="M239" t="s">
        <v>2612</v>
      </c>
    </row>
    <row r="240" spans="2:97">
      <c r="B240" s="1725"/>
      <c r="C240" s="977" t="s">
        <v>1270</v>
      </c>
      <c r="D240" s="963" t="s">
        <v>46</v>
      </c>
      <c r="E240" s="974" t="s">
        <v>1269</v>
      </c>
      <c r="F240" s="275" t="s">
        <v>397</v>
      </c>
      <c r="G240" s="189" t="s">
        <v>47</v>
      </c>
      <c r="H240" s="963" t="s">
        <v>46</v>
      </c>
      <c r="I240" s="963" t="s">
        <v>46</v>
      </c>
      <c r="J240" s="967" t="s">
        <v>27</v>
      </c>
      <c r="L240" s="981" t="s">
        <v>1271</v>
      </c>
      <c r="M240" s="981" t="s">
        <v>1271</v>
      </c>
      <c r="O240" s="58"/>
    </row>
    <row r="241" spans="2:15">
      <c r="B241" s="1725"/>
      <c r="C241" s="189" t="s">
        <v>47</v>
      </c>
      <c r="L241" s="967" t="s">
        <v>27</v>
      </c>
      <c r="M241" s="189" t="s">
        <v>47</v>
      </c>
      <c r="O241" s="990"/>
    </row>
    <row r="242" spans="2:15" ht="16.5" thickBot="1">
      <c r="B242" s="1726"/>
      <c r="C242" s="1036" t="s">
        <v>186</v>
      </c>
      <c r="D242" s="1036" t="s">
        <v>189</v>
      </c>
      <c r="E242" s="1036" t="s">
        <v>187</v>
      </c>
      <c r="F242" s="1036" t="s">
        <v>187</v>
      </c>
      <c r="G242" s="1036" t="s">
        <v>187</v>
      </c>
      <c r="H242" s="1036" t="s">
        <v>188</v>
      </c>
      <c r="I242" s="1036" t="s">
        <v>187</v>
      </c>
      <c r="J242" s="1036" t="s">
        <v>186</v>
      </c>
      <c r="K242" s="1036"/>
      <c r="L242" s="1036" t="s">
        <v>187</v>
      </c>
      <c r="M242" s="1036" t="s">
        <v>189</v>
      </c>
      <c r="N242" s="1036"/>
      <c r="O242" s="1036"/>
    </row>
    <row r="243" spans="2:15" ht="16.5" thickTop="1">
      <c r="B243" s="1728" t="s">
        <v>66</v>
      </c>
      <c r="C243" s="974" t="s">
        <v>1269</v>
      </c>
      <c r="D243" s="970" t="s">
        <v>68</v>
      </c>
      <c r="E243" s="189" t="s">
        <v>47</v>
      </c>
      <c r="F243" s="964" t="s">
        <v>44</v>
      </c>
      <c r="G243" s="964" t="s">
        <v>44</v>
      </c>
      <c r="H243" s="189" t="s">
        <v>47</v>
      </c>
      <c r="I243" s="956" t="s">
        <v>109</v>
      </c>
      <c r="J243" s="981" t="s">
        <v>1271</v>
      </c>
      <c r="K243" s="981" t="s">
        <v>1271</v>
      </c>
      <c r="O243" s="58"/>
    </row>
    <row r="244" spans="2:15">
      <c r="B244" s="1725"/>
      <c r="E244" s="981" t="s">
        <v>1271</v>
      </c>
      <c r="G244" s="956" t="s">
        <v>109</v>
      </c>
      <c r="I244" s="966" t="s">
        <v>73</v>
      </c>
    </row>
    <row r="245" spans="2:15">
      <c r="B245" s="1725"/>
      <c r="C245" t="s">
        <v>2612</v>
      </c>
      <c r="D245" t="s">
        <v>2612</v>
      </c>
      <c r="E245" t="s">
        <v>2612</v>
      </c>
      <c r="F245" t="s">
        <v>2612</v>
      </c>
      <c r="G245" t="s">
        <v>2612</v>
      </c>
      <c r="H245" t="s">
        <v>2612</v>
      </c>
      <c r="I245" t="s">
        <v>2612</v>
      </c>
      <c r="J245" t="s">
        <v>2612</v>
      </c>
      <c r="K245" t="s">
        <v>2612</v>
      </c>
    </row>
    <row r="246" spans="2:15">
      <c r="B246" s="1725"/>
      <c r="C246" s="981" t="s">
        <v>1271</v>
      </c>
      <c r="D246" s="189" t="s">
        <v>47</v>
      </c>
      <c r="E246" s="977" t="s">
        <v>1270</v>
      </c>
      <c r="F246" s="964" t="s">
        <v>44</v>
      </c>
      <c r="G246" s="964" t="s">
        <v>44</v>
      </c>
      <c r="H246" s="981" t="s">
        <v>1271</v>
      </c>
      <c r="I246" s="981" t="s">
        <v>1271</v>
      </c>
      <c r="J246" s="981" t="s">
        <v>1271</v>
      </c>
      <c r="K246" s="977" t="s">
        <v>1270</v>
      </c>
      <c r="O246" s="58"/>
    </row>
    <row r="247" spans="2:15">
      <c r="B247" s="1725"/>
      <c r="F247" s="981" t="s">
        <v>1271</v>
      </c>
      <c r="G247" s="981" t="s">
        <v>1271</v>
      </c>
      <c r="O247" s="990"/>
    </row>
    <row r="248" spans="2:15" ht="16.5" thickBot="1">
      <c r="B248" s="1726"/>
      <c r="C248" s="1036" t="s">
        <v>188</v>
      </c>
      <c r="D248" s="1036" t="s">
        <v>186</v>
      </c>
      <c r="E248" s="1036" t="s">
        <v>187</v>
      </c>
      <c r="F248" s="1036" t="s">
        <v>186</v>
      </c>
      <c r="G248" s="1036" t="s">
        <v>188</v>
      </c>
      <c r="H248" s="1036" t="s">
        <v>189</v>
      </c>
      <c r="I248" s="1036" t="s">
        <v>186</v>
      </c>
      <c r="J248" s="1036" t="s">
        <v>186</v>
      </c>
      <c r="K248" s="1036" t="s">
        <v>189</v>
      </c>
      <c r="L248" s="1036"/>
      <c r="M248" s="1036"/>
      <c r="N248" s="1036"/>
      <c r="O248" s="1036"/>
    </row>
    <row r="249" spans="2:15" ht="16.5" thickTop="1">
      <c r="B249" s="1728" t="s">
        <v>65</v>
      </c>
      <c r="D249" s="977" t="s">
        <v>1270</v>
      </c>
      <c r="E249" s="981" t="s">
        <v>1271</v>
      </c>
      <c r="F249" s="963" t="s">
        <v>46</v>
      </c>
      <c r="G249" s="964" t="s">
        <v>44</v>
      </c>
      <c r="H249" s="964" t="s">
        <v>44</v>
      </c>
      <c r="I249" s="964" t="s">
        <v>44</v>
      </c>
      <c r="J249" s="981" t="s">
        <v>1271</v>
      </c>
      <c r="L249" s="1009" t="s">
        <v>114</v>
      </c>
      <c r="M249" s="967" t="s">
        <v>27</v>
      </c>
      <c r="O249" s="58"/>
    </row>
    <row r="250" spans="2:15">
      <c r="B250" s="1725"/>
      <c r="G250" s="977" t="s">
        <v>1270</v>
      </c>
      <c r="H250" s="981" t="s">
        <v>1271</v>
      </c>
      <c r="I250" s="967" t="s">
        <v>27</v>
      </c>
      <c r="O250" s="58"/>
    </row>
    <row r="251" spans="2:15">
      <c r="B251" s="1725"/>
      <c r="I251" s="955" t="s">
        <v>234</v>
      </c>
    </row>
    <row r="252" spans="2:15">
      <c r="B252" s="1725"/>
      <c r="D252" t="s">
        <v>2612</v>
      </c>
      <c r="E252" t="s">
        <v>2612</v>
      </c>
      <c r="F252" t="s">
        <v>2612</v>
      </c>
      <c r="G252" t="s">
        <v>2612</v>
      </c>
      <c r="H252" t="s">
        <v>2612</v>
      </c>
      <c r="I252" t="s">
        <v>2612</v>
      </c>
      <c r="J252" t="s">
        <v>2612</v>
      </c>
      <c r="L252" t="s">
        <v>2612</v>
      </c>
      <c r="M252" t="s">
        <v>2612</v>
      </c>
    </row>
    <row r="253" spans="2:15">
      <c r="B253" s="1725"/>
      <c r="D253" s="977" t="s">
        <v>1270</v>
      </c>
      <c r="E253" s="959" t="s">
        <v>155</v>
      </c>
      <c r="F253" s="189" t="s">
        <v>47</v>
      </c>
      <c r="G253" s="993" t="s">
        <v>20</v>
      </c>
      <c r="H253" s="980" t="s">
        <v>1272</v>
      </c>
      <c r="I253" s="984" t="s">
        <v>24</v>
      </c>
      <c r="J253" s="981" t="s">
        <v>1271</v>
      </c>
      <c r="L253" s="967" t="s">
        <v>27</v>
      </c>
      <c r="M253" s="980" t="s">
        <v>1272</v>
      </c>
      <c r="O253" s="58"/>
    </row>
    <row r="254" spans="2:15">
      <c r="B254" s="1725"/>
      <c r="D254" s="1009" t="s">
        <v>114</v>
      </c>
      <c r="F254" s="977" t="s">
        <v>1270</v>
      </c>
      <c r="M254" s="956" t="s">
        <v>109</v>
      </c>
      <c r="O254" s="990"/>
    </row>
    <row r="255" spans="2:15" ht="16.5" thickBot="1">
      <c r="B255" s="1726"/>
      <c r="C255" s="1036"/>
      <c r="D255" s="1036" t="s">
        <v>187</v>
      </c>
      <c r="E255" s="1036" t="s">
        <v>188</v>
      </c>
      <c r="F255" s="1036" t="s">
        <v>188</v>
      </c>
      <c r="G255" s="1036" t="s">
        <v>188</v>
      </c>
      <c r="H255" s="1036" t="s">
        <v>186</v>
      </c>
      <c r="I255" s="1036" t="s">
        <v>188</v>
      </c>
      <c r="J255" s="1036" t="s">
        <v>186</v>
      </c>
      <c r="K255" s="1036"/>
      <c r="L255" s="1036" t="s">
        <v>186</v>
      </c>
      <c r="M255" s="1036" t="s">
        <v>188</v>
      </c>
      <c r="N255" s="1036"/>
      <c r="O255" s="1036"/>
    </row>
    <row r="256" spans="2:15" ht="16.5" thickTop="1">
      <c r="B256" s="1728" t="s">
        <v>60</v>
      </c>
      <c r="D256" s="956" t="s">
        <v>109</v>
      </c>
      <c r="E256" s="967" t="s">
        <v>27</v>
      </c>
      <c r="F256" s="981" t="s">
        <v>1271</v>
      </c>
      <c r="G256" s="977" t="s">
        <v>1270</v>
      </c>
      <c r="H256" s="963" t="s">
        <v>46</v>
      </c>
      <c r="I256" s="980" t="s">
        <v>1272</v>
      </c>
      <c r="J256" s="981" t="s">
        <v>1271</v>
      </c>
      <c r="K256" s="980" t="s">
        <v>1272</v>
      </c>
      <c r="L256" s="981" t="s">
        <v>1271</v>
      </c>
      <c r="M256" s="980" t="s">
        <v>1272</v>
      </c>
      <c r="O256" s="58"/>
    </row>
    <row r="257" spans="2:15">
      <c r="B257" s="1725"/>
      <c r="G257" s="980" t="s">
        <v>1272</v>
      </c>
    </row>
    <row r="258" spans="2:15">
      <c r="B258" s="1725"/>
      <c r="D258" t="s">
        <v>2612</v>
      </c>
      <c r="E258" t="s">
        <v>2612</v>
      </c>
      <c r="F258" t="s">
        <v>2612</v>
      </c>
      <c r="G258" t="s">
        <v>2612</v>
      </c>
      <c r="H258" t="s">
        <v>2612</v>
      </c>
      <c r="I258" t="s">
        <v>2612</v>
      </c>
      <c r="J258" t="s">
        <v>2612</v>
      </c>
      <c r="K258" t="s">
        <v>2612</v>
      </c>
      <c r="L258" t="s">
        <v>2612</v>
      </c>
      <c r="M258" t="s">
        <v>2612</v>
      </c>
    </row>
    <row r="259" spans="2:15">
      <c r="B259" s="1725"/>
      <c r="D259" s="963" t="s">
        <v>46</v>
      </c>
      <c r="E259" s="959" t="s">
        <v>155</v>
      </c>
      <c r="F259" s="189" t="s">
        <v>47</v>
      </c>
      <c r="G259" s="964" t="s">
        <v>44</v>
      </c>
      <c r="H259" s="981" t="s">
        <v>1271</v>
      </c>
      <c r="I259" s="981" t="s">
        <v>1271</v>
      </c>
      <c r="J259" s="977" t="s">
        <v>1270</v>
      </c>
      <c r="K259" s="964" t="s">
        <v>44</v>
      </c>
      <c r="L259" s="981" t="s">
        <v>1271</v>
      </c>
      <c r="M259" s="981" t="s">
        <v>1271</v>
      </c>
      <c r="O259" s="58"/>
    </row>
    <row r="260" spans="2:15">
      <c r="B260" s="1725"/>
      <c r="K260" s="962" t="s">
        <v>216</v>
      </c>
      <c r="L260" s="974" t="s">
        <v>1269</v>
      </c>
      <c r="O260" s="990"/>
    </row>
    <row r="261" spans="2:15" ht="16.5" thickBot="1">
      <c r="B261" s="1726"/>
      <c r="C261" s="1036"/>
      <c r="D261" s="1036" t="s">
        <v>188</v>
      </c>
      <c r="E261" s="1036" t="s">
        <v>186</v>
      </c>
      <c r="F261" s="1036" t="s">
        <v>190</v>
      </c>
      <c r="G261" s="1036" t="s">
        <v>187</v>
      </c>
      <c r="H261" s="1036" t="s">
        <v>191</v>
      </c>
      <c r="I261" s="1036" t="s">
        <v>188</v>
      </c>
      <c r="J261" s="1036" t="s">
        <v>187</v>
      </c>
      <c r="K261" s="1036" t="s">
        <v>188</v>
      </c>
      <c r="L261" s="1036" t="s">
        <v>187</v>
      </c>
      <c r="M261" s="1036" t="s">
        <v>190</v>
      </c>
      <c r="N261" s="1036"/>
      <c r="O261" s="1036"/>
    </row>
    <row r="262" spans="2:15" ht="16.5" thickTop="1">
      <c r="B262" s="1729" t="s">
        <v>35</v>
      </c>
      <c r="C262" s="1068"/>
      <c r="D262" s="1068"/>
      <c r="E262" s="1069" t="s">
        <v>1270</v>
      </c>
      <c r="F262" s="1070" t="s">
        <v>43</v>
      </c>
      <c r="G262" s="1068"/>
      <c r="H262" s="956" t="s">
        <v>109</v>
      </c>
      <c r="I262" s="977" t="s">
        <v>1270</v>
      </c>
      <c r="J262" s="955" t="s">
        <v>234</v>
      </c>
      <c r="K262" s="981" t="s">
        <v>1271</v>
      </c>
      <c r="L262" s="1068"/>
      <c r="M262" s="1068"/>
      <c r="N262" s="1068"/>
      <c r="O262" s="1071"/>
    </row>
    <row r="263" spans="2:15">
      <c r="B263" s="1710"/>
      <c r="F263" s="189" t="s">
        <v>47</v>
      </c>
      <c r="H263" s="966" t="s">
        <v>73</v>
      </c>
      <c r="I263" s="980" t="s">
        <v>1272</v>
      </c>
    </row>
    <row r="264" spans="2:15">
      <c r="B264" s="1710"/>
      <c r="E264" t="s">
        <v>2612</v>
      </c>
      <c r="F264" t="s">
        <v>2612</v>
      </c>
      <c r="H264" t="s">
        <v>2612</v>
      </c>
      <c r="I264" t="s">
        <v>2612</v>
      </c>
      <c r="J264" t="s">
        <v>2612</v>
      </c>
      <c r="K264" t="s">
        <v>2612</v>
      </c>
    </row>
    <row r="265" spans="2:15" ht="15.95" customHeight="1">
      <c r="B265" s="1710"/>
      <c r="E265" s="963" t="s">
        <v>46</v>
      </c>
      <c r="F265" s="960" t="s">
        <v>43</v>
      </c>
      <c r="H265" s="981" t="s">
        <v>1271</v>
      </c>
      <c r="I265" s="959" t="s">
        <v>155</v>
      </c>
      <c r="J265" s="974" t="s">
        <v>1269</v>
      </c>
      <c r="K265" s="977" t="s">
        <v>1270</v>
      </c>
      <c r="O265" s="58"/>
    </row>
    <row r="266" spans="2:15">
      <c r="B266" s="1710"/>
      <c r="F266" s="959" t="s">
        <v>155</v>
      </c>
      <c r="H266" s="982" t="s">
        <v>29</v>
      </c>
      <c r="J266" s="956" t="s">
        <v>109</v>
      </c>
      <c r="O266" s="990"/>
    </row>
    <row r="267" spans="2:15">
      <c r="B267" s="1710"/>
      <c r="C267" s="1004"/>
      <c r="D267" s="1004"/>
      <c r="E267" s="1004" t="s">
        <v>187</v>
      </c>
      <c r="F267" s="1004" t="s">
        <v>190</v>
      </c>
      <c r="G267" s="1004"/>
      <c r="H267" s="1004" t="s">
        <v>189</v>
      </c>
      <c r="I267" s="1004" t="s">
        <v>187</v>
      </c>
      <c r="J267" s="1004" t="s">
        <v>187</v>
      </c>
      <c r="K267" s="1004" t="s">
        <v>188</v>
      </c>
      <c r="L267" s="1004"/>
      <c r="M267" s="1004"/>
      <c r="N267" s="1004"/>
      <c r="O267" s="1004"/>
    </row>
    <row r="268" spans="2:15">
      <c r="B268" s="1710"/>
      <c r="J268" s="977" t="s">
        <v>1270</v>
      </c>
    </row>
    <row r="269" spans="2:15">
      <c r="B269" s="1710"/>
      <c r="J269" s="964" t="s">
        <v>44</v>
      </c>
    </row>
    <row r="270" spans="2:15">
      <c r="B270" s="1710"/>
      <c r="J270" t="s">
        <v>2612</v>
      </c>
    </row>
    <row r="271" spans="2:15" ht="15.95" customHeight="1">
      <c r="B271" s="1710"/>
      <c r="J271" s="422" t="s">
        <v>2622</v>
      </c>
    </row>
    <row r="272" spans="2:15">
      <c r="B272" s="1710"/>
      <c r="J272" s="422"/>
    </row>
    <row r="273" spans="2:15" ht="16.5" thickBot="1">
      <c r="B273" s="1730"/>
      <c r="C273" s="1036"/>
      <c r="D273" s="1036"/>
      <c r="E273" s="1036"/>
      <c r="F273" s="1036"/>
      <c r="G273" s="1036"/>
      <c r="H273" s="1036"/>
      <c r="I273" s="1036"/>
      <c r="J273" s="1036" t="s">
        <v>191</v>
      </c>
      <c r="K273" s="1036"/>
      <c r="L273" s="1036"/>
      <c r="M273" s="1036"/>
      <c r="N273" s="1036"/>
      <c r="O273" s="1036"/>
    </row>
    <row r="274" spans="2:15" ht="16.5" thickTop="1">
      <c r="B274" s="1728" t="s">
        <v>11</v>
      </c>
      <c r="C274" s="977" t="s">
        <v>1270</v>
      </c>
      <c r="D274" s="974" t="s">
        <v>1269</v>
      </c>
      <c r="E274" s="966" t="s">
        <v>73</v>
      </c>
      <c r="F274" s="977" t="s">
        <v>1270</v>
      </c>
      <c r="G274" s="981" t="s">
        <v>1271</v>
      </c>
      <c r="H274" s="963" t="s">
        <v>46</v>
      </c>
      <c r="I274" s="981" t="s">
        <v>1271</v>
      </c>
      <c r="K274" s="981" t="s">
        <v>1271</v>
      </c>
      <c r="O274" s="58"/>
    </row>
    <row r="275" spans="2:15">
      <c r="B275" s="1725"/>
      <c r="E275" s="959" t="s">
        <v>155</v>
      </c>
      <c r="I275" s="964" t="s">
        <v>44</v>
      </c>
      <c r="O275" s="58"/>
    </row>
    <row r="276" spans="2:15">
      <c r="B276" s="1725"/>
      <c r="I276" s="977" t="s">
        <v>1270</v>
      </c>
    </row>
    <row r="277" spans="2:15">
      <c r="B277" s="1725"/>
      <c r="C277" t="s">
        <v>2612</v>
      </c>
      <c r="E277" t="s">
        <v>2612</v>
      </c>
      <c r="F277" t="s">
        <v>2612</v>
      </c>
      <c r="G277" t="s">
        <v>2612</v>
      </c>
      <c r="H277" t="s">
        <v>2612</v>
      </c>
      <c r="I277" t="s">
        <v>2612</v>
      </c>
      <c r="K277" t="s">
        <v>2612</v>
      </c>
    </row>
    <row r="278" spans="2:15">
      <c r="B278" s="1725"/>
      <c r="C278" s="964" t="s">
        <v>44</v>
      </c>
      <c r="D278" s="977" t="s">
        <v>1270</v>
      </c>
      <c r="E278" s="189" t="s">
        <v>47</v>
      </c>
      <c r="F278" s="959" t="s">
        <v>155</v>
      </c>
      <c r="G278" s="963" t="s">
        <v>46</v>
      </c>
      <c r="H278" s="967" t="s">
        <v>27</v>
      </c>
      <c r="I278" s="964" t="s">
        <v>44</v>
      </c>
      <c r="K278" s="964" t="s">
        <v>44</v>
      </c>
      <c r="O278" s="58"/>
    </row>
    <row r="279" spans="2:15">
      <c r="B279" s="1725"/>
      <c r="E279" s="977" t="s">
        <v>1270</v>
      </c>
      <c r="I279" s="977" t="s">
        <v>1270</v>
      </c>
      <c r="O279" s="58"/>
    </row>
    <row r="280" spans="2:15">
      <c r="B280" s="1725"/>
      <c r="I280" s="980" t="s">
        <v>1272</v>
      </c>
      <c r="O280" s="990"/>
    </row>
    <row r="281" spans="2:15" ht="16.5" thickBot="1">
      <c r="B281" s="1726"/>
      <c r="C281" s="1036" t="s">
        <v>187</v>
      </c>
      <c r="D281" s="1036" t="s">
        <v>188</v>
      </c>
      <c r="E281" s="1036" t="s">
        <v>189</v>
      </c>
      <c r="F281" s="1036" t="s">
        <v>2478</v>
      </c>
      <c r="G281" s="1036" t="s">
        <v>187</v>
      </c>
      <c r="H281" s="1036" t="s">
        <v>186</v>
      </c>
      <c r="I281" s="1036" t="s">
        <v>186</v>
      </c>
      <c r="J281" s="1036"/>
      <c r="K281" s="1036" t="s">
        <v>188</v>
      </c>
      <c r="L281" s="1036"/>
      <c r="M281" s="1036"/>
      <c r="N281" s="1036"/>
      <c r="O281" s="1036"/>
    </row>
    <row r="282" spans="2:15" ht="16.5" thickTop="1">
      <c r="B282" s="1729" t="s">
        <v>198</v>
      </c>
      <c r="C282" s="1068"/>
      <c r="D282" s="1072" t="s">
        <v>68</v>
      </c>
      <c r="E282" s="1073" t="s">
        <v>1272</v>
      </c>
      <c r="F282" s="1074" t="s">
        <v>27</v>
      </c>
      <c r="G282" s="1075" t="s">
        <v>155</v>
      </c>
      <c r="H282" s="1076" t="s">
        <v>1271</v>
      </c>
      <c r="I282" s="1073" t="s">
        <v>1272</v>
      </c>
      <c r="J282" s="1077" t="s">
        <v>46</v>
      </c>
      <c r="K282" s="1068"/>
      <c r="L282" s="1068"/>
      <c r="M282" s="1068"/>
      <c r="N282" s="1068"/>
      <c r="O282" s="1071"/>
    </row>
    <row r="283" spans="2:15">
      <c r="B283" s="1710"/>
      <c r="I283" s="956" t="s">
        <v>109</v>
      </c>
    </row>
    <row r="284" spans="2:15">
      <c r="B284" s="1710"/>
      <c r="D284" t="s">
        <v>2612</v>
      </c>
      <c r="E284" t="s">
        <v>2612</v>
      </c>
      <c r="F284" t="s">
        <v>2612</v>
      </c>
      <c r="G284" t="s">
        <v>2612</v>
      </c>
      <c r="H284" t="s">
        <v>2612</v>
      </c>
      <c r="I284" t="s">
        <v>2612</v>
      </c>
      <c r="J284" t="s">
        <v>2612</v>
      </c>
    </row>
    <row r="285" spans="2:15">
      <c r="B285" s="1710"/>
      <c r="D285" s="959" t="s">
        <v>155</v>
      </c>
      <c r="E285" s="981" t="s">
        <v>1271</v>
      </c>
      <c r="F285" s="993" t="s">
        <v>20</v>
      </c>
      <c r="G285" s="956" t="s">
        <v>109</v>
      </c>
      <c r="H285" s="974" t="s">
        <v>1269</v>
      </c>
      <c r="I285" s="981" t="s">
        <v>1271</v>
      </c>
      <c r="J285" s="960" t="s">
        <v>43</v>
      </c>
      <c r="O285" s="58"/>
    </row>
    <row r="286" spans="2:15">
      <c r="B286" s="1710"/>
      <c r="I286" s="977" t="s">
        <v>1270</v>
      </c>
      <c r="J286" s="981" t="s">
        <v>1271</v>
      </c>
      <c r="O286" s="990"/>
    </row>
    <row r="287" spans="2:15">
      <c r="B287" s="1710"/>
      <c r="C287" s="1004"/>
      <c r="D287" s="1004" t="s">
        <v>188</v>
      </c>
      <c r="E287" s="1004" t="s">
        <v>186</v>
      </c>
      <c r="F287" s="1004" t="s">
        <v>188</v>
      </c>
      <c r="G287" s="1004" t="s">
        <v>186</v>
      </c>
      <c r="H287" s="1004" t="s">
        <v>188</v>
      </c>
      <c r="I287" s="1004" t="s">
        <v>188</v>
      </c>
      <c r="J287" s="1004" t="s">
        <v>188</v>
      </c>
      <c r="K287" s="1004"/>
      <c r="L287" s="1004"/>
      <c r="M287" s="1004"/>
      <c r="N287" s="1004"/>
      <c r="O287" s="1004"/>
    </row>
    <row r="288" spans="2:15">
      <c r="B288" s="1710"/>
      <c r="E288" s="977" t="s">
        <v>1270</v>
      </c>
      <c r="J288" s="977" t="s">
        <v>1270</v>
      </c>
    </row>
    <row r="289" spans="2:15">
      <c r="B289" s="1710"/>
      <c r="J289" s="980" t="s">
        <v>1272</v>
      </c>
    </row>
    <row r="290" spans="2:15">
      <c r="B290" s="1710"/>
      <c r="E290" t="s">
        <v>2612</v>
      </c>
      <c r="J290" t="s">
        <v>2612</v>
      </c>
    </row>
    <row r="291" spans="2:15">
      <c r="B291" s="1710"/>
      <c r="E291" s="981" t="s">
        <v>1271</v>
      </c>
      <c r="J291" s="189" t="s">
        <v>47</v>
      </c>
    </row>
    <row r="292" spans="2:15">
      <c r="B292" s="1710"/>
      <c r="E292" s="955" t="s">
        <v>234</v>
      </c>
    </row>
    <row r="293" spans="2:15" ht="16.5" thickBot="1">
      <c r="B293" s="1730"/>
      <c r="C293" s="1036"/>
      <c r="D293" s="1036"/>
      <c r="E293" s="1036" t="s">
        <v>191</v>
      </c>
      <c r="F293" s="1036"/>
      <c r="G293" s="1036"/>
      <c r="H293" s="1036"/>
      <c r="I293" s="1036"/>
      <c r="J293" s="1036" t="s">
        <v>190</v>
      </c>
      <c r="K293" s="1036"/>
      <c r="L293" s="1036"/>
      <c r="M293" s="1036"/>
      <c r="N293" s="1036"/>
      <c r="O293" s="1036"/>
    </row>
    <row r="294" spans="2:15" ht="16.5" thickTop="1">
      <c r="B294" s="1728" t="s">
        <v>184</v>
      </c>
      <c r="D294" s="977" t="s">
        <v>1270</v>
      </c>
      <c r="E294" s="963" t="s">
        <v>46</v>
      </c>
      <c r="F294" s="981" t="s">
        <v>1271</v>
      </c>
      <c r="G294" s="189" t="s">
        <v>47</v>
      </c>
      <c r="H294" s="977" t="s">
        <v>1270</v>
      </c>
      <c r="I294" s="974" t="s">
        <v>1269</v>
      </c>
      <c r="J294" s="981" t="s">
        <v>1271</v>
      </c>
      <c r="K294" s="981" t="s">
        <v>1271</v>
      </c>
      <c r="L294" s="964" t="s">
        <v>44</v>
      </c>
      <c r="O294" s="58"/>
    </row>
    <row r="295" spans="2:15">
      <c r="B295" s="1725"/>
      <c r="D295" s="981" t="s">
        <v>1271</v>
      </c>
      <c r="F295" s="977" t="s">
        <v>1270</v>
      </c>
      <c r="G295" s="977" t="s">
        <v>1270</v>
      </c>
      <c r="L295" s="977" t="s">
        <v>1270</v>
      </c>
    </row>
    <row r="296" spans="2:15">
      <c r="B296" s="1725"/>
      <c r="D296" t="s">
        <v>2612</v>
      </c>
      <c r="E296" t="s">
        <v>2612</v>
      </c>
      <c r="F296" t="s">
        <v>2612</v>
      </c>
      <c r="G296" t="s">
        <v>2612</v>
      </c>
      <c r="H296" t="s">
        <v>2612</v>
      </c>
      <c r="I296" t="s">
        <v>2612</v>
      </c>
      <c r="J296" t="s">
        <v>2612</v>
      </c>
      <c r="K296" t="s">
        <v>2612</v>
      </c>
      <c r="L296" t="s">
        <v>2612</v>
      </c>
    </row>
    <row r="297" spans="2:15">
      <c r="B297" s="1725"/>
      <c r="D297" s="964" t="s">
        <v>44</v>
      </c>
      <c r="E297" s="977" t="s">
        <v>1270</v>
      </c>
      <c r="F297" s="981" t="s">
        <v>1271</v>
      </c>
      <c r="G297" s="964" t="s">
        <v>44</v>
      </c>
      <c r="H297" s="981" t="s">
        <v>1271</v>
      </c>
      <c r="I297" s="982" t="s">
        <v>29</v>
      </c>
      <c r="J297" s="189" t="s">
        <v>47</v>
      </c>
      <c r="K297" s="964" t="s">
        <v>44</v>
      </c>
      <c r="L297" s="980" t="s">
        <v>1272</v>
      </c>
      <c r="O297" s="58"/>
    </row>
    <row r="298" spans="2:15">
      <c r="B298" s="1725"/>
      <c r="G298" s="977" t="s">
        <v>1270</v>
      </c>
      <c r="H298" s="979" t="s">
        <v>120</v>
      </c>
      <c r="I298" s="980" t="s">
        <v>1272</v>
      </c>
      <c r="J298" s="977" t="s">
        <v>1270</v>
      </c>
      <c r="K298" s="981" t="s">
        <v>1271</v>
      </c>
      <c r="O298" s="990"/>
    </row>
    <row r="299" spans="2:15" ht="16.5" thickBot="1">
      <c r="B299" s="1726"/>
      <c r="C299" s="1036"/>
      <c r="D299" s="1036" t="s">
        <v>188</v>
      </c>
      <c r="E299" s="1036" t="s">
        <v>188</v>
      </c>
      <c r="F299" s="1036" t="s">
        <v>186</v>
      </c>
      <c r="G299" s="1036" t="s">
        <v>188</v>
      </c>
      <c r="H299" s="1036" t="s">
        <v>188</v>
      </c>
      <c r="I299" s="1036" t="s">
        <v>191</v>
      </c>
      <c r="J299" s="1036" t="s">
        <v>190</v>
      </c>
      <c r="K299" s="1036" t="s">
        <v>190</v>
      </c>
      <c r="L299" s="1036" t="s">
        <v>191</v>
      </c>
      <c r="M299" s="1036"/>
      <c r="N299" s="1036"/>
      <c r="O299" s="1036"/>
    </row>
    <row r="300" spans="2:15" ht="16.5" thickTop="1">
      <c r="B300" s="1729" t="s">
        <v>563</v>
      </c>
      <c r="C300" s="981" t="s">
        <v>1271</v>
      </c>
      <c r="D300" s="981" t="s">
        <v>1271</v>
      </c>
      <c r="E300" s="963" t="s">
        <v>46</v>
      </c>
      <c r="F300" s="959" t="s">
        <v>155</v>
      </c>
      <c r="G300" s="961" t="s">
        <v>339</v>
      </c>
      <c r="H300" s="981" t="s">
        <v>1271</v>
      </c>
      <c r="I300" s="1072" t="s">
        <v>68</v>
      </c>
      <c r="J300" s="189" t="s">
        <v>47</v>
      </c>
      <c r="K300" s="1068"/>
      <c r="L300" s="189" t="s">
        <v>47</v>
      </c>
      <c r="M300" s="1068"/>
      <c r="N300" s="1068"/>
      <c r="O300" s="1071"/>
    </row>
    <row r="301" spans="2:15">
      <c r="B301" s="1710"/>
    </row>
    <row r="302" spans="2:15">
      <c r="B302" s="1710"/>
      <c r="C302" t="s">
        <v>2612</v>
      </c>
      <c r="D302" t="s">
        <v>2612</v>
      </c>
      <c r="E302" t="s">
        <v>2612</v>
      </c>
      <c r="F302" t="s">
        <v>2612</v>
      </c>
      <c r="G302" t="s">
        <v>2612</v>
      </c>
      <c r="H302" t="s">
        <v>2612</v>
      </c>
      <c r="I302" t="s">
        <v>2612</v>
      </c>
      <c r="J302" t="s">
        <v>2612</v>
      </c>
      <c r="L302" t="s">
        <v>2612</v>
      </c>
    </row>
    <row r="303" spans="2:15" ht="15.95" customHeight="1">
      <c r="B303" s="1710"/>
      <c r="C303" s="980" t="s">
        <v>1272</v>
      </c>
      <c r="D303" s="977" t="s">
        <v>1270</v>
      </c>
      <c r="E303" s="977" t="s">
        <v>1270</v>
      </c>
      <c r="F303" s="993" t="s">
        <v>20</v>
      </c>
      <c r="G303" s="981" t="s">
        <v>1271</v>
      </c>
      <c r="H303" s="974" t="s">
        <v>1269</v>
      </c>
      <c r="I303" s="966" t="s">
        <v>73</v>
      </c>
      <c r="J303" s="981" t="s">
        <v>1271</v>
      </c>
      <c r="L303" s="963" t="s">
        <v>46</v>
      </c>
      <c r="O303" s="58"/>
    </row>
    <row r="304" spans="2:15">
      <c r="B304" s="1710"/>
      <c r="D304" s="964" t="s">
        <v>44</v>
      </c>
      <c r="E304" s="981" t="s">
        <v>1271</v>
      </c>
      <c r="J304" s="1049"/>
      <c r="O304" s="990"/>
    </row>
    <row r="305" spans="2:15">
      <c r="B305" s="1710"/>
      <c r="C305" s="1004" t="s">
        <v>186</v>
      </c>
      <c r="D305" s="1004" t="s">
        <v>186</v>
      </c>
      <c r="E305" s="1004" t="s">
        <v>186</v>
      </c>
      <c r="F305" s="1004" t="s">
        <v>186</v>
      </c>
      <c r="G305" s="1004" t="s">
        <v>188</v>
      </c>
      <c r="H305" s="1004" t="s">
        <v>186</v>
      </c>
      <c r="I305" s="1004" t="s">
        <v>188</v>
      </c>
      <c r="J305" s="1004" t="s">
        <v>189</v>
      </c>
      <c r="K305" s="1004"/>
      <c r="L305" s="1004" t="s">
        <v>186</v>
      </c>
      <c r="M305" s="1004"/>
      <c r="N305" s="1004"/>
      <c r="O305" s="1004"/>
    </row>
    <row r="306" spans="2:15">
      <c r="B306" s="1710"/>
      <c r="H306" s="977" t="s">
        <v>1270</v>
      </c>
    </row>
    <row r="307" spans="2:15">
      <c r="B307" s="1710"/>
      <c r="H307" s="964" t="s">
        <v>44</v>
      </c>
    </row>
    <row r="308" spans="2:15">
      <c r="B308" s="1710"/>
      <c r="H308" t="s">
        <v>2612</v>
      </c>
    </row>
    <row r="309" spans="2:15" ht="15.95" customHeight="1">
      <c r="B309" s="1710"/>
      <c r="H309" s="980" t="s">
        <v>1272</v>
      </c>
    </row>
    <row r="310" spans="2:15">
      <c r="B310" s="1710"/>
    </row>
    <row r="311" spans="2:15" ht="16.5" thickBot="1">
      <c r="B311" s="1730"/>
      <c r="C311" s="1036"/>
      <c r="D311" s="1036"/>
      <c r="E311" s="1036"/>
      <c r="F311" s="1036"/>
      <c r="G311" s="1036"/>
      <c r="H311" s="1036" t="s">
        <v>192</v>
      </c>
      <c r="I311" s="1036"/>
      <c r="J311" s="1036"/>
      <c r="K311" s="1036"/>
      <c r="L311" s="1036"/>
      <c r="M311" s="1036"/>
      <c r="N311" s="1036"/>
      <c r="O311" s="1036"/>
    </row>
    <row r="312" spans="2:15" ht="17.100000000000001" customHeight="1" thickTop="1">
      <c r="B312" s="1728" t="s">
        <v>1742</v>
      </c>
      <c r="D312" s="981" t="s">
        <v>1271</v>
      </c>
      <c r="E312" s="977" t="s">
        <v>1270</v>
      </c>
      <c r="F312" s="977" t="s">
        <v>1270</v>
      </c>
      <c r="G312" s="979" t="s">
        <v>120</v>
      </c>
      <c r="I312" s="964" t="s">
        <v>44</v>
      </c>
      <c r="K312" s="977" t="s">
        <v>1270</v>
      </c>
      <c r="L312" s="977" t="s">
        <v>1270</v>
      </c>
      <c r="O312" s="58"/>
    </row>
    <row r="313" spans="2:15">
      <c r="B313" s="1725"/>
      <c r="G313" s="981" t="s">
        <v>1271</v>
      </c>
      <c r="I313" s="981" t="s">
        <v>1271</v>
      </c>
      <c r="L313" s="981" t="s">
        <v>1271</v>
      </c>
    </row>
    <row r="314" spans="2:15">
      <c r="B314" s="1725"/>
      <c r="D314" t="s">
        <v>2612</v>
      </c>
      <c r="E314" t="s">
        <v>2612</v>
      </c>
      <c r="F314" t="s">
        <v>2612</v>
      </c>
      <c r="G314" t="s">
        <v>2612</v>
      </c>
      <c r="I314" t="s">
        <v>2612</v>
      </c>
      <c r="K314" t="s">
        <v>2612</v>
      </c>
      <c r="L314" t="s">
        <v>2612</v>
      </c>
    </row>
    <row r="315" spans="2:15">
      <c r="B315" s="1725"/>
      <c r="D315" s="977" t="s">
        <v>1270</v>
      </c>
      <c r="E315" s="974" t="s">
        <v>1269</v>
      </c>
      <c r="F315" s="977" t="s">
        <v>1270</v>
      </c>
      <c r="G315" s="977" t="s">
        <v>1270</v>
      </c>
      <c r="I315" s="981" t="s">
        <v>1271</v>
      </c>
      <c r="K315" s="981" t="s">
        <v>1271</v>
      </c>
      <c r="L315" s="189" t="s">
        <v>47</v>
      </c>
      <c r="O315" s="58"/>
    </row>
    <row r="316" spans="2:15">
      <c r="B316" s="1725"/>
      <c r="F316" s="960" t="s">
        <v>43</v>
      </c>
      <c r="G316" s="189" t="s">
        <v>47</v>
      </c>
      <c r="L316" s="977" t="s">
        <v>1270</v>
      </c>
      <c r="O316" s="58"/>
    </row>
    <row r="317" spans="2:15">
      <c r="B317" s="1725"/>
      <c r="G317" s="962" t="s">
        <v>216</v>
      </c>
      <c r="O317" s="990"/>
    </row>
    <row r="318" spans="2:15" ht="16.5" thickBot="1">
      <c r="B318" s="1726"/>
      <c r="C318" s="1036"/>
      <c r="D318" s="1036" t="s">
        <v>189</v>
      </c>
      <c r="E318" s="1036" t="s">
        <v>189</v>
      </c>
      <c r="F318" s="1036" t="s">
        <v>190</v>
      </c>
      <c r="G318" s="1036" t="s">
        <v>187</v>
      </c>
      <c r="H318" s="1036"/>
      <c r="I318" s="1036" t="s">
        <v>189</v>
      </c>
      <c r="J318" s="1036"/>
      <c r="K318" s="1036" t="s">
        <v>187</v>
      </c>
      <c r="L318" s="1036" t="s">
        <v>191</v>
      </c>
      <c r="M318" s="1036"/>
      <c r="N318" s="1036"/>
      <c r="O318" s="1036"/>
    </row>
    <row r="319" spans="2:15" ht="17.100000000000001" customHeight="1" thickTop="1">
      <c r="B319" s="1728" t="s">
        <v>2056</v>
      </c>
      <c r="D319" s="964" t="s">
        <v>44</v>
      </c>
      <c r="F319" s="974" t="s">
        <v>1269</v>
      </c>
      <c r="G319" s="981" t="s">
        <v>1271</v>
      </c>
      <c r="H319" s="981" t="s">
        <v>1271</v>
      </c>
      <c r="I319" s="189" t="s">
        <v>47</v>
      </c>
      <c r="J319" s="959" t="s">
        <v>155</v>
      </c>
      <c r="K319" s="981" t="s">
        <v>1271</v>
      </c>
      <c r="O319" s="58"/>
    </row>
    <row r="320" spans="2:15">
      <c r="B320" s="1725"/>
      <c r="D320" s="977" t="s">
        <v>1270</v>
      </c>
      <c r="K320" s="961" t="s">
        <v>339</v>
      </c>
      <c r="O320" s="58"/>
    </row>
    <row r="321" spans="2:15">
      <c r="B321" s="1725"/>
      <c r="D321" s="980" t="s">
        <v>1272</v>
      </c>
      <c r="O321" s="58"/>
    </row>
    <row r="322" spans="2:15">
      <c r="B322" s="1725"/>
      <c r="D322" s="956" t="s">
        <v>109</v>
      </c>
    </row>
    <row r="323" spans="2:15">
      <c r="B323" s="1725"/>
      <c r="D323" t="s">
        <v>2612</v>
      </c>
      <c r="F323" t="s">
        <v>2612</v>
      </c>
      <c r="G323" t="s">
        <v>2612</v>
      </c>
      <c r="H323" t="s">
        <v>2612</v>
      </c>
      <c r="I323" t="s">
        <v>2612</v>
      </c>
      <c r="J323" t="s">
        <v>2612</v>
      </c>
      <c r="K323" t="s">
        <v>2612</v>
      </c>
    </row>
    <row r="324" spans="2:15">
      <c r="B324" s="1725"/>
      <c r="D324" s="981" t="s">
        <v>1271</v>
      </c>
      <c r="F324" s="959" t="s">
        <v>155</v>
      </c>
      <c r="G324" s="963" t="s">
        <v>46</v>
      </c>
      <c r="H324" s="981" t="s">
        <v>1271</v>
      </c>
      <c r="I324" s="977" t="s">
        <v>1270</v>
      </c>
      <c r="J324" s="189" t="s">
        <v>47</v>
      </c>
      <c r="K324" s="980" t="s">
        <v>1272</v>
      </c>
      <c r="O324" s="58"/>
    </row>
    <row r="325" spans="2:15">
      <c r="B325" s="1725"/>
      <c r="F325" s="960" t="s">
        <v>43</v>
      </c>
      <c r="J325" s="970" t="s">
        <v>68</v>
      </c>
      <c r="K325" s="982" t="s">
        <v>29</v>
      </c>
      <c r="O325" s="58"/>
    </row>
    <row r="326" spans="2:15">
      <c r="B326" s="1725"/>
      <c r="O326" s="990"/>
    </row>
    <row r="327" spans="2:15" ht="16.5" thickBot="1">
      <c r="B327" s="1726"/>
      <c r="C327" s="1036"/>
      <c r="D327" s="1036" t="s">
        <v>188</v>
      </c>
      <c r="E327" s="1036"/>
      <c r="F327" s="1036" t="s">
        <v>192</v>
      </c>
      <c r="G327" s="1036" t="s">
        <v>186</v>
      </c>
      <c r="H327" s="1036" t="s">
        <v>186</v>
      </c>
      <c r="I327" s="1036" t="s">
        <v>190</v>
      </c>
      <c r="J327" s="1036" t="s">
        <v>188</v>
      </c>
      <c r="K327" s="1036" t="s">
        <v>187</v>
      </c>
      <c r="L327" s="1036"/>
      <c r="M327" s="1036"/>
      <c r="N327" s="1036"/>
      <c r="O327" s="1036"/>
    </row>
    <row r="328" spans="2:15" ht="16.5" thickTop="1"/>
  </sheetData>
  <mergeCells count="84">
    <mergeCell ref="DC178:DD178"/>
    <mergeCell ref="DE178:DF178"/>
    <mergeCell ref="DG178:DH178"/>
    <mergeCell ref="CN209:CO209"/>
    <mergeCell ref="CP209:CQ209"/>
    <mergeCell ref="CR209:CS209"/>
    <mergeCell ref="CY178:CZ178"/>
    <mergeCell ref="DA178:DB178"/>
    <mergeCell ref="CD209:CE209"/>
    <mergeCell ref="CF209:CG209"/>
    <mergeCell ref="CH209:CI209"/>
    <mergeCell ref="CJ209:CK209"/>
    <mergeCell ref="CL209:CM209"/>
    <mergeCell ref="BT209:BU209"/>
    <mergeCell ref="BV209:BW209"/>
    <mergeCell ref="BX209:BY209"/>
    <mergeCell ref="BZ209:CA209"/>
    <mergeCell ref="CB209:CC209"/>
    <mergeCell ref="BJ209:BK209"/>
    <mergeCell ref="BL209:BM209"/>
    <mergeCell ref="BN209:BO209"/>
    <mergeCell ref="BP209:BQ209"/>
    <mergeCell ref="BR209:BS209"/>
    <mergeCell ref="AZ209:BA209"/>
    <mergeCell ref="BB209:BC209"/>
    <mergeCell ref="BD209:BE209"/>
    <mergeCell ref="BF209:BG209"/>
    <mergeCell ref="BH209:BI209"/>
    <mergeCell ref="AP209:AQ209"/>
    <mergeCell ref="AR209:AS209"/>
    <mergeCell ref="AT209:AU209"/>
    <mergeCell ref="AV209:AW209"/>
    <mergeCell ref="AX209:AY209"/>
    <mergeCell ref="AF209:AG209"/>
    <mergeCell ref="AH209:AI209"/>
    <mergeCell ref="AJ209:AK209"/>
    <mergeCell ref="AL209:AM209"/>
    <mergeCell ref="AN209:AO209"/>
    <mergeCell ref="V209:W209"/>
    <mergeCell ref="X209:Y209"/>
    <mergeCell ref="Z209:AA209"/>
    <mergeCell ref="AB209:AC209"/>
    <mergeCell ref="AD209:AE209"/>
    <mergeCell ref="B282:B293"/>
    <mergeCell ref="B243:B248"/>
    <mergeCell ref="B249:B255"/>
    <mergeCell ref="B256:B261"/>
    <mergeCell ref="B319:B327"/>
    <mergeCell ref="B294:B299"/>
    <mergeCell ref="B300:B311"/>
    <mergeCell ref="B312:B318"/>
    <mergeCell ref="B237:B242"/>
    <mergeCell ref="B231:B236"/>
    <mergeCell ref="B224:B230"/>
    <mergeCell ref="B262:B273"/>
    <mergeCell ref="B274:B281"/>
    <mergeCell ref="B200:B205"/>
    <mergeCell ref="B187:B192"/>
    <mergeCell ref="B193:B199"/>
    <mergeCell ref="B212:B217"/>
    <mergeCell ref="B218:B223"/>
    <mergeCell ref="B206:B211"/>
    <mergeCell ref="H146:H147"/>
    <mergeCell ref="B149:B154"/>
    <mergeCell ref="B155:B161"/>
    <mergeCell ref="B174:B179"/>
    <mergeCell ref="B181:B186"/>
    <mergeCell ref="B131:B136"/>
    <mergeCell ref="B137:B142"/>
    <mergeCell ref="B162:B167"/>
    <mergeCell ref="B168:B173"/>
    <mergeCell ref="B143:B148"/>
    <mergeCell ref="B91:B101"/>
    <mergeCell ref="B102:B107"/>
    <mergeCell ref="B85:B90"/>
    <mergeCell ref="B121:B130"/>
    <mergeCell ref="B108:B113"/>
    <mergeCell ref="B114:B120"/>
    <mergeCell ref="B71:B77"/>
    <mergeCell ref="B78:B84"/>
    <mergeCell ref="B4:D4"/>
    <mergeCell ref="B6:K6"/>
    <mergeCell ref="B59:B64"/>
    <mergeCell ref="B65:B70"/>
  </mergeCells>
  <phoneticPr fontId="3" type="noConversion"/>
  <conditionalFormatting sqref="R74:AD112">
    <cfRule type="cellIs" dxfId="7" priority="3" operator="between">
      <formula>0</formula>
      <formula>0</formula>
    </cfRule>
  </conditionalFormatting>
  <conditionalFormatting sqref="R178:BH205">
    <cfRule type="cellIs" dxfId="6" priority="1" operator="equal">
      <formula>0</formula>
    </cfRule>
  </conditionalFormatting>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E13C-3166-7E48-8797-5934A0033789}">
  <sheetPr codeName="Sheet10">
    <tabColor rgb="FF58FF00"/>
  </sheetPr>
  <dimension ref="B4:AU211"/>
  <sheetViews>
    <sheetView topLeftCell="AI137" zoomScaleNormal="100" workbookViewId="0">
      <selection activeCell="AS154" sqref="AS154:AU154"/>
    </sheetView>
  </sheetViews>
  <sheetFormatPr defaultColWidth="11" defaultRowHeight="15.75"/>
  <cols>
    <col min="2" max="2" width="12.25" customWidth="1"/>
    <col min="3" max="3" width="14.375" customWidth="1"/>
  </cols>
  <sheetData>
    <row r="4" spans="2:11" ht="33.75">
      <c r="B4" s="1733" t="s">
        <v>453</v>
      </c>
      <c r="C4" s="1733"/>
      <c r="D4" s="1733"/>
      <c r="E4" s="1733"/>
    </row>
    <row r="6" spans="2:11" ht="50.1" customHeight="1">
      <c r="B6" s="1701" t="s">
        <v>2006</v>
      </c>
      <c r="C6" s="1701"/>
      <c r="D6" s="1701"/>
      <c r="E6" s="1701"/>
      <c r="F6" s="1701"/>
      <c r="G6" s="1701"/>
      <c r="H6" s="1701"/>
      <c r="I6" s="1701"/>
      <c r="J6" s="1701"/>
      <c r="K6" s="1701"/>
    </row>
    <row r="8" spans="2:11" ht="18">
      <c r="B8" s="345" t="s">
        <v>1538</v>
      </c>
    </row>
    <row r="9" spans="2:11">
      <c r="B9" s="442" t="s">
        <v>183</v>
      </c>
      <c r="C9" s="311" t="s">
        <v>71</v>
      </c>
    </row>
    <row r="10" spans="2:11">
      <c r="B10" s="163" t="s">
        <v>126</v>
      </c>
      <c r="C10" s="326">
        <v>11</v>
      </c>
    </row>
    <row r="11" spans="2:11">
      <c r="B11" s="163" t="s">
        <v>127</v>
      </c>
      <c r="C11" s="326">
        <v>11</v>
      </c>
    </row>
    <row r="12" spans="2:11">
      <c r="B12" s="163" t="s">
        <v>128</v>
      </c>
      <c r="C12" s="326">
        <v>11</v>
      </c>
    </row>
    <row r="13" spans="2:11">
      <c r="B13" s="273" t="s">
        <v>129</v>
      </c>
      <c r="C13" s="327">
        <v>11</v>
      </c>
    </row>
    <row r="14" spans="2:11">
      <c r="B14" s="163" t="s">
        <v>130</v>
      </c>
      <c r="C14" s="326">
        <v>2</v>
      </c>
    </row>
    <row r="15" spans="2:11">
      <c r="B15" s="163" t="s">
        <v>131</v>
      </c>
      <c r="C15" s="326">
        <v>2</v>
      </c>
    </row>
    <row r="16" spans="2:11">
      <c r="B16" s="163" t="s">
        <v>132</v>
      </c>
      <c r="C16" s="326">
        <v>2</v>
      </c>
    </row>
    <row r="17" spans="2:3">
      <c r="B17" s="163" t="s">
        <v>133</v>
      </c>
      <c r="C17" s="326">
        <v>1</v>
      </c>
    </row>
    <row r="18" spans="2:3">
      <c r="B18" s="163" t="s">
        <v>134</v>
      </c>
      <c r="C18" s="326">
        <v>2</v>
      </c>
    </row>
    <row r="19" spans="2:3">
      <c r="B19" s="163" t="s">
        <v>135</v>
      </c>
      <c r="C19" s="326">
        <v>2</v>
      </c>
    </row>
    <row r="20" spans="2:3">
      <c r="B20" s="163" t="s">
        <v>136</v>
      </c>
      <c r="C20" s="326">
        <v>2</v>
      </c>
    </row>
    <row r="21" spans="2:3">
      <c r="B21" s="163" t="s">
        <v>137</v>
      </c>
      <c r="C21" s="326">
        <v>1</v>
      </c>
    </row>
    <row r="22" spans="2:3">
      <c r="B22" s="163" t="s">
        <v>138</v>
      </c>
      <c r="C22" s="326">
        <v>2</v>
      </c>
    </row>
    <row r="23" spans="2:3">
      <c r="B23" s="163" t="s">
        <v>139</v>
      </c>
      <c r="C23" s="326">
        <v>1</v>
      </c>
    </row>
    <row r="24" spans="2:3">
      <c r="B24" s="163" t="s">
        <v>140</v>
      </c>
      <c r="C24" s="326">
        <v>1</v>
      </c>
    </row>
    <row r="25" spans="2:3">
      <c r="B25" s="163" t="s">
        <v>141</v>
      </c>
      <c r="C25" s="326">
        <v>1</v>
      </c>
    </row>
    <row r="26" spans="2:3">
      <c r="B26" s="163" t="s">
        <v>142</v>
      </c>
      <c r="C26" s="326">
        <v>1</v>
      </c>
    </row>
    <row r="27" spans="2:3">
      <c r="B27" s="163" t="s">
        <v>143</v>
      </c>
      <c r="C27" s="326">
        <v>0</v>
      </c>
    </row>
    <row r="28" spans="2:3">
      <c r="B28" s="163" t="s">
        <v>144</v>
      </c>
      <c r="C28" s="326">
        <v>0</v>
      </c>
    </row>
    <row r="29" spans="2:3">
      <c r="B29" s="163" t="s">
        <v>145</v>
      </c>
      <c r="C29" s="326">
        <v>3</v>
      </c>
    </row>
    <row r="30" spans="2:3">
      <c r="B30" s="163" t="s">
        <v>146</v>
      </c>
      <c r="C30" s="326">
        <v>2</v>
      </c>
    </row>
    <row r="31" spans="2:3">
      <c r="B31" s="163" t="s">
        <v>147</v>
      </c>
      <c r="C31" s="326">
        <v>1</v>
      </c>
    </row>
    <row r="32" spans="2:3">
      <c r="B32" s="163" t="s">
        <v>148</v>
      </c>
      <c r="C32" s="326">
        <v>1</v>
      </c>
    </row>
    <row r="33" spans="2:3">
      <c r="B33" s="163" t="s">
        <v>125</v>
      </c>
      <c r="C33" s="326">
        <v>0</v>
      </c>
    </row>
    <row r="34" spans="2:3">
      <c r="B34" s="163" t="s">
        <v>116</v>
      </c>
      <c r="C34" s="326">
        <v>1</v>
      </c>
    </row>
    <row r="35" spans="2:3">
      <c r="B35" s="163" t="s">
        <v>104</v>
      </c>
      <c r="C35" s="326">
        <v>0</v>
      </c>
    </row>
    <row r="36" spans="2:3">
      <c r="B36" s="163" t="s">
        <v>95</v>
      </c>
      <c r="C36" s="326">
        <v>1</v>
      </c>
    </row>
    <row r="37" spans="2:3">
      <c r="B37" s="163" t="s">
        <v>85</v>
      </c>
      <c r="C37" s="326">
        <v>0</v>
      </c>
    </row>
    <row r="38" spans="2:3">
      <c r="B38" s="163" t="s">
        <v>66</v>
      </c>
      <c r="C38" s="326">
        <v>1</v>
      </c>
    </row>
    <row r="39" spans="2:3">
      <c r="B39" s="163" t="s">
        <v>1742</v>
      </c>
      <c r="C39" s="403">
        <f>COUNTIF(Logs!$C$655:$N$664, C$9)</f>
        <v>1</v>
      </c>
    </row>
    <row r="40" spans="2:3">
      <c r="B40" s="163" t="s">
        <v>2056</v>
      </c>
      <c r="C40" s="403">
        <f>COUNTIF(Logs!$C$671:$N$681, C$9)</f>
        <v>1</v>
      </c>
    </row>
    <row r="41" spans="2:3">
      <c r="B41" s="318" t="s">
        <v>182</v>
      </c>
      <c r="C41" s="328">
        <f>SUM(C10:C40)</f>
        <v>76</v>
      </c>
    </row>
    <row r="42" spans="2:3">
      <c r="B42" s="163" t="s">
        <v>1539</v>
      </c>
      <c r="C42" s="326">
        <f>AVERAGE(C10:C13)</f>
        <v>11</v>
      </c>
    </row>
    <row r="43" spans="2:3">
      <c r="B43" s="163" t="s">
        <v>1540</v>
      </c>
      <c r="C43" s="772">
        <f>AVERAGE(C14:C40)</f>
        <v>1.1851851851851851</v>
      </c>
    </row>
    <row r="44" spans="2:3">
      <c r="B44" s="163" t="s">
        <v>1276</v>
      </c>
      <c r="C44" s="326">
        <f>MAX(C10:C40)</f>
        <v>11</v>
      </c>
    </row>
    <row r="45" spans="2:3">
      <c r="B45" s="163" t="s">
        <v>1277</v>
      </c>
      <c r="C45" s="326">
        <f>MODE(C10:C40)</f>
        <v>1</v>
      </c>
    </row>
    <row r="46" spans="2:3">
      <c r="B46" s="90"/>
      <c r="C46" s="326"/>
    </row>
    <row r="47" spans="2:3" ht="18.75">
      <c r="B47" s="40" t="s">
        <v>2708</v>
      </c>
    </row>
    <row r="48" spans="2:3">
      <c r="B48" t="s">
        <v>2709</v>
      </c>
    </row>
    <row r="49" spans="2:30" ht="18.75">
      <c r="B49" s="1704" t="s">
        <v>2713</v>
      </c>
      <c r="C49" s="1704"/>
      <c r="D49" s="1704"/>
      <c r="E49" s="1704"/>
      <c r="F49" s="1704"/>
      <c r="G49" s="1704"/>
      <c r="H49" s="1704"/>
      <c r="I49" s="1704"/>
      <c r="J49" s="1704"/>
      <c r="K49" s="1704"/>
      <c r="L49" s="1704"/>
      <c r="M49" s="1704"/>
      <c r="Q49" s="69" t="s">
        <v>2767</v>
      </c>
    </row>
    <row r="50" spans="2:30">
      <c r="B50" s="1704"/>
      <c r="C50" s="1704"/>
      <c r="D50" s="1704"/>
      <c r="E50" s="1704"/>
      <c r="F50" s="1704"/>
      <c r="G50" s="1704"/>
      <c r="H50" s="1704"/>
      <c r="I50" s="1704"/>
      <c r="J50" s="1704"/>
      <c r="K50" s="1704"/>
      <c r="L50" s="1704"/>
      <c r="M50" s="1704"/>
      <c r="Q50" s="1316" t="s">
        <v>1635</v>
      </c>
      <c r="R50" s="1317" t="s">
        <v>1</v>
      </c>
      <c r="S50" s="1317" t="s">
        <v>2</v>
      </c>
      <c r="T50" s="1317" t="s">
        <v>3</v>
      </c>
      <c r="U50" s="1317" t="s">
        <v>4</v>
      </c>
      <c r="V50" s="1317" t="s">
        <v>5</v>
      </c>
      <c r="W50" s="1317" t="s">
        <v>6</v>
      </c>
      <c r="X50" s="1317" t="s">
        <v>7</v>
      </c>
      <c r="Y50" s="1317" t="s">
        <v>8</v>
      </c>
      <c r="Z50" s="1317" t="s">
        <v>9</v>
      </c>
      <c r="AA50" s="1317" t="s">
        <v>10</v>
      </c>
      <c r="AB50" s="1317" t="s">
        <v>36</v>
      </c>
      <c r="AC50" s="1317" t="s">
        <v>37</v>
      </c>
      <c r="AD50" s="1317" t="s">
        <v>344</v>
      </c>
    </row>
    <row r="51" spans="2:30" ht="16.5" thickBot="1">
      <c r="B51" s="973" t="s">
        <v>183</v>
      </c>
      <c r="C51" s="973" t="s">
        <v>1</v>
      </c>
      <c r="D51" s="973" t="s">
        <v>2</v>
      </c>
      <c r="E51" s="973" t="s">
        <v>3</v>
      </c>
      <c r="F51" s="973" t="s">
        <v>4</v>
      </c>
      <c r="G51" s="973" t="s">
        <v>5</v>
      </c>
      <c r="H51" s="973" t="s">
        <v>6</v>
      </c>
      <c r="I51" s="973" t="s">
        <v>7</v>
      </c>
      <c r="J51" s="973" t="s">
        <v>8</v>
      </c>
      <c r="K51" s="973" t="s">
        <v>9</v>
      </c>
      <c r="L51" s="973" t="s">
        <v>10</v>
      </c>
      <c r="M51" s="973" t="s">
        <v>36</v>
      </c>
      <c r="N51" s="973" t="s">
        <v>37</v>
      </c>
      <c r="O51" s="973" t="s">
        <v>344</v>
      </c>
      <c r="Q51" s="858" t="s">
        <v>185</v>
      </c>
      <c r="R51" s="560" t="str">
        <f t="shared" ref="R51" si="0">IF(COUNTIF(C$52:C$233,$Q51)/COUNTIF(C$52:C$233, "*Challenge*")&gt;0, COUNTIF(C$52:C$233,$Q51)/COUNTIF(C$52:C$233, "*Challenge*"), "")</f>
        <v/>
      </c>
      <c r="S51" s="560">
        <f t="shared" ref="S51" si="1">IF(COUNTIF(D$52:D$233,$Q51)/COUNTIF(D$52:D$233, "*Challenge*")&gt;0, COUNTIF(D$52:D$233,$Q51)/COUNTIF(D$52:D$233, "*Challenge*"), "")</f>
        <v>0.5</v>
      </c>
      <c r="T51" s="560">
        <f t="shared" ref="T51" si="2">IF(COUNTIF(E$52:E$233,$Q51)/COUNTIF(E$52:E$233, "*Challenge*")&gt;0, COUNTIF(E$52:E$233,$Q51)/COUNTIF(E$52:E$233, "*Challenge*"), "")</f>
        <v>0.5</v>
      </c>
      <c r="U51" s="560">
        <f t="shared" ref="U51" si="3">IF(COUNTIF(F$52:F$233,$Q51)/COUNTIF(F$52:F$233, "*Challenge*")&gt;0, COUNTIF(F$52:F$233,$Q51)/COUNTIF(F$52:F$233, "*Challenge*"), "")</f>
        <v>0.125</v>
      </c>
      <c r="V51" s="560">
        <f t="shared" ref="V51" si="4">IF(COUNTIF(G$52:G$233,$Q51)/COUNTIF(G$52:G$233, "*Challenge*")&gt;0, COUNTIF(G$52:G$233,$Q51)/COUNTIF(G$52:G$233, "*Challenge*"), "")</f>
        <v>0.18181818181818182</v>
      </c>
      <c r="W51" s="560" t="str">
        <f t="shared" ref="W51" si="5">IF(COUNTIF(H$52:H$233,$Q51)/COUNTIF(H$52:H$233, "*Challenge*")&gt;0, COUNTIF(H$52:H$233,$Q51)/COUNTIF(H$52:H$233, "*Challenge*"), "")</f>
        <v/>
      </c>
      <c r="X51" s="560">
        <f t="shared" ref="X51" si="6">IF(COUNTIF(I$52:I$233,$Q51)/COUNTIF(I$52:I$233, "*Challenge*")&gt;0, COUNTIF(I$52:I$233,$Q51)/COUNTIF(I$52:I$233, "*Challenge*"), "")</f>
        <v>0.1111111111111111</v>
      </c>
      <c r="Y51" s="560">
        <f t="shared" ref="Y51" si="7">IF(COUNTIF(J$52:J$233,$Q51)/COUNTIF(J$52:J$233, "*Challenge*")&gt;0, COUNTIF(J$52:J$233,$Q51)/COUNTIF(J$52:J$233, "*Challenge*"), "")</f>
        <v>0.14285714285714285</v>
      </c>
      <c r="Z51" s="560">
        <f t="shared" ref="Z51" si="8">IF(COUNTIF(K$52:K$233,$Q51)/COUNTIF(K$52:K$233, "*Challenge*")&gt;0, COUNTIF(K$52:K$233,$Q51)/COUNTIF(K$52:K$233, "*Challenge*"), "")</f>
        <v>0.22222222222222221</v>
      </c>
      <c r="AA51" s="560">
        <f t="shared" ref="AA51" si="9">IF(COUNTIF(L$52:L$233,$Q51)/COUNTIF(L$52:L$233, "*Challenge*")&gt;0, COUNTIF(L$52:L$233,$Q51)/COUNTIF(L$52:L$233, "*Challenge*"), "")</f>
        <v>0.33333333333333331</v>
      </c>
      <c r="AB51" s="560">
        <f t="shared" ref="AB51" si="10">IF(COUNTIF(M$52:M$233,$Q51)/COUNTIF(M$52:M$233, "*Challenge*")&gt;0, COUNTIF(M$52:M$233,$Q51)/COUNTIF(M$52:M$233, "*Challenge*"), "")</f>
        <v>0.2</v>
      </c>
      <c r="AC51" s="560"/>
      <c r="AD51" s="560"/>
    </row>
    <row r="52" spans="2:30">
      <c r="B52" s="1710" t="s">
        <v>126</v>
      </c>
      <c r="C52" s="981" t="s">
        <v>1271</v>
      </c>
      <c r="D52" s="993" t="s">
        <v>20</v>
      </c>
      <c r="E52" s="964" t="s">
        <v>44</v>
      </c>
      <c r="F52" s="967" t="s">
        <v>27</v>
      </c>
      <c r="G52" s="964" t="s">
        <v>44</v>
      </c>
      <c r="H52" s="993" t="s">
        <v>20</v>
      </c>
      <c r="I52" s="964" t="s">
        <v>44</v>
      </c>
      <c r="J52" s="964" t="s">
        <v>44</v>
      </c>
      <c r="K52" s="275" t="s">
        <v>397</v>
      </c>
      <c r="L52" s="981" t="s">
        <v>1271</v>
      </c>
      <c r="M52" s="964" t="s">
        <v>44</v>
      </c>
      <c r="N52" s="58"/>
      <c r="O52" s="58"/>
      <c r="Q52" s="858" t="s">
        <v>186</v>
      </c>
      <c r="R52" s="560" t="str">
        <f t="shared" ref="R52:R63" si="11">IF(COUNTIF(C$52:C$233,$Q52)/COUNTIF(C$52:C$233, "*Challenge*")&gt;0, COUNTIF(C$52:C$233,$Q52)/COUNTIF(C$52:C$233, "*Challenge*"), "")</f>
        <v/>
      </c>
      <c r="S52" s="560">
        <f t="shared" ref="S52:S63" si="12">IF(COUNTIF(D$52:D$233,$Q52)/COUNTIF(D$52:D$233, "*Challenge*")&gt;0, COUNTIF(D$52:D$233,$Q52)/COUNTIF(D$52:D$233, "*Challenge*"), "")</f>
        <v>0.5</v>
      </c>
      <c r="T52" s="560">
        <f t="shared" ref="T52:T63" si="13">IF(COUNTIF(E$52:E$233,$Q52)/COUNTIF(E$52:E$233, "*Challenge*")&gt;0, COUNTIF(E$52:E$233,$Q52)/COUNTIF(E$52:E$233, "*Challenge*"), "")</f>
        <v>0.5</v>
      </c>
      <c r="U52" s="560">
        <f t="shared" ref="U52:U63" si="14">IF(COUNTIF(F$52:F$233,$Q52)/COUNTIF(F$52:F$233, "*Challenge*")&gt;0, COUNTIF(F$52:F$233,$Q52)/COUNTIF(F$52:F$233, "*Challenge*"), "")</f>
        <v>0.375</v>
      </c>
      <c r="V52" s="560">
        <f t="shared" ref="V52:V63" si="15">IF(COUNTIF(G$52:G$233,$Q52)/COUNTIF(G$52:G$233, "*Challenge*")&gt;0, COUNTIF(G$52:G$233,$Q52)/COUNTIF(G$52:G$233, "*Challenge*"), "")</f>
        <v>0.63636363636363635</v>
      </c>
      <c r="W52" s="560">
        <f t="shared" ref="W52:W63" si="16">IF(COUNTIF(H$52:H$233,$Q52)/COUNTIF(H$52:H$233, "*Challenge*")&gt;0, COUNTIF(H$52:H$233,$Q52)/COUNTIF(H$52:H$233, "*Challenge*"), "")</f>
        <v>0.625</v>
      </c>
      <c r="X52" s="560">
        <f t="shared" ref="X52:X63" si="17">IF(COUNTIF(I$52:I$233,$Q52)/COUNTIF(I$52:I$233, "*Challenge*")&gt;0, COUNTIF(I$52:I$233,$Q52)/COUNTIF(I$52:I$233, "*Challenge*"), "")</f>
        <v>0.33333333333333331</v>
      </c>
      <c r="Y52" s="560">
        <f t="shared" ref="Y52:Y63" si="18">IF(COUNTIF(J$52:J$233,$Q52)/COUNTIF(J$52:J$233, "*Challenge*")&gt;0, COUNTIF(J$52:J$233,$Q52)/COUNTIF(J$52:J$233, "*Challenge*"), "")</f>
        <v>0.7142857142857143</v>
      </c>
      <c r="Z52" s="560">
        <f t="shared" ref="Z52:Z63" si="19">IF(COUNTIF(K$52:K$233,$Q52)/COUNTIF(K$52:K$233, "*Challenge*")&gt;0, COUNTIF(K$52:K$233,$Q52)/COUNTIF(K$52:K$233, "*Challenge*"), "")</f>
        <v>0.55555555555555558</v>
      </c>
      <c r="AA52" s="560">
        <f t="shared" ref="AA52:AA63" si="20">IF(COUNTIF(L$52:L$233,$Q52)/COUNTIF(L$52:L$233, "*Challenge*")&gt;0, COUNTIF(L$52:L$233,$Q52)/COUNTIF(L$52:L$233, "*Challenge*"), "")</f>
        <v>0.16666666666666666</v>
      </c>
      <c r="AB52" s="560">
        <f t="shared" ref="AB52:AB63" si="21">IF(COUNTIF(M$52:M$233,$Q52)/COUNTIF(M$52:M$233, "*Challenge*")&gt;0, COUNTIF(M$52:M$233,$Q52)/COUNTIF(M$52:M$233, "*Challenge*"), "")</f>
        <v>0.8</v>
      </c>
      <c r="AC52" s="560"/>
      <c r="AD52" s="560"/>
    </row>
    <row r="53" spans="2:30">
      <c r="B53" s="1710"/>
      <c r="G53" s="955" t="s">
        <v>234</v>
      </c>
      <c r="I53" s="981" t="s">
        <v>1271</v>
      </c>
      <c r="Q53" s="858" t="s">
        <v>187</v>
      </c>
      <c r="R53" s="560">
        <f t="shared" si="11"/>
        <v>1</v>
      </c>
      <c r="S53" s="560" t="str">
        <f t="shared" si="12"/>
        <v/>
      </c>
      <c r="T53" s="560" t="str">
        <f t="shared" si="13"/>
        <v/>
      </c>
      <c r="U53" s="560">
        <f t="shared" si="14"/>
        <v>0.125</v>
      </c>
      <c r="V53" s="560">
        <f t="shared" si="15"/>
        <v>0.18181818181818182</v>
      </c>
      <c r="W53" s="560">
        <f t="shared" si="16"/>
        <v>0.125</v>
      </c>
      <c r="X53" s="560">
        <f t="shared" si="17"/>
        <v>0.44444444444444442</v>
      </c>
      <c r="Y53" s="560">
        <f t="shared" si="18"/>
        <v>0.14285714285714285</v>
      </c>
      <c r="Z53" s="560" t="str">
        <f t="shared" si="19"/>
        <v/>
      </c>
      <c r="AA53" s="560">
        <f t="shared" si="20"/>
        <v>0.33333333333333331</v>
      </c>
      <c r="AB53" s="560" t="str">
        <f t="shared" si="21"/>
        <v/>
      </c>
      <c r="AC53" s="560"/>
      <c r="AD53" s="560"/>
    </row>
    <row r="54" spans="2:30">
      <c r="B54" s="1710"/>
      <c r="I54" s="993" t="s">
        <v>20</v>
      </c>
      <c r="Q54" s="858" t="s">
        <v>188</v>
      </c>
      <c r="R54" s="560" t="str">
        <f t="shared" si="11"/>
        <v/>
      </c>
      <c r="S54" s="560" t="str">
        <f t="shared" si="12"/>
        <v/>
      </c>
      <c r="T54" s="560" t="str">
        <f t="shared" si="13"/>
        <v/>
      </c>
      <c r="U54" s="560">
        <f t="shared" si="14"/>
        <v>0.375</v>
      </c>
      <c r="V54" s="560" t="str">
        <f t="shared" si="15"/>
        <v/>
      </c>
      <c r="W54" s="560">
        <f t="shared" si="16"/>
        <v>0.125</v>
      </c>
      <c r="X54" s="560">
        <f t="shared" si="17"/>
        <v>0.1111111111111111</v>
      </c>
      <c r="Y54" s="560" t="str">
        <f t="shared" si="18"/>
        <v/>
      </c>
      <c r="Z54" s="560">
        <f t="shared" si="19"/>
        <v>0.22222222222222221</v>
      </c>
      <c r="AA54" s="560" t="str">
        <f t="shared" si="20"/>
        <v/>
      </c>
      <c r="AB54" s="560" t="str">
        <f t="shared" si="21"/>
        <v/>
      </c>
      <c r="AC54" s="560"/>
      <c r="AD54" s="560"/>
    </row>
    <row r="55" spans="2:30" ht="16.5" thickBot="1">
      <c r="B55" s="1723"/>
      <c r="C55" s="985" t="s">
        <v>187</v>
      </c>
      <c r="D55" s="985" t="s">
        <v>185</v>
      </c>
      <c r="E55" s="985" t="s">
        <v>185</v>
      </c>
      <c r="F55" s="985" t="s">
        <v>185</v>
      </c>
      <c r="G55" s="985" t="s">
        <v>185</v>
      </c>
      <c r="H55" s="985" t="s">
        <v>186</v>
      </c>
      <c r="I55" s="985" t="s">
        <v>185</v>
      </c>
      <c r="J55" s="985" t="s">
        <v>186</v>
      </c>
      <c r="K55" s="985" t="s">
        <v>185</v>
      </c>
      <c r="L55" s="985" t="s">
        <v>185</v>
      </c>
      <c r="M55" s="985" t="s">
        <v>185</v>
      </c>
      <c r="N55" s="985"/>
      <c r="O55" s="985"/>
      <c r="Q55" s="858" t="s">
        <v>189</v>
      </c>
      <c r="R55" s="560" t="str">
        <f t="shared" si="11"/>
        <v/>
      </c>
      <c r="S55" s="560" t="str">
        <f t="shared" si="12"/>
        <v/>
      </c>
      <c r="T55" s="560" t="str">
        <f t="shared" si="13"/>
        <v/>
      </c>
      <c r="U55" s="560" t="str">
        <f t="shared" si="14"/>
        <v/>
      </c>
      <c r="V55" s="560" t="str">
        <f t="shared" si="15"/>
        <v/>
      </c>
      <c r="W55" s="560" t="str">
        <f t="shared" si="16"/>
        <v/>
      </c>
      <c r="X55" s="560" t="str">
        <f t="shared" si="17"/>
        <v/>
      </c>
      <c r="Y55" s="560" t="str">
        <f t="shared" si="18"/>
        <v/>
      </c>
      <c r="Z55" s="560" t="str">
        <f t="shared" si="19"/>
        <v/>
      </c>
      <c r="AA55" s="560" t="str">
        <f t="shared" si="20"/>
        <v/>
      </c>
      <c r="AB55" s="560" t="str">
        <f t="shared" si="21"/>
        <v/>
      </c>
      <c r="AC55" s="560"/>
      <c r="AD55" s="560"/>
    </row>
    <row r="56" spans="2:30" ht="16.5" thickTop="1">
      <c r="B56" s="1710" t="s">
        <v>127</v>
      </c>
      <c r="C56" t="s">
        <v>2712</v>
      </c>
      <c r="D56" s="974" t="s">
        <v>1269</v>
      </c>
      <c r="E56" s="964" t="s">
        <v>44</v>
      </c>
      <c r="F56" s="962" t="s">
        <v>216</v>
      </c>
      <c r="G56" s="993" t="s">
        <v>20</v>
      </c>
      <c r="H56" s="983" t="s">
        <v>124</v>
      </c>
      <c r="I56" s="964" t="s">
        <v>44</v>
      </c>
      <c r="J56" s="981" t="s">
        <v>1271</v>
      </c>
      <c r="K56" s="982" t="s">
        <v>29</v>
      </c>
      <c r="L56" s="964" t="s">
        <v>44</v>
      </c>
      <c r="M56" s="984" t="s">
        <v>24</v>
      </c>
      <c r="N56" s="58"/>
      <c r="O56" s="58"/>
      <c r="Q56" s="858" t="s">
        <v>190</v>
      </c>
      <c r="R56" s="560" t="str">
        <f t="shared" si="11"/>
        <v/>
      </c>
      <c r="S56" s="560" t="str">
        <f t="shared" si="12"/>
        <v/>
      </c>
      <c r="T56" s="560" t="str">
        <f t="shared" si="13"/>
        <v/>
      </c>
      <c r="U56" s="560" t="str">
        <f t="shared" si="14"/>
        <v/>
      </c>
      <c r="V56" s="560" t="str">
        <f t="shared" si="15"/>
        <v/>
      </c>
      <c r="W56" s="560" t="str">
        <f t="shared" si="16"/>
        <v/>
      </c>
      <c r="X56" s="560" t="str">
        <f t="shared" si="17"/>
        <v/>
      </c>
      <c r="Y56" s="560" t="str">
        <f t="shared" si="18"/>
        <v/>
      </c>
      <c r="Z56" s="560" t="str">
        <f t="shared" si="19"/>
        <v/>
      </c>
      <c r="AA56" s="560">
        <f t="shared" si="20"/>
        <v>0.16666666666666666</v>
      </c>
      <c r="AB56" s="560" t="str">
        <f t="shared" si="21"/>
        <v/>
      </c>
      <c r="AC56" s="560"/>
      <c r="AD56" s="560"/>
    </row>
    <row r="57" spans="2:30">
      <c r="B57" s="1710"/>
      <c r="F57" s="993" t="s">
        <v>20</v>
      </c>
      <c r="J57" s="964" t="s">
        <v>44</v>
      </c>
      <c r="M57" s="981" t="s">
        <v>1271</v>
      </c>
      <c r="Q57" s="858" t="s">
        <v>191</v>
      </c>
      <c r="R57" s="560" t="str">
        <f t="shared" si="11"/>
        <v/>
      </c>
      <c r="S57" s="560" t="str">
        <f t="shared" si="12"/>
        <v/>
      </c>
      <c r="T57" s="560" t="str">
        <f t="shared" si="13"/>
        <v/>
      </c>
      <c r="U57" s="560" t="str">
        <f t="shared" si="14"/>
        <v/>
      </c>
      <c r="V57" s="560" t="str">
        <f t="shared" si="15"/>
        <v/>
      </c>
      <c r="W57" s="560" t="str">
        <f t="shared" si="16"/>
        <v/>
      </c>
      <c r="X57" s="560" t="str">
        <f t="shared" si="17"/>
        <v/>
      </c>
      <c r="Y57" s="560" t="str">
        <f t="shared" si="18"/>
        <v/>
      </c>
      <c r="Z57" s="560" t="str">
        <f t="shared" si="19"/>
        <v/>
      </c>
      <c r="AA57" s="560" t="str">
        <f t="shared" si="20"/>
        <v/>
      </c>
      <c r="AB57" s="560" t="str">
        <f t="shared" si="21"/>
        <v/>
      </c>
      <c r="AC57" s="560"/>
      <c r="AD57" s="560"/>
    </row>
    <row r="58" spans="2:30" ht="16.5" thickBot="1">
      <c r="B58" s="1723"/>
      <c r="C58" s="985" t="s">
        <v>187</v>
      </c>
      <c r="D58" s="985" t="s">
        <v>186</v>
      </c>
      <c r="E58" s="985" t="s">
        <v>186</v>
      </c>
      <c r="F58" s="985" t="s">
        <v>187</v>
      </c>
      <c r="G58" s="985" t="s">
        <v>187</v>
      </c>
      <c r="H58" s="985" t="s">
        <v>186</v>
      </c>
      <c r="I58" s="985" t="s">
        <v>187</v>
      </c>
      <c r="J58" s="985" t="s">
        <v>185</v>
      </c>
      <c r="K58" s="985" t="s">
        <v>185</v>
      </c>
      <c r="L58" s="985" t="s">
        <v>185</v>
      </c>
      <c r="M58" s="985" t="s">
        <v>186</v>
      </c>
      <c r="N58" s="985"/>
      <c r="O58" s="985"/>
      <c r="Q58" s="858" t="s">
        <v>192</v>
      </c>
      <c r="R58" s="560" t="str">
        <f t="shared" si="11"/>
        <v/>
      </c>
      <c r="S58" s="560" t="str">
        <f t="shared" si="12"/>
        <v/>
      </c>
      <c r="T58" s="560" t="str">
        <f t="shared" si="13"/>
        <v/>
      </c>
      <c r="U58" s="560" t="str">
        <f t="shared" si="14"/>
        <v/>
      </c>
      <c r="V58" s="560" t="str">
        <f t="shared" si="15"/>
        <v/>
      </c>
      <c r="W58" s="560">
        <f>IF(COUNTIF(H$52:H$233,$Q58)/COUNTIF(H$52:H$233, "*Challenge*")&gt;0, COUNTIF(H$52:H$233,$Q58)/COUNTIF(H$52:H$233, "*Challenge*"), "")</f>
        <v>0.125</v>
      </c>
      <c r="X58" s="560" t="str">
        <f t="shared" si="17"/>
        <v/>
      </c>
      <c r="Y58" s="560" t="str">
        <f t="shared" si="18"/>
        <v/>
      </c>
      <c r="Z58" s="560" t="str">
        <f t="shared" si="19"/>
        <v/>
      </c>
      <c r="AA58" s="560" t="str">
        <f t="shared" si="20"/>
        <v/>
      </c>
      <c r="AB58" s="560" t="str">
        <f t="shared" si="21"/>
        <v/>
      </c>
      <c r="AC58" s="560"/>
      <c r="AD58" s="560"/>
    </row>
    <row r="59" spans="2:30" ht="16.5" thickTop="1">
      <c r="B59" s="1710" t="s">
        <v>128</v>
      </c>
      <c r="C59" s="964" t="s">
        <v>44</v>
      </c>
      <c r="D59" s="981" t="s">
        <v>1271</v>
      </c>
      <c r="E59" s="984" t="s">
        <v>24</v>
      </c>
      <c r="F59" s="993" t="s">
        <v>20</v>
      </c>
      <c r="G59" t="s">
        <v>2712</v>
      </c>
      <c r="H59" s="964" t="s">
        <v>44</v>
      </c>
      <c r="I59" s="964" t="s">
        <v>44</v>
      </c>
      <c r="J59" t="s">
        <v>2712</v>
      </c>
      <c r="K59" s="982" t="s">
        <v>29</v>
      </c>
      <c r="L59" t="s">
        <v>2712</v>
      </c>
      <c r="M59" t="s">
        <v>2712</v>
      </c>
      <c r="N59" s="58"/>
      <c r="O59" s="58"/>
      <c r="Q59" s="858" t="s">
        <v>193</v>
      </c>
      <c r="R59" s="560" t="str">
        <f t="shared" si="11"/>
        <v/>
      </c>
      <c r="S59" s="560" t="str">
        <f t="shared" si="12"/>
        <v/>
      </c>
      <c r="T59" s="560" t="str">
        <f t="shared" si="13"/>
        <v/>
      </c>
      <c r="U59" s="560" t="str">
        <f t="shared" si="14"/>
        <v/>
      </c>
      <c r="V59" s="560" t="str">
        <f t="shared" si="15"/>
        <v/>
      </c>
      <c r="W59" s="560" t="str">
        <f t="shared" si="16"/>
        <v/>
      </c>
      <c r="X59" s="560" t="str">
        <f t="shared" si="17"/>
        <v/>
      </c>
      <c r="Y59" s="560" t="str">
        <f t="shared" si="18"/>
        <v/>
      </c>
      <c r="Z59" s="560" t="str">
        <f t="shared" si="19"/>
        <v/>
      </c>
      <c r="AA59" s="560" t="str">
        <f t="shared" si="20"/>
        <v/>
      </c>
      <c r="AB59" s="560" t="str">
        <f t="shared" si="21"/>
        <v/>
      </c>
      <c r="AC59" s="560"/>
      <c r="AD59" s="560"/>
    </row>
    <row r="60" spans="2:30">
      <c r="B60" s="1710"/>
      <c r="D60" s="984" t="s">
        <v>24</v>
      </c>
      <c r="K60" s="984" t="s">
        <v>24</v>
      </c>
      <c r="Q60" s="858" t="s">
        <v>194</v>
      </c>
      <c r="R60" s="560" t="str">
        <f t="shared" si="11"/>
        <v/>
      </c>
      <c r="S60" s="560" t="str">
        <f t="shared" si="12"/>
        <v/>
      </c>
      <c r="T60" s="560" t="str">
        <f t="shared" si="13"/>
        <v/>
      </c>
      <c r="U60" s="560" t="str">
        <f t="shared" si="14"/>
        <v/>
      </c>
      <c r="V60" s="560" t="str">
        <f t="shared" si="15"/>
        <v/>
      </c>
      <c r="W60" s="560" t="str">
        <f t="shared" si="16"/>
        <v/>
      </c>
      <c r="X60" s="560" t="str">
        <f t="shared" si="17"/>
        <v/>
      </c>
      <c r="Y60" s="560" t="str">
        <f t="shared" si="18"/>
        <v/>
      </c>
      <c r="Z60" s="560" t="str">
        <f t="shared" si="19"/>
        <v/>
      </c>
      <c r="AA60" s="560" t="str">
        <f t="shared" si="20"/>
        <v/>
      </c>
      <c r="AB60" s="560" t="str">
        <f t="shared" si="21"/>
        <v/>
      </c>
      <c r="AC60" s="560"/>
      <c r="AD60" s="560"/>
    </row>
    <row r="61" spans="2:30">
      <c r="B61" s="1710"/>
      <c r="D61" s="968" t="s">
        <v>26</v>
      </c>
      <c r="Q61" s="858" t="s">
        <v>1637</v>
      </c>
      <c r="R61" s="560" t="str">
        <f t="shared" si="11"/>
        <v/>
      </c>
      <c r="S61" s="560" t="str">
        <f t="shared" si="12"/>
        <v/>
      </c>
      <c r="T61" s="560" t="str">
        <f t="shared" si="13"/>
        <v/>
      </c>
      <c r="U61" s="560" t="str">
        <f t="shared" si="14"/>
        <v/>
      </c>
      <c r="V61" s="560" t="str">
        <f t="shared" si="15"/>
        <v/>
      </c>
      <c r="W61" s="560" t="str">
        <f t="shared" si="16"/>
        <v/>
      </c>
      <c r="X61" s="560" t="str">
        <f t="shared" si="17"/>
        <v/>
      </c>
      <c r="Y61" s="560" t="str">
        <f t="shared" si="18"/>
        <v/>
      </c>
      <c r="Z61" s="560" t="str">
        <f t="shared" si="19"/>
        <v/>
      </c>
      <c r="AA61" s="560" t="str">
        <f t="shared" si="20"/>
        <v/>
      </c>
      <c r="AB61" s="560" t="str">
        <f t="shared" si="21"/>
        <v/>
      </c>
      <c r="AC61" s="560"/>
      <c r="AD61" s="560"/>
    </row>
    <row r="62" spans="2:30" ht="16.5" thickBot="1">
      <c r="B62" s="1723"/>
      <c r="C62" s="985" t="s">
        <v>187</v>
      </c>
      <c r="D62" s="985" t="s">
        <v>185</v>
      </c>
      <c r="E62" s="985" t="s">
        <v>185</v>
      </c>
      <c r="F62" s="985" t="s">
        <v>188</v>
      </c>
      <c r="G62" s="985" t="s">
        <v>185</v>
      </c>
      <c r="H62" s="985" t="s">
        <v>186</v>
      </c>
      <c r="I62" s="985" t="s">
        <v>186</v>
      </c>
      <c r="J62" s="985" t="s">
        <v>186</v>
      </c>
      <c r="K62" s="985" t="s">
        <v>186</v>
      </c>
      <c r="L62" s="985" t="s">
        <v>190</v>
      </c>
      <c r="M62" s="985" t="s">
        <v>186</v>
      </c>
      <c r="N62" s="985"/>
      <c r="O62" s="985"/>
      <c r="Q62" s="858" t="s">
        <v>1638</v>
      </c>
      <c r="R62" s="560" t="str">
        <f t="shared" si="11"/>
        <v/>
      </c>
      <c r="S62" s="560" t="str">
        <f t="shared" si="12"/>
        <v/>
      </c>
      <c r="T62" s="560" t="str">
        <f t="shared" si="13"/>
        <v/>
      </c>
      <c r="U62" s="560" t="str">
        <f t="shared" si="14"/>
        <v/>
      </c>
      <c r="V62" s="560" t="str">
        <f t="shared" si="15"/>
        <v/>
      </c>
      <c r="W62" s="560" t="str">
        <f t="shared" si="16"/>
        <v/>
      </c>
      <c r="X62" s="560" t="str">
        <f t="shared" si="17"/>
        <v/>
      </c>
      <c r="Y62" s="560" t="str">
        <f t="shared" si="18"/>
        <v/>
      </c>
      <c r="Z62" s="560" t="str">
        <f t="shared" si="19"/>
        <v/>
      </c>
      <c r="AA62" s="560" t="str">
        <f t="shared" si="20"/>
        <v/>
      </c>
      <c r="AB62" s="560" t="str">
        <f t="shared" si="21"/>
        <v/>
      </c>
      <c r="AC62" s="560"/>
      <c r="AD62" s="560"/>
    </row>
    <row r="63" spans="2:30" ht="16.5" thickTop="1">
      <c r="B63" s="1710" t="s">
        <v>129</v>
      </c>
      <c r="C63" s="981" t="s">
        <v>1271</v>
      </c>
      <c r="D63" s="966" t="s">
        <v>73</v>
      </c>
      <c r="E63" s="960" t="s">
        <v>43</v>
      </c>
      <c r="F63" s="993" t="s">
        <v>20</v>
      </c>
      <c r="G63" s="968" t="s">
        <v>26</v>
      </c>
      <c r="H63" t="s">
        <v>2712</v>
      </c>
      <c r="I63" t="s">
        <v>2712</v>
      </c>
      <c r="J63" t="s">
        <v>2712</v>
      </c>
      <c r="K63" s="967" t="s">
        <v>27</v>
      </c>
      <c r="L63" t="s">
        <v>2712</v>
      </c>
      <c r="M63" s="962" t="s">
        <v>216</v>
      </c>
      <c r="N63" s="58"/>
      <c r="O63" s="58"/>
      <c r="Q63" s="858" t="s">
        <v>1639</v>
      </c>
      <c r="R63" s="560" t="str">
        <f t="shared" si="11"/>
        <v/>
      </c>
      <c r="S63" s="560" t="str">
        <f t="shared" si="12"/>
        <v/>
      </c>
      <c r="T63" s="560" t="str">
        <f t="shared" si="13"/>
        <v/>
      </c>
      <c r="U63" s="560" t="str">
        <f t="shared" si="14"/>
        <v/>
      </c>
      <c r="V63" s="560" t="str">
        <f t="shared" si="15"/>
        <v/>
      </c>
      <c r="W63" s="560" t="str">
        <f t="shared" si="16"/>
        <v/>
      </c>
      <c r="X63" s="560" t="str">
        <f t="shared" si="17"/>
        <v/>
      </c>
      <c r="Y63" s="560" t="str">
        <f t="shared" si="18"/>
        <v/>
      </c>
      <c r="Z63" s="560" t="str">
        <f t="shared" si="19"/>
        <v/>
      </c>
      <c r="AA63" s="560" t="str">
        <f t="shared" si="20"/>
        <v/>
      </c>
      <c r="AB63" s="560" t="str">
        <f t="shared" si="21"/>
        <v/>
      </c>
      <c r="AC63" s="560"/>
      <c r="AD63" s="560"/>
    </row>
    <row r="64" spans="2:30">
      <c r="B64" s="1710"/>
      <c r="D64" s="959" t="s">
        <v>155</v>
      </c>
    </row>
    <row r="65" spans="2:30" ht="19.5" thickBot="1">
      <c r="B65" s="1723"/>
      <c r="C65" s="985" t="s">
        <v>187</v>
      </c>
      <c r="D65" s="985" t="s">
        <v>186</v>
      </c>
      <c r="E65" s="985" t="s">
        <v>186</v>
      </c>
      <c r="F65" s="985" t="s">
        <v>188</v>
      </c>
      <c r="G65" s="985" t="s">
        <v>186</v>
      </c>
      <c r="H65" s="985" t="s">
        <v>188</v>
      </c>
      <c r="I65" s="985" t="s">
        <v>186</v>
      </c>
      <c r="J65" s="985" t="s">
        <v>186</v>
      </c>
      <c r="K65" s="985" t="s">
        <v>186</v>
      </c>
      <c r="L65" s="985" t="s">
        <v>187</v>
      </c>
      <c r="M65" s="985" t="s">
        <v>186</v>
      </c>
      <c r="N65" s="985" t="s">
        <v>1053</v>
      </c>
      <c r="O65" s="985"/>
      <c r="Q65" s="69" t="s">
        <v>2768</v>
      </c>
    </row>
    <row r="66" spans="2:30" ht="16.5" thickTop="1">
      <c r="B66" s="1710" t="s">
        <v>130</v>
      </c>
      <c r="C66" s="58"/>
      <c r="E66" s="52"/>
      <c r="F66" s="990"/>
      <c r="G66" s="981" t="s">
        <v>1271</v>
      </c>
      <c r="K66" s="983" t="s">
        <v>124</v>
      </c>
      <c r="M66" s="58"/>
      <c r="N66" s="58"/>
      <c r="O66" s="58"/>
      <c r="Q66" s="1318" t="s">
        <v>183</v>
      </c>
      <c r="R66" s="1318" t="s">
        <v>185</v>
      </c>
      <c r="S66" s="1318" t="s">
        <v>186</v>
      </c>
      <c r="T66" s="1318" t="s">
        <v>187</v>
      </c>
      <c r="U66" s="1318" t="s">
        <v>188</v>
      </c>
      <c r="V66" s="1318" t="s">
        <v>189</v>
      </c>
      <c r="W66" s="1318" t="s">
        <v>190</v>
      </c>
      <c r="X66" s="1318" t="s">
        <v>191</v>
      </c>
      <c r="Y66" s="1318" t="s">
        <v>192</v>
      </c>
      <c r="Z66" s="1318" t="s">
        <v>193</v>
      </c>
      <c r="AA66" s="1318" t="s">
        <v>194</v>
      </c>
      <c r="AB66" s="1318" t="s">
        <v>1637</v>
      </c>
      <c r="AC66" s="1318" t="s">
        <v>1638</v>
      </c>
      <c r="AD66" s="1318" t="s">
        <v>1639</v>
      </c>
    </row>
    <row r="67" spans="2:30">
      <c r="B67" s="1710"/>
      <c r="Q67" t="s">
        <v>126</v>
      </c>
      <c r="R67">
        <f>COUNTIF($C55:$O55, R$66)</f>
        <v>8</v>
      </c>
      <c r="S67">
        <f t="shared" ref="S67:AD67" si="22">COUNTIF($C55:$O55, S$66)</f>
        <v>2</v>
      </c>
      <c r="T67">
        <f t="shared" si="22"/>
        <v>1</v>
      </c>
      <c r="U67">
        <f t="shared" si="22"/>
        <v>0</v>
      </c>
      <c r="V67">
        <f t="shared" si="22"/>
        <v>0</v>
      </c>
      <c r="W67">
        <f t="shared" si="22"/>
        <v>0</v>
      </c>
      <c r="X67">
        <f t="shared" si="22"/>
        <v>0</v>
      </c>
      <c r="Y67">
        <f t="shared" si="22"/>
        <v>0</v>
      </c>
      <c r="Z67">
        <f t="shared" si="22"/>
        <v>0</v>
      </c>
      <c r="AA67">
        <f t="shared" si="22"/>
        <v>0</v>
      </c>
      <c r="AB67">
        <f t="shared" si="22"/>
        <v>0</v>
      </c>
      <c r="AC67">
        <f t="shared" si="22"/>
        <v>0</v>
      </c>
      <c r="AD67">
        <f t="shared" si="22"/>
        <v>0</v>
      </c>
    </row>
    <row r="68" spans="2:30" ht="16.5" thickBot="1">
      <c r="B68" s="1723"/>
      <c r="C68" s="985"/>
      <c r="D68" s="985"/>
      <c r="E68" s="985"/>
      <c r="F68" s="985"/>
      <c r="G68" s="985" t="s">
        <v>187</v>
      </c>
      <c r="H68" s="985"/>
      <c r="I68" s="985"/>
      <c r="J68" s="985"/>
      <c r="K68" s="985" t="s">
        <v>188</v>
      </c>
      <c r="L68" s="985"/>
      <c r="M68" s="985"/>
      <c r="N68" s="985" t="s">
        <v>1053</v>
      </c>
      <c r="O68" s="985"/>
      <c r="Q68" t="s">
        <v>127</v>
      </c>
      <c r="R68">
        <f>COUNTIF($C58:$O58, R$66)</f>
        <v>3</v>
      </c>
      <c r="S68">
        <f t="shared" ref="S68:AD68" si="23">COUNTIF($C58:$O58, S$66)</f>
        <v>4</v>
      </c>
      <c r="T68">
        <f t="shared" si="23"/>
        <v>4</v>
      </c>
      <c r="U68">
        <f t="shared" si="23"/>
        <v>0</v>
      </c>
      <c r="V68">
        <f t="shared" si="23"/>
        <v>0</v>
      </c>
      <c r="W68">
        <f t="shared" si="23"/>
        <v>0</v>
      </c>
      <c r="X68">
        <f t="shared" si="23"/>
        <v>0</v>
      </c>
      <c r="Y68">
        <f t="shared" si="23"/>
        <v>0</v>
      </c>
      <c r="Z68">
        <f t="shared" si="23"/>
        <v>0</v>
      </c>
      <c r="AA68">
        <f t="shared" si="23"/>
        <v>0</v>
      </c>
      <c r="AB68">
        <f t="shared" si="23"/>
        <v>0</v>
      </c>
      <c r="AC68">
        <f t="shared" si="23"/>
        <v>0</v>
      </c>
      <c r="AD68">
        <f t="shared" si="23"/>
        <v>0</v>
      </c>
    </row>
    <row r="69" spans="2:30" ht="16.5" thickTop="1">
      <c r="B69" s="1721" t="s">
        <v>131</v>
      </c>
      <c r="C69" s="58"/>
      <c r="E69" s="52"/>
      <c r="F69" s="990"/>
      <c r="G69" s="58"/>
      <c r="H69" s="982" t="s">
        <v>29</v>
      </c>
      <c r="I69" s="962" t="s">
        <v>216</v>
      </c>
      <c r="K69" s="58"/>
      <c r="M69" s="58"/>
      <c r="N69" s="58"/>
      <c r="O69" s="58"/>
      <c r="Q69" t="s">
        <v>128</v>
      </c>
      <c r="R69">
        <f>COUNTIF($C62:$O62, R$66)</f>
        <v>3</v>
      </c>
      <c r="S69">
        <f>COUNTIF($C62:$O62, S$66)</f>
        <v>5</v>
      </c>
      <c r="T69">
        <f t="shared" ref="T69:AD69" si="24">COUNTIF($C62:$O62, T$66)</f>
        <v>1</v>
      </c>
      <c r="U69">
        <f t="shared" si="24"/>
        <v>1</v>
      </c>
      <c r="V69">
        <f t="shared" si="24"/>
        <v>0</v>
      </c>
      <c r="W69">
        <f t="shared" si="24"/>
        <v>1</v>
      </c>
      <c r="X69">
        <f t="shared" si="24"/>
        <v>0</v>
      </c>
      <c r="Y69">
        <f t="shared" si="24"/>
        <v>0</v>
      </c>
      <c r="Z69">
        <f t="shared" si="24"/>
        <v>0</v>
      </c>
      <c r="AA69">
        <f t="shared" si="24"/>
        <v>0</v>
      </c>
      <c r="AB69">
        <f t="shared" si="24"/>
        <v>0</v>
      </c>
      <c r="AC69">
        <f t="shared" si="24"/>
        <v>0</v>
      </c>
      <c r="AD69">
        <f t="shared" si="24"/>
        <v>0</v>
      </c>
    </row>
    <row r="70" spans="2:30">
      <c r="B70" s="1710"/>
      <c r="Q70" t="s">
        <v>129</v>
      </c>
      <c r="R70">
        <f>COUNTIF($C65:$O65, R$66)</f>
        <v>0</v>
      </c>
      <c r="S70">
        <f t="shared" ref="S70:AD70" si="25">COUNTIF($C65:$O65, S$66)</f>
        <v>7</v>
      </c>
      <c r="T70">
        <f t="shared" si="25"/>
        <v>2</v>
      </c>
      <c r="U70">
        <f t="shared" si="25"/>
        <v>2</v>
      </c>
      <c r="V70">
        <f t="shared" si="25"/>
        <v>0</v>
      </c>
      <c r="W70">
        <f t="shared" si="25"/>
        <v>0</v>
      </c>
      <c r="X70">
        <f t="shared" si="25"/>
        <v>0</v>
      </c>
      <c r="Y70">
        <f t="shared" si="25"/>
        <v>0</v>
      </c>
      <c r="Z70">
        <f t="shared" si="25"/>
        <v>0</v>
      </c>
      <c r="AA70">
        <f t="shared" si="25"/>
        <v>0</v>
      </c>
      <c r="AB70">
        <f t="shared" si="25"/>
        <v>0</v>
      </c>
      <c r="AC70">
        <f t="shared" si="25"/>
        <v>0</v>
      </c>
      <c r="AD70">
        <f t="shared" si="25"/>
        <v>0</v>
      </c>
    </row>
    <row r="71" spans="2:30" ht="16.5" thickBot="1">
      <c r="B71" s="1723"/>
      <c r="C71" s="985"/>
      <c r="D71" s="985"/>
      <c r="E71" s="985"/>
      <c r="F71" s="985"/>
      <c r="G71" s="985"/>
      <c r="H71" s="985" t="s">
        <v>192</v>
      </c>
      <c r="I71" s="985" t="s">
        <v>187</v>
      </c>
      <c r="J71" s="985"/>
      <c r="K71" s="985"/>
      <c r="L71" s="985"/>
      <c r="M71" s="985"/>
      <c r="N71" s="985" t="s">
        <v>1053</v>
      </c>
      <c r="O71" s="985"/>
      <c r="Q71" t="s">
        <v>130</v>
      </c>
      <c r="R71">
        <f>COUNTIF($C68:$O68, R$66)</f>
        <v>0</v>
      </c>
      <c r="S71">
        <f t="shared" ref="S71:AD71" si="26">COUNTIF($C68:$O68, S$66)</f>
        <v>0</v>
      </c>
      <c r="T71">
        <f t="shared" si="26"/>
        <v>1</v>
      </c>
      <c r="U71">
        <f t="shared" si="26"/>
        <v>1</v>
      </c>
      <c r="V71">
        <f t="shared" si="26"/>
        <v>0</v>
      </c>
      <c r="W71">
        <f t="shared" si="26"/>
        <v>0</v>
      </c>
      <c r="X71">
        <f t="shared" si="26"/>
        <v>0</v>
      </c>
      <c r="Y71">
        <f t="shared" si="26"/>
        <v>0</v>
      </c>
      <c r="Z71">
        <f t="shared" si="26"/>
        <v>0</v>
      </c>
      <c r="AA71">
        <f t="shared" si="26"/>
        <v>0</v>
      </c>
      <c r="AB71">
        <f t="shared" si="26"/>
        <v>0</v>
      </c>
      <c r="AC71">
        <f t="shared" si="26"/>
        <v>0</v>
      </c>
      <c r="AD71">
        <f t="shared" si="26"/>
        <v>0</v>
      </c>
    </row>
    <row r="72" spans="2:30" ht="16.5" thickTop="1">
      <c r="B72" s="1721" t="s">
        <v>132</v>
      </c>
      <c r="C72" s="58"/>
      <c r="E72" s="52"/>
      <c r="F72" s="990"/>
      <c r="G72" s="984" t="s">
        <v>24</v>
      </c>
      <c r="H72" s="58"/>
      <c r="I72" s="58"/>
      <c r="K72" s="983" t="s">
        <v>124</v>
      </c>
      <c r="M72" s="58"/>
      <c r="N72" s="58"/>
      <c r="O72" s="58"/>
      <c r="Q72" t="s">
        <v>131</v>
      </c>
      <c r="R72">
        <f>COUNTIF($C71:$O71, R$66)</f>
        <v>0</v>
      </c>
      <c r="S72">
        <f t="shared" ref="S72:AD72" si="27">COUNTIF($C71:$O71, S$66)</f>
        <v>0</v>
      </c>
      <c r="T72">
        <f t="shared" si="27"/>
        <v>1</v>
      </c>
      <c r="U72">
        <f t="shared" si="27"/>
        <v>0</v>
      </c>
      <c r="V72">
        <f t="shared" si="27"/>
        <v>0</v>
      </c>
      <c r="W72">
        <f t="shared" si="27"/>
        <v>0</v>
      </c>
      <c r="X72">
        <f t="shared" si="27"/>
        <v>0</v>
      </c>
      <c r="Y72">
        <f t="shared" si="27"/>
        <v>1</v>
      </c>
      <c r="Z72">
        <f t="shared" si="27"/>
        <v>0</v>
      </c>
      <c r="AA72">
        <f t="shared" si="27"/>
        <v>0</v>
      </c>
      <c r="AB72">
        <f t="shared" si="27"/>
        <v>0</v>
      </c>
      <c r="AC72">
        <f t="shared" si="27"/>
        <v>0</v>
      </c>
      <c r="AD72">
        <f t="shared" si="27"/>
        <v>0</v>
      </c>
    </row>
    <row r="73" spans="2:30">
      <c r="B73" s="1710"/>
      <c r="G73" s="968" t="s">
        <v>26</v>
      </c>
      <c r="Q73" t="s">
        <v>132</v>
      </c>
      <c r="R73">
        <f>COUNTIF($C74:$O74, R$66)</f>
        <v>0</v>
      </c>
      <c r="S73">
        <f t="shared" ref="S73:AD73" si="28">COUNTIF($C74:$O74, S$66)</f>
        <v>1</v>
      </c>
      <c r="T73">
        <f t="shared" si="28"/>
        <v>0</v>
      </c>
      <c r="U73">
        <f t="shared" si="28"/>
        <v>1</v>
      </c>
      <c r="V73">
        <f t="shared" si="28"/>
        <v>0</v>
      </c>
      <c r="W73">
        <f t="shared" si="28"/>
        <v>0</v>
      </c>
      <c r="X73">
        <f t="shared" si="28"/>
        <v>0</v>
      </c>
      <c r="Y73">
        <f t="shared" si="28"/>
        <v>0</v>
      </c>
      <c r="Z73">
        <f t="shared" si="28"/>
        <v>0</v>
      </c>
      <c r="AA73">
        <f t="shared" si="28"/>
        <v>0</v>
      </c>
      <c r="AB73">
        <f t="shared" si="28"/>
        <v>0</v>
      </c>
      <c r="AC73">
        <f t="shared" si="28"/>
        <v>0</v>
      </c>
      <c r="AD73">
        <f t="shared" si="28"/>
        <v>0</v>
      </c>
    </row>
    <row r="74" spans="2:30" ht="16.5" thickBot="1">
      <c r="B74" s="1723"/>
      <c r="C74" s="985"/>
      <c r="D74" s="985"/>
      <c r="E74" s="985"/>
      <c r="F74" s="985"/>
      <c r="G74" s="985" t="s">
        <v>186</v>
      </c>
      <c r="H74" s="985"/>
      <c r="I74" s="985"/>
      <c r="J74" s="985"/>
      <c r="K74" s="985" t="s">
        <v>188</v>
      </c>
      <c r="L74" s="985"/>
      <c r="M74" s="985"/>
      <c r="N74" s="985" t="s">
        <v>1053</v>
      </c>
      <c r="O74" s="985"/>
      <c r="Q74" t="s">
        <v>133</v>
      </c>
      <c r="R74">
        <f>COUNTIF($C77:$O77, R$66)</f>
        <v>0</v>
      </c>
      <c r="S74">
        <f t="shared" ref="S74:AD74" si="29">COUNTIF($C77:$O77, S$66)</f>
        <v>1</v>
      </c>
      <c r="T74">
        <f t="shared" si="29"/>
        <v>0</v>
      </c>
      <c r="U74">
        <f t="shared" si="29"/>
        <v>0</v>
      </c>
      <c r="V74">
        <f t="shared" si="29"/>
        <v>0</v>
      </c>
      <c r="W74">
        <f t="shared" si="29"/>
        <v>0</v>
      </c>
      <c r="X74">
        <f t="shared" si="29"/>
        <v>0</v>
      </c>
      <c r="Y74">
        <f t="shared" si="29"/>
        <v>0</v>
      </c>
      <c r="Z74">
        <f t="shared" si="29"/>
        <v>0</v>
      </c>
      <c r="AA74">
        <f t="shared" si="29"/>
        <v>0</v>
      </c>
      <c r="AB74">
        <f t="shared" si="29"/>
        <v>0</v>
      </c>
      <c r="AC74">
        <f t="shared" si="29"/>
        <v>0</v>
      </c>
      <c r="AD74">
        <f t="shared" si="29"/>
        <v>0</v>
      </c>
    </row>
    <row r="75" spans="2:30" ht="16.5" thickTop="1">
      <c r="B75" s="1721" t="s">
        <v>133</v>
      </c>
      <c r="C75" s="58"/>
      <c r="E75" s="52"/>
      <c r="F75" s="990"/>
      <c r="G75" s="968" t="s">
        <v>26</v>
      </c>
      <c r="H75" s="58"/>
      <c r="I75" s="58"/>
      <c r="K75" s="58"/>
      <c r="M75" s="58"/>
      <c r="N75" s="58"/>
      <c r="O75" s="58"/>
      <c r="Q75" t="s">
        <v>134</v>
      </c>
      <c r="R75">
        <f>COUNTIF($C80:$O80, R$66)</f>
        <v>0</v>
      </c>
      <c r="S75">
        <f t="shared" ref="S75:AD75" si="30">COUNTIF($C80:$O80, S$66)</f>
        <v>1</v>
      </c>
      <c r="T75">
        <f t="shared" si="30"/>
        <v>0</v>
      </c>
      <c r="U75">
        <f t="shared" si="30"/>
        <v>1</v>
      </c>
      <c r="V75">
        <f t="shared" si="30"/>
        <v>0</v>
      </c>
      <c r="W75">
        <f t="shared" si="30"/>
        <v>0</v>
      </c>
      <c r="X75">
        <f t="shared" si="30"/>
        <v>0</v>
      </c>
      <c r="Y75">
        <f t="shared" si="30"/>
        <v>0</v>
      </c>
      <c r="Z75">
        <f t="shared" si="30"/>
        <v>0</v>
      </c>
      <c r="AA75">
        <f t="shared" si="30"/>
        <v>0</v>
      </c>
      <c r="AB75">
        <f t="shared" si="30"/>
        <v>0</v>
      </c>
      <c r="AC75">
        <f t="shared" si="30"/>
        <v>0</v>
      </c>
      <c r="AD75">
        <f t="shared" si="30"/>
        <v>0</v>
      </c>
    </row>
    <row r="76" spans="2:30">
      <c r="B76" s="1710"/>
      <c r="G76" s="990"/>
      <c r="Q76" t="s">
        <v>135</v>
      </c>
      <c r="R76">
        <f>COUNTIF($C83:$O83, R$66)</f>
        <v>0</v>
      </c>
      <c r="S76">
        <f t="shared" ref="S76:AD76" si="31">COUNTIF($C83:$O83, S$66)</f>
        <v>2</v>
      </c>
      <c r="T76">
        <f t="shared" si="31"/>
        <v>0</v>
      </c>
      <c r="U76">
        <f t="shared" si="31"/>
        <v>0</v>
      </c>
      <c r="V76">
        <f t="shared" si="31"/>
        <v>0</v>
      </c>
      <c r="W76">
        <f t="shared" si="31"/>
        <v>0</v>
      </c>
      <c r="X76">
        <f t="shared" si="31"/>
        <v>0</v>
      </c>
      <c r="Y76">
        <f t="shared" si="31"/>
        <v>0</v>
      </c>
      <c r="Z76">
        <f t="shared" si="31"/>
        <v>0</v>
      </c>
      <c r="AA76">
        <f t="shared" si="31"/>
        <v>0</v>
      </c>
      <c r="AB76">
        <f t="shared" si="31"/>
        <v>0</v>
      </c>
      <c r="AC76">
        <f t="shared" si="31"/>
        <v>0</v>
      </c>
      <c r="AD76">
        <f t="shared" si="31"/>
        <v>0</v>
      </c>
    </row>
    <row r="77" spans="2:30" ht="16.5" thickBot="1">
      <c r="B77" s="1723"/>
      <c r="C77" s="985"/>
      <c r="D77" s="985"/>
      <c r="E77" s="985"/>
      <c r="F77" s="985"/>
      <c r="G77" s="985" t="s">
        <v>186</v>
      </c>
      <c r="H77" s="985"/>
      <c r="I77" s="985"/>
      <c r="J77" s="985"/>
      <c r="K77" s="985"/>
      <c r="L77" s="985"/>
      <c r="M77" s="985"/>
      <c r="N77" s="985" t="s">
        <v>1053</v>
      </c>
      <c r="O77" s="985"/>
      <c r="Q77" t="s">
        <v>136</v>
      </c>
      <c r="R77">
        <f>COUNTIF($C86:$O86, R$66)</f>
        <v>0</v>
      </c>
      <c r="S77">
        <f t="shared" ref="S77:AD77" si="32">COUNTIF($C86:$O86, S$66)</f>
        <v>1</v>
      </c>
      <c r="T77">
        <f t="shared" si="32"/>
        <v>1</v>
      </c>
      <c r="U77">
        <f t="shared" si="32"/>
        <v>0</v>
      </c>
      <c r="V77">
        <f t="shared" si="32"/>
        <v>0</v>
      </c>
      <c r="W77">
        <f t="shared" si="32"/>
        <v>0</v>
      </c>
      <c r="X77">
        <f t="shared" si="32"/>
        <v>0</v>
      </c>
      <c r="Y77">
        <f t="shared" si="32"/>
        <v>0</v>
      </c>
      <c r="Z77">
        <f t="shared" si="32"/>
        <v>0</v>
      </c>
      <c r="AA77">
        <f t="shared" si="32"/>
        <v>0</v>
      </c>
      <c r="AB77">
        <f t="shared" si="32"/>
        <v>0</v>
      </c>
      <c r="AC77">
        <f t="shared" si="32"/>
        <v>0</v>
      </c>
      <c r="AD77">
        <f t="shared" si="32"/>
        <v>0</v>
      </c>
    </row>
    <row r="78" spans="2:30" ht="16.5" thickTop="1">
      <c r="B78" s="1721" t="s">
        <v>134</v>
      </c>
      <c r="C78" s="58"/>
      <c r="E78" s="52"/>
      <c r="F78" s="990"/>
      <c r="G78" s="990"/>
      <c r="H78" s="58"/>
      <c r="I78" s="981" t="s">
        <v>1271</v>
      </c>
      <c r="K78" s="58"/>
      <c r="M78" s="982" t="s">
        <v>29</v>
      </c>
      <c r="N78" s="58"/>
      <c r="O78" s="58"/>
      <c r="Q78" t="s">
        <v>137</v>
      </c>
      <c r="R78">
        <f>COUNTIF($C89:$O89, R$66)</f>
        <v>0</v>
      </c>
      <c r="S78">
        <f t="shared" ref="S78:AD78" si="33">COUNTIF($C89:$O89, S$66)</f>
        <v>0</v>
      </c>
      <c r="T78">
        <f t="shared" si="33"/>
        <v>1</v>
      </c>
      <c r="U78">
        <f t="shared" si="33"/>
        <v>0</v>
      </c>
      <c r="V78">
        <f t="shared" si="33"/>
        <v>0</v>
      </c>
      <c r="W78">
        <f t="shared" si="33"/>
        <v>0</v>
      </c>
      <c r="X78">
        <f t="shared" si="33"/>
        <v>0</v>
      </c>
      <c r="Y78">
        <f t="shared" si="33"/>
        <v>0</v>
      </c>
      <c r="Z78">
        <f t="shared" si="33"/>
        <v>0</v>
      </c>
      <c r="AA78">
        <f t="shared" si="33"/>
        <v>0</v>
      </c>
      <c r="AB78">
        <f t="shared" si="33"/>
        <v>0</v>
      </c>
      <c r="AC78">
        <f t="shared" si="33"/>
        <v>0</v>
      </c>
      <c r="AD78">
        <f t="shared" si="33"/>
        <v>0</v>
      </c>
    </row>
    <row r="79" spans="2:30">
      <c r="B79" s="1710"/>
      <c r="G79" s="990"/>
      <c r="Q79" t="s">
        <v>138</v>
      </c>
      <c r="R79">
        <f>COUNTIF($C92:$O92, R$66)</f>
        <v>0</v>
      </c>
      <c r="S79">
        <f t="shared" ref="S79:AD79" si="34">COUNTIF($C92:$O92, S$66)</f>
        <v>2</v>
      </c>
      <c r="T79">
        <f t="shared" si="34"/>
        <v>0</v>
      </c>
      <c r="U79">
        <f t="shared" si="34"/>
        <v>0</v>
      </c>
      <c r="V79">
        <f t="shared" si="34"/>
        <v>0</v>
      </c>
      <c r="W79">
        <f t="shared" si="34"/>
        <v>0</v>
      </c>
      <c r="X79">
        <f t="shared" si="34"/>
        <v>0</v>
      </c>
      <c r="Y79">
        <f t="shared" si="34"/>
        <v>0</v>
      </c>
      <c r="Z79">
        <f t="shared" si="34"/>
        <v>0</v>
      </c>
      <c r="AA79">
        <f t="shared" si="34"/>
        <v>0</v>
      </c>
      <c r="AB79">
        <f t="shared" si="34"/>
        <v>0</v>
      </c>
      <c r="AC79">
        <f t="shared" si="34"/>
        <v>0</v>
      </c>
      <c r="AD79">
        <f t="shared" si="34"/>
        <v>0</v>
      </c>
    </row>
    <row r="80" spans="2:30" ht="16.5" thickBot="1">
      <c r="B80" s="1723"/>
      <c r="C80" s="985"/>
      <c r="D80" s="985"/>
      <c r="E80" s="985"/>
      <c r="F80" s="985"/>
      <c r="G80" s="985"/>
      <c r="H80" s="985"/>
      <c r="I80" s="985" t="s">
        <v>188</v>
      </c>
      <c r="J80" s="985"/>
      <c r="K80" s="985"/>
      <c r="L80" s="985"/>
      <c r="M80" s="985" t="s">
        <v>186</v>
      </c>
      <c r="N80" s="985" t="s">
        <v>1053</v>
      </c>
      <c r="O80" s="985"/>
      <c r="Q80" t="s">
        <v>139</v>
      </c>
      <c r="R80">
        <f>COUNTIF($C95:$O95, R$66)</f>
        <v>0</v>
      </c>
      <c r="S80">
        <f t="shared" ref="S80:AD80" si="35">COUNTIF($C95:$O95, S$66)</f>
        <v>1</v>
      </c>
      <c r="T80">
        <f t="shared" si="35"/>
        <v>0</v>
      </c>
      <c r="U80">
        <f t="shared" si="35"/>
        <v>0</v>
      </c>
      <c r="V80">
        <f t="shared" si="35"/>
        <v>0</v>
      </c>
      <c r="W80">
        <f t="shared" si="35"/>
        <v>0</v>
      </c>
      <c r="X80">
        <f t="shared" si="35"/>
        <v>0</v>
      </c>
      <c r="Y80">
        <f t="shared" si="35"/>
        <v>0</v>
      </c>
      <c r="Z80">
        <f t="shared" si="35"/>
        <v>0</v>
      </c>
      <c r="AA80">
        <f t="shared" si="35"/>
        <v>0</v>
      </c>
      <c r="AB80">
        <f t="shared" si="35"/>
        <v>0</v>
      </c>
      <c r="AC80">
        <f t="shared" si="35"/>
        <v>0</v>
      </c>
      <c r="AD80">
        <f t="shared" si="35"/>
        <v>0</v>
      </c>
    </row>
    <row r="81" spans="2:30" ht="16.5" thickTop="1">
      <c r="B81" s="1721" t="s">
        <v>135</v>
      </c>
      <c r="C81" s="58"/>
      <c r="E81" s="52"/>
      <c r="F81" s="990"/>
      <c r="G81" s="990"/>
      <c r="H81" s="984" t="s">
        <v>24</v>
      </c>
      <c r="I81" s="58"/>
      <c r="J81" s="982" t="s">
        <v>29</v>
      </c>
      <c r="K81" s="58"/>
      <c r="M81" s="58"/>
      <c r="N81" s="58"/>
      <c r="O81" s="58"/>
      <c r="Q81" t="s">
        <v>140</v>
      </c>
      <c r="R81">
        <f>COUNTIF($C98:$O98, R$66)</f>
        <v>0</v>
      </c>
      <c r="S81">
        <f t="shared" ref="S81:AD81" si="36">COUNTIF($C98:$O98, S$66)</f>
        <v>1</v>
      </c>
      <c r="T81">
        <f t="shared" si="36"/>
        <v>0</v>
      </c>
      <c r="U81">
        <f t="shared" si="36"/>
        <v>0</v>
      </c>
      <c r="V81">
        <f t="shared" si="36"/>
        <v>0</v>
      </c>
      <c r="W81">
        <f t="shared" si="36"/>
        <v>0</v>
      </c>
      <c r="X81">
        <f t="shared" si="36"/>
        <v>0</v>
      </c>
      <c r="Y81">
        <f t="shared" si="36"/>
        <v>0</v>
      </c>
      <c r="Z81">
        <f t="shared" si="36"/>
        <v>0</v>
      </c>
      <c r="AA81">
        <f t="shared" si="36"/>
        <v>0</v>
      </c>
      <c r="AB81">
        <f t="shared" si="36"/>
        <v>0</v>
      </c>
      <c r="AC81">
        <f t="shared" si="36"/>
        <v>0</v>
      </c>
      <c r="AD81">
        <f t="shared" si="36"/>
        <v>0</v>
      </c>
    </row>
    <row r="82" spans="2:30">
      <c r="B82" s="1710"/>
      <c r="G82" s="990"/>
      <c r="H82" s="983" t="s">
        <v>124</v>
      </c>
      <c r="Q82" t="s">
        <v>141</v>
      </c>
      <c r="R82">
        <f>COUNTIF($C101:$O101, R$66)</f>
        <v>0</v>
      </c>
      <c r="S82">
        <f t="shared" ref="S82:AD82" si="37">COUNTIF($C101:$O101, S$66)</f>
        <v>1</v>
      </c>
      <c r="T82">
        <f t="shared" si="37"/>
        <v>0</v>
      </c>
      <c r="U82">
        <f t="shared" si="37"/>
        <v>0</v>
      </c>
      <c r="V82">
        <f t="shared" si="37"/>
        <v>0</v>
      </c>
      <c r="W82">
        <f t="shared" si="37"/>
        <v>0</v>
      </c>
      <c r="X82">
        <f t="shared" si="37"/>
        <v>0</v>
      </c>
      <c r="Y82">
        <f t="shared" si="37"/>
        <v>0</v>
      </c>
      <c r="Z82">
        <f t="shared" si="37"/>
        <v>0</v>
      </c>
      <c r="AA82">
        <f t="shared" si="37"/>
        <v>0</v>
      </c>
      <c r="AB82">
        <f t="shared" si="37"/>
        <v>0</v>
      </c>
      <c r="AC82">
        <f t="shared" si="37"/>
        <v>0</v>
      </c>
      <c r="AD82">
        <f t="shared" si="37"/>
        <v>0</v>
      </c>
    </row>
    <row r="83" spans="2:30" ht="16.5" thickBot="1">
      <c r="B83" s="1723"/>
      <c r="C83" s="985"/>
      <c r="D83" s="985"/>
      <c r="E83" s="985"/>
      <c r="F83" s="985"/>
      <c r="G83" s="985"/>
      <c r="H83" s="985" t="s">
        <v>186</v>
      </c>
      <c r="I83" s="985"/>
      <c r="J83" s="985" t="s">
        <v>186</v>
      </c>
      <c r="K83" s="985"/>
      <c r="L83" s="985"/>
      <c r="M83" s="985"/>
      <c r="N83" s="985" t="s">
        <v>1053</v>
      </c>
      <c r="O83" s="985"/>
      <c r="Q83" t="s">
        <v>142</v>
      </c>
      <c r="R83">
        <f>COUNTIF($C104:$O104, R$66)</f>
        <v>0</v>
      </c>
      <c r="S83">
        <f t="shared" ref="S83:AD83" si="38">COUNTIF($C104:$O104, S$66)</f>
        <v>1</v>
      </c>
      <c r="T83">
        <f t="shared" si="38"/>
        <v>0</v>
      </c>
      <c r="U83">
        <f t="shared" si="38"/>
        <v>0</v>
      </c>
      <c r="V83">
        <f t="shared" si="38"/>
        <v>0</v>
      </c>
      <c r="W83">
        <f t="shared" si="38"/>
        <v>0</v>
      </c>
      <c r="X83">
        <f t="shared" si="38"/>
        <v>0</v>
      </c>
      <c r="Y83">
        <f t="shared" si="38"/>
        <v>0</v>
      </c>
      <c r="Z83">
        <f t="shared" si="38"/>
        <v>0</v>
      </c>
      <c r="AA83">
        <f t="shared" si="38"/>
        <v>0</v>
      </c>
      <c r="AB83">
        <f t="shared" si="38"/>
        <v>0</v>
      </c>
      <c r="AC83">
        <f t="shared" si="38"/>
        <v>0</v>
      </c>
      <c r="AD83">
        <f t="shared" si="38"/>
        <v>0</v>
      </c>
    </row>
    <row r="84" spans="2:30" ht="16.5" thickTop="1">
      <c r="B84" s="1721" t="s">
        <v>136</v>
      </c>
      <c r="C84" s="58"/>
      <c r="E84" s="52"/>
      <c r="F84" s="990"/>
      <c r="G84" s="990"/>
      <c r="H84" s="58"/>
      <c r="I84" s="58"/>
      <c r="J84" s="275" t="s">
        <v>397</v>
      </c>
      <c r="K84" s="58"/>
      <c r="L84" t="s">
        <v>1673</v>
      </c>
      <c r="M84" s="58"/>
      <c r="N84" s="58"/>
      <c r="O84" s="58"/>
      <c r="Q84" t="s">
        <v>143</v>
      </c>
      <c r="R84">
        <f>COUNTIF($C107:$O107, R$66)</f>
        <v>0</v>
      </c>
      <c r="S84">
        <f t="shared" ref="S84:AD84" si="39">COUNTIF($C107:$O107, S$66)</f>
        <v>0</v>
      </c>
      <c r="T84">
        <f t="shared" si="39"/>
        <v>0</v>
      </c>
      <c r="U84">
        <f t="shared" si="39"/>
        <v>0</v>
      </c>
      <c r="V84">
        <f t="shared" si="39"/>
        <v>0</v>
      </c>
      <c r="W84">
        <f t="shared" si="39"/>
        <v>0</v>
      </c>
      <c r="X84">
        <f t="shared" si="39"/>
        <v>0</v>
      </c>
      <c r="Y84">
        <f t="shared" si="39"/>
        <v>0</v>
      </c>
      <c r="Z84">
        <f t="shared" si="39"/>
        <v>0</v>
      </c>
      <c r="AA84">
        <f t="shared" si="39"/>
        <v>0</v>
      </c>
      <c r="AB84">
        <f t="shared" si="39"/>
        <v>0</v>
      </c>
      <c r="AC84">
        <f t="shared" si="39"/>
        <v>0</v>
      </c>
      <c r="AD84">
        <f t="shared" si="39"/>
        <v>0</v>
      </c>
    </row>
    <row r="85" spans="2:30">
      <c r="B85" s="1710"/>
      <c r="G85" s="990"/>
      <c r="Q85" t="s">
        <v>144</v>
      </c>
      <c r="R85">
        <f>COUNTIF($C110:$O110, R$66)</f>
        <v>0</v>
      </c>
      <c r="S85">
        <f t="shared" ref="S85:AD85" si="40">COUNTIF($C110:$O110, S$66)</f>
        <v>0</v>
      </c>
      <c r="T85">
        <f t="shared" si="40"/>
        <v>0</v>
      </c>
      <c r="U85">
        <f t="shared" si="40"/>
        <v>0</v>
      </c>
      <c r="V85">
        <f t="shared" si="40"/>
        <v>0</v>
      </c>
      <c r="W85">
        <f t="shared" si="40"/>
        <v>0</v>
      </c>
      <c r="X85">
        <f t="shared" si="40"/>
        <v>0</v>
      </c>
      <c r="Y85">
        <f t="shared" si="40"/>
        <v>0</v>
      </c>
      <c r="Z85">
        <f t="shared" si="40"/>
        <v>0</v>
      </c>
      <c r="AA85">
        <f t="shared" si="40"/>
        <v>0</v>
      </c>
      <c r="AB85">
        <f t="shared" si="40"/>
        <v>0</v>
      </c>
      <c r="AC85">
        <f t="shared" si="40"/>
        <v>0</v>
      </c>
      <c r="AD85">
        <f t="shared" si="40"/>
        <v>0</v>
      </c>
    </row>
    <row r="86" spans="2:30" ht="16.5" thickBot="1">
      <c r="B86" s="1723"/>
      <c r="C86" s="985"/>
      <c r="D86" s="985"/>
      <c r="E86" s="985"/>
      <c r="F86" s="985"/>
      <c r="G86" s="985"/>
      <c r="H86" s="985"/>
      <c r="I86" s="985"/>
      <c r="J86" s="985" t="s">
        <v>187</v>
      </c>
      <c r="K86" s="985"/>
      <c r="L86" s="985" t="s">
        <v>186</v>
      </c>
      <c r="M86" s="985"/>
      <c r="N86" s="985" t="s">
        <v>1053</v>
      </c>
      <c r="O86" s="985"/>
      <c r="Q86" t="s">
        <v>145</v>
      </c>
      <c r="R86">
        <f>COUNTIF($C113:$O113, R$66)</f>
        <v>0</v>
      </c>
      <c r="S86">
        <f t="shared" ref="S86:AD86" si="41">COUNTIF($C113:$O113, S$66)</f>
        <v>2</v>
      </c>
      <c r="T86">
        <f t="shared" si="41"/>
        <v>1</v>
      </c>
      <c r="U86">
        <f t="shared" si="41"/>
        <v>0</v>
      </c>
      <c r="V86">
        <f t="shared" si="41"/>
        <v>0</v>
      </c>
      <c r="W86">
        <f t="shared" si="41"/>
        <v>0</v>
      </c>
      <c r="X86">
        <f t="shared" si="41"/>
        <v>0</v>
      </c>
      <c r="Y86">
        <f t="shared" si="41"/>
        <v>0</v>
      </c>
      <c r="Z86">
        <f t="shared" si="41"/>
        <v>0</v>
      </c>
      <c r="AA86">
        <f t="shared" si="41"/>
        <v>0</v>
      </c>
      <c r="AB86">
        <f t="shared" si="41"/>
        <v>0</v>
      </c>
      <c r="AC86">
        <f t="shared" si="41"/>
        <v>0</v>
      </c>
      <c r="AD86">
        <f t="shared" si="41"/>
        <v>0</v>
      </c>
    </row>
    <row r="87" spans="2:30" ht="16.5" thickTop="1">
      <c r="B87" s="1721" t="s">
        <v>137</v>
      </c>
      <c r="C87" s="58"/>
      <c r="E87" s="52"/>
      <c r="F87" s="990"/>
      <c r="G87" s="990"/>
      <c r="H87" s="58"/>
      <c r="I87" s="983" t="s">
        <v>124</v>
      </c>
      <c r="K87" s="58"/>
      <c r="M87" s="58"/>
      <c r="N87" s="58"/>
      <c r="O87" s="58"/>
      <c r="Q87" t="s">
        <v>146</v>
      </c>
      <c r="R87">
        <f>COUNTIF($C116:$O116, R$66)</f>
        <v>0</v>
      </c>
      <c r="S87">
        <f t="shared" ref="S87:AD87" si="42">COUNTIF($C116:$O116, S$66)</f>
        <v>2</v>
      </c>
      <c r="T87">
        <f t="shared" si="42"/>
        <v>0</v>
      </c>
      <c r="U87">
        <f t="shared" si="42"/>
        <v>0</v>
      </c>
      <c r="V87">
        <f t="shared" si="42"/>
        <v>0</v>
      </c>
      <c r="W87">
        <f t="shared" si="42"/>
        <v>0</v>
      </c>
      <c r="X87">
        <f t="shared" si="42"/>
        <v>0</v>
      </c>
      <c r="Y87">
        <f t="shared" si="42"/>
        <v>0</v>
      </c>
      <c r="Z87">
        <f t="shared" si="42"/>
        <v>0</v>
      </c>
      <c r="AA87">
        <f t="shared" si="42"/>
        <v>0</v>
      </c>
      <c r="AB87">
        <f t="shared" si="42"/>
        <v>0</v>
      </c>
      <c r="AC87">
        <f t="shared" si="42"/>
        <v>0</v>
      </c>
      <c r="AD87">
        <f t="shared" si="42"/>
        <v>0</v>
      </c>
    </row>
    <row r="88" spans="2:30">
      <c r="B88" s="1710"/>
      <c r="G88" s="990"/>
      <c r="Q88" t="s">
        <v>147</v>
      </c>
      <c r="R88">
        <f>COUNTIF($C119:$O119, R$66)</f>
        <v>0</v>
      </c>
      <c r="S88">
        <f t="shared" ref="S88:AD88" si="43">COUNTIF($C119:$O119, S$66)</f>
        <v>0</v>
      </c>
      <c r="T88">
        <f t="shared" si="43"/>
        <v>1</v>
      </c>
      <c r="U88">
        <f t="shared" si="43"/>
        <v>0</v>
      </c>
      <c r="V88">
        <f t="shared" si="43"/>
        <v>0</v>
      </c>
      <c r="W88">
        <f t="shared" si="43"/>
        <v>0</v>
      </c>
      <c r="X88">
        <f t="shared" si="43"/>
        <v>0</v>
      </c>
      <c r="Y88">
        <f t="shared" si="43"/>
        <v>0</v>
      </c>
      <c r="Z88">
        <f t="shared" si="43"/>
        <v>0</v>
      </c>
      <c r="AA88">
        <f t="shared" si="43"/>
        <v>0</v>
      </c>
      <c r="AB88">
        <f t="shared" si="43"/>
        <v>0</v>
      </c>
      <c r="AC88">
        <f t="shared" si="43"/>
        <v>0</v>
      </c>
      <c r="AD88">
        <f t="shared" si="43"/>
        <v>0</v>
      </c>
    </row>
    <row r="89" spans="2:30" ht="16.5" thickBot="1">
      <c r="B89" s="1723"/>
      <c r="C89" s="985"/>
      <c r="D89" s="985"/>
      <c r="E89" s="985"/>
      <c r="F89" s="985"/>
      <c r="G89" s="985"/>
      <c r="H89" s="985"/>
      <c r="I89" s="985" t="s">
        <v>187</v>
      </c>
      <c r="J89" s="985"/>
      <c r="K89" s="985"/>
      <c r="L89" s="985"/>
      <c r="M89" s="985"/>
      <c r="N89" s="985" t="s">
        <v>1053</v>
      </c>
      <c r="O89" s="985"/>
      <c r="Q89" t="s">
        <v>148</v>
      </c>
      <c r="R89">
        <f>COUNTIF($C122:$O122, R$66)</f>
        <v>0</v>
      </c>
      <c r="S89">
        <f t="shared" ref="S89:AD89" si="44">COUNTIF($C122:$O122, S$66)</f>
        <v>1</v>
      </c>
      <c r="T89">
        <f t="shared" si="44"/>
        <v>0</v>
      </c>
      <c r="U89">
        <f t="shared" si="44"/>
        <v>0</v>
      </c>
      <c r="V89">
        <f t="shared" si="44"/>
        <v>0</v>
      </c>
      <c r="W89">
        <f t="shared" si="44"/>
        <v>0</v>
      </c>
      <c r="X89">
        <f t="shared" si="44"/>
        <v>0</v>
      </c>
      <c r="Y89">
        <f t="shared" si="44"/>
        <v>0</v>
      </c>
      <c r="Z89">
        <f t="shared" si="44"/>
        <v>0</v>
      </c>
      <c r="AA89">
        <f t="shared" si="44"/>
        <v>0</v>
      </c>
      <c r="AB89">
        <f t="shared" si="44"/>
        <v>0</v>
      </c>
      <c r="AC89">
        <f t="shared" si="44"/>
        <v>0</v>
      </c>
      <c r="AD89">
        <f t="shared" si="44"/>
        <v>0</v>
      </c>
    </row>
    <row r="90" spans="2:30" ht="16.5" thickTop="1">
      <c r="B90" s="1721" t="s">
        <v>138</v>
      </c>
      <c r="C90" s="58"/>
      <c r="E90" s="52"/>
      <c r="F90" s="19" t="s">
        <v>1271</v>
      </c>
      <c r="G90" s="990"/>
      <c r="H90" s="58"/>
      <c r="I90" s="58"/>
      <c r="J90" s="982" t="s">
        <v>29</v>
      </c>
      <c r="K90" s="58"/>
      <c r="M90" s="58"/>
      <c r="N90" s="58"/>
      <c r="O90" s="58"/>
      <c r="Q90" t="s">
        <v>125</v>
      </c>
      <c r="R90">
        <f>COUNTIF($C125:$O125, R$66)</f>
        <v>0</v>
      </c>
      <c r="S90">
        <f t="shared" ref="S90:AD90" si="45">COUNTIF($C125:$O125, S$66)</f>
        <v>0</v>
      </c>
      <c r="T90">
        <f t="shared" si="45"/>
        <v>0</v>
      </c>
      <c r="U90">
        <f t="shared" si="45"/>
        <v>0</v>
      </c>
      <c r="V90">
        <f t="shared" si="45"/>
        <v>0</v>
      </c>
      <c r="W90">
        <f t="shared" si="45"/>
        <v>0</v>
      </c>
      <c r="X90">
        <f t="shared" si="45"/>
        <v>0</v>
      </c>
      <c r="Y90">
        <f t="shared" si="45"/>
        <v>0</v>
      </c>
      <c r="Z90">
        <f t="shared" si="45"/>
        <v>0</v>
      </c>
      <c r="AA90">
        <f t="shared" si="45"/>
        <v>0</v>
      </c>
      <c r="AB90">
        <f t="shared" si="45"/>
        <v>0</v>
      </c>
      <c r="AC90">
        <f t="shared" si="45"/>
        <v>0</v>
      </c>
      <c r="AD90">
        <f t="shared" si="45"/>
        <v>0</v>
      </c>
    </row>
    <row r="91" spans="2:30">
      <c r="B91" s="1710"/>
      <c r="G91" s="990"/>
      <c r="Q91" t="s">
        <v>116</v>
      </c>
      <c r="R91">
        <f>COUNTIF($C128:$O128, R$66)</f>
        <v>0</v>
      </c>
      <c r="S91">
        <f t="shared" ref="S91:AD91" si="46">COUNTIF($C128:$O128, S$66)</f>
        <v>1</v>
      </c>
      <c r="T91">
        <f t="shared" si="46"/>
        <v>0</v>
      </c>
      <c r="U91">
        <f t="shared" si="46"/>
        <v>0</v>
      </c>
      <c r="V91">
        <f t="shared" si="46"/>
        <v>0</v>
      </c>
      <c r="W91">
        <f t="shared" si="46"/>
        <v>0</v>
      </c>
      <c r="X91">
        <f t="shared" si="46"/>
        <v>0</v>
      </c>
      <c r="Y91">
        <f t="shared" si="46"/>
        <v>0</v>
      </c>
      <c r="Z91">
        <f t="shared" si="46"/>
        <v>0</v>
      </c>
      <c r="AA91">
        <f t="shared" si="46"/>
        <v>0</v>
      </c>
      <c r="AB91">
        <f t="shared" si="46"/>
        <v>0</v>
      </c>
      <c r="AC91">
        <f t="shared" si="46"/>
        <v>0</v>
      </c>
      <c r="AD91">
        <f t="shared" si="46"/>
        <v>0</v>
      </c>
    </row>
    <row r="92" spans="2:30" ht="16.5" thickBot="1">
      <c r="B92" s="1723"/>
      <c r="C92" s="985"/>
      <c r="D92" s="985"/>
      <c r="E92" s="985"/>
      <c r="F92" s="985" t="s">
        <v>186</v>
      </c>
      <c r="G92" s="985"/>
      <c r="H92" s="985"/>
      <c r="I92" s="985"/>
      <c r="J92" s="985" t="s">
        <v>186</v>
      </c>
      <c r="K92" s="985"/>
      <c r="L92" s="985"/>
      <c r="M92" s="985"/>
      <c r="N92" s="985" t="s">
        <v>1053</v>
      </c>
      <c r="O92" s="985"/>
      <c r="Q92" t="s">
        <v>104</v>
      </c>
      <c r="R92">
        <f>COUNTIF($C131:$O131, R$66)</f>
        <v>0</v>
      </c>
      <c r="S92">
        <f t="shared" ref="S92:AD92" si="47">COUNTIF($C131:$O131, S$66)</f>
        <v>0</v>
      </c>
      <c r="T92">
        <f t="shared" si="47"/>
        <v>0</v>
      </c>
      <c r="U92">
        <f t="shared" si="47"/>
        <v>0</v>
      </c>
      <c r="V92">
        <f t="shared" si="47"/>
        <v>0</v>
      </c>
      <c r="W92">
        <f t="shared" si="47"/>
        <v>0</v>
      </c>
      <c r="X92">
        <f t="shared" si="47"/>
        <v>0</v>
      </c>
      <c r="Y92">
        <f t="shared" si="47"/>
        <v>0</v>
      </c>
      <c r="Z92">
        <f t="shared" si="47"/>
        <v>0</v>
      </c>
      <c r="AA92">
        <f t="shared" si="47"/>
        <v>0</v>
      </c>
      <c r="AB92">
        <f t="shared" si="47"/>
        <v>0</v>
      </c>
      <c r="AC92">
        <f t="shared" si="47"/>
        <v>0</v>
      </c>
      <c r="AD92">
        <f t="shared" si="47"/>
        <v>0</v>
      </c>
    </row>
    <row r="93" spans="2:30" ht="16.5" thickTop="1">
      <c r="B93" s="1721" t="s">
        <v>139</v>
      </c>
      <c r="C93" s="58"/>
      <c r="E93" s="52"/>
      <c r="F93" s="990"/>
      <c r="G93" s="990"/>
      <c r="H93" s="58"/>
      <c r="I93" s="964" t="s">
        <v>44</v>
      </c>
      <c r="K93" s="58"/>
      <c r="M93" s="58"/>
      <c r="N93" s="58"/>
      <c r="O93" s="58"/>
      <c r="Q93" t="s">
        <v>95</v>
      </c>
      <c r="R93">
        <f>COUNTIF($C134:$O134, R$66)</f>
        <v>0</v>
      </c>
      <c r="S93">
        <f t="shared" ref="S93:AD93" si="48">COUNTIF($C134:$O134, S$66)</f>
        <v>0</v>
      </c>
      <c r="T93">
        <f t="shared" si="48"/>
        <v>1</v>
      </c>
      <c r="U93">
        <f t="shared" si="48"/>
        <v>0</v>
      </c>
      <c r="V93">
        <f t="shared" si="48"/>
        <v>0</v>
      </c>
      <c r="W93">
        <f t="shared" si="48"/>
        <v>0</v>
      </c>
      <c r="X93">
        <f t="shared" si="48"/>
        <v>0</v>
      </c>
      <c r="Y93">
        <f t="shared" si="48"/>
        <v>0</v>
      </c>
      <c r="Z93">
        <f t="shared" si="48"/>
        <v>0</v>
      </c>
      <c r="AA93">
        <f t="shared" si="48"/>
        <v>0</v>
      </c>
      <c r="AB93">
        <f t="shared" si="48"/>
        <v>0</v>
      </c>
      <c r="AC93">
        <f t="shared" si="48"/>
        <v>0</v>
      </c>
      <c r="AD93">
        <f t="shared" si="48"/>
        <v>0</v>
      </c>
    </row>
    <row r="94" spans="2:30">
      <c r="B94" s="1710"/>
      <c r="G94" s="990"/>
      <c r="I94" s="956" t="s">
        <v>109</v>
      </c>
      <c r="Q94" t="s">
        <v>85</v>
      </c>
      <c r="R94">
        <f>COUNTIF($C137:$O137, R$66)</f>
        <v>0</v>
      </c>
      <c r="S94">
        <f t="shared" ref="S94:AD94" si="49">COUNTIF($C137:$O137, S$66)</f>
        <v>0</v>
      </c>
      <c r="T94">
        <f t="shared" si="49"/>
        <v>0</v>
      </c>
      <c r="U94">
        <f t="shared" si="49"/>
        <v>0</v>
      </c>
      <c r="V94">
        <f t="shared" si="49"/>
        <v>0</v>
      </c>
      <c r="W94">
        <f t="shared" si="49"/>
        <v>0</v>
      </c>
      <c r="X94">
        <f t="shared" si="49"/>
        <v>0</v>
      </c>
      <c r="Y94">
        <f t="shared" si="49"/>
        <v>0</v>
      </c>
      <c r="Z94">
        <f t="shared" si="49"/>
        <v>0</v>
      </c>
      <c r="AA94">
        <f t="shared" si="49"/>
        <v>0</v>
      </c>
      <c r="AB94">
        <f t="shared" si="49"/>
        <v>0</v>
      </c>
      <c r="AC94">
        <f t="shared" si="49"/>
        <v>0</v>
      </c>
      <c r="AD94">
        <f t="shared" si="49"/>
        <v>0</v>
      </c>
    </row>
    <row r="95" spans="2:30" ht="16.5" thickBot="1">
      <c r="B95" s="1723"/>
      <c r="C95" s="985"/>
      <c r="D95" s="985"/>
      <c r="E95" s="985"/>
      <c r="F95" s="985"/>
      <c r="G95" s="985"/>
      <c r="H95" s="985"/>
      <c r="I95" s="985" t="s">
        <v>186</v>
      </c>
      <c r="J95" s="985"/>
      <c r="K95" s="985"/>
      <c r="L95" s="985"/>
      <c r="M95" s="985"/>
      <c r="N95" s="985" t="s">
        <v>1053</v>
      </c>
      <c r="O95" s="985"/>
      <c r="Q95" t="s">
        <v>66</v>
      </c>
      <c r="R95">
        <f>COUNTIF($C140:$O140, R$66)</f>
        <v>0</v>
      </c>
      <c r="S95">
        <f t="shared" ref="S95:AD95" si="50">COUNTIF($C140:$O140, S$66)</f>
        <v>1</v>
      </c>
      <c r="T95">
        <f t="shared" si="50"/>
        <v>0</v>
      </c>
      <c r="U95">
        <f t="shared" si="50"/>
        <v>0</v>
      </c>
      <c r="V95">
        <f t="shared" si="50"/>
        <v>0</v>
      </c>
      <c r="W95">
        <f t="shared" si="50"/>
        <v>0</v>
      </c>
      <c r="X95">
        <f t="shared" si="50"/>
        <v>0</v>
      </c>
      <c r="Y95">
        <f t="shared" si="50"/>
        <v>0</v>
      </c>
      <c r="Z95">
        <f t="shared" si="50"/>
        <v>0</v>
      </c>
      <c r="AA95">
        <f t="shared" si="50"/>
        <v>0</v>
      </c>
      <c r="AB95">
        <f t="shared" si="50"/>
        <v>0</v>
      </c>
      <c r="AC95">
        <f t="shared" si="50"/>
        <v>0</v>
      </c>
      <c r="AD95">
        <f t="shared" si="50"/>
        <v>0</v>
      </c>
    </row>
    <row r="96" spans="2:30" ht="16.5" thickTop="1">
      <c r="B96" s="1721" t="s">
        <v>140</v>
      </c>
      <c r="C96" s="58"/>
      <c r="E96" s="52"/>
      <c r="F96" s="990"/>
      <c r="G96" s="984" t="s">
        <v>24</v>
      </c>
      <c r="H96" s="58"/>
      <c r="I96" s="58"/>
      <c r="K96" s="58"/>
      <c r="M96" s="58"/>
      <c r="N96" s="58"/>
      <c r="O96" s="58"/>
      <c r="Q96" t="s">
        <v>65</v>
      </c>
      <c r="R96">
        <f>COUNTIF($C143:$O143, R$66)</f>
        <v>0</v>
      </c>
      <c r="S96">
        <f t="shared" ref="S96:AD96" si="51">COUNTIF($C143:$O143, S$66)</f>
        <v>0</v>
      </c>
      <c r="T96">
        <f t="shared" si="51"/>
        <v>0</v>
      </c>
      <c r="U96">
        <f t="shared" si="51"/>
        <v>0</v>
      </c>
      <c r="V96">
        <f t="shared" si="51"/>
        <v>0</v>
      </c>
      <c r="W96">
        <f t="shared" si="51"/>
        <v>0</v>
      </c>
      <c r="X96">
        <f t="shared" si="51"/>
        <v>0</v>
      </c>
      <c r="Y96">
        <f t="shared" si="51"/>
        <v>0</v>
      </c>
      <c r="Z96">
        <f t="shared" si="51"/>
        <v>0</v>
      </c>
      <c r="AA96">
        <f t="shared" si="51"/>
        <v>0</v>
      </c>
      <c r="AB96">
        <f t="shared" si="51"/>
        <v>0</v>
      </c>
      <c r="AC96">
        <f t="shared" si="51"/>
        <v>0</v>
      </c>
      <c r="AD96">
        <f t="shared" si="51"/>
        <v>0</v>
      </c>
    </row>
    <row r="97" spans="2:31">
      <c r="B97" s="1710"/>
      <c r="G97" s="990"/>
      <c r="Q97" t="s">
        <v>60</v>
      </c>
      <c r="R97">
        <f>COUNTIF($C146:$O146, R$66)</f>
        <v>0</v>
      </c>
      <c r="S97">
        <f t="shared" ref="S97:AD97" si="52">COUNTIF($C146:$O146, S$66)</f>
        <v>0</v>
      </c>
      <c r="T97">
        <f t="shared" si="52"/>
        <v>0</v>
      </c>
      <c r="U97">
        <f t="shared" si="52"/>
        <v>0</v>
      </c>
      <c r="V97">
        <f t="shared" si="52"/>
        <v>0</v>
      </c>
      <c r="W97">
        <f t="shared" si="52"/>
        <v>0</v>
      </c>
      <c r="X97">
        <f t="shared" si="52"/>
        <v>0</v>
      </c>
      <c r="Y97">
        <f t="shared" si="52"/>
        <v>0</v>
      </c>
      <c r="Z97">
        <f t="shared" si="52"/>
        <v>0</v>
      </c>
      <c r="AA97">
        <f t="shared" si="52"/>
        <v>0</v>
      </c>
      <c r="AB97">
        <f t="shared" si="52"/>
        <v>0</v>
      </c>
      <c r="AC97">
        <f t="shared" si="52"/>
        <v>0</v>
      </c>
      <c r="AD97">
        <f t="shared" si="52"/>
        <v>0</v>
      </c>
    </row>
    <row r="98" spans="2:31" ht="16.5" thickBot="1">
      <c r="B98" s="1723"/>
      <c r="C98" s="985"/>
      <c r="D98" s="985"/>
      <c r="E98" s="985"/>
      <c r="F98" s="985"/>
      <c r="G98" s="985" t="s">
        <v>186</v>
      </c>
      <c r="H98" s="985"/>
      <c r="I98" s="985"/>
      <c r="J98" s="985"/>
      <c r="K98" s="985"/>
      <c r="L98" s="985"/>
      <c r="M98" s="985"/>
      <c r="N98" s="985" t="s">
        <v>1053</v>
      </c>
      <c r="O98" s="985"/>
      <c r="Q98" t="s">
        <v>35</v>
      </c>
      <c r="R98">
        <f>COUNTIF($C149:$O149, R$66)</f>
        <v>0</v>
      </c>
      <c r="S98">
        <f t="shared" ref="S98:AD98" si="53">COUNTIF($C149:$O149, S$66)</f>
        <v>0</v>
      </c>
      <c r="T98">
        <f t="shared" si="53"/>
        <v>0</v>
      </c>
      <c r="U98">
        <f t="shared" si="53"/>
        <v>0</v>
      </c>
      <c r="V98">
        <f t="shared" si="53"/>
        <v>0</v>
      </c>
      <c r="W98">
        <f t="shared" si="53"/>
        <v>0</v>
      </c>
      <c r="X98">
        <f t="shared" si="53"/>
        <v>0</v>
      </c>
      <c r="Y98">
        <f t="shared" si="53"/>
        <v>0</v>
      </c>
      <c r="Z98">
        <f t="shared" si="53"/>
        <v>0</v>
      </c>
      <c r="AA98">
        <f t="shared" si="53"/>
        <v>0</v>
      </c>
      <c r="AB98">
        <f t="shared" si="53"/>
        <v>0</v>
      </c>
      <c r="AC98">
        <f t="shared" si="53"/>
        <v>0</v>
      </c>
      <c r="AD98">
        <f t="shared" si="53"/>
        <v>0</v>
      </c>
    </row>
    <row r="99" spans="2:31" ht="16.5" thickTop="1">
      <c r="B99" s="1721" t="s">
        <v>141</v>
      </c>
      <c r="C99" s="58"/>
      <c r="E99" s="52"/>
      <c r="F99" s="990"/>
      <c r="G99" s="990"/>
      <c r="H99" s="58"/>
      <c r="I99" s="58"/>
      <c r="K99" s="968" t="s">
        <v>26</v>
      </c>
      <c r="M99" s="58"/>
      <c r="N99" s="58"/>
      <c r="O99" s="58"/>
      <c r="Q99" t="s">
        <v>11</v>
      </c>
      <c r="R99">
        <f>COUNTIF($C152:$O152, R$66)</f>
        <v>0</v>
      </c>
      <c r="S99">
        <f t="shared" ref="S99:AD99" si="54">COUNTIF($C152:$O152, S$66)</f>
        <v>0</v>
      </c>
      <c r="T99">
        <f t="shared" si="54"/>
        <v>0</v>
      </c>
      <c r="U99">
        <f t="shared" si="54"/>
        <v>0</v>
      </c>
      <c r="V99">
        <f t="shared" si="54"/>
        <v>0</v>
      </c>
      <c r="W99">
        <f t="shared" si="54"/>
        <v>0</v>
      </c>
      <c r="X99">
        <f t="shared" si="54"/>
        <v>0</v>
      </c>
      <c r="Y99">
        <f t="shared" si="54"/>
        <v>0</v>
      </c>
      <c r="Z99">
        <f t="shared" si="54"/>
        <v>0</v>
      </c>
      <c r="AA99">
        <f t="shared" si="54"/>
        <v>0</v>
      </c>
      <c r="AB99">
        <f t="shared" si="54"/>
        <v>0</v>
      </c>
      <c r="AC99">
        <f t="shared" si="54"/>
        <v>0</v>
      </c>
      <c r="AD99">
        <f t="shared" si="54"/>
        <v>0</v>
      </c>
    </row>
    <row r="100" spans="2:31">
      <c r="B100" s="1710"/>
      <c r="G100" s="990"/>
      <c r="Q100" t="s">
        <v>198</v>
      </c>
      <c r="R100">
        <f>COUNTIF($C155:$O155, R$66)</f>
        <v>0</v>
      </c>
      <c r="S100">
        <f t="shared" ref="S100:AD100" si="55">COUNTIF($C155:$O155, S$66)</f>
        <v>0</v>
      </c>
      <c r="T100">
        <f t="shared" si="55"/>
        <v>0</v>
      </c>
      <c r="U100">
        <f t="shared" si="55"/>
        <v>0</v>
      </c>
      <c r="V100">
        <f t="shared" si="55"/>
        <v>0</v>
      </c>
      <c r="W100">
        <f t="shared" si="55"/>
        <v>0</v>
      </c>
      <c r="X100">
        <f t="shared" si="55"/>
        <v>0</v>
      </c>
      <c r="Y100">
        <f t="shared" si="55"/>
        <v>0</v>
      </c>
      <c r="Z100">
        <f t="shared" si="55"/>
        <v>0</v>
      </c>
      <c r="AA100">
        <f t="shared" si="55"/>
        <v>0</v>
      </c>
      <c r="AB100">
        <f t="shared" si="55"/>
        <v>0</v>
      </c>
      <c r="AC100">
        <f t="shared" si="55"/>
        <v>0</v>
      </c>
      <c r="AD100">
        <f t="shared" si="55"/>
        <v>0</v>
      </c>
    </row>
    <row r="101" spans="2:31" ht="16.5" thickBot="1">
      <c r="B101" s="1723"/>
      <c r="C101" s="985"/>
      <c r="D101" s="985"/>
      <c r="E101" s="985"/>
      <c r="F101" s="985"/>
      <c r="G101" s="985"/>
      <c r="H101" s="985"/>
      <c r="I101" s="985"/>
      <c r="J101" s="985"/>
      <c r="K101" s="985" t="s">
        <v>186</v>
      </c>
      <c r="L101" s="985"/>
      <c r="M101" s="985"/>
      <c r="N101" s="985" t="s">
        <v>1053</v>
      </c>
      <c r="O101" s="985"/>
      <c r="Q101" t="s">
        <v>184</v>
      </c>
      <c r="R101">
        <f>COUNTIF($C158:$O158, R$66)</f>
        <v>0</v>
      </c>
      <c r="S101">
        <f t="shared" ref="S101:AD101" si="56">COUNTIF($C158:$O158, S$66)</f>
        <v>0</v>
      </c>
      <c r="T101">
        <f t="shared" si="56"/>
        <v>0</v>
      </c>
      <c r="U101">
        <f t="shared" si="56"/>
        <v>0</v>
      </c>
      <c r="V101">
        <f t="shared" si="56"/>
        <v>0</v>
      </c>
      <c r="W101">
        <f t="shared" si="56"/>
        <v>0</v>
      </c>
      <c r="X101">
        <f t="shared" si="56"/>
        <v>0</v>
      </c>
      <c r="Y101">
        <f t="shared" si="56"/>
        <v>0</v>
      </c>
      <c r="Z101">
        <f t="shared" si="56"/>
        <v>0</v>
      </c>
      <c r="AA101">
        <f t="shared" si="56"/>
        <v>0</v>
      </c>
      <c r="AB101">
        <f t="shared" si="56"/>
        <v>0</v>
      </c>
      <c r="AC101">
        <f t="shared" si="56"/>
        <v>0</v>
      </c>
      <c r="AD101">
        <f t="shared" si="56"/>
        <v>0</v>
      </c>
    </row>
    <row r="102" spans="2:31" ht="16.5" thickTop="1">
      <c r="B102" s="1721" t="s">
        <v>142</v>
      </c>
      <c r="C102" s="58"/>
      <c r="E102" s="52"/>
      <c r="F102" s="990"/>
      <c r="G102" s="982" t="s">
        <v>29</v>
      </c>
      <c r="H102" s="58"/>
      <c r="I102" s="58"/>
      <c r="K102" s="58"/>
      <c r="M102" s="58"/>
      <c r="N102" s="58"/>
      <c r="O102" s="58"/>
      <c r="Q102" t="s">
        <v>563</v>
      </c>
      <c r="R102">
        <f>COUNTIF($C161:$O161, R$66)</f>
        <v>0</v>
      </c>
      <c r="S102">
        <f t="shared" ref="S102:AD102" si="57">COUNTIF($C161:$O161, S$66)</f>
        <v>0</v>
      </c>
      <c r="T102">
        <f t="shared" si="57"/>
        <v>0</v>
      </c>
      <c r="U102">
        <f t="shared" si="57"/>
        <v>0</v>
      </c>
      <c r="V102">
        <f t="shared" si="57"/>
        <v>0</v>
      </c>
      <c r="W102">
        <f t="shared" si="57"/>
        <v>0</v>
      </c>
      <c r="X102">
        <f t="shared" si="57"/>
        <v>0</v>
      </c>
      <c r="Y102">
        <f t="shared" si="57"/>
        <v>0</v>
      </c>
      <c r="Z102">
        <f t="shared" si="57"/>
        <v>0</v>
      </c>
      <c r="AA102">
        <f t="shared" si="57"/>
        <v>0</v>
      </c>
      <c r="AB102">
        <f t="shared" si="57"/>
        <v>0</v>
      </c>
      <c r="AC102">
        <f t="shared" si="57"/>
        <v>0</v>
      </c>
      <c r="AD102">
        <f t="shared" si="57"/>
        <v>0</v>
      </c>
    </row>
    <row r="103" spans="2:31">
      <c r="B103" s="1710"/>
      <c r="G103" s="990"/>
      <c r="Q103" t="s">
        <v>1742</v>
      </c>
      <c r="R103">
        <f>COUNTIF($C164:$O164, R$66)</f>
        <v>0</v>
      </c>
      <c r="S103">
        <f t="shared" ref="S103:AD103" si="58">COUNTIF($C164:$O164, S$66)</f>
        <v>0</v>
      </c>
      <c r="T103">
        <f t="shared" si="58"/>
        <v>1</v>
      </c>
      <c r="U103">
        <f t="shared" si="58"/>
        <v>0</v>
      </c>
      <c r="V103">
        <f t="shared" si="58"/>
        <v>0</v>
      </c>
      <c r="W103">
        <f t="shared" si="58"/>
        <v>0</v>
      </c>
      <c r="X103">
        <f t="shared" si="58"/>
        <v>0</v>
      </c>
      <c r="Y103">
        <f t="shared" si="58"/>
        <v>0</v>
      </c>
      <c r="Z103">
        <f t="shared" si="58"/>
        <v>0</v>
      </c>
      <c r="AA103">
        <f t="shared" si="58"/>
        <v>0</v>
      </c>
      <c r="AB103">
        <f t="shared" si="58"/>
        <v>0</v>
      </c>
      <c r="AC103">
        <f t="shared" si="58"/>
        <v>0</v>
      </c>
      <c r="AD103">
        <f t="shared" si="58"/>
        <v>0</v>
      </c>
    </row>
    <row r="104" spans="2:31" ht="16.5" thickBot="1">
      <c r="B104" s="1723"/>
      <c r="C104" s="985"/>
      <c r="D104" s="985"/>
      <c r="E104" s="985"/>
      <c r="F104" s="985"/>
      <c r="G104" s="985" t="s">
        <v>186</v>
      </c>
      <c r="H104" s="985"/>
      <c r="I104" s="985"/>
      <c r="J104" s="985"/>
      <c r="K104" s="985"/>
      <c r="L104" s="985"/>
      <c r="M104" s="985"/>
      <c r="N104" s="985" t="s">
        <v>1053</v>
      </c>
      <c r="O104" s="985"/>
      <c r="Q104" t="s">
        <v>2056</v>
      </c>
      <c r="R104">
        <f>COUNTIF($C167:$O167, R$66)</f>
        <v>0</v>
      </c>
      <c r="S104">
        <f t="shared" ref="S104:AD104" si="59">COUNTIF($C167:$O167, S$66)</f>
        <v>0</v>
      </c>
      <c r="T104">
        <f t="shared" si="59"/>
        <v>0</v>
      </c>
      <c r="U104">
        <f t="shared" si="59"/>
        <v>1</v>
      </c>
      <c r="V104">
        <f t="shared" si="59"/>
        <v>0</v>
      </c>
      <c r="W104">
        <f t="shared" si="59"/>
        <v>0</v>
      </c>
      <c r="X104">
        <f t="shared" si="59"/>
        <v>0</v>
      </c>
      <c r="Y104">
        <f t="shared" si="59"/>
        <v>0</v>
      </c>
      <c r="Z104">
        <f t="shared" si="59"/>
        <v>0</v>
      </c>
      <c r="AA104">
        <f t="shared" si="59"/>
        <v>0</v>
      </c>
      <c r="AB104">
        <f t="shared" si="59"/>
        <v>0</v>
      </c>
      <c r="AC104">
        <f t="shared" si="59"/>
        <v>0</v>
      </c>
      <c r="AD104">
        <f t="shared" si="59"/>
        <v>0</v>
      </c>
    </row>
    <row r="105" spans="2:31" ht="16.5" thickTop="1">
      <c r="B105" s="1721" t="s">
        <v>143</v>
      </c>
      <c r="C105" s="58"/>
      <c r="E105" s="52"/>
      <c r="F105" s="990"/>
      <c r="G105" s="990"/>
      <c r="H105" s="58"/>
      <c r="I105" s="58"/>
      <c r="K105" s="58"/>
      <c r="M105" s="58"/>
      <c r="N105" s="58"/>
      <c r="O105" s="58"/>
      <c r="Q105" s="287" t="s">
        <v>200</v>
      </c>
      <c r="R105" s="35">
        <f>SUM(R67:R104)</f>
        <v>14</v>
      </c>
      <c r="S105" s="35">
        <f t="shared" ref="S105:AD105" si="60">SUM(S67:S104)</f>
        <v>37</v>
      </c>
      <c r="T105" s="35">
        <f t="shared" si="60"/>
        <v>16</v>
      </c>
      <c r="U105" s="35">
        <f t="shared" si="60"/>
        <v>7</v>
      </c>
      <c r="V105" s="35">
        <f t="shared" si="60"/>
        <v>0</v>
      </c>
      <c r="W105" s="35">
        <f t="shared" si="60"/>
        <v>1</v>
      </c>
      <c r="X105" s="35">
        <f t="shared" si="60"/>
        <v>0</v>
      </c>
      <c r="Y105" s="35">
        <f t="shared" si="60"/>
        <v>1</v>
      </c>
      <c r="Z105" s="35">
        <f t="shared" si="60"/>
        <v>0</v>
      </c>
      <c r="AA105" s="35">
        <f t="shared" si="60"/>
        <v>0</v>
      </c>
      <c r="AB105" s="35">
        <f t="shared" si="60"/>
        <v>0</v>
      </c>
      <c r="AC105" s="35">
        <f t="shared" si="60"/>
        <v>0</v>
      </c>
      <c r="AD105" s="35">
        <f t="shared" si="60"/>
        <v>0</v>
      </c>
    </row>
    <row r="106" spans="2:31">
      <c r="B106" s="1710"/>
      <c r="G106" s="990"/>
    </row>
    <row r="107" spans="2:31" ht="19.5" thickBot="1">
      <c r="B107" s="1723"/>
      <c r="C107" s="985"/>
      <c r="D107" s="985"/>
      <c r="E107" s="985"/>
      <c r="F107" s="985"/>
      <c r="G107" s="985"/>
      <c r="H107" s="985"/>
      <c r="I107" s="985"/>
      <c r="J107" s="985"/>
      <c r="K107" s="985"/>
      <c r="L107" s="985"/>
      <c r="M107" s="985"/>
      <c r="N107" s="985" t="s">
        <v>1053</v>
      </c>
      <c r="O107" s="985"/>
      <c r="Q107" s="69" t="s">
        <v>2769</v>
      </c>
    </row>
    <row r="108" spans="2:31" ht="16.5" thickTop="1">
      <c r="B108" s="1721" t="s">
        <v>144</v>
      </c>
      <c r="C108" s="58"/>
      <c r="E108" s="52"/>
      <c r="F108" s="990"/>
      <c r="G108" s="990"/>
      <c r="H108" s="58"/>
      <c r="I108" s="58"/>
      <c r="K108" s="58"/>
      <c r="M108" s="58"/>
      <c r="N108" s="58"/>
      <c r="O108" s="58"/>
      <c r="Q108" s="1318" t="s">
        <v>19</v>
      </c>
      <c r="R108" s="1318" t="s">
        <v>1</v>
      </c>
      <c r="S108" s="1318" t="s">
        <v>2</v>
      </c>
      <c r="T108" s="1318" t="s">
        <v>3</v>
      </c>
      <c r="U108" s="1318" t="s">
        <v>4</v>
      </c>
      <c r="V108" s="1318" t="s">
        <v>5</v>
      </c>
      <c r="W108" s="1318" t="s">
        <v>6</v>
      </c>
      <c r="X108" s="1318" t="s">
        <v>7</v>
      </c>
      <c r="Y108" s="1318" t="s">
        <v>8</v>
      </c>
      <c r="Z108" s="1318" t="s">
        <v>9</v>
      </c>
      <c r="AA108" s="1318" t="s">
        <v>10</v>
      </c>
      <c r="AB108" s="1318" t="s">
        <v>36</v>
      </c>
      <c r="AC108" s="1318" t="s">
        <v>37</v>
      </c>
      <c r="AD108" s="1318" t="s">
        <v>344</v>
      </c>
      <c r="AE108" s="1319" t="s">
        <v>200</v>
      </c>
    </row>
    <row r="109" spans="2:31">
      <c r="B109" s="1710"/>
      <c r="G109" s="990"/>
      <c r="Q109" s="903" t="s">
        <v>27</v>
      </c>
      <c r="R109" s="319" t="str">
        <f t="shared" ref="R109:R136" si="61">IF(COUNTIF(C$52:C$233,$Q109)&gt;0,COUNTIF(C$52:C$233,$Q109), "")</f>
        <v/>
      </c>
      <c r="S109" s="319" t="str">
        <f t="shared" ref="S109:S136" si="62">IF(COUNTIF(D$52:D$233,$Q109)&gt;0,COUNTIF(D$52:D$233,$Q109), "")</f>
        <v/>
      </c>
      <c r="T109" s="319" t="str">
        <f t="shared" ref="T109:T136" si="63">IF(COUNTIF(E$52:E$233,$Q109)&gt;0,COUNTIF(E$52:E$233,$Q109), "")</f>
        <v/>
      </c>
      <c r="U109" s="319">
        <f t="shared" ref="U109:U136" si="64">IF(COUNTIF(F$52:F$233,$Q109)&gt;0,COUNTIF(F$52:F$233,$Q109), "")</f>
        <v>1</v>
      </c>
      <c r="V109" s="319" t="str">
        <f t="shared" ref="V109:V136" si="65">IF(COUNTIF(G$52:G$233,$Q109)&gt;0,COUNTIF(G$52:G$233,$Q109), "")</f>
        <v/>
      </c>
      <c r="W109" s="319" t="str">
        <f t="shared" ref="W109:W136" si="66">IF(COUNTIF(H$52:H$233,$Q109)&gt;0,COUNTIF(H$52:H$233,$Q109), "")</f>
        <v/>
      </c>
      <c r="X109" s="319" t="str">
        <f t="shared" ref="X109:X136" si="67">IF(COUNTIF(I$52:I$233,$Q109)&gt;0,COUNTIF(I$52:I$233,$Q109), "")</f>
        <v/>
      </c>
      <c r="Y109" s="319" t="str">
        <f t="shared" ref="Y109:Y136" si="68">IF(COUNTIF(J$52:J$233,$Q109)&gt;0,COUNTIF(J$52:J$233,$Q109), "")</f>
        <v/>
      </c>
      <c r="Z109" s="319">
        <f t="shared" ref="Z109:Z136" si="69">IF(COUNTIF(K$52:K$233,$Q109)&gt;0,COUNTIF(K$52:K$233,$Q109), "")</f>
        <v>1</v>
      </c>
      <c r="AA109" s="319" t="str">
        <f t="shared" ref="AA109:AA136" si="70">IF(COUNTIF(L$52:L$233,$Q109)&gt;0,COUNTIF(L$52:L$233,$Q109), "")</f>
        <v/>
      </c>
      <c r="AB109" s="319" t="str">
        <f t="shared" ref="AB109:AB136" si="71">IF(COUNTIF(M$52:M$233,$Q109)&gt;0,COUNTIF(M$52:M$233,$Q109), "")</f>
        <v/>
      </c>
      <c r="AC109" s="319" t="str">
        <f t="shared" ref="AC109:AC136" si="72">IF(COUNTIF(N$52:N$233,$Q109)&gt;0,COUNTIF(N$52:N$233,$Q109), "")</f>
        <v/>
      </c>
      <c r="AD109" s="319" t="str">
        <f t="shared" ref="AD109:AD136" si="73">IF(COUNTIF(O$52:O$233,$Q109)&gt;0,COUNTIF(O$52:O$233,$Q109), "")</f>
        <v/>
      </c>
      <c r="AE109" s="929">
        <f>SUM(R109:AD109)</f>
        <v>2</v>
      </c>
    </row>
    <row r="110" spans="2:31" ht="16.5" thickBot="1">
      <c r="B110" s="1723"/>
      <c r="C110" s="985"/>
      <c r="D110" s="985"/>
      <c r="E110" s="985"/>
      <c r="F110" s="985"/>
      <c r="G110" s="985"/>
      <c r="H110" s="985"/>
      <c r="I110" s="985"/>
      <c r="J110" s="985"/>
      <c r="K110" s="985"/>
      <c r="L110" s="985"/>
      <c r="M110" s="985"/>
      <c r="N110" s="985" t="s">
        <v>1053</v>
      </c>
      <c r="O110" s="985"/>
      <c r="Q110" s="904" t="s">
        <v>1270</v>
      </c>
      <c r="R110" s="33" t="str">
        <f>IF(COUNTIF(C$52:C$233,$Q110)&gt;0,COUNTIF(C$52:C$233,$Q110), "")</f>
        <v/>
      </c>
      <c r="S110" s="33" t="str">
        <f t="shared" si="62"/>
        <v/>
      </c>
      <c r="T110" s="33" t="str">
        <f t="shared" si="63"/>
        <v/>
      </c>
      <c r="U110" s="33" t="str">
        <f t="shared" si="64"/>
        <v/>
      </c>
      <c r="V110" s="33" t="str">
        <f t="shared" si="65"/>
        <v/>
      </c>
      <c r="W110" s="33" t="str">
        <f t="shared" si="66"/>
        <v/>
      </c>
      <c r="X110" s="33" t="str">
        <f t="shared" si="67"/>
        <v/>
      </c>
      <c r="Y110" s="33" t="str">
        <f t="shared" si="68"/>
        <v/>
      </c>
      <c r="Z110" s="33" t="str">
        <f t="shared" si="69"/>
        <v/>
      </c>
      <c r="AA110" s="33" t="str">
        <f t="shared" si="70"/>
        <v/>
      </c>
      <c r="AB110" s="33" t="str">
        <f t="shared" si="71"/>
        <v/>
      </c>
      <c r="AC110" s="33" t="str">
        <f t="shared" si="72"/>
        <v/>
      </c>
      <c r="AD110" s="33" t="str">
        <f t="shared" si="73"/>
        <v/>
      </c>
      <c r="AE110" s="929">
        <f t="shared" ref="AE110:AE136" si="74">SUM(R110:AD110)</f>
        <v>0</v>
      </c>
    </row>
    <row r="111" spans="2:31" ht="16.5" thickTop="1">
      <c r="B111" s="1721" t="s">
        <v>145</v>
      </c>
      <c r="C111" s="58"/>
      <c r="E111" s="52"/>
      <c r="F111" s="984" t="s">
        <v>24</v>
      </c>
      <c r="G111" s="990"/>
      <c r="H111" s="19" t="s">
        <v>1271</v>
      </c>
      <c r="I111" s="58"/>
      <c r="K111" s="58"/>
      <c r="L111" s="983" t="s">
        <v>124</v>
      </c>
      <c r="M111" s="58"/>
      <c r="N111" s="58"/>
      <c r="O111" s="58"/>
      <c r="Q111" s="896" t="s">
        <v>43</v>
      </c>
      <c r="R111" s="587" t="str">
        <f t="shared" si="61"/>
        <v/>
      </c>
      <c r="S111" s="587" t="str">
        <f t="shared" si="62"/>
        <v/>
      </c>
      <c r="T111" s="587">
        <f t="shared" si="63"/>
        <v>1</v>
      </c>
      <c r="U111" s="587" t="str">
        <f t="shared" si="64"/>
        <v/>
      </c>
      <c r="V111" s="587" t="str">
        <f t="shared" si="65"/>
        <v/>
      </c>
      <c r="W111" s="587" t="str">
        <f t="shared" si="66"/>
        <v/>
      </c>
      <c r="X111" s="587">
        <f t="shared" si="67"/>
        <v>1</v>
      </c>
      <c r="Y111" s="587" t="str">
        <f t="shared" si="68"/>
        <v/>
      </c>
      <c r="Z111" s="587">
        <f t="shared" si="69"/>
        <v>1</v>
      </c>
      <c r="AA111" s="587" t="str">
        <f t="shared" si="70"/>
        <v/>
      </c>
      <c r="AB111" s="587" t="str">
        <f t="shared" si="71"/>
        <v/>
      </c>
      <c r="AC111" s="587" t="str">
        <f t="shared" si="72"/>
        <v/>
      </c>
      <c r="AD111" s="587" t="str">
        <f t="shared" si="73"/>
        <v/>
      </c>
      <c r="AE111" s="929">
        <f t="shared" si="74"/>
        <v>3</v>
      </c>
    </row>
    <row r="112" spans="2:31">
      <c r="B112" s="1710"/>
      <c r="G112" s="990"/>
      <c r="Q112" s="905" t="s">
        <v>120</v>
      </c>
      <c r="R112" s="66" t="str">
        <f t="shared" si="61"/>
        <v/>
      </c>
      <c r="S112" s="66" t="str">
        <f t="shared" si="62"/>
        <v/>
      </c>
      <c r="T112" s="66" t="str">
        <f t="shared" si="63"/>
        <v/>
      </c>
      <c r="U112" s="66" t="str">
        <f t="shared" si="64"/>
        <v/>
      </c>
      <c r="V112" s="66" t="str">
        <f t="shared" si="65"/>
        <v/>
      </c>
      <c r="W112" s="66" t="str">
        <f t="shared" si="66"/>
        <v/>
      </c>
      <c r="X112" s="66" t="str">
        <f t="shared" si="67"/>
        <v/>
      </c>
      <c r="Y112" s="66" t="str">
        <f t="shared" si="68"/>
        <v/>
      </c>
      <c r="Z112" s="66" t="str">
        <f t="shared" si="69"/>
        <v/>
      </c>
      <c r="AA112" s="66" t="str">
        <f t="shared" si="70"/>
        <v/>
      </c>
      <c r="AB112" s="66" t="str">
        <f t="shared" si="71"/>
        <v/>
      </c>
      <c r="AC112" s="66" t="str">
        <f t="shared" si="72"/>
        <v/>
      </c>
      <c r="AD112" s="66" t="str">
        <f t="shared" si="73"/>
        <v/>
      </c>
      <c r="AE112" s="929">
        <f t="shared" si="74"/>
        <v>0</v>
      </c>
    </row>
    <row r="113" spans="2:31" ht="16.5" thickBot="1">
      <c r="B113" s="1723"/>
      <c r="C113" s="985"/>
      <c r="D113" s="985"/>
      <c r="E113" s="985"/>
      <c r="F113" s="985" t="s">
        <v>186</v>
      </c>
      <c r="G113" s="985"/>
      <c r="H113" s="985" t="s">
        <v>186</v>
      </c>
      <c r="I113" s="985"/>
      <c r="J113" s="985"/>
      <c r="K113" s="985"/>
      <c r="L113" s="985" t="s">
        <v>187</v>
      </c>
      <c r="M113" s="985"/>
      <c r="N113" s="985" t="s">
        <v>1053</v>
      </c>
      <c r="O113" s="985"/>
      <c r="Q113" s="906" t="s">
        <v>47</v>
      </c>
      <c r="R113" s="642" t="str">
        <f t="shared" si="61"/>
        <v/>
      </c>
      <c r="S113" s="642" t="str">
        <f t="shared" si="62"/>
        <v/>
      </c>
      <c r="T113" s="642" t="str">
        <f t="shared" si="63"/>
        <v/>
      </c>
      <c r="U113" s="642" t="str">
        <f t="shared" si="64"/>
        <v/>
      </c>
      <c r="V113" s="642" t="str">
        <f t="shared" si="65"/>
        <v/>
      </c>
      <c r="W113" s="642" t="str">
        <f t="shared" si="66"/>
        <v/>
      </c>
      <c r="X113" s="642" t="str">
        <f t="shared" si="67"/>
        <v/>
      </c>
      <c r="Y113" s="642" t="str">
        <f t="shared" si="68"/>
        <v/>
      </c>
      <c r="Z113" s="642" t="str">
        <f t="shared" si="69"/>
        <v/>
      </c>
      <c r="AA113" s="642" t="str">
        <f t="shared" si="70"/>
        <v/>
      </c>
      <c r="AB113" s="642" t="str">
        <f t="shared" si="71"/>
        <v/>
      </c>
      <c r="AC113" s="642" t="str">
        <f t="shared" si="72"/>
        <v/>
      </c>
      <c r="AD113" s="642" t="str">
        <f t="shared" si="73"/>
        <v/>
      </c>
      <c r="AE113" s="929">
        <f t="shared" si="74"/>
        <v>0</v>
      </c>
    </row>
    <row r="114" spans="2:31" ht="16.5" thickTop="1">
      <c r="B114" s="1721" t="s">
        <v>146</v>
      </c>
      <c r="C114" s="58"/>
      <c r="E114" s="52"/>
      <c r="F114" s="964" t="s">
        <v>44</v>
      </c>
      <c r="G114" s="990"/>
      <c r="H114" s="58"/>
      <c r="I114" s="58"/>
      <c r="K114" s="982" t="s">
        <v>29</v>
      </c>
      <c r="M114" s="58"/>
      <c r="N114" s="58"/>
      <c r="O114" s="58"/>
      <c r="Q114" s="907" t="s">
        <v>46</v>
      </c>
      <c r="R114" t="str">
        <f t="shared" si="61"/>
        <v/>
      </c>
      <c r="S114" t="str">
        <f t="shared" si="62"/>
        <v/>
      </c>
      <c r="T114" t="str">
        <f t="shared" si="63"/>
        <v/>
      </c>
      <c r="U114" t="str">
        <f t="shared" si="64"/>
        <v/>
      </c>
      <c r="V114" t="str">
        <f t="shared" si="65"/>
        <v/>
      </c>
      <c r="W114" t="str">
        <f t="shared" si="66"/>
        <v/>
      </c>
      <c r="X114" t="str">
        <f t="shared" si="67"/>
        <v/>
      </c>
      <c r="Y114" t="str">
        <f t="shared" si="68"/>
        <v/>
      </c>
      <c r="Z114" t="str">
        <f t="shared" si="69"/>
        <v/>
      </c>
      <c r="AA114" t="str">
        <f t="shared" si="70"/>
        <v/>
      </c>
      <c r="AB114" t="str">
        <f t="shared" si="71"/>
        <v/>
      </c>
      <c r="AC114" t="str">
        <f t="shared" si="72"/>
        <v/>
      </c>
      <c r="AD114" t="str">
        <f t="shared" si="73"/>
        <v/>
      </c>
      <c r="AE114" s="929">
        <f t="shared" si="74"/>
        <v>0</v>
      </c>
    </row>
    <row r="115" spans="2:31">
      <c r="B115" s="1710"/>
      <c r="G115" s="990"/>
      <c r="Q115" s="908" t="s">
        <v>397</v>
      </c>
      <c r="R115" s="588" t="str">
        <f t="shared" si="61"/>
        <v/>
      </c>
      <c r="S115" s="588" t="str">
        <f t="shared" si="62"/>
        <v/>
      </c>
      <c r="T115" s="588" t="str">
        <f t="shared" si="63"/>
        <v/>
      </c>
      <c r="U115" s="588" t="str">
        <f t="shared" si="64"/>
        <v/>
      </c>
      <c r="V115" s="588" t="str">
        <f t="shared" si="65"/>
        <v/>
      </c>
      <c r="W115" s="588" t="str">
        <f t="shared" si="66"/>
        <v/>
      </c>
      <c r="X115" s="588" t="str">
        <f t="shared" si="67"/>
        <v/>
      </c>
      <c r="Y115" s="588">
        <f t="shared" si="68"/>
        <v>1</v>
      </c>
      <c r="Z115" s="588">
        <f t="shared" si="69"/>
        <v>1</v>
      </c>
      <c r="AA115" s="588" t="str">
        <f t="shared" si="70"/>
        <v/>
      </c>
      <c r="AB115" s="588" t="str">
        <f t="shared" si="71"/>
        <v/>
      </c>
      <c r="AC115" s="588" t="str">
        <f t="shared" si="72"/>
        <v/>
      </c>
      <c r="AD115" s="588" t="str">
        <f t="shared" si="73"/>
        <v/>
      </c>
      <c r="AE115" s="929">
        <f t="shared" si="74"/>
        <v>2</v>
      </c>
    </row>
    <row r="116" spans="2:31" ht="16.5" thickBot="1">
      <c r="B116" s="1723"/>
      <c r="C116" s="985"/>
      <c r="D116" s="985"/>
      <c r="E116" s="985"/>
      <c r="F116" s="985" t="s">
        <v>186</v>
      </c>
      <c r="G116" s="985"/>
      <c r="H116" s="985"/>
      <c r="I116" s="985"/>
      <c r="J116" s="985"/>
      <c r="K116" s="985" t="s">
        <v>186</v>
      </c>
      <c r="L116" s="985"/>
      <c r="M116" s="985"/>
      <c r="N116" s="985" t="s">
        <v>1053</v>
      </c>
      <c r="O116" s="985"/>
      <c r="Q116" s="909" t="s">
        <v>155</v>
      </c>
      <c r="R116" s="233" t="str">
        <f t="shared" si="61"/>
        <v/>
      </c>
      <c r="S116" s="233">
        <f t="shared" si="62"/>
        <v>1</v>
      </c>
      <c r="T116" s="233" t="str">
        <f t="shared" si="63"/>
        <v/>
      </c>
      <c r="U116" s="233" t="str">
        <f t="shared" si="64"/>
        <v/>
      </c>
      <c r="V116" s="233" t="str">
        <f t="shared" si="65"/>
        <v/>
      </c>
      <c r="W116" s="233" t="str">
        <f t="shared" si="66"/>
        <v/>
      </c>
      <c r="X116" s="233" t="str">
        <f t="shared" si="67"/>
        <v/>
      </c>
      <c r="Y116" s="233" t="str">
        <f t="shared" si="68"/>
        <v/>
      </c>
      <c r="Z116" s="233" t="str">
        <f t="shared" si="69"/>
        <v/>
      </c>
      <c r="AA116" s="233" t="str">
        <f t="shared" si="70"/>
        <v/>
      </c>
      <c r="AB116" s="233" t="str">
        <f t="shared" si="71"/>
        <v/>
      </c>
      <c r="AC116" s="233" t="str">
        <f t="shared" si="72"/>
        <v/>
      </c>
      <c r="AD116" s="233" t="str">
        <f t="shared" si="73"/>
        <v/>
      </c>
      <c r="AE116" s="929">
        <f t="shared" si="74"/>
        <v>1</v>
      </c>
    </row>
    <row r="117" spans="2:31" ht="16.5" thickTop="1">
      <c r="B117" s="1721" t="s">
        <v>147</v>
      </c>
      <c r="C117" s="58"/>
      <c r="E117" s="52"/>
      <c r="F117" s="990"/>
      <c r="G117" s="990"/>
      <c r="H117" s="58"/>
      <c r="I117" s="960" t="s">
        <v>43</v>
      </c>
      <c r="K117" s="58"/>
      <c r="M117" s="58"/>
      <c r="N117" s="58"/>
      <c r="O117" s="58"/>
      <c r="Q117" s="897" t="s">
        <v>24</v>
      </c>
      <c r="R117" s="36" t="str">
        <f t="shared" si="61"/>
        <v/>
      </c>
      <c r="S117" s="36">
        <f t="shared" si="62"/>
        <v>1</v>
      </c>
      <c r="T117" s="36">
        <f t="shared" si="63"/>
        <v>1</v>
      </c>
      <c r="U117" s="36">
        <f t="shared" si="64"/>
        <v>1</v>
      </c>
      <c r="V117" s="36">
        <f t="shared" si="65"/>
        <v>2</v>
      </c>
      <c r="W117" s="36">
        <f t="shared" si="66"/>
        <v>1</v>
      </c>
      <c r="X117" s="36" t="str">
        <f t="shared" si="67"/>
        <v/>
      </c>
      <c r="Y117" s="36" t="str">
        <f t="shared" si="68"/>
        <v/>
      </c>
      <c r="Z117" s="36">
        <f t="shared" si="69"/>
        <v>1</v>
      </c>
      <c r="AA117" s="36" t="str">
        <f t="shared" si="70"/>
        <v/>
      </c>
      <c r="AB117" s="36">
        <f t="shared" si="71"/>
        <v>1</v>
      </c>
      <c r="AC117" s="36" t="str">
        <f t="shared" si="72"/>
        <v/>
      </c>
      <c r="AD117" s="36" t="str">
        <f t="shared" si="73"/>
        <v/>
      </c>
      <c r="AE117" s="929">
        <f t="shared" si="74"/>
        <v>8</v>
      </c>
    </row>
    <row r="118" spans="2:31">
      <c r="B118" s="1710"/>
      <c r="G118" s="990"/>
      <c r="Q118" s="910" t="s">
        <v>23</v>
      </c>
      <c r="R118" s="577" t="str">
        <f t="shared" si="61"/>
        <v/>
      </c>
      <c r="S118" s="577" t="str">
        <f t="shared" si="62"/>
        <v/>
      </c>
      <c r="T118" s="577" t="str">
        <f t="shared" si="63"/>
        <v/>
      </c>
      <c r="U118" s="577" t="str">
        <f t="shared" si="64"/>
        <v/>
      </c>
      <c r="V118" s="577" t="str">
        <f t="shared" si="65"/>
        <v/>
      </c>
      <c r="W118" s="577" t="str">
        <f t="shared" si="66"/>
        <v/>
      </c>
      <c r="X118" s="577" t="str">
        <f t="shared" si="67"/>
        <v/>
      </c>
      <c r="Y118" s="577" t="str">
        <f t="shared" si="68"/>
        <v/>
      </c>
      <c r="Z118" s="577" t="str">
        <f t="shared" si="69"/>
        <v/>
      </c>
      <c r="AA118" s="577" t="str">
        <f t="shared" si="70"/>
        <v/>
      </c>
      <c r="AB118" s="577" t="str">
        <f t="shared" si="71"/>
        <v/>
      </c>
      <c r="AC118" s="577" t="str">
        <f t="shared" si="72"/>
        <v/>
      </c>
      <c r="AD118" s="577" t="str">
        <f t="shared" si="73"/>
        <v/>
      </c>
      <c r="AE118" s="929">
        <f t="shared" si="74"/>
        <v>0</v>
      </c>
    </row>
    <row r="119" spans="2:31" ht="16.5" thickBot="1">
      <c r="B119" s="1723"/>
      <c r="C119" s="985"/>
      <c r="D119" s="985"/>
      <c r="E119" s="985"/>
      <c r="F119" s="985"/>
      <c r="G119" s="985"/>
      <c r="H119" s="985"/>
      <c r="I119" s="985" t="s">
        <v>187</v>
      </c>
      <c r="J119" s="985"/>
      <c r="K119" s="985"/>
      <c r="L119" s="985"/>
      <c r="M119" s="985"/>
      <c r="N119" s="985" t="s">
        <v>1053</v>
      </c>
      <c r="O119" s="985"/>
      <c r="Q119" s="895" t="s">
        <v>29</v>
      </c>
      <c r="R119" t="str">
        <f t="shared" si="61"/>
        <v/>
      </c>
      <c r="S119" t="str">
        <f t="shared" si="62"/>
        <v/>
      </c>
      <c r="T119" t="str">
        <f t="shared" si="63"/>
        <v/>
      </c>
      <c r="U119" t="str">
        <f t="shared" si="64"/>
        <v/>
      </c>
      <c r="V119">
        <f t="shared" si="65"/>
        <v>1</v>
      </c>
      <c r="W119">
        <f t="shared" si="66"/>
        <v>1</v>
      </c>
      <c r="X119" t="str">
        <f t="shared" si="67"/>
        <v/>
      </c>
      <c r="Y119">
        <f t="shared" si="68"/>
        <v>2</v>
      </c>
      <c r="Z119">
        <f t="shared" si="69"/>
        <v>3</v>
      </c>
      <c r="AA119" t="str">
        <f t="shared" si="70"/>
        <v/>
      </c>
      <c r="AB119">
        <f t="shared" si="71"/>
        <v>1</v>
      </c>
      <c r="AC119" t="str">
        <f t="shared" si="72"/>
        <v/>
      </c>
      <c r="AD119" t="str">
        <f t="shared" si="73"/>
        <v/>
      </c>
      <c r="AE119" s="929">
        <f t="shared" si="74"/>
        <v>8</v>
      </c>
    </row>
    <row r="120" spans="2:31" ht="16.5" thickTop="1">
      <c r="B120" s="1721" t="s">
        <v>148</v>
      </c>
      <c r="C120" s="58"/>
      <c r="E120" s="52"/>
      <c r="F120" s="990"/>
      <c r="G120" s="968" t="s">
        <v>26</v>
      </c>
      <c r="H120" s="58"/>
      <c r="I120" s="58"/>
      <c r="K120" s="58"/>
      <c r="M120" s="58"/>
      <c r="N120" s="58"/>
      <c r="O120" s="58"/>
      <c r="Q120" s="911" t="s">
        <v>93</v>
      </c>
      <c r="R120" t="str">
        <f t="shared" si="61"/>
        <v/>
      </c>
      <c r="S120" t="str">
        <f t="shared" si="62"/>
        <v/>
      </c>
      <c r="T120" t="str">
        <f t="shared" si="63"/>
        <v/>
      </c>
      <c r="U120" t="str">
        <f t="shared" si="64"/>
        <v/>
      </c>
      <c r="V120" t="str">
        <f t="shared" si="65"/>
        <v/>
      </c>
      <c r="W120" t="str">
        <f t="shared" si="66"/>
        <v/>
      </c>
      <c r="X120" t="str">
        <f t="shared" si="67"/>
        <v/>
      </c>
      <c r="Y120" t="str">
        <f t="shared" si="68"/>
        <v/>
      </c>
      <c r="Z120" t="str">
        <f t="shared" si="69"/>
        <v/>
      </c>
      <c r="AA120" t="str">
        <f t="shared" si="70"/>
        <v/>
      </c>
      <c r="AB120" t="str">
        <f t="shared" si="71"/>
        <v/>
      </c>
      <c r="AC120" t="str">
        <f t="shared" si="72"/>
        <v/>
      </c>
      <c r="AD120" t="str">
        <f t="shared" si="73"/>
        <v/>
      </c>
      <c r="AE120" s="929">
        <f t="shared" si="74"/>
        <v>0</v>
      </c>
    </row>
    <row r="121" spans="2:31">
      <c r="B121" s="1710"/>
      <c r="G121" s="990"/>
      <c r="Q121" s="912" t="s">
        <v>1269</v>
      </c>
      <c r="R121" s="242" t="str">
        <f t="shared" si="61"/>
        <v/>
      </c>
      <c r="S121" s="242">
        <f t="shared" si="62"/>
        <v>1</v>
      </c>
      <c r="T121" s="242" t="str">
        <f t="shared" si="63"/>
        <v/>
      </c>
      <c r="U121" s="242">
        <f t="shared" si="64"/>
        <v>1</v>
      </c>
      <c r="V121" s="242" t="str">
        <f t="shared" si="65"/>
        <v/>
      </c>
      <c r="W121" s="242" t="str">
        <f t="shared" si="66"/>
        <v/>
      </c>
      <c r="X121" s="242" t="str">
        <f t="shared" si="67"/>
        <v/>
      </c>
      <c r="Y121" s="242" t="str">
        <f t="shared" si="68"/>
        <v/>
      </c>
      <c r="Z121" s="242" t="str">
        <f t="shared" si="69"/>
        <v/>
      </c>
      <c r="AA121" s="242" t="str">
        <f t="shared" si="70"/>
        <v/>
      </c>
      <c r="AB121" s="242" t="str">
        <f t="shared" si="71"/>
        <v/>
      </c>
      <c r="AC121" s="242" t="str">
        <f t="shared" si="72"/>
        <v/>
      </c>
      <c r="AD121" s="242" t="str">
        <f t="shared" si="73"/>
        <v/>
      </c>
      <c r="AE121" s="929">
        <f t="shared" si="74"/>
        <v>2</v>
      </c>
    </row>
    <row r="122" spans="2:31" ht="16.5" thickBot="1">
      <c r="B122" s="1723"/>
      <c r="C122" s="985"/>
      <c r="D122" s="985"/>
      <c r="E122" s="985"/>
      <c r="F122" s="985"/>
      <c r="G122" s="985" t="s">
        <v>186</v>
      </c>
      <c r="H122" s="985"/>
      <c r="I122" s="985"/>
      <c r="J122" s="985"/>
      <c r="K122" s="985"/>
      <c r="L122" s="985"/>
      <c r="M122" s="985"/>
      <c r="N122" s="985" t="s">
        <v>1053</v>
      </c>
      <c r="O122" s="985"/>
      <c r="Q122" s="913" t="s">
        <v>26</v>
      </c>
      <c r="R122" s="8">
        <f t="shared" si="61"/>
        <v>1</v>
      </c>
      <c r="S122" s="8">
        <f t="shared" si="62"/>
        <v>1</v>
      </c>
      <c r="T122" s="8" t="str">
        <f t="shared" si="63"/>
        <v/>
      </c>
      <c r="U122" s="8" t="str">
        <f t="shared" si="64"/>
        <v/>
      </c>
      <c r="V122" s="8">
        <f t="shared" si="65"/>
        <v>5</v>
      </c>
      <c r="W122" s="8" t="str">
        <f t="shared" si="66"/>
        <v/>
      </c>
      <c r="X122" s="8" t="str">
        <f t="shared" si="67"/>
        <v/>
      </c>
      <c r="Y122" s="8" t="str">
        <f t="shared" si="68"/>
        <v/>
      </c>
      <c r="Z122" s="8">
        <f t="shared" si="69"/>
        <v>1</v>
      </c>
      <c r="AA122" s="8" t="str">
        <f t="shared" si="70"/>
        <v/>
      </c>
      <c r="AB122" s="8" t="str">
        <f t="shared" si="71"/>
        <v/>
      </c>
      <c r="AC122" s="8" t="str">
        <f t="shared" si="72"/>
        <v/>
      </c>
      <c r="AD122" s="8" t="str">
        <f t="shared" si="73"/>
        <v/>
      </c>
      <c r="AE122" s="929">
        <f t="shared" si="74"/>
        <v>8</v>
      </c>
    </row>
    <row r="123" spans="2:31" ht="16.5" thickTop="1">
      <c r="B123" s="1721" t="s">
        <v>125</v>
      </c>
      <c r="C123" s="58"/>
      <c r="E123" s="52"/>
      <c r="F123" s="990"/>
      <c r="G123" s="990"/>
      <c r="H123" s="58"/>
      <c r="I123" s="58"/>
      <c r="K123" s="58"/>
      <c r="M123" s="58"/>
      <c r="N123" s="58"/>
      <c r="O123" s="58"/>
      <c r="Q123" s="914" t="s">
        <v>109</v>
      </c>
      <c r="R123" s="576" t="str">
        <f t="shared" si="61"/>
        <v/>
      </c>
      <c r="S123" s="576" t="str">
        <f t="shared" si="62"/>
        <v/>
      </c>
      <c r="T123" s="576" t="str">
        <f t="shared" si="63"/>
        <v/>
      </c>
      <c r="U123" s="576" t="str">
        <f t="shared" si="64"/>
        <v/>
      </c>
      <c r="V123" s="576" t="str">
        <f t="shared" si="65"/>
        <v/>
      </c>
      <c r="W123" s="576" t="str">
        <f t="shared" si="66"/>
        <v/>
      </c>
      <c r="X123" s="576">
        <f t="shared" si="67"/>
        <v>1</v>
      </c>
      <c r="Y123" s="576" t="str">
        <f t="shared" si="68"/>
        <v/>
      </c>
      <c r="Z123" s="576" t="str">
        <f t="shared" si="69"/>
        <v/>
      </c>
      <c r="AA123" s="576" t="str">
        <f t="shared" si="70"/>
        <v/>
      </c>
      <c r="AB123" s="576" t="str">
        <f t="shared" si="71"/>
        <v/>
      </c>
      <c r="AC123" s="576" t="str">
        <f t="shared" si="72"/>
        <v/>
      </c>
      <c r="AD123" s="576" t="str">
        <f t="shared" si="73"/>
        <v/>
      </c>
      <c r="AE123" s="929">
        <f t="shared" si="74"/>
        <v>1</v>
      </c>
    </row>
    <row r="124" spans="2:31">
      <c r="B124" s="1710"/>
      <c r="G124" s="990"/>
      <c r="Q124" s="915" t="s">
        <v>114</v>
      </c>
      <c r="R124" s="498" t="str">
        <f t="shared" si="61"/>
        <v/>
      </c>
      <c r="S124" s="498" t="str">
        <f t="shared" si="62"/>
        <v/>
      </c>
      <c r="T124" s="498" t="str">
        <f t="shared" si="63"/>
        <v/>
      </c>
      <c r="U124" s="498" t="str">
        <f t="shared" si="64"/>
        <v/>
      </c>
      <c r="V124" s="498" t="str">
        <f>IF(COUNTIF(G$52:G$233,$Q124)&gt;0,COUNTIF(G$52:G$233,$Q124), "")</f>
        <v/>
      </c>
      <c r="W124" s="498" t="str">
        <f t="shared" si="66"/>
        <v/>
      </c>
      <c r="X124" s="498" t="str">
        <f t="shared" si="67"/>
        <v/>
      </c>
      <c r="Y124" s="498" t="str">
        <f t="shared" si="68"/>
        <v/>
      </c>
      <c r="Z124" s="498" t="str">
        <f t="shared" si="69"/>
        <v/>
      </c>
      <c r="AA124" s="498" t="str">
        <f t="shared" si="70"/>
        <v/>
      </c>
      <c r="AB124" s="498" t="str">
        <f t="shared" si="71"/>
        <v/>
      </c>
      <c r="AC124" s="498" t="str">
        <f t="shared" si="72"/>
        <v/>
      </c>
      <c r="AD124" s="498" t="str">
        <f t="shared" si="73"/>
        <v/>
      </c>
      <c r="AE124" s="929">
        <f t="shared" si="74"/>
        <v>0</v>
      </c>
    </row>
    <row r="125" spans="2:31" ht="16.5" thickBot="1">
      <c r="B125" s="1723"/>
      <c r="C125" s="985"/>
      <c r="D125" s="985"/>
      <c r="E125" s="985"/>
      <c r="F125" s="985"/>
      <c r="G125" s="985"/>
      <c r="H125" s="985"/>
      <c r="I125" s="985"/>
      <c r="J125" s="985"/>
      <c r="K125" s="985"/>
      <c r="L125" s="985"/>
      <c r="M125" s="985"/>
      <c r="N125" s="985" t="s">
        <v>1053</v>
      </c>
      <c r="O125" s="985"/>
      <c r="Q125" s="916" t="s">
        <v>1272</v>
      </c>
      <c r="R125" s="142" t="str">
        <f t="shared" si="61"/>
        <v/>
      </c>
      <c r="S125" s="142" t="str">
        <f t="shared" si="62"/>
        <v/>
      </c>
      <c r="T125" s="142" t="str">
        <f t="shared" si="63"/>
        <v/>
      </c>
      <c r="U125" s="142" t="str">
        <f t="shared" si="64"/>
        <v/>
      </c>
      <c r="V125" s="142" t="str">
        <f t="shared" si="65"/>
        <v/>
      </c>
      <c r="W125" s="142" t="str">
        <f t="shared" si="66"/>
        <v/>
      </c>
      <c r="X125" s="142" t="str">
        <f t="shared" si="67"/>
        <v/>
      </c>
      <c r="Y125" s="142" t="str">
        <f t="shared" si="68"/>
        <v/>
      </c>
      <c r="Z125" s="142" t="str">
        <f t="shared" si="69"/>
        <v/>
      </c>
      <c r="AA125" s="142" t="str">
        <f t="shared" si="70"/>
        <v/>
      </c>
      <c r="AB125" s="142" t="str">
        <f t="shared" si="71"/>
        <v/>
      </c>
      <c r="AC125" s="142" t="str">
        <f t="shared" si="72"/>
        <v/>
      </c>
      <c r="AD125" s="142" t="str">
        <f t="shared" si="73"/>
        <v/>
      </c>
      <c r="AE125" s="929">
        <f t="shared" si="74"/>
        <v>0</v>
      </c>
    </row>
    <row r="126" spans="2:31" ht="16.5" thickTop="1">
      <c r="B126" s="1721" t="s">
        <v>116</v>
      </c>
      <c r="C126" s="58"/>
      <c r="E126" s="52"/>
      <c r="F126" s="990"/>
      <c r="G126" s="990"/>
      <c r="H126" s="58"/>
      <c r="I126" s="58"/>
      <c r="K126" s="960" t="s">
        <v>43</v>
      </c>
      <c r="M126" s="58"/>
      <c r="N126" s="58"/>
      <c r="O126" s="58"/>
      <c r="Q126" s="917" t="s">
        <v>68</v>
      </c>
      <c r="R126" s="329" t="str">
        <f t="shared" si="61"/>
        <v/>
      </c>
      <c r="S126" s="329" t="str">
        <f t="shared" si="62"/>
        <v/>
      </c>
      <c r="T126" s="329" t="str">
        <f t="shared" si="63"/>
        <v/>
      </c>
      <c r="U126" s="329" t="str">
        <f t="shared" si="64"/>
        <v/>
      </c>
      <c r="V126" s="329" t="str">
        <f t="shared" si="65"/>
        <v/>
      </c>
      <c r="W126" s="329" t="str">
        <f t="shared" si="66"/>
        <v/>
      </c>
      <c r="X126" s="329" t="str">
        <f t="shared" si="67"/>
        <v/>
      </c>
      <c r="Y126" s="329" t="str">
        <f t="shared" si="68"/>
        <v/>
      </c>
      <c r="Z126" s="329" t="str">
        <f t="shared" si="69"/>
        <v/>
      </c>
      <c r="AA126" s="329" t="str">
        <f t="shared" si="70"/>
        <v/>
      </c>
      <c r="AB126" s="329" t="str">
        <f t="shared" si="71"/>
        <v/>
      </c>
      <c r="AC126" s="329" t="str">
        <f t="shared" si="72"/>
        <v/>
      </c>
      <c r="AD126" s="329" t="str">
        <f t="shared" si="73"/>
        <v/>
      </c>
      <c r="AE126" s="929">
        <f t="shared" si="74"/>
        <v>0</v>
      </c>
    </row>
    <row r="127" spans="2:31">
      <c r="B127" s="1710"/>
      <c r="G127" s="990"/>
      <c r="Q127" s="918" t="s">
        <v>234</v>
      </c>
      <c r="R127" s="33" t="str">
        <f t="shared" si="61"/>
        <v/>
      </c>
      <c r="S127" s="33" t="str">
        <f t="shared" si="62"/>
        <v/>
      </c>
      <c r="T127" s="33" t="str">
        <f t="shared" si="63"/>
        <v/>
      </c>
      <c r="U127" s="33" t="str">
        <f t="shared" si="64"/>
        <v/>
      </c>
      <c r="V127" s="33">
        <f t="shared" si="65"/>
        <v>1</v>
      </c>
      <c r="W127" s="33" t="str">
        <f t="shared" si="66"/>
        <v/>
      </c>
      <c r="X127" s="33" t="str">
        <f t="shared" si="67"/>
        <v/>
      </c>
      <c r="Y127" s="33" t="str">
        <f t="shared" si="68"/>
        <v/>
      </c>
      <c r="Z127" s="33" t="str">
        <f t="shared" si="69"/>
        <v/>
      </c>
      <c r="AA127" s="33" t="str">
        <f t="shared" si="70"/>
        <v/>
      </c>
      <c r="AB127" s="33" t="str">
        <f t="shared" si="71"/>
        <v/>
      </c>
      <c r="AC127" s="33" t="str">
        <f t="shared" si="72"/>
        <v/>
      </c>
      <c r="AD127" s="33" t="str">
        <f t="shared" si="73"/>
        <v/>
      </c>
      <c r="AE127" s="929">
        <f t="shared" si="74"/>
        <v>1</v>
      </c>
    </row>
    <row r="128" spans="2:31" ht="16.5" thickBot="1">
      <c r="B128" s="1723"/>
      <c r="C128" s="985"/>
      <c r="D128" s="985"/>
      <c r="E128" s="985"/>
      <c r="F128" s="985"/>
      <c r="G128" s="985"/>
      <c r="H128" s="985"/>
      <c r="I128" s="985"/>
      <c r="J128" s="985"/>
      <c r="K128" s="985" t="s">
        <v>186</v>
      </c>
      <c r="L128" s="985"/>
      <c r="M128" s="985"/>
      <c r="N128" s="985" t="s">
        <v>1053</v>
      </c>
      <c r="O128" s="985"/>
      <c r="Q128" s="919" t="s">
        <v>124</v>
      </c>
      <c r="R128" s="501" t="str">
        <f t="shared" si="61"/>
        <v/>
      </c>
      <c r="S128" s="501" t="str">
        <f t="shared" si="62"/>
        <v/>
      </c>
      <c r="T128" s="501" t="str">
        <f t="shared" si="63"/>
        <v/>
      </c>
      <c r="U128" s="501" t="str">
        <f t="shared" si="64"/>
        <v/>
      </c>
      <c r="V128" s="501" t="str">
        <f t="shared" si="65"/>
        <v/>
      </c>
      <c r="W128" s="501">
        <f t="shared" si="66"/>
        <v>2</v>
      </c>
      <c r="X128" s="501">
        <f t="shared" si="67"/>
        <v>1</v>
      </c>
      <c r="Y128" s="501" t="str">
        <f t="shared" si="68"/>
        <v/>
      </c>
      <c r="Z128" s="501">
        <f t="shared" si="69"/>
        <v>2</v>
      </c>
      <c r="AA128" s="501">
        <f t="shared" si="70"/>
        <v>1</v>
      </c>
      <c r="AB128" s="501" t="str">
        <f t="shared" si="71"/>
        <v/>
      </c>
      <c r="AC128" s="501" t="str">
        <f t="shared" si="72"/>
        <v/>
      </c>
      <c r="AD128" s="501" t="str">
        <f t="shared" si="73"/>
        <v/>
      </c>
      <c r="AE128" s="929">
        <f t="shared" si="74"/>
        <v>6</v>
      </c>
    </row>
    <row r="129" spans="2:47" ht="16.5" thickTop="1">
      <c r="B129" s="1721" t="s">
        <v>104</v>
      </c>
      <c r="C129" s="58"/>
      <c r="E129" s="52"/>
      <c r="F129" s="990"/>
      <c r="G129" s="990"/>
      <c r="H129" s="58"/>
      <c r="I129" s="58"/>
      <c r="K129" s="58"/>
      <c r="M129" s="58"/>
      <c r="N129" s="58"/>
      <c r="O129" s="58"/>
      <c r="Q129" s="920" t="s">
        <v>74</v>
      </c>
      <c r="R129" s="276" t="str">
        <f t="shared" si="61"/>
        <v/>
      </c>
      <c r="S129" s="276" t="str">
        <f t="shared" si="62"/>
        <v/>
      </c>
      <c r="T129" s="276" t="str">
        <f t="shared" si="63"/>
        <v/>
      </c>
      <c r="U129" s="276" t="str">
        <f t="shared" si="64"/>
        <v/>
      </c>
      <c r="V129" s="276" t="str">
        <f t="shared" si="65"/>
        <v/>
      </c>
      <c r="W129" s="276" t="str">
        <f t="shared" si="66"/>
        <v/>
      </c>
      <c r="X129" s="276" t="str">
        <f t="shared" si="67"/>
        <v/>
      </c>
      <c r="Y129" s="276" t="str">
        <f t="shared" si="68"/>
        <v/>
      </c>
      <c r="Z129" s="276" t="str">
        <f t="shared" si="69"/>
        <v/>
      </c>
      <c r="AA129" s="276" t="str">
        <f t="shared" si="70"/>
        <v/>
      </c>
      <c r="AB129" s="276" t="str">
        <f t="shared" si="71"/>
        <v/>
      </c>
      <c r="AC129" s="276" t="str">
        <f t="shared" si="72"/>
        <v/>
      </c>
      <c r="AD129" s="276" t="str">
        <f t="shared" si="73"/>
        <v/>
      </c>
      <c r="AE129" s="929">
        <f t="shared" si="74"/>
        <v>0</v>
      </c>
    </row>
    <row r="130" spans="2:47">
      <c r="B130" s="1710"/>
      <c r="G130" s="990"/>
      <c r="Q130" s="921" t="s">
        <v>1271</v>
      </c>
      <c r="R130" s="927">
        <f t="shared" si="61"/>
        <v>2</v>
      </c>
      <c r="S130" s="927">
        <f t="shared" si="62"/>
        <v>1</v>
      </c>
      <c r="T130" s="927" t="str">
        <f t="shared" si="63"/>
        <v/>
      </c>
      <c r="U130" s="927">
        <f t="shared" si="64"/>
        <v>1</v>
      </c>
      <c r="V130" s="927">
        <f t="shared" si="65"/>
        <v>1</v>
      </c>
      <c r="W130" s="927">
        <f t="shared" si="66"/>
        <v>1</v>
      </c>
      <c r="X130" s="927">
        <f t="shared" si="67"/>
        <v>2</v>
      </c>
      <c r="Y130" s="927">
        <f t="shared" si="68"/>
        <v>1</v>
      </c>
      <c r="Z130" s="927" t="str">
        <f t="shared" si="69"/>
        <v/>
      </c>
      <c r="AA130" s="927">
        <f t="shared" si="70"/>
        <v>1</v>
      </c>
      <c r="AB130" s="927">
        <f t="shared" si="71"/>
        <v>1</v>
      </c>
      <c r="AC130" s="927" t="str">
        <f t="shared" si="72"/>
        <v/>
      </c>
      <c r="AD130" s="927" t="str">
        <f t="shared" si="73"/>
        <v/>
      </c>
      <c r="AE130" s="929">
        <f t="shared" si="74"/>
        <v>11</v>
      </c>
    </row>
    <row r="131" spans="2:47" ht="16.5" thickBot="1">
      <c r="B131" s="1723"/>
      <c r="C131" s="985"/>
      <c r="D131" s="985"/>
      <c r="E131" s="985"/>
      <c r="F131" s="985"/>
      <c r="G131" s="985"/>
      <c r="H131" s="985"/>
      <c r="I131" s="985"/>
      <c r="J131" s="985"/>
      <c r="K131" s="985"/>
      <c r="L131" s="985"/>
      <c r="M131" s="985"/>
      <c r="N131" s="985" t="s">
        <v>1053</v>
      </c>
      <c r="O131" s="985"/>
      <c r="Q131" s="922" t="s">
        <v>20</v>
      </c>
      <c r="R131" s="10" t="str">
        <f t="shared" si="61"/>
        <v/>
      </c>
      <c r="S131" s="10">
        <f t="shared" si="62"/>
        <v>1</v>
      </c>
      <c r="T131" s="10" t="str">
        <f t="shared" si="63"/>
        <v/>
      </c>
      <c r="U131" s="10">
        <f t="shared" si="64"/>
        <v>4</v>
      </c>
      <c r="V131" s="10">
        <f t="shared" si="65"/>
        <v>1</v>
      </c>
      <c r="W131" s="10">
        <f t="shared" si="66"/>
        <v>1</v>
      </c>
      <c r="X131" s="10">
        <f t="shared" si="67"/>
        <v>1</v>
      </c>
      <c r="Y131" s="10" t="str">
        <f t="shared" si="68"/>
        <v/>
      </c>
      <c r="Z131" s="10" t="str">
        <f t="shared" si="69"/>
        <v/>
      </c>
      <c r="AA131" s="10" t="str">
        <f t="shared" si="70"/>
        <v/>
      </c>
      <c r="AB131" s="10" t="str">
        <f t="shared" si="71"/>
        <v/>
      </c>
      <c r="AC131" s="10" t="str">
        <f t="shared" si="72"/>
        <v/>
      </c>
      <c r="AD131" s="10" t="str">
        <f t="shared" si="73"/>
        <v/>
      </c>
      <c r="AE131" s="929">
        <f t="shared" si="74"/>
        <v>8</v>
      </c>
    </row>
    <row r="132" spans="2:47" ht="16.5" thickTop="1">
      <c r="B132" s="1721" t="s">
        <v>95</v>
      </c>
      <c r="C132" s="968" t="s">
        <v>26</v>
      </c>
      <c r="E132" s="52"/>
      <c r="F132" s="990"/>
      <c r="G132" s="990"/>
      <c r="H132" s="58"/>
      <c r="I132" s="58"/>
      <c r="K132" s="58"/>
      <c r="M132" s="58"/>
      <c r="N132" s="58"/>
      <c r="O132" s="58"/>
      <c r="Q132" s="894" t="s">
        <v>44</v>
      </c>
      <c r="R132" s="39">
        <f t="shared" si="61"/>
        <v>1</v>
      </c>
      <c r="S132" s="39" t="str">
        <f t="shared" si="62"/>
        <v/>
      </c>
      <c r="T132" s="39">
        <f t="shared" si="63"/>
        <v>2</v>
      </c>
      <c r="U132" s="39">
        <f t="shared" si="64"/>
        <v>1</v>
      </c>
      <c r="V132" s="39">
        <f t="shared" si="65"/>
        <v>1</v>
      </c>
      <c r="W132" s="39">
        <f t="shared" si="66"/>
        <v>2</v>
      </c>
      <c r="X132" s="39">
        <f t="shared" si="67"/>
        <v>4</v>
      </c>
      <c r="Y132" s="39">
        <f t="shared" si="68"/>
        <v>2</v>
      </c>
      <c r="Z132" s="39" t="str">
        <f t="shared" si="69"/>
        <v/>
      </c>
      <c r="AA132" s="39">
        <f t="shared" si="70"/>
        <v>1</v>
      </c>
      <c r="AB132" s="39">
        <f t="shared" si="71"/>
        <v>1</v>
      </c>
      <c r="AC132" s="39" t="str">
        <f t="shared" si="72"/>
        <v/>
      </c>
      <c r="AD132" s="39" t="str">
        <f t="shared" si="73"/>
        <v/>
      </c>
      <c r="AE132" s="929">
        <f t="shared" si="74"/>
        <v>15</v>
      </c>
    </row>
    <row r="133" spans="2:47">
      <c r="B133" s="1710"/>
      <c r="G133" s="990"/>
      <c r="Q133" s="923" t="s">
        <v>339</v>
      </c>
      <c r="R133" s="277" t="str">
        <f t="shared" si="61"/>
        <v/>
      </c>
      <c r="S133" s="277" t="str">
        <f t="shared" si="62"/>
        <v/>
      </c>
      <c r="T133" s="277" t="str">
        <f t="shared" si="63"/>
        <v/>
      </c>
      <c r="U133" s="277" t="str">
        <f t="shared" si="64"/>
        <v/>
      </c>
      <c r="V133" s="277" t="str">
        <f t="shared" si="65"/>
        <v/>
      </c>
      <c r="W133" s="277" t="str">
        <f t="shared" si="66"/>
        <v/>
      </c>
      <c r="X133" s="277" t="str">
        <f t="shared" si="67"/>
        <v/>
      </c>
      <c r="Y133" s="277" t="str">
        <f t="shared" si="68"/>
        <v/>
      </c>
      <c r="Z133" s="277" t="str">
        <f t="shared" si="69"/>
        <v/>
      </c>
      <c r="AA133" s="277" t="str">
        <f t="shared" si="70"/>
        <v/>
      </c>
      <c r="AB133" s="277" t="str">
        <f t="shared" si="71"/>
        <v/>
      </c>
      <c r="AC133" s="277" t="str">
        <f t="shared" si="72"/>
        <v/>
      </c>
      <c r="AD133" s="277" t="str">
        <f t="shared" si="73"/>
        <v/>
      </c>
      <c r="AE133" s="929">
        <f t="shared" si="74"/>
        <v>0</v>
      </c>
    </row>
    <row r="134" spans="2:47" ht="16.5" thickBot="1">
      <c r="B134" s="1723"/>
      <c r="C134" s="985" t="s">
        <v>187</v>
      </c>
      <c r="D134" s="985"/>
      <c r="E134" s="985"/>
      <c r="F134" s="985"/>
      <c r="G134" s="985"/>
      <c r="H134" s="985"/>
      <c r="I134" s="985"/>
      <c r="J134" s="985"/>
      <c r="K134" s="985"/>
      <c r="L134" s="985"/>
      <c r="M134" s="985"/>
      <c r="N134" s="985" t="s">
        <v>1053</v>
      </c>
      <c r="O134" s="985"/>
      <c r="Q134" s="924" t="s">
        <v>73</v>
      </c>
      <c r="R134" t="str">
        <f t="shared" si="61"/>
        <v/>
      </c>
      <c r="S134">
        <f t="shared" si="62"/>
        <v>1</v>
      </c>
      <c r="T134" t="str">
        <f t="shared" si="63"/>
        <v/>
      </c>
      <c r="U134" t="str">
        <f t="shared" si="64"/>
        <v/>
      </c>
      <c r="V134" t="str">
        <f t="shared" si="65"/>
        <v/>
      </c>
      <c r="W134" t="str">
        <f t="shared" si="66"/>
        <v/>
      </c>
      <c r="X134" t="str">
        <f t="shared" si="67"/>
        <v/>
      </c>
      <c r="Y134" t="str">
        <f t="shared" si="68"/>
        <v/>
      </c>
      <c r="Z134" t="str">
        <f t="shared" si="69"/>
        <v/>
      </c>
      <c r="AA134" t="str">
        <f t="shared" si="70"/>
        <v/>
      </c>
      <c r="AB134" t="str">
        <f t="shared" si="71"/>
        <v/>
      </c>
      <c r="AC134" t="str">
        <f t="shared" si="72"/>
        <v/>
      </c>
      <c r="AD134" t="str">
        <f t="shared" si="73"/>
        <v/>
      </c>
      <c r="AE134" s="929">
        <f t="shared" si="74"/>
        <v>1</v>
      </c>
    </row>
    <row r="135" spans="2:47" ht="16.5" thickTop="1">
      <c r="B135" s="1721" t="s">
        <v>85</v>
      </c>
      <c r="C135" s="58"/>
      <c r="E135" s="52"/>
      <c r="F135" s="990"/>
      <c r="G135" s="990"/>
      <c r="H135" s="58"/>
      <c r="I135" s="58"/>
      <c r="K135" s="58"/>
      <c r="M135" s="58"/>
      <c r="N135" s="58"/>
      <c r="O135" s="58"/>
      <c r="Q135" s="925" t="s">
        <v>216</v>
      </c>
      <c r="R135" s="279" t="str">
        <f t="shared" si="61"/>
        <v/>
      </c>
      <c r="S135" s="279" t="str">
        <f t="shared" si="62"/>
        <v/>
      </c>
      <c r="T135" s="279" t="str">
        <f t="shared" si="63"/>
        <v/>
      </c>
      <c r="U135" s="279">
        <f t="shared" si="64"/>
        <v>1</v>
      </c>
      <c r="V135" s="279" t="str">
        <f t="shared" si="65"/>
        <v/>
      </c>
      <c r="W135" s="279">
        <f t="shared" si="66"/>
        <v>1</v>
      </c>
      <c r="X135" s="279">
        <f t="shared" si="67"/>
        <v>1</v>
      </c>
      <c r="Y135" s="279" t="str">
        <f t="shared" si="68"/>
        <v/>
      </c>
      <c r="Z135" s="279" t="str">
        <f t="shared" si="69"/>
        <v/>
      </c>
      <c r="AA135" s="279" t="str">
        <f t="shared" si="70"/>
        <v/>
      </c>
      <c r="AB135" s="279">
        <f t="shared" si="71"/>
        <v>1</v>
      </c>
      <c r="AC135" s="279" t="str">
        <f t="shared" si="72"/>
        <v/>
      </c>
      <c r="AD135" s="279" t="str">
        <f t="shared" si="73"/>
        <v/>
      </c>
      <c r="AE135" s="929">
        <f t="shared" si="74"/>
        <v>4</v>
      </c>
    </row>
    <row r="136" spans="2:47">
      <c r="B136" s="1710"/>
      <c r="G136" s="990"/>
      <c r="Q136" s="926" t="s">
        <v>21</v>
      </c>
      <c r="R136" t="str">
        <f t="shared" si="61"/>
        <v/>
      </c>
      <c r="S136" t="str">
        <f t="shared" si="62"/>
        <v/>
      </c>
      <c r="T136" t="str">
        <f t="shared" si="63"/>
        <v/>
      </c>
      <c r="U136" t="str">
        <f t="shared" si="64"/>
        <v/>
      </c>
      <c r="V136" t="str">
        <f t="shared" si="65"/>
        <v/>
      </c>
      <c r="W136" t="str">
        <f t="shared" si="66"/>
        <v/>
      </c>
      <c r="X136" t="str">
        <f t="shared" si="67"/>
        <v/>
      </c>
      <c r="Y136" t="str">
        <f t="shared" si="68"/>
        <v/>
      </c>
      <c r="Z136" t="str">
        <f t="shared" si="69"/>
        <v/>
      </c>
      <c r="AA136" t="str">
        <f t="shared" si="70"/>
        <v/>
      </c>
      <c r="AB136" t="str">
        <f t="shared" si="71"/>
        <v/>
      </c>
      <c r="AC136" t="str">
        <f t="shared" si="72"/>
        <v/>
      </c>
      <c r="AD136" t="str">
        <f t="shared" si="73"/>
        <v/>
      </c>
      <c r="AE136" s="929">
        <f t="shared" si="74"/>
        <v>0</v>
      </c>
    </row>
    <row r="137" spans="2:47" ht="16.5" thickBot="1">
      <c r="B137" s="1723"/>
      <c r="C137" s="985"/>
      <c r="D137" s="985"/>
      <c r="E137" s="985"/>
      <c r="F137" s="985"/>
      <c r="G137" s="985"/>
      <c r="H137" s="985"/>
      <c r="I137" s="985"/>
      <c r="J137" s="985"/>
      <c r="K137" s="985"/>
      <c r="L137" s="985"/>
      <c r="M137" s="985"/>
      <c r="N137" s="985" t="s">
        <v>1053</v>
      </c>
      <c r="O137" s="985"/>
    </row>
    <row r="138" spans="2:47" ht="19.5" thickTop="1">
      <c r="B138" s="1721" t="s">
        <v>66</v>
      </c>
      <c r="C138" s="58"/>
      <c r="E138" s="52"/>
      <c r="F138" s="990"/>
      <c r="G138" s="968" t="s">
        <v>26</v>
      </c>
      <c r="H138" s="58"/>
      <c r="I138" s="58"/>
      <c r="K138" s="58"/>
      <c r="M138" s="58"/>
      <c r="N138" s="58"/>
      <c r="O138" s="58"/>
      <c r="Q138" s="69" t="s">
        <v>2770</v>
      </c>
    </row>
    <row r="139" spans="2:47" ht="18.75">
      <c r="B139" s="1710"/>
      <c r="Q139" s="1318" t="s">
        <v>19</v>
      </c>
      <c r="R139" s="1318" t="s">
        <v>1</v>
      </c>
      <c r="S139" s="1318" t="s">
        <v>2</v>
      </c>
      <c r="T139" s="1318" t="s">
        <v>3</v>
      </c>
      <c r="U139" s="1318" t="s">
        <v>4</v>
      </c>
      <c r="V139" s="1318" t="s">
        <v>5</v>
      </c>
      <c r="W139" s="1318" t="s">
        <v>6</v>
      </c>
      <c r="X139" s="1318" t="s">
        <v>7</v>
      </c>
      <c r="Y139" s="1318" t="s">
        <v>8</v>
      </c>
      <c r="Z139" s="1318" t="s">
        <v>9</v>
      </c>
      <c r="AA139" s="1318" t="s">
        <v>10</v>
      </c>
      <c r="AB139" s="1318" t="s">
        <v>36</v>
      </c>
      <c r="AC139" s="1318" t="s">
        <v>37</v>
      </c>
      <c r="AD139" s="1318" t="s">
        <v>344</v>
      </c>
      <c r="AF139" s="69" t="s">
        <v>2773</v>
      </c>
      <c r="AS139" s="69" t="s">
        <v>2772</v>
      </c>
    </row>
    <row r="140" spans="2:47" ht="16.5" thickBot="1">
      <c r="B140" s="1723"/>
      <c r="C140" s="985"/>
      <c r="D140" s="985"/>
      <c r="E140" s="985"/>
      <c r="F140" s="985"/>
      <c r="G140" s="985" t="s">
        <v>186</v>
      </c>
      <c r="H140" s="985"/>
      <c r="I140" s="985"/>
      <c r="J140" s="985"/>
      <c r="K140" s="985"/>
      <c r="L140" s="985"/>
      <c r="M140" s="985"/>
      <c r="N140" s="985" t="s">
        <v>1053</v>
      </c>
      <c r="O140" s="985"/>
      <c r="Q140" s="903" t="s">
        <v>27</v>
      </c>
      <c r="R140" s="930" t="str">
        <f t="shared" ref="R140:R167" si="75">IF(COUNTIF(C$52:C$233, $Q140)&gt;0, COUNTIF(C$52:C$233, $Q140)/COUNTIF(C$52:C$233, "*Challenge*"), "")</f>
        <v/>
      </c>
      <c r="S140" s="930" t="str">
        <f t="shared" ref="S140:S167" si="76">IF(COUNTIF(D$52:D$233, $Q140)&gt;0, COUNTIF(D$52:D$233, $Q140)/COUNTIF(D$52:D$233, "*Challenge*"), "")</f>
        <v/>
      </c>
      <c r="T140" s="930" t="str">
        <f t="shared" ref="T140:T167" si="77">IF(COUNTIF(E$52:E$233, $Q140)&gt;0, COUNTIF(E$52:E$233, $Q140)/COUNTIF(E$52:E$233, "*Challenge*"), "")</f>
        <v/>
      </c>
      <c r="U140" s="930">
        <f t="shared" ref="U140:U167" si="78">IF(COUNTIF(F$52:F$233, $Q140)&gt;0, COUNTIF(F$52:F$233, $Q140)/COUNTIF(F$52:F$233, "*Challenge*"), "")</f>
        <v>0.125</v>
      </c>
      <c r="V140" s="930" t="str">
        <f t="shared" ref="V140:V167" si="79">IF(COUNTIF(G$52:G$233, $Q140)&gt;0, COUNTIF(G$52:G$233, $Q140)/COUNTIF(G$52:G$233, "*Challenge*"), "")</f>
        <v/>
      </c>
      <c r="W140" s="930" t="str">
        <f t="shared" ref="W140:W167" si="80">IF(COUNTIF(H$52:H$233, $Q140)&gt;0, COUNTIF(H$52:H$233, $Q140)/COUNTIF(H$52:H$233, "*Challenge*"), "")</f>
        <v/>
      </c>
      <c r="X140" s="930" t="str">
        <f t="shared" ref="X140:X167" si="81">IF(COUNTIF(I$52:I$233, $Q140)&gt;0, COUNTIF(I$52:I$233, $Q140)/COUNTIF(I$52:I$233, "*Challenge*"), "")</f>
        <v/>
      </c>
      <c r="Y140" s="930" t="str">
        <f t="shared" ref="Y140:Y167" si="82">IF(COUNTIF(J$52:J$233, $Q140)&gt;0, COUNTIF(J$52:J$233, $Q140)/COUNTIF(J$52:J$233, "*Challenge*"), "")</f>
        <v/>
      </c>
      <c r="Z140" s="930">
        <f t="shared" ref="Z140:Z167" si="83">IF(COUNTIF(K$52:K$233, $Q140)&gt;0, COUNTIF(K$52:K$233, $Q140)/COUNTIF(K$52:K$233, "*Challenge*"), "")</f>
        <v>0.1111111111111111</v>
      </c>
      <c r="AA140" s="930" t="str">
        <f t="shared" ref="AA140:AA167" si="84">IF(COUNTIF(L$52:L$233, $Q140)&gt;0, COUNTIF(L$52:L$233, $Q140)/COUNTIF(L$52:L$233, "*Challenge*"), "")</f>
        <v/>
      </c>
      <c r="AB140" s="930" t="str">
        <f t="shared" ref="AB140:AB167" si="85">IF(COUNTIF(M$52:M$233, $Q140)&gt;0, COUNTIF(M$52:M$233, $Q140)/COUNTIF(M$52:M$233, "*Challenge*"), "")</f>
        <v/>
      </c>
      <c r="AC140" s="930" t="str">
        <f t="shared" ref="AC140:AC167" si="86">IF(COUNTIF(N$52:N$233, $Q140)&gt;0, COUNTIF(N$52:N$233, $Q140)/COUNTIF(N$52:N$233, "*Challenge*"), "")</f>
        <v/>
      </c>
      <c r="AD140" s="930" t="str">
        <f t="shared" ref="AD140:AD167" si="87">IF(COUNTIF(O$52:O$233, $Q140)&gt;0, COUNTIF(O$52:O$233, $Q140)/COUNTIF(O$52:O$233, "*Challenge*"), "")</f>
        <v/>
      </c>
      <c r="AF140" s="1320" t="s">
        <v>1591</v>
      </c>
      <c r="AG140" s="1320" t="s">
        <v>195</v>
      </c>
      <c r="AS140" s="1320" t="s">
        <v>1591</v>
      </c>
      <c r="AT140" s="1320" t="s">
        <v>2714</v>
      </c>
      <c r="AU140" s="1320" t="s">
        <v>2715</v>
      </c>
    </row>
    <row r="141" spans="2:47" ht="16.5" thickTop="1">
      <c r="B141" s="1721" t="s">
        <v>65</v>
      </c>
      <c r="C141" s="58"/>
      <c r="E141" s="52"/>
      <c r="F141" s="990"/>
      <c r="G141" s="990"/>
      <c r="H141" s="58"/>
      <c r="I141" s="58"/>
      <c r="K141" s="58"/>
      <c r="M141" s="58"/>
      <c r="N141" s="58"/>
      <c r="O141" s="58"/>
      <c r="Q141" s="904" t="s">
        <v>1270</v>
      </c>
      <c r="R141" s="931" t="str">
        <f t="shared" si="75"/>
        <v/>
      </c>
      <c r="S141" s="931" t="str">
        <f t="shared" si="76"/>
        <v/>
      </c>
      <c r="T141" s="931" t="str">
        <f t="shared" si="77"/>
        <v/>
      </c>
      <c r="U141" s="931" t="str">
        <f t="shared" si="78"/>
        <v/>
      </c>
      <c r="V141" s="931" t="str">
        <f t="shared" si="79"/>
        <v/>
      </c>
      <c r="W141" s="931" t="str">
        <f t="shared" si="80"/>
        <v/>
      </c>
      <c r="X141" s="931" t="str">
        <f t="shared" si="81"/>
        <v/>
      </c>
      <c r="Y141" s="931" t="str">
        <f t="shared" si="82"/>
        <v/>
      </c>
      <c r="Z141" s="931" t="str">
        <f t="shared" si="83"/>
        <v/>
      </c>
      <c r="AA141" s="931" t="str">
        <f t="shared" si="84"/>
        <v/>
      </c>
      <c r="AB141" s="931" t="str">
        <f t="shared" si="85"/>
        <v/>
      </c>
      <c r="AC141" s="931" t="str">
        <f t="shared" si="86"/>
        <v/>
      </c>
      <c r="AD141" s="931" t="str">
        <f t="shared" si="87"/>
        <v/>
      </c>
      <c r="AF141" s="954" t="s">
        <v>27</v>
      </c>
      <c r="AG141" s="560">
        <f t="shared" ref="AG141:AG168" si="88">IF(COUNTIF($C$51:$O$232, AF141)&gt;0, COUNTIF($C$51:$O$232, AF141)/COUNTIF($C$51:$O$232, "*Challenge*"), "")</f>
        <v>2.6315789473684209E-2</v>
      </c>
      <c r="AS141" s="954" t="s">
        <v>27</v>
      </c>
      <c r="AT141" s="560">
        <f t="shared" ref="AT141:AT168" si="89">IF(COUNTIF($C$52:$O$65, AS141)&gt;0, COUNTIF($C$52:$O$65, AS141)/COUNTIF($C$52:$O$65, "*Challenge*"), "")</f>
        <v>4.5454545454545456E-2</v>
      </c>
      <c r="AU141" s="560" t="str">
        <f t="shared" ref="AU141:AU168" si="90">IF(COUNTIF($C$66:$O$167, AS141)&gt;0, COUNTIF($C$66:$O$167, AS141)/COUNTIF($C$66:$O$167, "*Challenge*"), "")</f>
        <v/>
      </c>
    </row>
    <row r="142" spans="2:47">
      <c r="B142" s="1710"/>
      <c r="G142" s="990"/>
      <c r="Q142" s="896" t="s">
        <v>43</v>
      </c>
      <c r="R142" s="932" t="str">
        <f t="shared" si="75"/>
        <v/>
      </c>
      <c r="S142" s="932" t="str">
        <f t="shared" si="76"/>
        <v/>
      </c>
      <c r="T142" s="932">
        <f t="shared" si="77"/>
        <v>0.25</v>
      </c>
      <c r="U142" s="932" t="str">
        <f t="shared" si="78"/>
        <v/>
      </c>
      <c r="V142" s="932" t="str">
        <f t="shared" si="79"/>
        <v/>
      </c>
      <c r="W142" s="932" t="str">
        <f t="shared" si="80"/>
        <v/>
      </c>
      <c r="X142" s="932">
        <f t="shared" si="81"/>
        <v>0.1111111111111111</v>
      </c>
      <c r="Y142" s="932" t="str">
        <f t="shared" si="82"/>
        <v/>
      </c>
      <c r="Z142" s="932">
        <f t="shared" si="83"/>
        <v>0.1111111111111111</v>
      </c>
      <c r="AA142" s="932" t="str">
        <f t="shared" si="84"/>
        <v/>
      </c>
      <c r="AB142" s="932" t="str">
        <f t="shared" si="85"/>
        <v/>
      </c>
      <c r="AC142" s="932" t="str">
        <f t="shared" si="86"/>
        <v/>
      </c>
      <c r="AD142" s="932" t="str">
        <f t="shared" si="87"/>
        <v/>
      </c>
      <c r="AF142" s="904" t="s">
        <v>1270</v>
      </c>
      <c r="AG142" s="560" t="str">
        <f t="shared" si="88"/>
        <v/>
      </c>
      <c r="AS142" s="904" t="s">
        <v>1270</v>
      </c>
      <c r="AT142" s="560" t="str">
        <f t="shared" si="89"/>
        <v/>
      </c>
      <c r="AU142" s="560" t="str">
        <f t="shared" si="90"/>
        <v/>
      </c>
    </row>
    <row r="143" spans="2:47" ht="16.5" thickBot="1">
      <c r="B143" s="1723"/>
      <c r="C143" s="985"/>
      <c r="D143" s="985"/>
      <c r="E143" s="985"/>
      <c r="F143" s="985"/>
      <c r="G143" s="985"/>
      <c r="H143" s="985"/>
      <c r="I143" s="985"/>
      <c r="J143" s="985"/>
      <c r="K143" s="985"/>
      <c r="L143" s="985"/>
      <c r="M143" s="985"/>
      <c r="N143" s="985" t="s">
        <v>1053</v>
      </c>
      <c r="O143" s="985"/>
      <c r="Q143" s="905" t="s">
        <v>120</v>
      </c>
      <c r="R143" s="933" t="str">
        <f t="shared" si="75"/>
        <v/>
      </c>
      <c r="S143" s="933" t="str">
        <f t="shared" si="76"/>
        <v/>
      </c>
      <c r="T143" s="933" t="str">
        <f t="shared" si="77"/>
        <v/>
      </c>
      <c r="U143" s="933" t="str">
        <f t="shared" si="78"/>
        <v/>
      </c>
      <c r="V143" s="933" t="str">
        <f t="shared" si="79"/>
        <v/>
      </c>
      <c r="W143" s="933" t="str">
        <f t="shared" si="80"/>
        <v/>
      </c>
      <c r="X143" s="933" t="str">
        <f t="shared" si="81"/>
        <v/>
      </c>
      <c r="Y143" s="933" t="str">
        <f t="shared" si="82"/>
        <v/>
      </c>
      <c r="Z143" s="933" t="str">
        <f t="shared" si="83"/>
        <v/>
      </c>
      <c r="AA143" s="933" t="str">
        <f t="shared" si="84"/>
        <v/>
      </c>
      <c r="AB143" s="933" t="str">
        <f t="shared" si="85"/>
        <v/>
      </c>
      <c r="AC143" s="933" t="str">
        <f t="shared" si="86"/>
        <v/>
      </c>
      <c r="AD143" s="933" t="str">
        <f t="shared" si="87"/>
        <v/>
      </c>
      <c r="AF143" s="896" t="s">
        <v>43</v>
      </c>
      <c r="AG143" s="560">
        <f t="shared" si="88"/>
        <v>3.9473684210526314E-2</v>
      </c>
      <c r="AS143" s="896" t="s">
        <v>43</v>
      </c>
      <c r="AT143" s="560">
        <f t="shared" si="89"/>
        <v>2.2727272727272728E-2</v>
      </c>
      <c r="AU143" s="560">
        <f t="shared" si="90"/>
        <v>6.25E-2</v>
      </c>
    </row>
    <row r="144" spans="2:47" ht="17.25" thickTop="1" thickBot="1">
      <c r="B144" s="1721" t="s">
        <v>60</v>
      </c>
      <c r="C144" s="58"/>
      <c r="E144" s="52"/>
      <c r="F144" s="990"/>
      <c r="G144" s="990"/>
      <c r="H144" s="58"/>
      <c r="I144" s="58"/>
      <c r="K144" s="58"/>
      <c r="M144" s="58"/>
      <c r="N144" s="58"/>
      <c r="O144" s="58"/>
      <c r="Q144" s="906" t="s">
        <v>47</v>
      </c>
      <c r="R144" s="934" t="str">
        <f t="shared" si="75"/>
        <v/>
      </c>
      <c r="S144" s="934" t="str">
        <f t="shared" si="76"/>
        <v/>
      </c>
      <c r="T144" s="934" t="str">
        <f t="shared" si="77"/>
        <v/>
      </c>
      <c r="U144" s="934" t="str">
        <f t="shared" si="78"/>
        <v/>
      </c>
      <c r="V144" s="934" t="str">
        <f t="shared" si="79"/>
        <v/>
      </c>
      <c r="W144" s="934" t="str">
        <f t="shared" si="80"/>
        <v/>
      </c>
      <c r="X144" s="934" t="str">
        <f t="shared" si="81"/>
        <v/>
      </c>
      <c r="Y144" s="934" t="str">
        <f t="shared" si="82"/>
        <v/>
      </c>
      <c r="Z144" s="934" t="str">
        <f t="shared" si="83"/>
        <v/>
      </c>
      <c r="AA144" s="934" t="str">
        <f t="shared" si="84"/>
        <v/>
      </c>
      <c r="AB144" s="934" t="str">
        <f t="shared" si="85"/>
        <v/>
      </c>
      <c r="AC144" s="934" t="str">
        <f t="shared" si="86"/>
        <v/>
      </c>
      <c r="AD144" s="934" t="str">
        <f t="shared" si="87"/>
        <v/>
      </c>
      <c r="AF144" s="905" t="s">
        <v>120</v>
      </c>
      <c r="AG144" s="560" t="str">
        <f t="shared" si="88"/>
        <v/>
      </c>
      <c r="AS144" s="905" t="s">
        <v>120</v>
      </c>
      <c r="AT144" s="560" t="str">
        <f t="shared" si="89"/>
        <v/>
      </c>
      <c r="AU144" s="560" t="str">
        <f t="shared" si="90"/>
        <v/>
      </c>
    </row>
    <row r="145" spans="2:47" ht="16.5" thickBot="1">
      <c r="B145" s="1710"/>
      <c r="G145" s="990"/>
      <c r="Q145" s="907" t="s">
        <v>46</v>
      </c>
      <c r="R145" s="935" t="str">
        <f t="shared" si="75"/>
        <v/>
      </c>
      <c r="S145" s="935" t="str">
        <f t="shared" si="76"/>
        <v/>
      </c>
      <c r="T145" s="935" t="str">
        <f t="shared" si="77"/>
        <v/>
      </c>
      <c r="U145" s="935" t="str">
        <f t="shared" si="78"/>
        <v/>
      </c>
      <c r="V145" s="935" t="str">
        <f t="shared" si="79"/>
        <v/>
      </c>
      <c r="W145" s="935" t="str">
        <f t="shared" si="80"/>
        <v/>
      </c>
      <c r="X145" s="935" t="str">
        <f t="shared" si="81"/>
        <v/>
      </c>
      <c r="Y145" s="935" t="str">
        <f t="shared" si="82"/>
        <v/>
      </c>
      <c r="Z145" s="935" t="str">
        <f t="shared" si="83"/>
        <v/>
      </c>
      <c r="AA145" s="935" t="str">
        <f t="shared" si="84"/>
        <v/>
      </c>
      <c r="AB145" s="935" t="str">
        <f t="shared" si="85"/>
        <v/>
      </c>
      <c r="AC145" s="935" t="str">
        <f t="shared" si="86"/>
        <v/>
      </c>
      <c r="AD145" s="935" t="str">
        <f t="shared" si="87"/>
        <v/>
      </c>
      <c r="AF145" s="906" t="s">
        <v>47</v>
      </c>
      <c r="AG145" s="560" t="str">
        <f t="shared" si="88"/>
        <v/>
      </c>
      <c r="AS145" s="906" t="s">
        <v>47</v>
      </c>
      <c r="AT145" s="560" t="str">
        <f t="shared" si="89"/>
        <v/>
      </c>
      <c r="AU145" s="560" t="str">
        <f t="shared" si="90"/>
        <v/>
      </c>
    </row>
    <row r="146" spans="2:47" ht="16.5" thickBot="1">
      <c r="B146" s="1723"/>
      <c r="C146" s="985"/>
      <c r="D146" s="985"/>
      <c r="E146" s="985"/>
      <c r="F146" s="985"/>
      <c r="G146" s="985"/>
      <c r="H146" s="985"/>
      <c r="I146" s="985"/>
      <c r="J146" s="985"/>
      <c r="K146" s="985"/>
      <c r="L146" s="985"/>
      <c r="M146" s="985"/>
      <c r="N146" s="985" t="s">
        <v>1053</v>
      </c>
      <c r="O146" s="985"/>
      <c r="Q146" s="908" t="s">
        <v>397</v>
      </c>
      <c r="R146" s="936" t="str">
        <f t="shared" si="75"/>
        <v/>
      </c>
      <c r="S146" s="936" t="str">
        <f t="shared" si="76"/>
        <v/>
      </c>
      <c r="T146" s="936" t="str">
        <f t="shared" si="77"/>
        <v/>
      </c>
      <c r="U146" s="936" t="str">
        <f t="shared" si="78"/>
        <v/>
      </c>
      <c r="V146" s="936" t="str">
        <f t="shared" si="79"/>
        <v/>
      </c>
      <c r="W146" s="936" t="str">
        <f t="shared" si="80"/>
        <v/>
      </c>
      <c r="X146" s="936" t="str">
        <f t="shared" si="81"/>
        <v/>
      </c>
      <c r="Y146" s="936">
        <f t="shared" si="82"/>
        <v>0.14285714285714285</v>
      </c>
      <c r="Z146" s="936">
        <f t="shared" si="83"/>
        <v>0.1111111111111111</v>
      </c>
      <c r="AA146" s="936" t="str">
        <f t="shared" si="84"/>
        <v/>
      </c>
      <c r="AB146" s="936" t="str">
        <f t="shared" si="85"/>
        <v/>
      </c>
      <c r="AC146" s="936" t="str">
        <f t="shared" si="86"/>
        <v/>
      </c>
      <c r="AD146" s="936" t="str">
        <f t="shared" si="87"/>
        <v/>
      </c>
      <c r="AF146" s="907" t="s">
        <v>46</v>
      </c>
      <c r="AG146" s="560" t="str">
        <f t="shared" si="88"/>
        <v/>
      </c>
      <c r="AS146" s="907" t="s">
        <v>46</v>
      </c>
      <c r="AT146" s="560" t="str">
        <f t="shared" si="89"/>
        <v/>
      </c>
      <c r="AU146" s="560" t="str">
        <f t="shared" si="90"/>
        <v/>
      </c>
    </row>
    <row r="147" spans="2:47" ht="16.5" thickTop="1">
      <c r="B147" s="1721" t="s">
        <v>35</v>
      </c>
      <c r="C147" s="58"/>
      <c r="E147" s="52"/>
      <c r="F147" s="990"/>
      <c r="G147" s="990"/>
      <c r="H147" s="58"/>
      <c r="I147" s="58"/>
      <c r="K147" s="58"/>
      <c r="M147" s="58"/>
      <c r="N147" s="58"/>
      <c r="O147" s="58"/>
      <c r="Q147" s="909" t="s">
        <v>155</v>
      </c>
      <c r="R147" s="937" t="str">
        <f t="shared" si="75"/>
        <v/>
      </c>
      <c r="S147" s="937">
        <f t="shared" si="76"/>
        <v>0.25</v>
      </c>
      <c r="T147" s="937" t="str">
        <f t="shared" si="77"/>
        <v/>
      </c>
      <c r="U147" s="937" t="str">
        <f t="shared" si="78"/>
        <v/>
      </c>
      <c r="V147" s="937" t="str">
        <f t="shared" si="79"/>
        <v/>
      </c>
      <c r="W147" s="937" t="str">
        <f t="shared" si="80"/>
        <v/>
      </c>
      <c r="X147" s="937" t="str">
        <f t="shared" si="81"/>
        <v/>
      </c>
      <c r="Y147" s="937" t="str">
        <f t="shared" si="82"/>
        <v/>
      </c>
      <c r="Z147" s="937" t="str">
        <f t="shared" si="83"/>
        <v/>
      </c>
      <c r="AA147" s="937" t="str">
        <f t="shared" si="84"/>
        <v/>
      </c>
      <c r="AB147" s="937" t="str">
        <f t="shared" si="85"/>
        <v/>
      </c>
      <c r="AC147" s="937" t="str">
        <f t="shared" si="86"/>
        <v/>
      </c>
      <c r="AD147" s="937" t="str">
        <f t="shared" si="87"/>
        <v/>
      </c>
      <c r="AF147" s="908" t="s">
        <v>397</v>
      </c>
      <c r="AG147" s="560">
        <f t="shared" si="88"/>
        <v>2.6315789473684209E-2</v>
      </c>
      <c r="AS147" s="908" t="s">
        <v>397</v>
      </c>
      <c r="AT147" s="560">
        <f t="shared" si="89"/>
        <v>2.2727272727272728E-2</v>
      </c>
      <c r="AU147" s="560">
        <f t="shared" si="90"/>
        <v>3.125E-2</v>
      </c>
    </row>
    <row r="148" spans="2:47">
      <c r="B148" s="1710"/>
      <c r="G148" s="990"/>
      <c r="Q148" s="897" t="s">
        <v>24</v>
      </c>
      <c r="R148" s="938" t="str">
        <f t="shared" si="75"/>
        <v/>
      </c>
      <c r="S148" s="938">
        <f t="shared" si="76"/>
        <v>0.25</v>
      </c>
      <c r="T148" s="938">
        <f t="shared" si="77"/>
        <v>0.25</v>
      </c>
      <c r="U148" s="938">
        <f t="shared" si="78"/>
        <v>0.125</v>
      </c>
      <c r="V148" s="938">
        <f t="shared" si="79"/>
        <v>0.18181818181818182</v>
      </c>
      <c r="W148" s="938">
        <f t="shared" si="80"/>
        <v>0.125</v>
      </c>
      <c r="X148" s="938" t="str">
        <f t="shared" si="81"/>
        <v/>
      </c>
      <c r="Y148" s="938" t="str">
        <f t="shared" si="82"/>
        <v/>
      </c>
      <c r="Z148" s="938">
        <f t="shared" si="83"/>
        <v>0.1111111111111111</v>
      </c>
      <c r="AA148" s="938" t="str">
        <f t="shared" si="84"/>
        <v/>
      </c>
      <c r="AB148" s="938">
        <f t="shared" si="85"/>
        <v>0.2</v>
      </c>
      <c r="AC148" s="938" t="str">
        <f t="shared" si="86"/>
        <v/>
      </c>
      <c r="AD148" s="938" t="str">
        <f t="shared" si="87"/>
        <v/>
      </c>
      <c r="AF148" s="909" t="s">
        <v>155</v>
      </c>
      <c r="AG148" s="560">
        <f t="shared" si="88"/>
        <v>1.3157894736842105E-2</v>
      </c>
      <c r="AS148" s="909" t="s">
        <v>155</v>
      </c>
      <c r="AT148" s="560">
        <f t="shared" si="89"/>
        <v>2.2727272727272728E-2</v>
      </c>
      <c r="AU148" s="560" t="str">
        <f t="shared" si="90"/>
        <v/>
      </c>
    </row>
    <row r="149" spans="2:47" ht="16.5" thickBot="1">
      <c r="B149" s="1723"/>
      <c r="C149" s="985"/>
      <c r="D149" s="985"/>
      <c r="E149" s="985"/>
      <c r="F149" s="985"/>
      <c r="G149" s="985"/>
      <c r="H149" s="985"/>
      <c r="I149" s="985"/>
      <c r="J149" s="985"/>
      <c r="K149" s="985"/>
      <c r="L149" s="985"/>
      <c r="M149" s="985"/>
      <c r="N149" s="985" t="s">
        <v>1053</v>
      </c>
      <c r="O149" s="985"/>
      <c r="Q149" s="910" t="s">
        <v>23</v>
      </c>
      <c r="R149" s="939" t="str">
        <f t="shared" si="75"/>
        <v/>
      </c>
      <c r="S149" s="939" t="str">
        <f t="shared" si="76"/>
        <v/>
      </c>
      <c r="T149" s="939" t="str">
        <f t="shared" si="77"/>
        <v/>
      </c>
      <c r="U149" s="939" t="str">
        <f t="shared" si="78"/>
        <v/>
      </c>
      <c r="V149" s="939" t="str">
        <f t="shared" si="79"/>
        <v/>
      </c>
      <c r="W149" s="939" t="str">
        <f t="shared" si="80"/>
        <v/>
      </c>
      <c r="X149" s="939" t="str">
        <f t="shared" si="81"/>
        <v/>
      </c>
      <c r="Y149" s="939" t="str">
        <f t="shared" si="82"/>
        <v/>
      </c>
      <c r="Z149" s="939" t="str">
        <f t="shared" si="83"/>
        <v/>
      </c>
      <c r="AA149" s="939" t="str">
        <f t="shared" si="84"/>
        <v/>
      </c>
      <c r="AB149" s="939" t="str">
        <f t="shared" si="85"/>
        <v/>
      </c>
      <c r="AC149" s="939" t="str">
        <f t="shared" si="86"/>
        <v/>
      </c>
      <c r="AD149" s="939" t="str">
        <f t="shared" si="87"/>
        <v/>
      </c>
      <c r="AF149" s="897" t="s">
        <v>24</v>
      </c>
      <c r="AG149" s="560">
        <f t="shared" si="88"/>
        <v>0.10526315789473684</v>
      </c>
      <c r="AS149" s="897" t="s">
        <v>24</v>
      </c>
      <c r="AT149" s="560">
        <f t="shared" si="89"/>
        <v>9.0909090909090912E-2</v>
      </c>
      <c r="AU149" s="560">
        <f t="shared" si="90"/>
        <v>0.125</v>
      </c>
    </row>
    <row r="150" spans="2:47" ht="16.5" thickTop="1">
      <c r="B150" s="1721" t="s">
        <v>11</v>
      </c>
      <c r="C150" s="58"/>
      <c r="E150" s="52"/>
      <c r="F150" s="990"/>
      <c r="G150" s="990"/>
      <c r="H150" s="58"/>
      <c r="I150" s="58"/>
      <c r="K150" s="58"/>
      <c r="M150" s="58"/>
      <c r="N150" s="58"/>
      <c r="O150" s="58"/>
      <c r="Q150" s="895" t="s">
        <v>29</v>
      </c>
      <c r="R150" s="935" t="str">
        <f t="shared" si="75"/>
        <v/>
      </c>
      <c r="S150" s="935" t="str">
        <f t="shared" si="76"/>
        <v/>
      </c>
      <c r="T150" s="935" t="str">
        <f t="shared" si="77"/>
        <v/>
      </c>
      <c r="U150" s="935" t="str">
        <f t="shared" si="78"/>
        <v/>
      </c>
      <c r="V150" s="935">
        <f t="shared" si="79"/>
        <v>9.0909090909090912E-2</v>
      </c>
      <c r="W150" s="935">
        <f t="shared" si="80"/>
        <v>0.125</v>
      </c>
      <c r="X150" s="935" t="str">
        <f t="shared" si="81"/>
        <v/>
      </c>
      <c r="Y150" s="935">
        <f t="shared" si="82"/>
        <v>0.2857142857142857</v>
      </c>
      <c r="Z150" s="935">
        <f t="shared" si="83"/>
        <v>0.33333333333333331</v>
      </c>
      <c r="AA150" s="935" t="str">
        <f t="shared" si="84"/>
        <v/>
      </c>
      <c r="AB150" s="935">
        <f t="shared" si="85"/>
        <v>0.2</v>
      </c>
      <c r="AC150" s="935" t="str">
        <f t="shared" si="86"/>
        <v/>
      </c>
      <c r="AD150" s="935" t="str">
        <f t="shared" si="87"/>
        <v/>
      </c>
      <c r="AF150" s="910" t="s">
        <v>23</v>
      </c>
      <c r="AG150" s="560" t="str">
        <f t="shared" si="88"/>
        <v/>
      </c>
      <c r="AS150" s="910" t="s">
        <v>23</v>
      </c>
      <c r="AT150" s="560" t="str">
        <f t="shared" si="89"/>
        <v/>
      </c>
      <c r="AU150" s="560" t="str">
        <f t="shared" si="90"/>
        <v/>
      </c>
    </row>
    <row r="151" spans="2:47">
      <c r="B151" s="1710"/>
      <c r="G151" s="990"/>
      <c r="Q151" s="911" t="s">
        <v>93</v>
      </c>
      <c r="R151" s="935" t="str">
        <f t="shared" si="75"/>
        <v/>
      </c>
      <c r="S151" s="935" t="str">
        <f t="shared" si="76"/>
        <v/>
      </c>
      <c r="T151" s="935" t="str">
        <f t="shared" si="77"/>
        <v/>
      </c>
      <c r="U151" s="935" t="str">
        <f t="shared" si="78"/>
        <v/>
      </c>
      <c r="V151" s="935" t="str">
        <f t="shared" si="79"/>
        <v/>
      </c>
      <c r="W151" s="935" t="str">
        <f t="shared" si="80"/>
        <v/>
      </c>
      <c r="X151" s="935" t="str">
        <f t="shared" si="81"/>
        <v/>
      </c>
      <c r="Y151" s="935" t="str">
        <f t="shared" si="82"/>
        <v/>
      </c>
      <c r="Z151" s="935" t="str">
        <f t="shared" si="83"/>
        <v/>
      </c>
      <c r="AA151" s="935" t="str">
        <f t="shared" si="84"/>
        <v/>
      </c>
      <c r="AB151" s="935" t="str">
        <f t="shared" si="85"/>
        <v/>
      </c>
      <c r="AC151" s="935" t="str">
        <f t="shared" si="86"/>
        <v/>
      </c>
      <c r="AD151" s="935" t="str">
        <f t="shared" si="87"/>
        <v/>
      </c>
      <c r="AF151" s="895" t="s">
        <v>29</v>
      </c>
      <c r="AG151" s="560">
        <f t="shared" si="88"/>
        <v>0.10526315789473684</v>
      </c>
      <c r="AS151" s="895" t="s">
        <v>29</v>
      </c>
      <c r="AT151" s="560">
        <f t="shared" si="89"/>
        <v>4.5454545454545456E-2</v>
      </c>
      <c r="AU151" s="560">
        <f t="shared" si="90"/>
        <v>0.1875</v>
      </c>
    </row>
    <row r="152" spans="2:47" ht="16.5" thickBot="1">
      <c r="B152" s="1723"/>
      <c r="C152" s="985"/>
      <c r="D152" s="985"/>
      <c r="E152" s="985"/>
      <c r="F152" s="985"/>
      <c r="G152" s="985"/>
      <c r="H152" s="985"/>
      <c r="I152" s="985"/>
      <c r="J152" s="985"/>
      <c r="K152" s="985"/>
      <c r="L152" s="985"/>
      <c r="M152" s="985"/>
      <c r="N152" s="985" t="s">
        <v>1053</v>
      </c>
      <c r="O152" s="985"/>
      <c r="Q152" s="912" t="s">
        <v>1269</v>
      </c>
      <c r="R152" s="940" t="str">
        <f t="shared" si="75"/>
        <v/>
      </c>
      <c r="S152" s="940">
        <f t="shared" si="76"/>
        <v>0.25</v>
      </c>
      <c r="T152" s="940" t="str">
        <f t="shared" si="77"/>
        <v/>
      </c>
      <c r="U152" s="940">
        <f t="shared" si="78"/>
        <v>0.125</v>
      </c>
      <c r="V152" s="940" t="str">
        <f t="shared" si="79"/>
        <v/>
      </c>
      <c r="W152" s="940" t="str">
        <f t="shared" si="80"/>
        <v/>
      </c>
      <c r="X152" s="940" t="str">
        <f t="shared" si="81"/>
        <v/>
      </c>
      <c r="Y152" s="940" t="str">
        <f t="shared" si="82"/>
        <v/>
      </c>
      <c r="Z152" s="940" t="str">
        <f t="shared" si="83"/>
        <v/>
      </c>
      <c r="AA152" s="940" t="str">
        <f t="shared" si="84"/>
        <v/>
      </c>
      <c r="AB152" s="940" t="str">
        <f t="shared" si="85"/>
        <v/>
      </c>
      <c r="AC152" s="940" t="str">
        <f t="shared" si="86"/>
        <v/>
      </c>
      <c r="AD152" s="940" t="str">
        <f t="shared" si="87"/>
        <v/>
      </c>
      <c r="AF152" s="911" t="s">
        <v>93</v>
      </c>
      <c r="AG152" s="560" t="str">
        <f t="shared" si="88"/>
        <v/>
      </c>
      <c r="AS152" s="911" t="s">
        <v>93</v>
      </c>
      <c r="AT152" s="560" t="str">
        <f t="shared" si="89"/>
        <v/>
      </c>
      <c r="AU152" s="560" t="str">
        <f t="shared" si="90"/>
        <v/>
      </c>
    </row>
    <row r="153" spans="2:47" ht="16.5" thickTop="1">
      <c r="B153" s="1721" t="s">
        <v>198</v>
      </c>
      <c r="C153" s="58"/>
      <c r="E153" s="52"/>
      <c r="F153" s="990"/>
      <c r="G153" s="990"/>
      <c r="H153" s="58"/>
      <c r="I153" s="58"/>
      <c r="K153" s="58"/>
      <c r="M153" s="58"/>
      <c r="N153" s="58"/>
      <c r="O153" s="58"/>
      <c r="Q153" s="913" t="s">
        <v>26</v>
      </c>
      <c r="R153" s="941">
        <f t="shared" si="75"/>
        <v>0.2</v>
      </c>
      <c r="S153" s="941">
        <f t="shared" si="76"/>
        <v>0.25</v>
      </c>
      <c r="T153" s="941" t="str">
        <f t="shared" si="77"/>
        <v/>
      </c>
      <c r="U153" s="941" t="str">
        <f t="shared" si="78"/>
        <v/>
      </c>
      <c r="V153" s="941">
        <f t="shared" si="79"/>
        <v>0.45454545454545453</v>
      </c>
      <c r="W153" s="941" t="str">
        <f t="shared" si="80"/>
        <v/>
      </c>
      <c r="X153" s="941" t="str">
        <f t="shared" si="81"/>
        <v/>
      </c>
      <c r="Y153" s="941" t="str">
        <f t="shared" si="82"/>
        <v/>
      </c>
      <c r="Z153" s="941">
        <f t="shared" si="83"/>
        <v>0.1111111111111111</v>
      </c>
      <c r="AA153" s="941" t="str">
        <f t="shared" si="84"/>
        <v/>
      </c>
      <c r="AB153" s="941" t="str">
        <f t="shared" si="85"/>
        <v/>
      </c>
      <c r="AC153" s="941" t="str">
        <f t="shared" si="86"/>
        <v/>
      </c>
      <c r="AD153" s="941" t="str">
        <f t="shared" si="87"/>
        <v/>
      </c>
      <c r="AF153" s="912" t="s">
        <v>1269</v>
      </c>
      <c r="AG153" s="560">
        <f t="shared" si="88"/>
        <v>2.6315789473684209E-2</v>
      </c>
      <c r="AS153" s="912" t="s">
        <v>1269</v>
      </c>
      <c r="AT153" s="560">
        <f t="shared" si="89"/>
        <v>2.2727272727272728E-2</v>
      </c>
      <c r="AU153" s="560">
        <f t="shared" si="90"/>
        <v>3.125E-2</v>
      </c>
    </row>
    <row r="154" spans="2:47">
      <c r="B154" s="1710"/>
      <c r="G154" s="990"/>
      <c r="Q154" s="914" t="s">
        <v>109</v>
      </c>
      <c r="R154" s="942" t="str">
        <f t="shared" si="75"/>
        <v/>
      </c>
      <c r="S154" s="942" t="str">
        <f t="shared" si="76"/>
        <v/>
      </c>
      <c r="T154" s="942" t="str">
        <f t="shared" si="77"/>
        <v/>
      </c>
      <c r="U154" s="942" t="str">
        <f t="shared" si="78"/>
        <v/>
      </c>
      <c r="V154" s="942" t="str">
        <f t="shared" si="79"/>
        <v/>
      </c>
      <c r="W154" s="942" t="str">
        <f t="shared" si="80"/>
        <v/>
      </c>
      <c r="X154" s="942">
        <f t="shared" si="81"/>
        <v>0.1111111111111111</v>
      </c>
      <c r="Y154" s="942" t="str">
        <f t="shared" si="82"/>
        <v/>
      </c>
      <c r="Z154" s="942" t="str">
        <f t="shared" si="83"/>
        <v/>
      </c>
      <c r="AA154" s="942" t="str">
        <f t="shared" si="84"/>
        <v/>
      </c>
      <c r="AB154" s="942" t="str">
        <f t="shared" si="85"/>
        <v/>
      </c>
      <c r="AC154" s="942" t="str">
        <f t="shared" si="86"/>
        <v/>
      </c>
      <c r="AD154" s="942" t="str">
        <f t="shared" si="87"/>
        <v/>
      </c>
      <c r="AF154" s="913" t="s">
        <v>26</v>
      </c>
      <c r="AG154" s="560">
        <f t="shared" si="88"/>
        <v>0.10526315789473684</v>
      </c>
      <c r="AS154" s="913" t="s">
        <v>26</v>
      </c>
      <c r="AT154" s="560">
        <f t="shared" si="89"/>
        <v>4.5454545454545456E-2</v>
      </c>
      <c r="AU154" s="560">
        <f t="shared" si="90"/>
        <v>0.1875</v>
      </c>
    </row>
    <row r="155" spans="2:47" ht="16.5" thickBot="1">
      <c r="B155" s="1723"/>
      <c r="C155" s="985"/>
      <c r="D155" s="985"/>
      <c r="E155" s="985"/>
      <c r="F155" s="985"/>
      <c r="G155" s="985"/>
      <c r="H155" s="985"/>
      <c r="I155" s="985"/>
      <c r="J155" s="985"/>
      <c r="K155" s="985"/>
      <c r="L155" s="985"/>
      <c r="M155" s="985"/>
      <c r="N155" s="985" t="s">
        <v>1053</v>
      </c>
      <c r="O155" s="985"/>
      <c r="Q155" s="915" t="s">
        <v>114</v>
      </c>
      <c r="R155" s="943" t="str">
        <f t="shared" si="75"/>
        <v/>
      </c>
      <c r="S155" s="943" t="str">
        <f t="shared" si="76"/>
        <v/>
      </c>
      <c r="T155" s="943" t="str">
        <f t="shared" si="77"/>
        <v/>
      </c>
      <c r="U155" s="943" t="str">
        <f t="shared" si="78"/>
        <v/>
      </c>
      <c r="V155" s="943" t="str">
        <f t="shared" si="79"/>
        <v/>
      </c>
      <c r="W155" s="943" t="str">
        <f t="shared" si="80"/>
        <v/>
      </c>
      <c r="X155" s="943" t="str">
        <f t="shared" si="81"/>
        <v/>
      </c>
      <c r="Y155" s="943" t="str">
        <f t="shared" si="82"/>
        <v/>
      </c>
      <c r="Z155" s="943" t="str">
        <f t="shared" si="83"/>
        <v/>
      </c>
      <c r="AA155" s="943" t="str">
        <f t="shared" si="84"/>
        <v/>
      </c>
      <c r="AB155" s="943" t="str">
        <f t="shared" si="85"/>
        <v/>
      </c>
      <c r="AC155" s="943" t="str">
        <f t="shared" si="86"/>
        <v/>
      </c>
      <c r="AD155" s="943" t="str">
        <f t="shared" si="87"/>
        <v/>
      </c>
      <c r="AF155" s="914" t="s">
        <v>109</v>
      </c>
      <c r="AG155" s="560">
        <f t="shared" si="88"/>
        <v>1.3157894736842105E-2</v>
      </c>
      <c r="AS155" s="914" t="s">
        <v>109</v>
      </c>
      <c r="AT155" s="560" t="str">
        <f t="shared" si="89"/>
        <v/>
      </c>
      <c r="AU155" s="560">
        <f t="shared" si="90"/>
        <v>3.125E-2</v>
      </c>
    </row>
    <row r="156" spans="2:47" ht="16.5" thickTop="1">
      <c r="B156" s="1721" t="s">
        <v>184</v>
      </c>
      <c r="C156" s="58"/>
      <c r="E156" s="52"/>
      <c r="F156" s="990"/>
      <c r="G156" s="990"/>
      <c r="H156" s="58"/>
      <c r="I156" s="58"/>
      <c r="K156" s="58"/>
      <c r="M156" s="58"/>
      <c r="N156" s="58"/>
      <c r="O156" s="58"/>
      <c r="Q156" s="916" t="s">
        <v>1272</v>
      </c>
      <c r="R156" s="944" t="str">
        <f t="shared" si="75"/>
        <v/>
      </c>
      <c r="S156" s="944" t="str">
        <f t="shared" si="76"/>
        <v/>
      </c>
      <c r="T156" s="944" t="str">
        <f t="shared" si="77"/>
        <v/>
      </c>
      <c r="U156" s="944" t="str">
        <f t="shared" si="78"/>
        <v/>
      </c>
      <c r="V156" s="944" t="str">
        <f t="shared" si="79"/>
        <v/>
      </c>
      <c r="W156" s="944" t="str">
        <f t="shared" si="80"/>
        <v/>
      </c>
      <c r="X156" s="944" t="str">
        <f t="shared" si="81"/>
        <v/>
      </c>
      <c r="Y156" s="944" t="str">
        <f t="shared" si="82"/>
        <v/>
      </c>
      <c r="Z156" s="944" t="str">
        <f t="shared" si="83"/>
        <v/>
      </c>
      <c r="AA156" s="944" t="str">
        <f t="shared" si="84"/>
        <v/>
      </c>
      <c r="AB156" s="944" t="str">
        <f t="shared" si="85"/>
        <v/>
      </c>
      <c r="AC156" s="944" t="str">
        <f t="shared" si="86"/>
        <v/>
      </c>
      <c r="AD156" s="944" t="str">
        <f t="shared" si="87"/>
        <v/>
      </c>
      <c r="AF156" s="915" t="s">
        <v>114</v>
      </c>
      <c r="AG156" s="560" t="str">
        <f t="shared" si="88"/>
        <v/>
      </c>
      <c r="AS156" s="915" t="s">
        <v>114</v>
      </c>
      <c r="AT156" s="560" t="str">
        <f t="shared" si="89"/>
        <v/>
      </c>
      <c r="AU156" s="560" t="str">
        <f t="shared" si="90"/>
        <v/>
      </c>
    </row>
    <row r="157" spans="2:47">
      <c r="B157" s="1710"/>
      <c r="G157" s="990"/>
      <c r="Q157" s="917" t="s">
        <v>68</v>
      </c>
      <c r="R157" s="945" t="str">
        <f t="shared" si="75"/>
        <v/>
      </c>
      <c r="S157" s="945" t="str">
        <f t="shared" si="76"/>
        <v/>
      </c>
      <c r="T157" s="945" t="str">
        <f t="shared" si="77"/>
        <v/>
      </c>
      <c r="U157" s="945" t="str">
        <f t="shared" si="78"/>
        <v/>
      </c>
      <c r="V157" s="945" t="str">
        <f t="shared" si="79"/>
        <v/>
      </c>
      <c r="W157" s="945" t="str">
        <f t="shared" si="80"/>
        <v/>
      </c>
      <c r="X157" s="945" t="str">
        <f t="shared" si="81"/>
        <v/>
      </c>
      <c r="Y157" s="945" t="str">
        <f t="shared" si="82"/>
        <v/>
      </c>
      <c r="Z157" s="945" t="str">
        <f t="shared" si="83"/>
        <v/>
      </c>
      <c r="AA157" s="945" t="str">
        <f t="shared" si="84"/>
        <v/>
      </c>
      <c r="AB157" s="945" t="str">
        <f t="shared" si="85"/>
        <v/>
      </c>
      <c r="AC157" s="945" t="str">
        <f t="shared" si="86"/>
        <v/>
      </c>
      <c r="AD157" s="945" t="str">
        <f t="shared" si="87"/>
        <v/>
      </c>
      <c r="AF157" s="916" t="s">
        <v>1272</v>
      </c>
      <c r="AG157" s="560" t="str">
        <f t="shared" si="88"/>
        <v/>
      </c>
      <c r="AS157" s="916" t="s">
        <v>1272</v>
      </c>
      <c r="AT157" s="560" t="str">
        <f t="shared" si="89"/>
        <v/>
      </c>
      <c r="AU157" s="560" t="str">
        <f t="shared" si="90"/>
        <v/>
      </c>
    </row>
    <row r="158" spans="2:47" ht="16.5" thickBot="1">
      <c r="B158" s="1723"/>
      <c r="C158" s="985"/>
      <c r="D158" s="985"/>
      <c r="E158" s="985"/>
      <c r="F158" s="985"/>
      <c r="G158" s="985"/>
      <c r="H158" s="985"/>
      <c r="I158" s="985"/>
      <c r="J158" s="985"/>
      <c r="K158" s="985"/>
      <c r="L158" s="985"/>
      <c r="M158" s="985"/>
      <c r="N158" s="985" t="s">
        <v>1053</v>
      </c>
      <c r="O158" s="985"/>
      <c r="Q158" s="918" t="s">
        <v>234</v>
      </c>
      <c r="R158" s="931" t="str">
        <f t="shared" si="75"/>
        <v/>
      </c>
      <c r="S158" s="931" t="str">
        <f t="shared" si="76"/>
        <v/>
      </c>
      <c r="T158" s="931" t="str">
        <f t="shared" si="77"/>
        <v/>
      </c>
      <c r="U158" s="931" t="str">
        <f t="shared" si="78"/>
        <v/>
      </c>
      <c r="V158" s="931">
        <f t="shared" si="79"/>
        <v>9.0909090909090912E-2</v>
      </c>
      <c r="W158" s="931" t="str">
        <f t="shared" si="80"/>
        <v/>
      </c>
      <c r="X158" s="931" t="str">
        <f t="shared" si="81"/>
        <v/>
      </c>
      <c r="Y158" s="931" t="str">
        <f t="shared" si="82"/>
        <v/>
      </c>
      <c r="Z158" s="931" t="str">
        <f t="shared" si="83"/>
        <v/>
      </c>
      <c r="AA158" s="931" t="str">
        <f t="shared" si="84"/>
        <v/>
      </c>
      <c r="AB158" s="931" t="str">
        <f t="shared" si="85"/>
        <v/>
      </c>
      <c r="AC158" s="931" t="str">
        <f t="shared" si="86"/>
        <v/>
      </c>
      <c r="AD158" s="931" t="str">
        <f t="shared" si="87"/>
        <v/>
      </c>
      <c r="AF158" s="917" t="s">
        <v>68</v>
      </c>
      <c r="AG158" s="560" t="str">
        <f t="shared" si="88"/>
        <v/>
      </c>
      <c r="AS158" s="917" t="s">
        <v>68</v>
      </c>
      <c r="AT158" s="560" t="str">
        <f t="shared" si="89"/>
        <v/>
      </c>
      <c r="AU158" s="560" t="str">
        <f t="shared" si="90"/>
        <v/>
      </c>
    </row>
    <row r="159" spans="2:47" ht="16.5" thickTop="1">
      <c r="B159" s="1721" t="s">
        <v>563</v>
      </c>
      <c r="C159" s="58"/>
      <c r="E159" s="52"/>
      <c r="F159" s="990"/>
      <c r="G159" s="990"/>
      <c r="H159" s="58"/>
      <c r="I159" s="58"/>
      <c r="K159" s="58"/>
      <c r="M159" s="58"/>
      <c r="N159" s="58"/>
      <c r="O159" s="58"/>
      <c r="Q159" s="919" t="s">
        <v>124</v>
      </c>
      <c r="R159" s="946" t="str">
        <f t="shared" si="75"/>
        <v/>
      </c>
      <c r="S159" s="946" t="str">
        <f t="shared" si="76"/>
        <v/>
      </c>
      <c r="T159" s="946" t="str">
        <f t="shared" si="77"/>
        <v/>
      </c>
      <c r="U159" s="946" t="str">
        <f t="shared" si="78"/>
        <v/>
      </c>
      <c r="V159" s="946" t="str">
        <f t="shared" si="79"/>
        <v/>
      </c>
      <c r="W159" s="946">
        <f t="shared" si="80"/>
        <v>0.25</v>
      </c>
      <c r="X159" s="946">
        <f t="shared" si="81"/>
        <v>0.1111111111111111</v>
      </c>
      <c r="Y159" s="946" t="str">
        <f t="shared" si="82"/>
        <v/>
      </c>
      <c r="Z159" s="946">
        <f t="shared" si="83"/>
        <v>0.22222222222222221</v>
      </c>
      <c r="AA159" s="946">
        <f t="shared" si="84"/>
        <v>0.16666666666666666</v>
      </c>
      <c r="AB159" s="946" t="str">
        <f t="shared" si="85"/>
        <v/>
      </c>
      <c r="AC159" s="946" t="str">
        <f t="shared" si="86"/>
        <v/>
      </c>
      <c r="AD159" s="946" t="str">
        <f t="shared" si="87"/>
        <v/>
      </c>
      <c r="AF159" s="918" t="s">
        <v>234</v>
      </c>
      <c r="AG159" s="560">
        <f t="shared" si="88"/>
        <v>1.3157894736842105E-2</v>
      </c>
      <c r="AS159" s="918" t="s">
        <v>234</v>
      </c>
      <c r="AT159" s="560">
        <f t="shared" si="89"/>
        <v>2.2727272727272728E-2</v>
      </c>
      <c r="AU159" s="560" t="str">
        <f t="shared" si="90"/>
        <v/>
      </c>
    </row>
    <row r="160" spans="2:47">
      <c r="B160" s="1710"/>
      <c r="G160" s="990"/>
      <c r="Q160" s="920" t="s">
        <v>74</v>
      </c>
      <c r="R160" s="947" t="str">
        <f t="shared" si="75"/>
        <v/>
      </c>
      <c r="S160" s="947" t="str">
        <f t="shared" si="76"/>
        <v/>
      </c>
      <c r="T160" s="947" t="str">
        <f t="shared" si="77"/>
        <v/>
      </c>
      <c r="U160" s="947" t="str">
        <f t="shared" si="78"/>
        <v/>
      </c>
      <c r="V160" s="947" t="str">
        <f t="shared" si="79"/>
        <v/>
      </c>
      <c r="W160" s="947" t="str">
        <f t="shared" si="80"/>
        <v/>
      </c>
      <c r="X160" s="947" t="str">
        <f t="shared" si="81"/>
        <v/>
      </c>
      <c r="Y160" s="947" t="str">
        <f t="shared" si="82"/>
        <v/>
      </c>
      <c r="Z160" s="947" t="str">
        <f t="shared" si="83"/>
        <v/>
      </c>
      <c r="AA160" s="947" t="str">
        <f t="shared" si="84"/>
        <v/>
      </c>
      <c r="AB160" s="947" t="str">
        <f t="shared" si="85"/>
        <v/>
      </c>
      <c r="AC160" s="947" t="str">
        <f t="shared" si="86"/>
        <v/>
      </c>
      <c r="AD160" s="947" t="str">
        <f t="shared" si="87"/>
        <v/>
      </c>
      <c r="AF160" s="919" t="s">
        <v>124</v>
      </c>
      <c r="AG160" s="560">
        <f t="shared" si="88"/>
        <v>7.8947368421052627E-2</v>
      </c>
      <c r="AS160" s="919" t="s">
        <v>124</v>
      </c>
      <c r="AT160" s="560">
        <f t="shared" si="89"/>
        <v>2.2727272727272728E-2</v>
      </c>
      <c r="AU160" s="560">
        <f t="shared" si="90"/>
        <v>0.15625</v>
      </c>
    </row>
    <row r="161" spans="2:47" ht="16.5" thickBot="1">
      <c r="B161" s="1723"/>
      <c r="C161" s="985"/>
      <c r="D161" s="985"/>
      <c r="E161" s="985"/>
      <c r="F161" s="985"/>
      <c r="G161" s="985"/>
      <c r="H161" s="985"/>
      <c r="I161" s="985"/>
      <c r="J161" s="985"/>
      <c r="K161" s="985"/>
      <c r="L161" s="985"/>
      <c r="M161" s="985"/>
      <c r="N161" s="985" t="s">
        <v>1053</v>
      </c>
      <c r="O161" s="985"/>
      <c r="Q161" s="921" t="s">
        <v>1271</v>
      </c>
      <c r="R161" s="948">
        <f t="shared" si="75"/>
        <v>0.4</v>
      </c>
      <c r="S161" s="948">
        <f t="shared" si="76"/>
        <v>0.25</v>
      </c>
      <c r="T161" s="948" t="str">
        <f t="shared" si="77"/>
        <v/>
      </c>
      <c r="U161" s="948">
        <f t="shared" si="78"/>
        <v>0.125</v>
      </c>
      <c r="V161" s="948">
        <f t="shared" si="79"/>
        <v>9.0909090909090912E-2</v>
      </c>
      <c r="W161" s="948">
        <f t="shared" si="80"/>
        <v>0.125</v>
      </c>
      <c r="X161" s="948">
        <f t="shared" si="81"/>
        <v>0.22222222222222221</v>
      </c>
      <c r="Y161" s="948">
        <f t="shared" si="82"/>
        <v>0.14285714285714285</v>
      </c>
      <c r="Z161" s="948" t="str">
        <f t="shared" si="83"/>
        <v/>
      </c>
      <c r="AA161" s="948">
        <f t="shared" si="84"/>
        <v>0.16666666666666666</v>
      </c>
      <c r="AB161" s="948">
        <f t="shared" si="85"/>
        <v>0.2</v>
      </c>
      <c r="AC161" s="948" t="str">
        <f t="shared" si="86"/>
        <v/>
      </c>
      <c r="AD161" s="948" t="str">
        <f t="shared" si="87"/>
        <v/>
      </c>
      <c r="AF161" s="920" t="s">
        <v>74</v>
      </c>
      <c r="AG161" s="560" t="str">
        <f t="shared" si="88"/>
        <v/>
      </c>
      <c r="AS161" s="920" t="s">
        <v>74</v>
      </c>
      <c r="AT161" s="560" t="str">
        <f t="shared" si="89"/>
        <v/>
      </c>
      <c r="AU161" s="560" t="str">
        <f t="shared" si="90"/>
        <v/>
      </c>
    </row>
    <row r="162" spans="2:47" ht="16.5" thickTop="1">
      <c r="B162" s="1721" t="s">
        <v>1742</v>
      </c>
      <c r="C162" s="58"/>
      <c r="E162" s="52"/>
      <c r="F162" s="990"/>
      <c r="G162" s="990"/>
      <c r="H162" s="964" t="s">
        <v>44</v>
      </c>
      <c r="I162" s="58"/>
      <c r="K162" s="58"/>
      <c r="M162" s="58"/>
      <c r="N162" s="58"/>
      <c r="O162" s="58"/>
      <c r="Q162" s="922" t="s">
        <v>20</v>
      </c>
      <c r="R162" s="949" t="str">
        <f t="shared" si="75"/>
        <v/>
      </c>
      <c r="S162" s="949">
        <f t="shared" si="76"/>
        <v>0.25</v>
      </c>
      <c r="T162" s="949" t="str">
        <f t="shared" si="77"/>
        <v/>
      </c>
      <c r="U162" s="949">
        <f t="shared" si="78"/>
        <v>0.5</v>
      </c>
      <c r="V162" s="949">
        <f t="shared" si="79"/>
        <v>9.0909090909090912E-2</v>
      </c>
      <c r="W162" s="949">
        <f t="shared" si="80"/>
        <v>0.125</v>
      </c>
      <c r="X162" s="949">
        <f t="shared" si="81"/>
        <v>0.1111111111111111</v>
      </c>
      <c r="Y162" s="949" t="str">
        <f t="shared" si="82"/>
        <v/>
      </c>
      <c r="Z162" s="949" t="str">
        <f t="shared" si="83"/>
        <v/>
      </c>
      <c r="AA162" s="949" t="str">
        <f t="shared" si="84"/>
        <v/>
      </c>
      <c r="AB162" s="949" t="str">
        <f t="shared" si="85"/>
        <v/>
      </c>
      <c r="AC162" s="949" t="str">
        <f t="shared" si="86"/>
        <v/>
      </c>
      <c r="AD162" s="949" t="str">
        <f t="shared" si="87"/>
        <v/>
      </c>
      <c r="AF162" s="921" t="s">
        <v>1271</v>
      </c>
      <c r="AG162" s="560">
        <f t="shared" si="88"/>
        <v>0.14473684210526316</v>
      </c>
      <c r="AS162" s="921" t="s">
        <v>1271</v>
      </c>
      <c r="AT162" s="560">
        <f t="shared" si="89"/>
        <v>0.15909090909090909</v>
      </c>
      <c r="AU162" s="560">
        <f t="shared" si="90"/>
        <v>0.125</v>
      </c>
    </row>
    <row r="163" spans="2:47">
      <c r="B163" s="1710"/>
      <c r="G163" s="990"/>
      <c r="H163" s="962" t="s">
        <v>216</v>
      </c>
      <c r="Q163" s="894" t="s">
        <v>44</v>
      </c>
      <c r="R163" s="950">
        <f t="shared" si="75"/>
        <v>0.2</v>
      </c>
      <c r="S163" s="950" t="str">
        <f t="shared" si="76"/>
        <v/>
      </c>
      <c r="T163" s="950">
        <f t="shared" si="77"/>
        <v>0.5</v>
      </c>
      <c r="U163" s="950">
        <f t="shared" si="78"/>
        <v>0.125</v>
      </c>
      <c r="V163" s="950">
        <f t="shared" si="79"/>
        <v>9.0909090909090912E-2</v>
      </c>
      <c r="W163" s="950">
        <f t="shared" si="80"/>
        <v>0.25</v>
      </c>
      <c r="X163" s="950">
        <f t="shared" si="81"/>
        <v>0.44444444444444442</v>
      </c>
      <c r="Y163" s="950">
        <f t="shared" si="82"/>
        <v>0.2857142857142857</v>
      </c>
      <c r="Z163" s="950" t="str">
        <f t="shared" si="83"/>
        <v/>
      </c>
      <c r="AA163" s="950">
        <f t="shared" si="84"/>
        <v>0.16666666666666666</v>
      </c>
      <c r="AB163" s="950">
        <f t="shared" si="85"/>
        <v>0.2</v>
      </c>
      <c r="AC163" s="950" t="str">
        <f t="shared" si="86"/>
        <v/>
      </c>
      <c r="AD163" s="950" t="str">
        <f t="shared" si="87"/>
        <v/>
      </c>
      <c r="AF163" s="922" t="s">
        <v>20</v>
      </c>
      <c r="AG163" s="560">
        <f>IF(COUNTIF($C$51:$O$232, AF163)&gt;0, COUNTIF($C$51:$O$232, AF163)/COUNTIF($C$51:$O$232, "*Challenge*"), "")</f>
        <v>0.10526315789473684</v>
      </c>
      <c r="AS163" s="922" t="s">
        <v>20</v>
      </c>
      <c r="AT163" s="560">
        <f t="shared" si="89"/>
        <v>0.15909090909090909</v>
      </c>
      <c r="AU163" s="560">
        <f t="shared" si="90"/>
        <v>3.125E-2</v>
      </c>
    </row>
    <row r="164" spans="2:47" ht="16.5" thickBot="1">
      <c r="B164" s="1723"/>
      <c r="C164" s="985"/>
      <c r="D164" s="985"/>
      <c r="E164" s="985"/>
      <c r="F164" s="985"/>
      <c r="G164" s="985"/>
      <c r="H164" s="985" t="s">
        <v>187</v>
      </c>
      <c r="I164" s="985"/>
      <c r="J164" s="985"/>
      <c r="K164" s="985"/>
      <c r="L164" s="985"/>
      <c r="M164" s="985"/>
      <c r="N164" s="985" t="s">
        <v>1053</v>
      </c>
      <c r="O164" s="985"/>
      <c r="Q164" s="923" t="s">
        <v>339</v>
      </c>
      <c r="R164" s="951" t="str">
        <f t="shared" si="75"/>
        <v/>
      </c>
      <c r="S164" s="951" t="str">
        <f t="shared" si="76"/>
        <v/>
      </c>
      <c r="T164" s="951" t="str">
        <f t="shared" si="77"/>
        <v/>
      </c>
      <c r="U164" s="951" t="str">
        <f t="shared" si="78"/>
        <v/>
      </c>
      <c r="V164" s="951" t="str">
        <f t="shared" si="79"/>
        <v/>
      </c>
      <c r="W164" s="951" t="str">
        <f t="shared" si="80"/>
        <v/>
      </c>
      <c r="X164" s="951" t="str">
        <f t="shared" si="81"/>
        <v/>
      </c>
      <c r="Y164" s="951" t="str">
        <f t="shared" si="82"/>
        <v/>
      </c>
      <c r="Z164" s="951" t="str">
        <f t="shared" si="83"/>
        <v/>
      </c>
      <c r="AA164" s="951" t="str">
        <f t="shared" si="84"/>
        <v/>
      </c>
      <c r="AB164" s="951" t="str">
        <f t="shared" si="85"/>
        <v/>
      </c>
      <c r="AC164" s="951" t="str">
        <f t="shared" si="86"/>
        <v/>
      </c>
      <c r="AD164" s="951" t="str">
        <f t="shared" si="87"/>
        <v/>
      </c>
      <c r="AF164" s="894" t="s">
        <v>44</v>
      </c>
      <c r="AG164" s="560">
        <f t="shared" si="88"/>
        <v>0.19736842105263158</v>
      </c>
      <c r="AS164" s="894" t="s">
        <v>44</v>
      </c>
      <c r="AT164" s="560">
        <f t="shared" si="89"/>
        <v>0.27272727272727271</v>
      </c>
      <c r="AU164" s="560">
        <f t="shared" si="90"/>
        <v>9.375E-2</v>
      </c>
    </row>
    <row r="165" spans="2:47" ht="16.5" thickTop="1">
      <c r="B165" s="1721" t="s">
        <v>2056</v>
      </c>
      <c r="C165" s="58"/>
      <c r="E165" s="52"/>
      <c r="F165" s="993" t="s">
        <v>20</v>
      </c>
      <c r="G165" s="990"/>
      <c r="H165" s="58"/>
      <c r="I165" s="58"/>
      <c r="K165" s="58"/>
      <c r="M165" s="58"/>
      <c r="N165" s="58"/>
      <c r="O165" s="58"/>
      <c r="Q165" s="924" t="s">
        <v>73</v>
      </c>
      <c r="R165" s="935" t="str">
        <f t="shared" si="75"/>
        <v/>
      </c>
      <c r="S165" s="935">
        <f t="shared" si="76"/>
        <v>0.25</v>
      </c>
      <c r="T165" s="935" t="str">
        <f t="shared" si="77"/>
        <v/>
      </c>
      <c r="U165" s="935" t="str">
        <f t="shared" si="78"/>
        <v/>
      </c>
      <c r="V165" s="935" t="str">
        <f t="shared" si="79"/>
        <v/>
      </c>
      <c r="W165" s="935" t="str">
        <f t="shared" si="80"/>
        <v/>
      </c>
      <c r="X165" s="935" t="str">
        <f t="shared" si="81"/>
        <v/>
      </c>
      <c r="Y165" s="935" t="str">
        <f t="shared" si="82"/>
        <v/>
      </c>
      <c r="Z165" s="935" t="str">
        <f t="shared" si="83"/>
        <v/>
      </c>
      <c r="AA165" s="935" t="str">
        <f t="shared" si="84"/>
        <v/>
      </c>
      <c r="AB165" s="935" t="str">
        <f t="shared" si="85"/>
        <v/>
      </c>
      <c r="AC165" s="935" t="str">
        <f t="shared" si="86"/>
        <v/>
      </c>
      <c r="AD165" s="935" t="str">
        <f t="shared" si="87"/>
        <v/>
      </c>
      <c r="AF165" s="923" t="s">
        <v>339</v>
      </c>
      <c r="AG165" s="560" t="str">
        <f t="shared" si="88"/>
        <v/>
      </c>
      <c r="AS165" s="923" t="s">
        <v>339</v>
      </c>
      <c r="AT165" s="560" t="str">
        <f t="shared" si="89"/>
        <v/>
      </c>
      <c r="AU165" s="560" t="str">
        <f t="shared" si="90"/>
        <v/>
      </c>
    </row>
    <row r="166" spans="2:47">
      <c r="B166" s="1710"/>
      <c r="F166" s="974" t="s">
        <v>1269</v>
      </c>
      <c r="G166" s="990"/>
      <c r="Q166" s="925" t="s">
        <v>216</v>
      </c>
      <c r="R166" s="952" t="str">
        <f t="shared" si="75"/>
        <v/>
      </c>
      <c r="S166" s="952" t="str">
        <f t="shared" si="76"/>
        <v/>
      </c>
      <c r="T166" s="952" t="str">
        <f t="shared" si="77"/>
        <v/>
      </c>
      <c r="U166" s="952">
        <f t="shared" si="78"/>
        <v>0.125</v>
      </c>
      <c r="V166" s="952" t="str">
        <f t="shared" si="79"/>
        <v/>
      </c>
      <c r="W166" s="952">
        <f t="shared" si="80"/>
        <v>0.125</v>
      </c>
      <c r="X166" s="952">
        <f t="shared" si="81"/>
        <v>0.1111111111111111</v>
      </c>
      <c r="Y166" s="952" t="str">
        <f t="shared" si="82"/>
        <v/>
      </c>
      <c r="Z166" s="952" t="str">
        <f t="shared" si="83"/>
        <v/>
      </c>
      <c r="AA166" s="952" t="str">
        <f t="shared" si="84"/>
        <v/>
      </c>
      <c r="AB166" s="952">
        <f t="shared" si="85"/>
        <v>0.2</v>
      </c>
      <c r="AC166" s="952" t="str">
        <f t="shared" si="86"/>
        <v/>
      </c>
      <c r="AD166" s="952" t="str">
        <f t="shared" si="87"/>
        <v/>
      </c>
      <c r="AF166" s="924" t="s">
        <v>73</v>
      </c>
      <c r="AG166" s="560">
        <f t="shared" si="88"/>
        <v>1.3157894736842105E-2</v>
      </c>
      <c r="AS166" s="924" t="s">
        <v>73</v>
      </c>
      <c r="AT166" s="560">
        <f t="shared" si="89"/>
        <v>2.2727272727272728E-2</v>
      </c>
      <c r="AU166" s="560" t="str">
        <f t="shared" si="90"/>
        <v/>
      </c>
    </row>
    <row r="167" spans="2:47" ht="16.5" thickBot="1">
      <c r="B167" s="1723"/>
      <c r="C167" s="985"/>
      <c r="D167" s="985"/>
      <c r="E167" s="985"/>
      <c r="F167" s="985" t="s">
        <v>188</v>
      </c>
      <c r="G167" s="985"/>
      <c r="H167" s="985"/>
      <c r="I167" s="985"/>
      <c r="J167" s="985"/>
      <c r="K167" s="985"/>
      <c r="L167" s="985"/>
      <c r="M167" s="985"/>
      <c r="N167" s="985" t="s">
        <v>1053</v>
      </c>
      <c r="O167" s="985"/>
      <c r="Q167" s="926" t="s">
        <v>21</v>
      </c>
      <c r="R167" s="935" t="str">
        <f t="shared" si="75"/>
        <v/>
      </c>
      <c r="S167" s="935" t="str">
        <f t="shared" si="76"/>
        <v/>
      </c>
      <c r="T167" s="935" t="str">
        <f t="shared" si="77"/>
        <v/>
      </c>
      <c r="U167" s="935" t="str">
        <f t="shared" si="78"/>
        <v/>
      </c>
      <c r="V167" s="935" t="str">
        <f t="shared" si="79"/>
        <v/>
      </c>
      <c r="W167" s="935" t="str">
        <f t="shared" si="80"/>
        <v/>
      </c>
      <c r="X167" s="935" t="str">
        <f t="shared" si="81"/>
        <v/>
      </c>
      <c r="Y167" s="935" t="str">
        <f t="shared" si="82"/>
        <v/>
      </c>
      <c r="Z167" s="935" t="str">
        <f t="shared" si="83"/>
        <v/>
      </c>
      <c r="AA167" s="935" t="str">
        <f t="shared" si="84"/>
        <v/>
      </c>
      <c r="AB167" s="935" t="str">
        <f t="shared" si="85"/>
        <v/>
      </c>
      <c r="AC167" s="935" t="str">
        <f t="shared" si="86"/>
        <v/>
      </c>
      <c r="AD167" s="935" t="str">
        <f t="shared" si="87"/>
        <v/>
      </c>
      <c r="AF167" s="925" t="s">
        <v>216</v>
      </c>
      <c r="AG167" s="560">
        <f t="shared" si="88"/>
        <v>5.2631578947368418E-2</v>
      </c>
      <c r="AS167" s="925" t="s">
        <v>216</v>
      </c>
      <c r="AT167" s="560">
        <f t="shared" si="89"/>
        <v>4.5454545454545456E-2</v>
      </c>
      <c r="AU167" s="560">
        <f t="shared" si="90"/>
        <v>6.25E-2</v>
      </c>
    </row>
    <row r="168" spans="2:47" ht="16.5" thickTop="1">
      <c r="AF168" s="926" t="s">
        <v>21</v>
      </c>
      <c r="AG168" s="560" t="str">
        <f t="shared" si="88"/>
        <v/>
      </c>
      <c r="AS168" s="926" t="s">
        <v>21</v>
      </c>
      <c r="AT168" s="560" t="str">
        <f t="shared" si="89"/>
        <v/>
      </c>
      <c r="AU168" s="560" t="str">
        <f t="shared" si="90"/>
        <v/>
      </c>
    </row>
    <row r="169" spans="2:47" ht="18.75">
      <c r="Q169" s="69" t="s">
        <v>2771</v>
      </c>
    </row>
    <row r="170" spans="2:47" ht="16.5" thickBot="1">
      <c r="Q170" s="1318" t="s">
        <v>183</v>
      </c>
      <c r="R170" s="903" t="s">
        <v>27</v>
      </c>
      <c r="S170" s="904" t="s">
        <v>1270</v>
      </c>
      <c r="T170" s="896" t="s">
        <v>43</v>
      </c>
      <c r="U170" s="905" t="s">
        <v>120</v>
      </c>
      <c r="V170" s="906" t="s">
        <v>47</v>
      </c>
      <c r="W170" s="907" t="s">
        <v>46</v>
      </c>
      <c r="X170" s="908" t="s">
        <v>397</v>
      </c>
      <c r="Y170" s="909" t="s">
        <v>155</v>
      </c>
      <c r="Z170" s="897" t="s">
        <v>24</v>
      </c>
      <c r="AA170" s="910" t="s">
        <v>23</v>
      </c>
      <c r="AB170" s="895" t="s">
        <v>29</v>
      </c>
      <c r="AC170" s="911" t="s">
        <v>93</v>
      </c>
      <c r="AD170" s="912" t="s">
        <v>1269</v>
      </c>
      <c r="AE170" s="913" t="s">
        <v>26</v>
      </c>
      <c r="AF170" s="914" t="s">
        <v>109</v>
      </c>
      <c r="AG170" s="915" t="s">
        <v>114</v>
      </c>
      <c r="AH170" s="916" t="s">
        <v>1272</v>
      </c>
      <c r="AI170" s="917" t="s">
        <v>68</v>
      </c>
      <c r="AJ170" s="918" t="s">
        <v>234</v>
      </c>
      <c r="AK170" s="919" t="s">
        <v>124</v>
      </c>
      <c r="AL170" s="920" t="s">
        <v>74</v>
      </c>
      <c r="AM170" s="921" t="s">
        <v>1271</v>
      </c>
      <c r="AN170" s="922" t="s">
        <v>20</v>
      </c>
      <c r="AO170" s="894" t="s">
        <v>44</v>
      </c>
      <c r="AP170" s="923" t="s">
        <v>339</v>
      </c>
      <c r="AQ170" s="924" t="s">
        <v>73</v>
      </c>
      <c r="AR170" s="925" t="s">
        <v>216</v>
      </c>
      <c r="AS170" s="926" t="s">
        <v>21</v>
      </c>
    </row>
    <row r="171" spans="2:47">
      <c r="Q171" t="s">
        <v>126</v>
      </c>
      <c r="R171" s="319">
        <f>COUNTIF($C52:$O54, R$170)</f>
        <v>1</v>
      </c>
      <c r="S171" s="319">
        <f t="shared" ref="S171:AS171" si="91">COUNTIF($C52:$O54, S$170)</f>
        <v>0</v>
      </c>
      <c r="T171" s="319">
        <f t="shared" si="91"/>
        <v>0</v>
      </c>
      <c r="U171" s="319">
        <f t="shared" si="91"/>
        <v>0</v>
      </c>
      <c r="V171" s="319">
        <f t="shared" si="91"/>
        <v>0</v>
      </c>
      <c r="W171" s="319">
        <f t="shared" si="91"/>
        <v>0</v>
      </c>
      <c r="X171" s="1321">
        <f t="shared" si="91"/>
        <v>1</v>
      </c>
      <c r="Y171" s="233">
        <f t="shared" si="91"/>
        <v>0</v>
      </c>
      <c r="Z171" s="36">
        <f t="shared" si="91"/>
        <v>0</v>
      </c>
      <c r="AA171" s="319">
        <f t="shared" si="91"/>
        <v>0</v>
      </c>
      <c r="AB171">
        <f t="shared" si="91"/>
        <v>0</v>
      </c>
      <c r="AC171">
        <f t="shared" si="91"/>
        <v>0</v>
      </c>
      <c r="AD171" s="242">
        <f t="shared" si="91"/>
        <v>0</v>
      </c>
      <c r="AE171" s="8">
        <f t="shared" si="91"/>
        <v>0</v>
      </c>
      <c r="AF171" s="319">
        <f t="shared" si="91"/>
        <v>0</v>
      </c>
      <c r="AG171" s="319">
        <f t="shared" si="91"/>
        <v>0</v>
      </c>
      <c r="AH171" s="319">
        <f t="shared" si="91"/>
        <v>0</v>
      </c>
      <c r="AI171" s="319">
        <f t="shared" si="91"/>
        <v>0</v>
      </c>
      <c r="AJ171" s="500">
        <f t="shared" si="91"/>
        <v>1</v>
      </c>
      <c r="AK171" s="1088">
        <f t="shared" si="91"/>
        <v>0</v>
      </c>
      <c r="AL171" s="319">
        <f t="shared" si="91"/>
        <v>0</v>
      </c>
      <c r="AM171" s="1101">
        <f t="shared" si="91"/>
        <v>3</v>
      </c>
      <c r="AN171" s="10">
        <f t="shared" si="91"/>
        <v>3</v>
      </c>
      <c r="AO171" s="1322">
        <f t="shared" si="91"/>
        <v>5</v>
      </c>
      <c r="AP171" s="319">
        <f t="shared" si="91"/>
        <v>0</v>
      </c>
      <c r="AQ171">
        <f t="shared" si="91"/>
        <v>0</v>
      </c>
      <c r="AR171" s="1323">
        <f t="shared" si="91"/>
        <v>0</v>
      </c>
      <c r="AS171" s="319">
        <f t="shared" si="91"/>
        <v>0</v>
      </c>
    </row>
    <row r="172" spans="2:47">
      <c r="Q172" t="s">
        <v>127</v>
      </c>
      <c r="R172" s="319">
        <f>COUNTIF($C56:$O57, R$170)</f>
        <v>0</v>
      </c>
      <c r="S172" s="319">
        <f t="shared" ref="S172:AS172" si="92">COUNTIF($C56:$O57, S$170)</f>
        <v>0</v>
      </c>
      <c r="T172" s="319">
        <f t="shared" si="92"/>
        <v>0</v>
      </c>
      <c r="U172" s="319">
        <f t="shared" si="92"/>
        <v>0</v>
      </c>
      <c r="V172" s="319">
        <f t="shared" si="92"/>
        <v>0</v>
      </c>
      <c r="W172" s="319">
        <f t="shared" si="92"/>
        <v>0</v>
      </c>
      <c r="X172" s="1321">
        <f t="shared" si="92"/>
        <v>0</v>
      </c>
      <c r="Y172" s="233">
        <f t="shared" si="92"/>
        <v>0</v>
      </c>
      <c r="Z172" s="36">
        <f t="shared" si="92"/>
        <v>1</v>
      </c>
      <c r="AA172" s="319">
        <f t="shared" si="92"/>
        <v>0</v>
      </c>
      <c r="AB172">
        <f t="shared" si="92"/>
        <v>1</v>
      </c>
      <c r="AC172">
        <f t="shared" si="92"/>
        <v>0</v>
      </c>
      <c r="AD172" s="242">
        <f t="shared" si="92"/>
        <v>1</v>
      </c>
      <c r="AE172" s="8">
        <f t="shared" si="92"/>
        <v>0</v>
      </c>
      <c r="AF172" s="500">
        <f t="shared" si="92"/>
        <v>0</v>
      </c>
      <c r="AG172" s="319">
        <f t="shared" si="92"/>
        <v>0</v>
      </c>
      <c r="AH172" s="319">
        <f t="shared" si="92"/>
        <v>0</v>
      </c>
      <c r="AI172" s="319">
        <f t="shared" si="92"/>
        <v>0</v>
      </c>
      <c r="AJ172" s="500">
        <f t="shared" si="92"/>
        <v>0</v>
      </c>
      <c r="AK172" s="1088">
        <f t="shared" si="92"/>
        <v>1</v>
      </c>
      <c r="AL172" s="319">
        <f t="shared" si="92"/>
        <v>0</v>
      </c>
      <c r="AM172" s="1101">
        <f t="shared" si="92"/>
        <v>2</v>
      </c>
      <c r="AN172" s="10">
        <f t="shared" si="92"/>
        <v>2</v>
      </c>
      <c r="AO172" s="1322">
        <f t="shared" si="92"/>
        <v>4</v>
      </c>
      <c r="AP172" s="319">
        <f t="shared" si="92"/>
        <v>0</v>
      </c>
      <c r="AQ172">
        <f t="shared" si="92"/>
        <v>0</v>
      </c>
      <c r="AR172" s="1323">
        <f t="shared" si="92"/>
        <v>1</v>
      </c>
      <c r="AS172" s="319">
        <f t="shared" si="92"/>
        <v>0</v>
      </c>
    </row>
    <row r="173" spans="2:47">
      <c r="Q173" t="s">
        <v>128</v>
      </c>
      <c r="R173" s="319">
        <f>COUNTIF($C59:$O61, R$170)</f>
        <v>0</v>
      </c>
      <c r="S173" s="319">
        <f t="shared" ref="S173:AS173" si="93">COUNTIF($C59:$O61, S$170)</f>
        <v>0</v>
      </c>
      <c r="T173" s="587">
        <f t="shared" si="93"/>
        <v>0</v>
      </c>
      <c r="U173" s="319">
        <f t="shared" si="93"/>
        <v>0</v>
      </c>
      <c r="V173" s="319">
        <f t="shared" si="93"/>
        <v>0</v>
      </c>
      <c r="W173" s="319">
        <f t="shared" si="93"/>
        <v>0</v>
      </c>
      <c r="X173" s="1321">
        <f t="shared" si="93"/>
        <v>0</v>
      </c>
      <c r="Y173" s="233">
        <f t="shared" si="93"/>
        <v>0</v>
      </c>
      <c r="Z173" s="36">
        <f t="shared" si="93"/>
        <v>3</v>
      </c>
      <c r="AA173" s="319">
        <f t="shared" si="93"/>
        <v>0</v>
      </c>
      <c r="AB173">
        <f t="shared" si="93"/>
        <v>1</v>
      </c>
      <c r="AC173">
        <f t="shared" si="93"/>
        <v>0</v>
      </c>
      <c r="AD173" s="242">
        <f t="shared" si="93"/>
        <v>0</v>
      </c>
      <c r="AE173" s="8">
        <f t="shared" si="93"/>
        <v>1</v>
      </c>
      <c r="AF173" s="500">
        <f t="shared" si="93"/>
        <v>0</v>
      </c>
      <c r="AG173" s="319">
        <f t="shared" si="93"/>
        <v>0</v>
      </c>
      <c r="AH173" s="319">
        <f t="shared" si="93"/>
        <v>0</v>
      </c>
      <c r="AI173" s="319">
        <f t="shared" si="93"/>
        <v>0</v>
      </c>
      <c r="AJ173" s="500">
        <f t="shared" si="93"/>
        <v>0</v>
      </c>
      <c r="AK173" s="1088">
        <f t="shared" si="93"/>
        <v>0</v>
      </c>
      <c r="AL173" s="319">
        <f t="shared" si="93"/>
        <v>0</v>
      </c>
      <c r="AM173" s="1101">
        <f t="shared" si="93"/>
        <v>1</v>
      </c>
      <c r="AN173" s="10">
        <f t="shared" si="93"/>
        <v>1</v>
      </c>
      <c r="AO173" s="1322">
        <f t="shared" si="93"/>
        <v>3</v>
      </c>
      <c r="AP173" s="319">
        <f t="shared" si="93"/>
        <v>0</v>
      </c>
      <c r="AQ173">
        <f t="shared" si="93"/>
        <v>0</v>
      </c>
      <c r="AR173" s="1323">
        <f t="shared" si="93"/>
        <v>0</v>
      </c>
      <c r="AS173" s="319">
        <f t="shared" si="93"/>
        <v>0</v>
      </c>
    </row>
    <row r="174" spans="2:47">
      <c r="Q174" t="s">
        <v>129</v>
      </c>
      <c r="R174" s="319">
        <f>COUNTIF($C63:$O64, R$170)</f>
        <v>1</v>
      </c>
      <c r="S174" s="319">
        <f t="shared" ref="S174:AS174" si="94">COUNTIF($C63:$O64, S$170)</f>
        <v>0</v>
      </c>
      <c r="T174" s="587">
        <f t="shared" si="94"/>
        <v>1</v>
      </c>
      <c r="U174" s="319">
        <f t="shared" si="94"/>
        <v>0</v>
      </c>
      <c r="V174" s="319">
        <f t="shared" si="94"/>
        <v>0</v>
      </c>
      <c r="W174" s="319">
        <f t="shared" si="94"/>
        <v>0</v>
      </c>
      <c r="X174" s="1321">
        <f t="shared" si="94"/>
        <v>0</v>
      </c>
      <c r="Y174" s="233">
        <f t="shared" si="94"/>
        <v>1</v>
      </c>
      <c r="Z174" s="36">
        <f t="shared" si="94"/>
        <v>0</v>
      </c>
      <c r="AA174" s="319">
        <f t="shared" si="94"/>
        <v>0</v>
      </c>
      <c r="AB174">
        <f t="shared" si="94"/>
        <v>0</v>
      </c>
      <c r="AC174">
        <f t="shared" si="94"/>
        <v>0</v>
      </c>
      <c r="AD174" s="242">
        <f t="shared" si="94"/>
        <v>0</v>
      </c>
      <c r="AE174" s="8">
        <f t="shared" si="94"/>
        <v>1</v>
      </c>
      <c r="AF174" s="500">
        <f t="shared" si="94"/>
        <v>0</v>
      </c>
      <c r="AG174" s="319">
        <f t="shared" si="94"/>
        <v>0</v>
      </c>
      <c r="AH174" s="319">
        <f t="shared" si="94"/>
        <v>0</v>
      </c>
      <c r="AI174" s="319">
        <f t="shared" si="94"/>
        <v>0</v>
      </c>
      <c r="AJ174" s="500">
        <f t="shared" si="94"/>
        <v>0</v>
      </c>
      <c r="AK174" s="1088">
        <f t="shared" si="94"/>
        <v>0</v>
      </c>
      <c r="AL174" s="319">
        <f t="shared" si="94"/>
        <v>0</v>
      </c>
      <c r="AM174" s="1101">
        <f t="shared" si="94"/>
        <v>1</v>
      </c>
      <c r="AN174" s="10">
        <f t="shared" si="94"/>
        <v>1</v>
      </c>
      <c r="AO174" s="1322">
        <f t="shared" si="94"/>
        <v>0</v>
      </c>
      <c r="AP174" s="319">
        <f t="shared" si="94"/>
        <v>0</v>
      </c>
      <c r="AQ174">
        <f t="shared" si="94"/>
        <v>1</v>
      </c>
      <c r="AR174" s="1323">
        <f t="shared" si="94"/>
        <v>1</v>
      </c>
      <c r="AS174" s="319">
        <f t="shared" si="94"/>
        <v>0</v>
      </c>
    </row>
    <row r="175" spans="2:47">
      <c r="Q175" t="s">
        <v>130</v>
      </c>
      <c r="R175" s="319">
        <f>COUNTIF($C66:$O67, R$170)</f>
        <v>0</v>
      </c>
      <c r="S175" s="319">
        <f t="shared" ref="S175:AS175" si="95">COUNTIF($C66:$O67, S$170)</f>
        <v>0</v>
      </c>
      <c r="T175" s="587">
        <f t="shared" si="95"/>
        <v>0</v>
      </c>
      <c r="U175" s="319">
        <f t="shared" si="95"/>
        <v>0</v>
      </c>
      <c r="V175" s="319">
        <f t="shared" si="95"/>
        <v>0</v>
      </c>
      <c r="W175" s="319">
        <f t="shared" si="95"/>
        <v>0</v>
      </c>
      <c r="X175" s="1321">
        <f t="shared" si="95"/>
        <v>0</v>
      </c>
      <c r="Y175" s="233">
        <f t="shared" si="95"/>
        <v>0</v>
      </c>
      <c r="Z175" s="36">
        <f t="shared" si="95"/>
        <v>0</v>
      </c>
      <c r="AA175" s="319">
        <f t="shared" si="95"/>
        <v>0</v>
      </c>
      <c r="AB175">
        <f t="shared" si="95"/>
        <v>0</v>
      </c>
      <c r="AC175">
        <f t="shared" si="95"/>
        <v>0</v>
      </c>
      <c r="AD175" s="242">
        <f t="shared" si="95"/>
        <v>0</v>
      </c>
      <c r="AE175" s="8">
        <f t="shared" si="95"/>
        <v>0</v>
      </c>
      <c r="AF175" s="500">
        <f t="shared" si="95"/>
        <v>0</v>
      </c>
      <c r="AG175" s="319">
        <f t="shared" si="95"/>
        <v>0</v>
      </c>
      <c r="AH175" s="319">
        <f t="shared" si="95"/>
        <v>0</v>
      </c>
      <c r="AI175" s="319">
        <f t="shared" si="95"/>
        <v>0</v>
      </c>
      <c r="AJ175" s="500">
        <f t="shared" si="95"/>
        <v>0</v>
      </c>
      <c r="AK175" s="1088">
        <f t="shared" si="95"/>
        <v>1</v>
      </c>
      <c r="AL175" s="319">
        <f t="shared" si="95"/>
        <v>0</v>
      </c>
      <c r="AM175" s="1101">
        <f t="shared" si="95"/>
        <v>1</v>
      </c>
      <c r="AN175" s="10">
        <f t="shared" si="95"/>
        <v>0</v>
      </c>
      <c r="AO175" s="1322">
        <f t="shared" si="95"/>
        <v>0</v>
      </c>
      <c r="AP175" s="319">
        <f t="shared" si="95"/>
        <v>0</v>
      </c>
      <c r="AQ175">
        <f t="shared" si="95"/>
        <v>0</v>
      </c>
      <c r="AR175" s="1323">
        <f t="shared" si="95"/>
        <v>0</v>
      </c>
      <c r="AS175" s="319">
        <f t="shared" si="95"/>
        <v>0</v>
      </c>
    </row>
    <row r="176" spans="2:47">
      <c r="Q176" t="s">
        <v>131</v>
      </c>
      <c r="R176" s="319">
        <f>COUNTIF($C69:$O70, R$170)</f>
        <v>0</v>
      </c>
      <c r="S176" s="319">
        <f t="shared" ref="S176:AS176" si="96">COUNTIF($C69:$O70, S$170)</f>
        <v>0</v>
      </c>
      <c r="T176" s="587">
        <f t="shared" si="96"/>
        <v>0</v>
      </c>
      <c r="U176" s="319">
        <f t="shared" si="96"/>
        <v>0</v>
      </c>
      <c r="V176" s="319">
        <f t="shared" si="96"/>
        <v>0</v>
      </c>
      <c r="W176" s="319">
        <f t="shared" si="96"/>
        <v>0</v>
      </c>
      <c r="X176" s="1321">
        <f t="shared" si="96"/>
        <v>0</v>
      </c>
      <c r="Y176" s="233">
        <f t="shared" si="96"/>
        <v>0</v>
      </c>
      <c r="Z176" s="36">
        <f t="shared" si="96"/>
        <v>0</v>
      </c>
      <c r="AA176" s="319">
        <f t="shared" si="96"/>
        <v>0</v>
      </c>
      <c r="AB176">
        <f t="shared" si="96"/>
        <v>1</v>
      </c>
      <c r="AC176">
        <f t="shared" si="96"/>
        <v>0</v>
      </c>
      <c r="AD176" s="242">
        <f t="shared" si="96"/>
        <v>0</v>
      </c>
      <c r="AE176" s="8">
        <f t="shared" si="96"/>
        <v>0</v>
      </c>
      <c r="AF176" s="500">
        <f t="shared" si="96"/>
        <v>0</v>
      </c>
      <c r="AG176" s="319">
        <f t="shared" si="96"/>
        <v>0</v>
      </c>
      <c r="AH176" s="319">
        <f t="shared" si="96"/>
        <v>0</v>
      </c>
      <c r="AI176" s="319">
        <f t="shared" si="96"/>
        <v>0</v>
      </c>
      <c r="AJ176" s="500">
        <f t="shared" si="96"/>
        <v>0</v>
      </c>
      <c r="AK176" s="1088">
        <f t="shared" si="96"/>
        <v>0</v>
      </c>
      <c r="AL176" s="319">
        <f t="shared" si="96"/>
        <v>0</v>
      </c>
      <c r="AM176" s="1101">
        <f t="shared" si="96"/>
        <v>0</v>
      </c>
      <c r="AN176" s="10">
        <f t="shared" si="96"/>
        <v>0</v>
      </c>
      <c r="AO176" s="1322">
        <f t="shared" si="96"/>
        <v>0</v>
      </c>
      <c r="AP176" s="319">
        <f t="shared" si="96"/>
        <v>0</v>
      </c>
      <c r="AQ176">
        <f t="shared" si="96"/>
        <v>0</v>
      </c>
      <c r="AR176" s="1323">
        <f t="shared" si="96"/>
        <v>1</v>
      </c>
      <c r="AS176" s="319">
        <f t="shared" si="96"/>
        <v>0</v>
      </c>
    </row>
    <row r="177" spans="17:45">
      <c r="Q177" t="s">
        <v>132</v>
      </c>
      <c r="R177" s="319">
        <f>COUNTIF($C72:$O73, R$170)</f>
        <v>0</v>
      </c>
      <c r="S177" s="319">
        <f t="shared" ref="S177:AS177" si="97">COUNTIF($C72:$O73, S$170)</f>
        <v>0</v>
      </c>
      <c r="T177" s="587">
        <f t="shared" si="97"/>
        <v>0</v>
      </c>
      <c r="U177" s="319">
        <f t="shared" si="97"/>
        <v>0</v>
      </c>
      <c r="V177" s="319">
        <f t="shared" si="97"/>
        <v>0</v>
      </c>
      <c r="W177" s="319">
        <f t="shared" si="97"/>
        <v>0</v>
      </c>
      <c r="X177" s="1321">
        <f t="shared" si="97"/>
        <v>0</v>
      </c>
      <c r="Y177" s="233">
        <f t="shared" si="97"/>
        <v>0</v>
      </c>
      <c r="Z177" s="36">
        <f t="shared" si="97"/>
        <v>1</v>
      </c>
      <c r="AA177" s="319">
        <f t="shared" si="97"/>
        <v>0</v>
      </c>
      <c r="AB177">
        <f t="shared" si="97"/>
        <v>0</v>
      </c>
      <c r="AC177">
        <f t="shared" si="97"/>
        <v>0</v>
      </c>
      <c r="AD177" s="242">
        <f t="shared" si="97"/>
        <v>0</v>
      </c>
      <c r="AE177" s="8">
        <f t="shared" si="97"/>
        <v>1</v>
      </c>
      <c r="AF177" s="500">
        <f t="shared" si="97"/>
        <v>0</v>
      </c>
      <c r="AG177" s="319">
        <f t="shared" si="97"/>
        <v>0</v>
      </c>
      <c r="AH177" s="319">
        <f t="shared" si="97"/>
        <v>0</v>
      </c>
      <c r="AI177" s="319">
        <f t="shared" si="97"/>
        <v>0</v>
      </c>
      <c r="AJ177" s="500">
        <f t="shared" si="97"/>
        <v>0</v>
      </c>
      <c r="AK177" s="1088">
        <f t="shared" si="97"/>
        <v>1</v>
      </c>
      <c r="AL177" s="319">
        <f t="shared" si="97"/>
        <v>0</v>
      </c>
      <c r="AM177" s="1101">
        <f t="shared" si="97"/>
        <v>0</v>
      </c>
      <c r="AN177" s="10">
        <f t="shared" si="97"/>
        <v>0</v>
      </c>
      <c r="AO177" s="1322">
        <f t="shared" si="97"/>
        <v>0</v>
      </c>
      <c r="AP177" s="319">
        <f t="shared" si="97"/>
        <v>0</v>
      </c>
      <c r="AQ177">
        <f t="shared" si="97"/>
        <v>0</v>
      </c>
      <c r="AR177" s="1323">
        <f t="shared" si="97"/>
        <v>0</v>
      </c>
      <c r="AS177" s="319">
        <f t="shared" si="97"/>
        <v>0</v>
      </c>
    </row>
    <row r="178" spans="17:45">
      <c r="Q178" t="s">
        <v>133</v>
      </c>
      <c r="R178" s="319">
        <f>COUNTIF($C75:$O76, R$170)</f>
        <v>0</v>
      </c>
      <c r="S178" s="319">
        <f t="shared" ref="S178:AS178" si="98">COUNTIF($C75:$O76, S$170)</f>
        <v>0</v>
      </c>
      <c r="T178" s="587">
        <f t="shared" si="98"/>
        <v>0</v>
      </c>
      <c r="U178" s="319">
        <f t="shared" si="98"/>
        <v>0</v>
      </c>
      <c r="V178" s="319">
        <f t="shared" si="98"/>
        <v>0</v>
      </c>
      <c r="W178" s="319">
        <f t="shared" si="98"/>
        <v>0</v>
      </c>
      <c r="X178" s="1321">
        <f t="shared" si="98"/>
        <v>0</v>
      </c>
      <c r="Y178" s="233">
        <f t="shared" si="98"/>
        <v>0</v>
      </c>
      <c r="Z178" s="36">
        <f t="shared" si="98"/>
        <v>0</v>
      </c>
      <c r="AA178" s="319">
        <f t="shared" si="98"/>
        <v>0</v>
      </c>
      <c r="AB178">
        <f t="shared" si="98"/>
        <v>0</v>
      </c>
      <c r="AC178">
        <f t="shared" si="98"/>
        <v>0</v>
      </c>
      <c r="AD178" s="242">
        <f t="shared" si="98"/>
        <v>0</v>
      </c>
      <c r="AE178" s="8">
        <f t="shared" si="98"/>
        <v>1</v>
      </c>
      <c r="AF178" s="500">
        <f t="shared" si="98"/>
        <v>0</v>
      </c>
      <c r="AG178" s="319">
        <f t="shared" si="98"/>
        <v>0</v>
      </c>
      <c r="AH178" s="319">
        <f t="shared" si="98"/>
        <v>0</v>
      </c>
      <c r="AI178" s="319">
        <f t="shared" si="98"/>
        <v>0</v>
      </c>
      <c r="AJ178" s="500">
        <f t="shared" si="98"/>
        <v>0</v>
      </c>
      <c r="AK178" s="1088">
        <f t="shared" si="98"/>
        <v>0</v>
      </c>
      <c r="AL178" s="319">
        <f t="shared" si="98"/>
        <v>0</v>
      </c>
      <c r="AM178" s="1101">
        <f t="shared" si="98"/>
        <v>0</v>
      </c>
      <c r="AN178" s="10">
        <f t="shared" si="98"/>
        <v>0</v>
      </c>
      <c r="AO178" s="1322">
        <f t="shared" si="98"/>
        <v>0</v>
      </c>
      <c r="AP178" s="319">
        <f t="shared" si="98"/>
        <v>0</v>
      </c>
      <c r="AQ178">
        <f t="shared" si="98"/>
        <v>0</v>
      </c>
      <c r="AR178" s="1323">
        <f t="shared" si="98"/>
        <v>0</v>
      </c>
      <c r="AS178" s="319">
        <f t="shared" si="98"/>
        <v>0</v>
      </c>
    </row>
    <row r="179" spans="17:45">
      <c r="Q179" t="s">
        <v>134</v>
      </c>
      <c r="R179" s="319">
        <f>COUNTIF($C78:$O79, R$170)</f>
        <v>0</v>
      </c>
      <c r="S179" s="319">
        <f t="shared" ref="S179:AS179" si="99">COUNTIF($C78:$O79, S$170)</f>
        <v>0</v>
      </c>
      <c r="T179" s="587">
        <f t="shared" si="99"/>
        <v>0</v>
      </c>
      <c r="U179" s="319">
        <f t="shared" si="99"/>
        <v>0</v>
      </c>
      <c r="V179" s="319">
        <f t="shared" si="99"/>
        <v>0</v>
      </c>
      <c r="W179" s="319">
        <f t="shared" si="99"/>
        <v>0</v>
      </c>
      <c r="X179" s="1321">
        <f t="shared" si="99"/>
        <v>0</v>
      </c>
      <c r="Y179" s="233">
        <f t="shared" si="99"/>
        <v>0</v>
      </c>
      <c r="Z179" s="36">
        <f t="shared" si="99"/>
        <v>0</v>
      </c>
      <c r="AA179" s="319">
        <f t="shared" si="99"/>
        <v>0</v>
      </c>
      <c r="AB179">
        <f t="shared" si="99"/>
        <v>1</v>
      </c>
      <c r="AC179">
        <f t="shared" si="99"/>
        <v>0</v>
      </c>
      <c r="AD179" s="242">
        <f t="shared" si="99"/>
        <v>0</v>
      </c>
      <c r="AE179" s="8">
        <f t="shared" si="99"/>
        <v>0</v>
      </c>
      <c r="AF179" s="500">
        <f t="shared" si="99"/>
        <v>0</v>
      </c>
      <c r="AG179" s="319">
        <f t="shared" si="99"/>
        <v>0</v>
      </c>
      <c r="AH179" s="319">
        <f t="shared" si="99"/>
        <v>0</v>
      </c>
      <c r="AI179" s="319">
        <f t="shared" si="99"/>
        <v>0</v>
      </c>
      <c r="AJ179" s="500">
        <f t="shared" si="99"/>
        <v>0</v>
      </c>
      <c r="AK179" s="1088">
        <f t="shared" si="99"/>
        <v>0</v>
      </c>
      <c r="AL179" s="319">
        <f t="shared" si="99"/>
        <v>0</v>
      </c>
      <c r="AM179" s="1101">
        <f t="shared" si="99"/>
        <v>1</v>
      </c>
      <c r="AN179" s="10">
        <f t="shared" si="99"/>
        <v>0</v>
      </c>
      <c r="AO179" s="1322">
        <f t="shared" si="99"/>
        <v>0</v>
      </c>
      <c r="AP179" s="319">
        <f t="shared" si="99"/>
        <v>0</v>
      </c>
      <c r="AQ179">
        <f t="shared" si="99"/>
        <v>0</v>
      </c>
      <c r="AR179" s="1323">
        <f t="shared" si="99"/>
        <v>0</v>
      </c>
      <c r="AS179" s="319">
        <f t="shared" si="99"/>
        <v>0</v>
      </c>
    </row>
    <row r="180" spans="17:45">
      <c r="Q180" t="s">
        <v>135</v>
      </c>
      <c r="R180" s="319">
        <f>COUNTIF($C81:$O82, R$170)</f>
        <v>0</v>
      </c>
      <c r="S180" s="319">
        <f t="shared" ref="S180:AS180" si="100">COUNTIF($C81:$O82, S$170)</f>
        <v>0</v>
      </c>
      <c r="T180" s="587">
        <f t="shared" si="100"/>
        <v>0</v>
      </c>
      <c r="U180" s="319">
        <f t="shared" si="100"/>
        <v>0</v>
      </c>
      <c r="V180" s="319">
        <f t="shared" si="100"/>
        <v>0</v>
      </c>
      <c r="W180" s="319">
        <f t="shared" si="100"/>
        <v>0</v>
      </c>
      <c r="X180" s="1321">
        <f t="shared" si="100"/>
        <v>0</v>
      </c>
      <c r="Y180" s="233">
        <f t="shared" si="100"/>
        <v>0</v>
      </c>
      <c r="Z180" s="36">
        <f t="shared" si="100"/>
        <v>1</v>
      </c>
      <c r="AA180" s="319">
        <f t="shared" si="100"/>
        <v>0</v>
      </c>
      <c r="AB180">
        <f t="shared" si="100"/>
        <v>1</v>
      </c>
      <c r="AC180">
        <f t="shared" si="100"/>
        <v>0</v>
      </c>
      <c r="AD180" s="242">
        <f t="shared" si="100"/>
        <v>0</v>
      </c>
      <c r="AE180" s="8">
        <f t="shared" si="100"/>
        <v>0</v>
      </c>
      <c r="AF180" s="500">
        <f t="shared" si="100"/>
        <v>0</v>
      </c>
      <c r="AG180" s="319">
        <f t="shared" si="100"/>
        <v>0</v>
      </c>
      <c r="AH180" s="319">
        <f t="shared" si="100"/>
        <v>0</v>
      </c>
      <c r="AI180" s="319">
        <f t="shared" si="100"/>
        <v>0</v>
      </c>
      <c r="AJ180" s="500">
        <f t="shared" si="100"/>
        <v>0</v>
      </c>
      <c r="AK180" s="1088">
        <f t="shared" si="100"/>
        <v>1</v>
      </c>
      <c r="AL180" s="319">
        <f t="shared" si="100"/>
        <v>0</v>
      </c>
      <c r="AM180" s="1101">
        <f t="shared" si="100"/>
        <v>0</v>
      </c>
      <c r="AN180" s="10">
        <f t="shared" si="100"/>
        <v>0</v>
      </c>
      <c r="AO180" s="1322">
        <f t="shared" si="100"/>
        <v>0</v>
      </c>
      <c r="AP180" s="319">
        <f t="shared" si="100"/>
        <v>0</v>
      </c>
      <c r="AQ180">
        <f t="shared" si="100"/>
        <v>0</v>
      </c>
      <c r="AR180" s="1323">
        <f t="shared" si="100"/>
        <v>0</v>
      </c>
      <c r="AS180" s="319">
        <f t="shared" si="100"/>
        <v>0</v>
      </c>
    </row>
    <row r="181" spans="17:45">
      <c r="Q181" t="s">
        <v>136</v>
      </c>
      <c r="R181" s="319">
        <f>COUNTIF($C84:$O85, R$170)</f>
        <v>0</v>
      </c>
      <c r="S181" s="319">
        <f t="shared" ref="S181:AS181" si="101">COUNTIF($C84:$O85, S$170)</f>
        <v>0</v>
      </c>
      <c r="T181" s="587">
        <f t="shared" si="101"/>
        <v>0</v>
      </c>
      <c r="U181" s="319">
        <f t="shared" si="101"/>
        <v>0</v>
      </c>
      <c r="V181" s="319">
        <f t="shared" si="101"/>
        <v>0</v>
      </c>
      <c r="W181" s="319">
        <f t="shared" si="101"/>
        <v>0</v>
      </c>
      <c r="X181" s="1321">
        <f t="shared" si="101"/>
        <v>1</v>
      </c>
      <c r="Y181" s="233">
        <f t="shared" si="101"/>
        <v>0</v>
      </c>
      <c r="Z181" s="36">
        <f t="shared" si="101"/>
        <v>0</v>
      </c>
      <c r="AA181" s="319">
        <f t="shared" si="101"/>
        <v>0</v>
      </c>
      <c r="AB181">
        <f t="shared" si="101"/>
        <v>0</v>
      </c>
      <c r="AC181">
        <f t="shared" si="101"/>
        <v>0</v>
      </c>
      <c r="AD181" s="242">
        <f t="shared" si="101"/>
        <v>0</v>
      </c>
      <c r="AE181" s="8">
        <f t="shared" si="101"/>
        <v>0</v>
      </c>
      <c r="AF181" s="500">
        <f t="shared" si="101"/>
        <v>0</v>
      </c>
      <c r="AG181" s="319">
        <f t="shared" si="101"/>
        <v>0</v>
      </c>
      <c r="AH181" s="319">
        <f t="shared" si="101"/>
        <v>0</v>
      </c>
      <c r="AI181" s="319">
        <f t="shared" si="101"/>
        <v>0</v>
      </c>
      <c r="AJ181" s="500">
        <f t="shared" si="101"/>
        <v>0</v>
      </c>
      <c r="AK181" s="1088">
        <f t="shared" si="101"/>
        <v>0</v>
      </c>
      <c r="AL181" s="319">
        <f t="shared" si="101"/>
        <v>0</v>
      </c>
      <c r="AM181" s="1101">
        <f t="shared" si="101"/>
        <v>0</v>
      </c>
      <c r="AN181" s="10">
        <f t="shared" si="101"/>
        <v>0</v>
      </c>
      <c r="AO181" s="1322">
        <f t="shared" si="101"/>
        <v>0</v>
      </c>
      <c r="AP181" s="319">
        <f t="shared" si="101"/>
        <v>0</v>
      </c>
      <c r="AQ181">
        <f t="shared" si="101"/>
        <v>0</v>
      </c>
      <c r="AR181" s="1323">
        <f t="shared" si="101"/>
        <v>0</v>
      </c>
      <c r="AS181" s="319">
        <f t="shared" si="101"/>
        <v>0</v>
      </c>
    </row>
    <row r="182" spans="17:45">
      <c r="Q182" t="s">
        <v>137</v>
      </c>
      <c r="R182" s="319">
        <f>COUNTIF($C87:$O88, R$170)</f>
        <v>0</v>
      </c>
      <c r="S182" s="319">
        <f t="shared" ref="S182:AS182" si="102">COUNTIF($C87:$O88, S$170)</f>
        <v>0</v>
      </c>
      <c r="T182" s="587">
        <f t="shared" si="102"/>
        <v>0</v>
      </c>
      <c r="U182" s="319">
        <f t="shared" si="102"/>
        <v>0</v>
      </c>
      <c r="V182" s="319">
        <f t="shared" si="102"/>
        <v>0</v>
      </c>
      <c r="W182" s="319">
        <f t="shared" si="102"/>
        <v>0</v>
      </c>
      <c r="X182" s="1321">
        <f t="shared" si="102"/>
        <v>0</v>
      </c>
      <c r="Y182" s="233">
        <f t="shared" si="102"/>
        <v>0</v>
      </c>
      <c r="Z182" s="36">
        <f t="shared" si="102"/>
        <v>0</v>
      </c>
      <c r="AA182" s="319">
        <f t="shared" si="102"/>
        <v>0</v>
      </c>
      <c r="AB182">
        <f t="shared" si="102"/>
        <v>0</v>
      </c>
      <c r="AC182">
        <f t="shared" si="102"/>
        <v>0</v>
      </c>
      <c r="AD182" s="242">
        <f t="shared" si="102"/>
        <v>0</v>
      </c>
      <c r="AE182" s="8">
        <f t="shared" si="102"/>
        <v>0</v>
      </c>
      <c r="AF182" s="500">
        <f t="shared" si="102"/>
        <v>0</v>
      </c>
      <c r="AG182" s="319">
        <f t="shared" si="102"/>
        <v>0</v>
      </c>
      <c r="AH182" s="319">
        <f t="shared" si="102"/>
        <v>0</v>
      </c>
      <c r="AI182" s="319">
        <f t="shared" si="102"/>
        <v>0</v>
      </c>
      <c r="AJ182" s="500">
        <f t="shared" si="102"/>
        <v>0</v>
      </c>
      <c r="AK182" s="1088">
        <f t="shared" si="102"/>
        <v>1</v>
      </c>
      <c r="AL182" s="319">
        <f t="shared" si="102"/>
        <v>0</v>
      </c>
      <c r="AM182" s="1101">
        <f t="shared" si="102"/>
        <v>0</v>
      </c>
      <c r="AN182" s="10">
        <f t="shared" si="102"/>
        <v>0</v>
      </c>
      <c r="AO182" s="1322">
        <f t="shared" si="102"/>
        <v>0</v>
      </c>
      <c r="AP182" s="319">
        <f t="shared" si="102"/>
        <v>0</v>
      </c>
      <c r="AQ182">
        <f t="shared" si="102"/>
        <v>0</v>
      </c>
      <c r="AR182" s="1323">
        <f t="shared" si="102"/>
        <v>0</v>
      </c>
      <c r="AS182" s="319">
        <f t="shared" si="102"/>
        <v>0</v>
      </c>
    </row>
    <row r="183" spans="17:45">
      <c r="Q183" t="s">
        <v>138</v>
      </c>
      <c r="R183" s="319">
        <f>COUNTIF($C90:$O91, R$170)</f>
        <v>0</v>
      </c>
      <c r="S183" s="319">
        <f t="shared" ref="S183:AS183" si="103">COUNTIF($C90:$O91, S$170)</f>
        <v>0</v>
      </c>
      <c r="T183" s="587">
        <f t="shared" si="103"/>
        <v>0</v>
      </c>
      <c r="U183" s="319">
        <f t="shared" si="103"/>
        <v>0</v>
      </c>
      <c r="V183" s="319">
        <f t="shared" si="103"/>
        <v>0</v>
      </c>
      <c r="W183" s="319">
        <f t="shared" si="103"/>
        <v>0</v>
      </c>
      <c r="X183" s="1321">
        <f t="shared" si="103"/>
        <v>0</v>
      </c>
      <c r="Y183" s="233">
        <f t="shared" si="103"/>
        <v>0</v>
      </c>
      <c r="Z183" s="36">
        <f t="shared" si="103"/>
        <v>0</v>
      </c>
      <c r="AA183" s="319">
        <f t="shared" si="103"/>
        <v>0</v>
      </c>
      <c r="AB183">
        <f t="shared" si="103"/>
        <v>1</v>
      </c>
      <c r="AC183">
        <f t="shared" si="103"/>
        <v>0</v>
      </c>
      <c r="AD183" s="242">
        <f t="shared" si="103"/>
        <v>0</v>
      </c>
      <c r="AE183" s="8">
        <f t="shared" si="103"/>
        <v>0</v>
      </c>
      <c r="AF183" s="500">
        <f t="shared" si="103"/>
        <v>0</v>
      </c>
      <c r="AG183" s="319">
        <f t="shared" si="103"/>
        <v>0</v>
      </c>
      <c r="AH183" s="319">
        <f t="shared" si="103"/>
        <v>0</v>
      </c>
      <c r="AI183" s="319">
        <f t="shared" si="103"/>
        <v>0</v>
      </c>
      <c r="AJ183" s="500">
        <f t="shared" si="103"/>
        <v>0</v>
      </c>
      <c r="AK183" s="1088">
        <f t="shared" si="103"/>
        <v>0</v>
      </c>
      <c r="AL183" s="319">
        <f t="shared" si="103"/>
        <v>0</v>
      </c>
      <c r="AM183" s="1101">
        <f t="shared" si="103"/>
        <v>1</v>
      </c>
      <c r="AN183" s="10">
        <f t="shared" si="103"/>
        <v>0</v>
      </c>
      <c r="AO183" s="1322">
        <f t="shared" si="103"/>
        <v>0</v>
      </c>
      <c r="AP183" s="319">
        <f t="shared" si="103"/>
        <v>0</v>
      </c>
      <c r="AQ183">
        <f t="shared" si="103"/>
        <v>0</v>
      </c>
      <c r="AR183" s="1323">
        <f t="shared" si="103"/>
        <v>0</v>
      </c>
      <c r="AS183" s="319">
        <f t="shared" si="103"/>
        <v>0</v>
      </c>
    </row>
    <row r="184" spans="17:45">
      <c r="Q184" t="s">
        <v>139</v>
      </c>
      <c r="R184" s="319">
        <f>COUNTIF($C93:$O94, R$170)</f>
        <v>0</v>
      </c>
      <c r="S184" s="319">
        <f t="shared" ref="S184:AS184" si="104">COUNTIF($C93:$O94, S$170)</f>
        <v>0</v>
      </c>
      <c r="T184" s="587">
        <f t="shared" si="104"/>
        <v>0</v>
      </c>
      <c r="U184" s="319">
        <f t="shared" si="104"/>
        <v>0</v>
      </c>
      <c r="V184" s="319">
        <f t="shared" si="104"/>
        <v>0</v>
      </c>
      <c r="W184" s="319">
        <f t="shared" si="104"/>
        <v>0</v>
      </c>
      <c r="X184" s="1321">
        <f t="shared" si="104"/>
        <v>0</v>
      </c>
      <c r="Y184" s="233">
        <f t="shared" si="104"/>
        <v>0</v>
      </c>
      <c r="Z184" s="36">
        <f t="shared" si="104"/>
        <v>0</v>
      </c>
      <c r="AA184" s="319">
        <f t="shared" si="104"/>
        <v>0</v>
      </c>
      <c r="AB184">
        <f t="shared" si="104"/>
        <v>0</v>
      </c>
      <c r="AC184">
        <f t="shared" si="104"/>
        <v>0</v>
      </c>
      <c r="AD184" s="242">
        <f t="shared" si="104"/>
        <v>0</v>
      </c>
      <c r="AE184" s="8">
        <f t="shared" si="104"/>
        <v>0</v>
      </c>
      <c r="AF184" s="500">
        <f t="shared" si="104"/>
        <v>1</v>
      </c>
      <c r="AG184" s="319">
        <f t="shared" si="104"/>
        <v>0</v>
      </c>
      <c r="AH184" s="319">
        <f t="shared" si="104"/>
        <v>0</v>
      </c>
      <c r="AI184" s="319">
        <f t="shared" si="104"/>
        <v>0</v>
      </c>
      <c r="AJ184" s="500">
        <f t="shared" si="104"/>
        <v>0</v>
      </c>
      <c r="AK184" s="1088">
        <f t="shared" si="104"/>
        <v>0</v>
      </c>
      <c r="AL184" s="319">
        <f t="shared" si="104"/>
        <v>0</v>
      </c>
      <c r="AM184" s="1101">
        <f t="shared" si="104"/>
        <v>0</v>
      </c>
      <c r="AN184" s="10">
        <f t="shared" si="104"/>
        <v>0</v>
      </c>
      <c r="AO184" s="1322">
        <f t="shared" si="104"/>
        <v>1</v>
      </c>
      <c r="AP184" s="319">
        <f t="shared" si="104"/>
        <v>0</v>
      </c>
      <c r="AQ184">
        <f t="shared" si="104"/>
        <v>0</v>
      </c>
      <c r="AR184" s="1323">
        <f t="shared" si="104"/>
        <v>0</v>
      </c>
      <c r="AS184" s="319">
        <f t="shared" si="104"/>
        <v>0</v>
      </c>
    </row>
    <row r="185" spans="17:45">
      <c r="Q185" t="s">
        <v>140</v>
      </c>
      <c r="R185" s="319">
        <f>COUNTIF($C96:$O97, R$170)</f>
        <v>0</v>
      </c>
      <c r="S185" s="319">
        <f t="shared" ref="S185:AS185" si="105">COUNTIF($C96:$O97, S$170)</f>
        <v>0</v>
      </c>
      <c r="T185" s="587">
        <f t="shared" si="105"/>
        <v>0</v>
      </c>
      <c r="U185" s="319">
        <f t="shared" si="105"/>
        <v>0</v>
      </c>
      <c r="V185" s="319">
        <f t="shared" si="105"/>
        <v>0</v>
      </c>
      <c r="W185" s="319">
        <f t="shared" si="105"/>
        <v>0</v>
      </c>
      <c r="X185" s="1321">
        <f t="shared" si="105"/>
        <v>0</v>
      </c>
      <c r="Y185" s="233">
        <f t="shared" si="105"/>
        <v>0</v>
      </c>
      <c r="Z185" s="36">
        <f t="shared" si="105"/>
        <v>1</v>
      </c>
      <c r="AA185" s="319">
        <f t="shared" si="105"/>
        <v>0</v>
      </c>
      <c r="AB185">
        <f t="shared" si="105"/>
        <v>0</v>
      </c>
      <c r="AC185">
        <f t="shared" si="105"/>
        <v>0</v>
      </c>
      <c r="AD185" s="242">
        <f t="shared" si="105"/>
        <v>0</v>
      </c>
      <c r="AE185" s="8">
        <f t="shared" si="105"/>
        <v>0</v>
      </c>
      <c r="AF185" s="500">
        <f t="shared" si="105"/>
        <v>0</v>
      </c>
      <c r="AG185" s="319">
        <f t="shared" si="105"/>
        <v>0</v>
      </c>
      <c r="AH185" s="319">
        <f t="shared" si="105"/>
        <v>0</v>
      </c>
      <c r="AI185" s="319">
        <f t="shared" si="105"/>
        <v>0</v>
      </c>
      <c r="AJ185" s="500">
        <f t="shared" si="105"/>
        <v>0</v>
      </c>
      <c r="AK185" s="1088">
        <f t="shared" si="105"/>
        <v>0</v>
      </c>
      <c r="AL185" s="319">
        <f t="shared" si="105"/>
        <v>0</v>
      </c>
      <c r="AM185" s="1101">
        <f t="shared" si="105"/>
        <v>0</v>
      </c>
      <c r="AN185" s="10">
        <f t="shared" si="105"/>
        <v>0</v>
      </c>
      <c r="AO185" s="1322">
        <f t="shared" si="105"/>
        <v>0</v>
      </c>
      <c r="AP185" s="319">
        <f t="shared" si="105"/>
        <v>0</v>
      </c>
      <c r="AQ185">
        <f t="shared" si="105"/>
        <v>0</v>
      </c>
      <c r="AR185" s="1323">
        <f t="shared" si="105"/>
        <v>0</v>
      </c>
      <c r="AS185" s="319">
        <f t="shared" si="105"/>
        <v>0</v>
      </c>
    </row>
    <row r="186" spans="17:45">
      <c r="Q186" t="s">
        <v>141</v>
      </c>
      <c r="R186" s="319">
        <f>COUNTIF($C99:$O100, R$170)</f>
        <v>0</v>
      </c>
      <c r="S186" s="319">
        <f t="shared" ref="S186:AS186" si="106">COUNTIF($C99:$O100, S$170)</f>
        <v>0</v>
      </c>
      <c r="T186" s="587">
        <f t="shared" si="106"/>
        <v>0</v>
      </c>
      <c r="U186" s="319">
        <f t="shared" si="106"/>
        <v>0</v>
      </c>
      <c r="V186" s="319">
        <f t="shared" si="106"/>
        <v>0</v>
      </c>
      <c r="W186" s="319">
        <f t="shared" si="106"/>
        <v>0</v>
      </c>
      <c r="X186" s="1321">
        <f t="shared" si="106"/>
        <v>0</v>
      </c>
      <c r="Y186" s="233">
        <f t="shared" si="106"/>
        <v>0</v>
      </c>
      <c r="Z186" s="36">
        <f t="shared" si="106"/>
        <v>0</v>
      </c>
      <c r="AA186" s="319">
        <f t="shared" si="106"/>
        <v>0</v>
      </c>
      <c r="AB186">
        <f t="shared" si="106"/>
        <v>0</v>
      </c>
      <c r="AC186">
        <f t="shared" si="106"/>
        <v>0</v>
      </c>
      <c r="AD186" s="242">
        <f t="shared" si="106"/>
        <v>0</v>
      </c>
      <c r="AE186" s="8">
        <f t="shared" si="106"/>
        <v>1</v>
      </c>
      <c r="AF186" s="500">
        <f t="shared" si="106"/>
        <v>0</v>
      </c>
      <c r="AG186" s="319">
        <f t="shared" si="106"/>
        <v>0</v>
      </c>
      <c r="AH186" s="319">
        <f t="shared" si="106"/>
        <v>0</v>
      </c>
      <c r="AI186" s="319">
        <f t="shared" si="106"/>
        <v>0</v>
      </c>
      <c r="AJ186" s="500">
        <f t="shared" si="106"/>
        <v>0</v>
      </c>
      <c r="AK186" s="1088">
        <f t="shared" si="106"/>
        <v>0</v>
      </c>
      <c r="AL186" s="319">
        <f t="shared" si="106"/>
        <v>0</v>
      </c>
      <c r="AM186" s="1101">
        <f t="shared" si="106"/>
        <v>0</v>
      </c>
      <c r="AN186" s="10">
        <f t="shared" si="106"/>
        <v>0</v>
      </c>
      <c r="AO186" s="1322">
        <f t="shared" si="106"/>
        <v>0</v>
      </c>
      <c r="AP186" s="319">
        <f t="shared" si="106"/>
        <v>0</v>
      </c>
      <c r="AQ186">
        <f t="shared" si="106"/>
        <v>0</v>
      </c>
      <c r="AR186" s="1323">
        <f t="shared" si="106"/>
        <v>0</v>
      </c>
      <c r="AS186" s="319">
        <f t="shared" si="106"/>
        <v>0</v>
      </c>
    </row>
    <row r="187" spans="17:45">
      <c r="Q187" t="s">
        <v>142</v>
      </c>
      <c r="R187" s="319">
        <f>COUNTIF($C102:$O103, R$170)</f>
        <v>0</v>
      </c>
      <c r="S187" s="319">
        <f t="shared" ref="S187:AS187" si="107">COUNTIF($C102:$O103, S$170)</f>
        <v>0</v>
      </c>
      <c r="T187" s="587">
        <f t="shared" si="107"/>
        <v>0</v>
      </c>
      <c r="U187" s="319">
        <f t="shared" si="107"/>
        <v>0</v>
      </c>
      <c r="V187" s="319">
        <f t="shared" si="107"/>
        <v>0</v>
      </c>
      <c r="W187" s="319">
        <f t="shared" si="107"/>
        <v>0</v>
      </c>
      <c r="X187" s="1321">
        <f t="shared" si="107"/>
        <v>0</v>
      </c>
      <c r="Y187" s="233">
        <f t="shared" si="107"/>
        <v>0</v>
      </c>
      <c r="Z187" s="36">
        <f t="shared" si="107"/>
        <v>0</v>
      </c>
      <c r="AA187" s="319">
        <f t="shared" si="107"/>
        <v>0</v>
      </c>
      <c r="AB187">
        <f t="shared" si="107"/>
        <v>1</v>
      </c>
      <c r="AC187">
        <f t="shared" si="107"/>
        <v>0</v>
      </c>
      <c r="AD187" s="242">
        <f t="shared" si="107"/>
        <v>0</v>
      </c>
      <c r="AE187" s="8">
        <f t="shared" si="107"/>
        <v>0</v>
      </c>
      <c r="AF187" s="500">
        <f t="shared" si="107"/>
        <v>0</v>
      </c>
      <c r="AG187" s="319">
        <f t="shared" si="107"/>
        <v>0</v>
      </c>
      <c r="AH187" s="319">
        <f t="shared" si="107"/>
        <v>0</v>
      </c>
      <c r="AI187" s="319">
        <f t="shared" si="107"/>
        <v>0</v>
      </c>
      <c r="AJ187" s="500">
        <f t="shared" si="107"/>
        <v>0</v>
      </c>
      <c r="AK187" s="1088">
        <f t="shared" si="107"/>
        <v>0</v>
      </c>
      <c r="AL187" s="319">
        <f t="shared" si="107"/>
        <v>0</v>
      </c>
      <c r="AM187" s="1101">
        <f t="shared" si="107"/>
        <v>0</v>
      </c>
      <c r="AN187" s="10">
        <f t="shared" si="107"/>
        <v>0</v>
      </c>
      <c r="AO187" s="1322">
        <f t="shared" si="107"/>
        <v>0</v>
      </c>
      <c r="AP187" s="319">
        <f t="shared" si="107"/>
        <v>0</v>
      </c>
      <c r="AQ187">
        <f t="shared" si="107"/>
        <v>0</v>
      </c>
      <c r="AR187" s="1323">
        <f t="shared" si="107"/>
        <v>0</v>
      </c>
      <c r="AS187" s="319">
        <f t="shared" si="107"/>
        <v>0</v>
      </c>
    </row>
    <row r="188" spans="17:45">
      <c r="Q188" t="s">
        <v>143</v>
      </c>
      <c r="R188" s="319">
        <f>COUNTIF($C105:$O106, R$170)</f>
        <v>0</v>
      </c>
      <c r="S188" s="319">
        <f t="shared" ref="S188:AS188" si="108">COUNTIF($C105:$O106, S$170)</f>
        <v>0</v>
      </c>
      <c r="T188" s="587">
        <f t="shared" si="108"/>
        <v>0</v>
      </c>
      <c r="U188" s="319">
        <f t="shared" si="108"/>
        <v>0</v>
      </c>
      <c r="V188" s="319">
        <f t="shared" si="108"/>
        <v>0</v>
      </c>
      <c r="W188" s="319">
        <f t="shared" si="108"/>
        <v>0</v>
      </c>
      <c r="X188" s="1321">
        <f t="shared" si="108"/>
        <v>0</v>
      </c>
      <c r="Y188" s="233">
        <f t="shared" si="108"/>
        <v>0</v>
      </c>
      <c r="Z188" s="36">
        <f t="shared" si="108"/>
        <v>0</v>
      </c>
      <c r="AA188" s="319">
        <f t="shared" si="108"/>
        <v>0</v>
      </c>
      <c r="AB188">
        <f t="shared" si="108"/>
        <v>0</v>
      </c>
      <c r="AC188">
        <f t="shared" si="108"/>
        <v>0</v>
      </c>
      <c r="AD188" s="242">
        <f t="shared" si="108"/>
        <v>0</v>
      </c>
      <c r="AE188" s="8">
        <f t="shared" si="108"/>
        <v>0</v>
      </c>
      <c r="AF188" s="500">
        <f t="shared" si="108"/>
        <v>0</v>
      </c>
      <c r="AG188" s="319">
        <f t="shared" si="108"/>
        <v>0</v>
      </c>
      <c r="AH188" s="319">
        <f t="shared" si="108"/>
        <v>0</v>
      </c>
      <c r="AI188" s="319">
        <f t="shared" si="108"/>
        <v>0</v>
      </c>
      <c r="AJ188" s="500">
        <f t="shared" si="108"/>
        <v>0</v>
      </c>
      <c r="AK188" s="1088">
        <f t="shared" si="108"/>
        <v>0</v>
      </c>
      <c r="AL188" s="319">
        <f t="shared" si="108"/>
        <v>0</v>
      </c>
      <c r="AM188" s="1101">
        <f t="shared" si="108"/>
        <v>0</v>
      </c>
      <c r="AN188" s="10">
        <f t="shared" si="108"/>
        <v>0</v>
      </c>
      <c r="AO188" s="1322">
        <f t="shared" si="108"/>
        <v>0</v>
      </c>
      <c r="AP188" s="319">
        <f t="shared" si="108"/>
        <v>0</v>
      </c>
      <c r="AQ188">
        <f t="shared" si="108"/>
        <v>0</v>
      </c>
      <c r="AR188" s="1323">
        <f t="shared" si="108"/>
        <v>0</v>
      </c>
      <c r="AS188" s="319">
        <f t="shared" si="108"/>
        <v>0</v>
      </c>
    </row>
    <row r="189" spans="17:45">
      <c r="Q189" t="s">
        <v>144</v>
      </c>
      <c r="R189" s="319">
        <f>COUNTIF($C108:$O109, R$170)</f>
        <v>0</v>
      </c>
      <c r="S189" s="319">
        <f t="shared" ref="S189:AS189" si="109">COUNTIF($C108:$O109, S$170)</f>
        <v>0</v>
      </c>
      <c r="T189" s="587">
        <f t="shared" si="109"/>
        <v>0</v>
      </c>
      <c r="U189" s="319">
        <f t="shared" si="109"/>
        <v>0</v>
      </c>
      <c r="V189" s="319">
        <f t="shared" si="109"/>
        <v>0</v>
      </c>
      <c r="W189" s="319">
        <f t="shared" si="109"/>
        <v>0</v>
      </c>
      <c r="X189" s="1321">
        <f t="shared" si="109"/>
        <v>0</v>
      </c>
      <c r="Y189" s="233">
        <f t="shared" si="109"/>
        <v>0</v>
      </c>
      <c r="Z189" s="36">
        <f t="shared" si="109"/>
        <v>0</v>
      </c>
      <c r="AA189" s="319">
        <f t="shared" si="109"/>
        <v>0</v>
      </c>
      <c r="AB189">
        <f t="shared" si="109"/>
        <v>0</v>
      </c>
      <c r="AC189">
        <f t="shared" si="109"/>
        <v>0</v>
      </c>
      <c r="AD189" s="242">
        <f t="shared" si="109"/>
        <v>0</v>
      </c>
      <c r="AE189" s="8">
        <f t="shared" si="109"/>
        <v>0</v>
      </c>
      <c r="AF189" s="500">
        <f t="shared" si="109"/>
        <v>0</v>
      </c>
      <c r="AG189" s="319">
        <f t="shared" si="109"/>
        <v>0</v>
      </c>
      <c r="AH189" s="319">
        <f t="shared" si="109"/>
        <v>0</v>
      </c>
      <c r="AI189" s="319">
        <f t="shared" si="109"/>
        <v>0</v>
      </c>
      <c r="AJ189" s="500">
        <f t="shared" si="109"/>
        <v>0</v>
      </c>
      <c r="AK189" s="1088">
        <f t="shared" si="109"/>
        <v>0</v>
      </c>
      <c r="AL189" s="319">
        <f t="shared" si="109"/>
        <v>0</v>
      </c>
      <c r="AM189" s="1101">
        <f t="shared" si="109"/>
        <v>0</v>
      </c>
      <c r="AN189" s="10">
        <f t="shared" si="109"/>
        <v>0</v>
      </c>
      <c r="AO189" s="1322">
        <f t="shared" si="109"/>
        <v>0</v>
      </c>
      <c r="AP189" s="319">
        <f t="shared" si="109"/>
        <v>0</v>
      </c>
      <c r="AQ189">
        <f t="shared" si="109"/>
        <v>0</v>
      </c>
      <c r="AR189" s="1323">
        <f t="shared" si="109"/>
        <v>0</v>
      </c>
      <c r="AS189" s="319">
        <f t="shared" si="109"/>
        <v>0</v>
      </c>
    </row>
    <row r="190" spans="17:45">
      <c r="Q190" t="s">
        <v>145</v>
      </c>
      <c r="R190" s="319">
        <f>COUNTIF($C111:$O112, R$170)</f>
        <v>0</v>
      </c>
      <c r="S190" s="319">
        <f t="shared" ref="S190:AS190" si="110">COUNTIF($C111:$O112, S$170)</f>
        <v>0</v>
      </c>
      <c r="T190" s="587">
        <f t="shared" si="110"/>
        <v>0</v>
      </c>
      <c r="U190" s="319">
        <f t="shared" si="110"/>
        <v>0</v>
      </c>
      <c r="V190" s="319">
        <f t="shared" si="110"/>
        <v>0</v>
      </c>
      <c r="W190" s="319">
        <f t="shared" si="110"/>
        <v>0</v>
      </c>
      <c r="X190" s="1321">
        <f t="shared" si="110"/>
        <v>0</v>
      </c>
      <c r="Y190" s="233">
        <f t="shared" si="110"/>
        <v>0</v>
      </c>
      <c r="Z190" s="36">
        <f t="shared" si="110"/>
        <v>1</v>
      </c>
      <c r="AA190" s="319">
        <f t="shared" si="110"/>
        <v>0</v>
      </c>
      <c r="AB190">
        <f t="shared" si="110"/>
        <v>0</v>
      </c>
      <c r="AC190">
        <f t="shared" si="110"/>
        <v>0</v>
      </c>
      <c r="AD190" s="242">
        <f t="shared" si="110"/>
        <v>0</v>
      </c>
      <c r="AE190" s="8">
        <f t="shared" si="110"/>
        <v>0</v>
      </c>
      <c r="AF190" s="500">
        <f t="shared" si="110"/>
        <v>0</v>
      </c>
      <c r="AG190" s="319">
        <f t="shared" si="110"/>
        <v>0</v>
      </c>
      <c r="AH190" s="319">
        <f t="shared" si="110"/>
        <v>0</v>
      </c>
      <c r="AI190" s="319">
        <f t="shared" si="110"/>
        <v>0</v>
      </c>
      <c r="AJ190" s="500">
        <f t="shared" si="110"/>
        <v>0</v>
      </c>
      <c r="AK190" s="1088">
        <f t="shared" si="110"/>
        <v>1</v>
      </c>
      <c r="AL190" s="319">
        <f t="shared" si="110"/>
        <v>0</v>
      </c>
      <c r="AM190" s="1101">
        <f t="shared" si="110"/>
        <v>1</v>
      </c>
      <c r="AN190" s="10">
        <f t="shared" si="110"/>
        <v>0</v>
      </c>
      <c r="AO190" s="1322">
        <f t="shared" si="110"/>
        <v>0</v>
      </c>
      <c r="AP190" s="319">
        <f t="shared" si="110"/>
        <v>0</v>
      </c>
      <c r="AQ190">
        <f t="shared" si="110"/>
        <v>0</v>
      </c>
      <c r="AR190" s="1323">
        <f t="shared" si="110"/>
        <v>0</v>
      </c>
      <c r="AS190" s="319">
        <f t="shared" si="110"/>
        <v>0</v>
      </c>
    </row>
    <row r="191" spans="17:45">
      <c r="Q191" t="s">
        <v>146</v>
      </c>
      <c r="R191" s="319">
        <f>COUNTIF($C114:$O115, R$170)</f>
        <v>0</v>
      </c>
      <c r="S191" s="319">
        <f t="shared" ref="S191:AS191" si="111">COUNTIF($C114:$O115, S$170)</f>
        <v>0</v>
      </c>
      <c r="T191" s="587">
        <f t="shared" si="111"/>
        <v>0</v>
      </c>
      <c r="U191" s="319">
        <f t="shared" si="111"/>
        <v>0</v>
      </c>
      <c r="V191" s="319">
        <f t="shared" si="111"/>
        <v>0</v>
      </c>
      <c r="W191" s="319">
        <f t="shared" si="111"/>
        <v>0</v>
      </c>
      <c r="X191" s="1321">
        <f t="shared" si="111"/>
        <v>0</v>
      </c>
      <c r="Y191" s="233">
        <f t="shared" si="111"/>
        <v>0</v>
      </c>
      <c r="Z191" s="36">
        <f t="shared" si="111"/>
        <v>0</v>
      </c>
      <c r="AA191" s="319">
        <f t="shared" si="111"/>
        <v>0</v>
      </c>
      <c r="AB191">
        <f t="shared" si="111"/>
        <v>1</v>
      </c>
      <c r="AC191">
        <f t="shared" si="111"/>
        <v>0</v>
      </c>
      <c r="AD191" s="242">
        <f t="shared" si="111"/>
        <v>0</v>
      </c>
      <c r="AE191" s="8">
        <f t="shared" si="111"/>
        <v>0</v>
      </c>
      <c r="AF191" s="500">
        <f t="shared" si="111"/>
        <v>0</v>
      </c>
      <c r="AG191" s="319">
        <f t="shared" si="111"/>
        <v>0</v>
      </c>
      <c r="AH191" s="319">
        <f t="shared" si="111"/>
        <v>0</v>
      </c>
      <c r="AI191" s="319">
        <f t="shared" si="111"/>
        <v>0</v>
      </c>
      <c r="AJ191" s="500">
        <f t="shared" si="111"/>
        <v>0</v>
      </c>
      <c r="AK191" s="1088">
        <f t="shared" si="111"/>
        <v>0</v>
      </c>
      <c r="AL191" s="319">
        <f t="shared" si="111"/>
        <v>0</v>
      </c>
      <c r="AM191" s="1101">
        <f t="shared" si="111"/>
        <v>0</v>
      </c>
      <c r="AN191" s="10">
        <f t="shared" si="111"/>
        <v>0</v>
      </c>
      <c r="AO191" s="1322">
        <f t="shared" si="111"/>
        <v>1</v>
      </c>
      <c r="AP191" s="319">
        <f t="shared" si="111"/>
        <v>0</v>
      </c>
      <c r="AQ191">
        <f t="shared" si="111"/>
        <v>0</v>
      </c>
      <c r="AR191" s="1323">
        <f t="shared" si="111"/>
        <v>0</v>
      </c>
      <c r="AS191" s="319">
        <f t="shared" si="111"/>
        <v>0</v>
      </c>
    </row>
    <row r="192" spans="17:45">
      <c r="Q192" t="s">
        <v>147</v>
      </c>
      <c r="R192" s="319">
        <f>COUNTIF($C117:$O118, R$170)</f>
        <v>0</v>
      </c>
      <c r="S192" s="319">
        <f t="shared" ref="S192:AS192" si="112">COUNTIF($C117:$O118, S$170)</f>
        <v>0</v>
      </c>
      <c r="T192" s="587">
        <f t="shared" si="112"/>
        <v>1</v>
      </c>
      <c r="U192" s="319">
        <f t="shared" si="112"/>
        <v>0</v>
      </c>
      <c r="V192" s="319">
        <f t="shared" si="112"/>
        <v>0</v>
      </c>
      <c r="W192" s="319">
        <f t="shared" si="112"/>
        <v>0</v>
      </c>
      <c r="X192" s="1321">
        <f t="shared" si="112"/>
        <v>0</v>
      </c>
      <c r="Y192" s="233">
        <f t="shared" si="112"/>
        <v>0</v>
      </c>
      <c r="Z192" s="36">
        <f t="shared" si="112"/>
        <v>0</v>
      </c>
      <c r="AA192" s="319">
        <f t="shared" si="112"/>
        <v>0</v>
      </c>
      <c r="AB192">
        <f t="shared" si="112"/>
        <v>0</v>
      </c>
      <c r="AC192">
        <f t="shared" si="112"/>
        <v>0</v>
      </c>
      <c r="AD192" s="242">
        <f t="shared" si="112"/>
        <v>0</v>
      </c>
      <c r="AE192" s="8">
        <f t="shared" si="112"/>
        <v>0</v>
      </c>
      <c r="AF192" s="500">
        <f t="shared" si="112"/>
        <v>0</v>
      </c>
      <c r="AG192" s="319">
        <f t="shared" si="112"/>
        <v>0</v>
      </c>
      <c r="AH192" s="319">
        <f t="shared" si="112"/>
        <v>0</v>
      </c>
      <c r="AI192" s="319">
        <f t="shared" si="112"/>
        <v>0</v>
      </c>
      <c r="AJ192" s="500">
        <f t="shared" si="112"/>
        <v>0</v>
      </c>
      <c r="AK192" s="1088">
        <f t="shared" si="112"/>
        <v>0</v>
      </c>
      <c r="AL192" s="319">
        <f t="shared" si="112"/>
        <v>0</v>
      </c>
      <c r="AM192" s="1101">
        <f t="shared" si="112"/>
        <v>0</v>
      </c>
      <c r="AN192" s="10">
        <f t="shared" si="112"/>
        <v>0</v>
      </c>
      <c r="AO192" s="1322">
        <f t="shared" si="112"/>
        <v>0</v>
      </c>
      <c r="AP192" s="319">
        <f t="shared" si="112"/>
        <v>0</v>
      </c>
      <c r="AQ192">
        <f t="shared" si="112"/>
        <v>0</v>
      </c>
      <c r="AR192" s="1323">
        <f t="shared" si="112"/>
        <v>0</v>
      </c>
      <c r="AS192" s="319">
        <f t="shared" si="112"/>
        <v>0</v>
      </c>
    </row>
    <row r="193" spans="17:45">
      <c r="Q193" t="s">
        <v>148</v>
      </c>
      <c r="R193" s="319">
        <f>COUNTIF($C120:$O121, R$170)</f>
        <v>0</v>
      </c>
      <c r="S193" s="319">
        <f t="shared" ref="S193:AS193" si="113">COUNTIF($C120:$O121, S$170)</f>
        <v>0</v>
      </c>
      <c r="T193" s="587">
        <f t="shared" si="113"/>
        <v>0</v>
      </c>
      <c r="U193" s="319">
        <f t="shared" si="113"/>
        <v>0</v>
      </c>
      <c r="V193" s="319">
        <f t="shared" si="113"/>
        <v>0</v>
      </c>
      <c r="W193" s="319">
        <f t="shared" si="113"/>
        <v>0</v>
      </c>
      <c r="X193" s="1321">
        <f t="shared" si="113"/>
        <v>0</v>
      </c>
      <c r="Y193" s="233">
        <f t="shared" si="113"/>
        <v>0</v>
      </c>
      <c r="Z193" s="36">
        <f t="shared" si="113"/>
        <v>0</v>
      </c>
      <c r="AA193" s="319">
        <f t="shared" si="113"/>
        <v>0</v>
      </c>
      <c r="AB193">
        <f t="shared" si="113"/>
        <v>0</v>
      </c>
      <c r="AC193">
        <f t="shared" si="113"/>
        <v>0</v>
      </c>
      <c r="AD193" s="242">
        <f t="shared" si="113"/>
        <v>0</v>
      </c>
      <c r="AE193" s="8">
        <f t="shared" si="113"/>
        <v>1</v>
      </c>
      <c r="AF193" s="500">
        <f t="shared" si="113"/>
        <v>0</v>
      </c>
      <c r="AG193" s="319">
        <f t="shared" si="113"/>
        <v>0</v>
      </c>
      <c r="AH193" s="319">
        <f t="shared" si="113"/>
        <v>0</v>
      </c>
      <c r="AI193" s="319">
        <f t="shared" si="113"/>
        <v>0</v>
      </c>
      <c r="AJ193" s="500">
        <f t="shared" si="113"/>
        <v>0</v>
      </c>
      <c r="AK193" s="1088">
        <f t="shared" si="113"/>
        <v>0</v>
      </c>
      <c r="AL193" s="319">
        <f t="shared" si="113"/>
        <v>0</v>
      </c>
      <c r="AM193" s="1101">
        <f t="shared" si="113"/>
        <v>0</v>
      </c>
      <c r="AN193" s="10">
        <f t="shared" si="113"/>
        <v>0</v>
      </c>
      <c r="AO193" s="1322">
        <f t="shared" si="113"/>
        <v>0</v>
      </c>
      <c r="AP193" s="319">
        <f t="shared" si="113"/>
        <v>0</v>
      </c>
      <c r="AQ193">
        <f t="shared" si="113"/>
        <v>0</v>
      </c>
      <c r="AR193" s="1323">
        <f t="shared" si="113"/>
        <v>0</v>
      </c>
      <c r="AS193" s="319">
        <f t="shared" si="113"/>
        <v>0</v>
      </c>
    </row>
    <row r="194" spans="17:45">
      <c r="Q194" t="s">
        <v>125</v>
      </c>
      <c r="R194" s="319">
        <f>COUNTIF($C123:$O124, R$170)</f>
        <v>0</v>
      </c>
      <c r="S194" s="319">
        <f t="shared" ref="S194:AS194" si="114">COUNTIF($C123:$O124, S$170)</f>
        <v>0</v>
      </c>
      <c r="T194" s="587">
        <f t="shared" si="114"/>
        <v>0</v>
      </c>
      <c r="U194" s="319">
        <f t="shared" si="114"/>
        <v>0</v>
      </c>
      <c r="V194" s="319">
        <f t="shared" si="114"/>
        <v>0</v>
      </c>
      <c r="W194" s="319">
        <f t="shared" si="114"/>
        <v>0</v>
      </c>
      <c r="X194" s="1321">
        <f t="shared" si="114"/>
        <v>0</v>
      </c>
      <c r="Y194" s="233">
        <f t="shared" si="114"/>
        <v>0</v>
      </c>
      <c r="Z194" s="36">
        <f t="shared" si="114"/>
        <v>0</v>
      </c>
      <c r="AA194" s="319">
        <f t="shared" si="114"/>
        <v>0</v>
      </c>
      <c r="AB194">
        <f t="shared" si="114"/>
        <v>0</v>
      </c>
      <c r="AC194">
        <f t="shared" si="114"/>
        <v>0</v>
      </c>
      <c r="AD194" s="242">
        <f t="shared" si="114"/>
        <v>0</v>
      </c>
      <c r="AE194" s="8">
        <f t="shared" si="114"/>
        <v>0</v>
      </c>
      <c r="AF194" s="500">
        <f t="shared" si="114"/>
        <v>0</v>
      </c>
      <c r="AG194" s="319">
        <f t="shared" si="114"/>
        <v>0</v>
      </c>
      <c r="AH194" s="319">
        <f t="shared" si="114"/>
        <v>0</v>
      </c>
      <c r="AI194" s="319">
        <f t="shared" si="114"/>
        <v>0</v>
      </c>
      <c r="AJ194" s="500">
        <f t="shared" si="114"/>
        <v>0</v>
      </c>
      <c r="AK194" s="1088">
        <f t="shared" si="114"/>
        <v>0</v>
      </c>
      <c r="AL194" s="319">
        <f t="shared" si="114"/>
        <v>0</v>
      </c>
      <c r="AM194" s="1101">
        <f t="shared" si="114"/>
        <v>0</v>
      </c>
      <c r="AN194" s="10">
        <f t="shared" si="114"/>
        <v>0</v>
      </c>
      <c r="AO194" s="1322">
        <f t="shared" si="114"/>
        <v>0</v>
      </c>
      <c r="AP194" s="319">
        <f t="shared" si="114"/>
        <v>0</v>
      </c>
      <c r="AQ194">
        <f t="shared" si="114"/>
        <v>0</v>
      </c>
      <c r="AR194" s="1323">
        <f t="shared" si="114"/>
        <v>0</v>
      </c>
      <c r="AS194" s="319">
        <f t="shared" si="114"/>
        <v>0</v>
      </c>
    </row>
    <row r="195" spans="17:45">
      <c r="Q195" t="s">
        <v>116</v>
      </c>
      <c r="R195" s="319">
        <f>COUNTIF($C126:$O127, R$170)</f>
        <v>0</v>
      </c>
      <c r="S195" s="319">
        <f t="shared" ref="S195:AS195" si="115">COUNTIF($C126:$O127, S$170)</f>
        <v>0</v>
      </c>
      <c r="T195" s="587">
        <f t="shared" si="115"/>
        <v>1</v>
      </c>
      <c r="U195" s="319">
        <f t="shared" si="115"/>
        <v>0</v>
      </c>
      <c r="V195" s="319">
        <f t="shared" si="115"/>
        <v>0</v>
      </c>
      <c r="W195" s="319">
        <f t="shared" si="115"/>
        <v>0</v>
      </c>
      <c r="X195" s="1321">
        <f t="shared" si="115"/>
        <v>0</v>
      </c>
      <c r="Y195" s="233">
        <f t="shared" si="115"/>
        <v>0</v>
      </c>
      <c r="Z195" s="36">
        <f t="shared" si="115"/>
        <v>0</v>
      </c>
      <c r="AA195" s="319">
        <f t="shared" si="115"/>
        <v>0</v>
      </c>
      <c r="AB195">
        <f t="shared" si="115"/>
        <v>0</v>
      </c>
      <c r="AC195">
        <f t="shared" si="115"/>
        <v>0</v>
      </c>
      <c r="AD195" s="242">
        <f t="shared" si="115"/>
        <v>0</v>
      </c>
      <c r="AE195" s="8">
        <f t="shared" si="115"/>
        <v>0</v>
      </c>
      <c r="AF195" s="500">
        <f t="shared" si="115"/>
        <v>0</v>
      </c>
      <c r="AG195" s="319">
        <f t="shared" si="115"/>
        <v>0</v>
      </c>
      <c r="AH195" s="319">
        <f t="shared" si="115"/>
        <v>0</v>
      </c>
      <c r="AI195" s="319">
        <f t="shared" si="115"/>
        <v>0</v>
      </c>
      <c r="AJ195" s="500">
        <f t="shared" si="115"/>
        <v>0</v>
      </c>
      <c r="AK195" s="1088">
        <f t="shared" si="115"/>
        <v>0</v>
      </c>
      <c r="AL195" s="319">
        <f t="shared" si="115"/>
        <v>0</v>
      </c>
      <c r="AM195" s="1101">
        <f t="shared" si="115"/>
        <v>0</v>
      </c>
      <c r="AN195" s="10">
        <f t="shared" si="115"/>
        <v>0</v>
      </c>
      <c r="AO195" s="1322">
        <f t="shared" si="115"/>
        <v>0</v>
      </c>
      <c r="AP195" s="319">
        <f t="shared" si="115"/>
        <v>0</v>
      </c>
      <c r="AQ195">
        <f t="shared" si="115"/>
        <v>0</v>
      </c>
      <c r="AR195" s="1323">
        <f t="shared" si="115"/>
        <v>0</v>
      </c>
      <c r="AS195" s="319">
        <f t="shared" si="115"/>
        <v>0</v>
      </c>
    </row>
    <row r="196" spans="17:45">
      <c r="Q196" t="s">
        <v>104</v>
      </c>
      <c r="R196" s="319">
        <f>COUNTIF($C129:$O130, R$170)</f>
        <v>0</v>
      </c>
      <c r="S196" s="319">
        <f t="shared" ref="S196:AS196" si="116">COUNTIF($C129:$O130, S$170)</f>
        <v>0</v>
      </c>
      <c r="T196" s="587">
        <f t="shared" si="116"/>
        <v>0</v>
      </c>
      <c r="U196" s="319">
        <f t="shared" si="116"/>
        <v>0</v>
      </c>
      <c r="V196" s="319">
        <f t="shared" si="116"/>
        <v>0</v>
      </c>
      <c r="W196" s="319">
        <f t="shared" si="116"/>
        <v>0</v>
      </c>
      <c r="X196" s="1321">
        <f t="shared" si="116"/>
        <v>0</v>
      </c>
      <c r="Y196" s="233">
        <f t="shared" si="116"/>
        <v>0</v>
      </c>
      <c r="Z196" s="36">
        <f t="shared" si="116"/>
        <v>0</v>
      </c>
      <c r="AA196" s="319">
        <f t="shared" si="116"/>
        <v>0</v>
      </c>
      <c r="AB196">
        <f t="shared" si="116"/>
        <v>0</v>
      </c>
      <c r="AC196">
        <f t="shared" si="116"/>
        <v>0</v>
      </c>
      <c r="AD196" s="242">
        <f t="shared" si="116"/>
        <v>0</v>
      </c>
      <c r="AE196" s="8">
        <f t="shared" si="116"/>
        <v>0</v>
      </c>
      <c r="AF196" s="500">
        <f t="shared" si="116"/>
        <v>0</v>
      </c>
      <c r="AG196" s="319">
        <f t="shared" si="116"/>
        <v>0</v>
      </c>
      <c r="AH196" s="319">
        <f t="shared" si="116"/>
        <v>0</v>
      </c>
      <c r="AI196" s="319">
        <f t="shared" si="116"/>
        <v>0</v>
      </c>
      <c r="AJ196" s="500">
        <f t="shared" si="116"/>
        <v>0</v>
      </c>
      <c r="AK196" s="1088">
        <f t="shared" si="116"/>
        <v>0</v>
      </c>
      <c r="AL196" s="319">
        <f t="shared" si="116"/>
        <v>0</v>
      </c>
      <c r="AM196" s="1101">
        <f t="shared" si="116"/>
        <v>0</v>
      </c>
      <c r="AN196" s="10">
        <f t="shared" si="116"/>
        <v>0</v>
      </c>
      <c r="AO196" s="1322">
        <f t="shared" si="116"/>
        <v>0</v>
      </c>
      <c r="AP196" s="319">
        <f t="shared" si="116"/>
        <v>0</v>
      </c>
      <c r="AQ196">
        <f t="shared" si="116"/>
        <v>0</v>
      </c>
      <c r="AR196" s="1323">
        <f t="shared" si="116"/>
        <v>0</v>
      </c>
      <c r="AS196" s="319">
        <f t="shared" si="116"/>
        <v>0</v>
      </c>
    </row>
    <row r="197" spans="17:45">
      <c r="Q197" t="s">
        <v>95</v>
      </c>
      <c r="R197" s="319">
        <f>COUNTIF($C132:$O133, R$170)</f>
        <v>0</v>
      </c>
      <c r="S197" s="319">
        <f t="shared" ref="S197:AS197" si="117">COUNTIF($C132:$O133, S$170)</f>
        <v>0</v>
      </c>
      <c r="T197" s="587">
        <f t="shared" si="117"/>
        <v>0</v>
      </c>
      <c r="U197" s="319">
        <f t="shared" si="117"/>
        <v>0</v>
      </c>
      <c r="V197" s="319">
        <f t="shared" si="117"/>
        <v>0</v>
      </c>
      <c r="W197" s="319">
        <f t="shared" si="117"/>
        <v>0</v>
      </c>
      <c r="X197" s="1321">
        <f t="shared" si="117"/>
        <v>0</v>
      </c>
      <c r="Y197" s="233">
        <f t="shared" si="117"/>
        <v>0</v>
      </c>
      <c r="Z197" s="36">
        <f t="shared" si="117"/>
        <v>0</v>
      </c>
      <c r="AA197" s="319">
        <f t="shared" si="117"/>
        <v>0</v>
      </c>
      <c r="AB197">
        <f t="shared" si="117"/>
        <v>0</v>
      </c>
      <c r="AC197">
        <f t="shared" si="117"/>
        <v>0</v>
      </c>
      <c r="AD197" s="242">
        <f t="shared" si="117"/>
        <v>0</v>
      </c>
      <c r="AE197" s="8">
        <f t="shared" si="117"/>
        <v>1</v>
      </c>
      <c r="AF197" s="500">
        <f t="shared" si="117"/>
        <v>0</v>
      </c>
      <c r="AG197" s="319">
        <f t="shared" si="117"/>
        <v>0</v>
      </c>
      <c r="AH197" s="319">
        <f t="shared" si="117"/>
        <v>0</v>
      </c>
      <c r="AI197" s="319">
        <f t="shared" si="117"/>
        <v>0</v>
      </c>
      <c r="AJ197" s="500">
        <f t="shared" si="117"/>
        <v>0</v>
      </c>
      <c r="AK197" s="1088">
        <f t="shared" si="117"/>
        <v>0</v>
      </c>
      <c r="AL197" s="319">
        <f t="shared" si="117"/>
        <v>0</v>
      </c>
      <c r="AM197" s="1101">
        <f t="shared" si="117"/>
        <v>0</v>
      </c>
      <c r="AN197" s="10">
        <f t="shared" si="117"/>
        <v>0</v>
      </c>
      <c r="AO197" s="1322">
        <f t="shared" si="117"/>
        <v>0</v>
      </c>
      <c r="AP197" s="319">
        <f t="shared" si="117"/>
        <v>0</v>
      </c>
      <c r="AQ197">
        <f t="shared" si="117"/>
        <v>0</v>
      </c>
      <c r="AR197" s="1323">
        <f t="shared" si="117"/>
        <v>0</v>
      </c>
      <c r="AS197" s="319">
        <f t="shared" si="117"/>
        <v>0</v>
      </c>
    </row>
    <row r="198" spans="17:45">
      <c r="Q198" t="s">
        <v>85</v>
      </c>
      <c r="R198" s="319">
        <f>COUNTIF($C135:$O136, R$170)</f>
        <v>0</v>
      </c>
      <c r="S198" s="319">
        <f t="shared" ref="S198:AS198" si="118">COUNTIF($C135:$O136, S$170)</f>
        <v>0</v>
      </c>
      <c r="T198" s="587">
        <f t="shared" si="118"/>
        <v>0</v>
      </c>
      <c r="U198" s="319">
        <f t="shared" si="118"/>
        <v>0</v>
      </c>
      <c r="V198" s="319">
        <f t="shared" si="118"/>
        <v>0</v>
      </c>
      <c r="W198" s="319">
        <f t="shared" si="118"/>
        <v>0</v>
      </c>
      <c r="X198" s="1321">
        <f t="shared" si="118"/>
        <v>0</v>
      </c>
      <c r="Y198" s="233">
        <f t="shared" si="118"/>
        <v>0</v>
      </c>
      <c r="Z198" s="36">
        <f t="shared" si="118"/>
        <v>0</v>
      </c>
      <c r="AA198" s="319">
        <f t="shared" si="118"/>
        <v>0</v>
      </c>
      <c r="AB198">
        <f t="shared" si="118"/>
        <v>0</v>
      </c>
      <c r="AC198">
        <f t="shared" si="118"/>
        <v>0</v>
      </c>
      <c r="AD198" s="242">
        <f t="shared" si="118"/>
        <v>0</v>
      </c>
      <c r="AE198" s="8">
        <f t="shared" si="118"/>
        <v>0</v>
      </c>
      <c r="AF198" s="500">
        <f t="shared" si="118"/>
        <v>0</v>
      </c>
      <c r="AG198" s="319">
        <f t="shared" si="118"/>
        <v>0</v>
      </c>
      <c r="AH198" s="319">
        <f t="shared" si="118"/>
        <v>0</v>
      </c>
      <c r="AI198" s="319">
        <f t="shared" si="118"/>
        <v>0</v>
      </c>
      <c r="AJ198" s="500">
        <f t="shared" si="118"/>
        <v>0</v>
      </c>
      <c r="AK198" s="1088">
        <f t="shared" si="118"/>
        <v>0</v>
      </c>
      <c r="AL198" s="319">
        <f t="shared" si="118"/>
        <v>0</v>
      </c>
      <c r="AM198" s="1101">
        <f t="shared" si="118"/>
        <v>0</v>
      </c>
      <c r="AN198" s="10">
        <f t="shared" si="118"/>
        <v>0</v>
      </c>
      <c r="AO198" s="1322">
        <f t="shared" si="118"/>
        <v>0</v>
      </c>
      <c r="AP198" s="319">
        <f t="shared" si="118"/>
        <v>0</v>
      </c>
      <c r="AQ198">
        <f t="shared" si="118"/>
        <v>0</v>
      </c>
      <c r="AR198" s="1323">
        <f t="shared" si="118"/>
        <v>0</v>
      </c>
      <c r="AS198" s="319">
        <f t="shared" si="118"/>
        <v>0</v>
      </c>
    </row>
    <row r="199" spans="17:45">
      <c r="Q199" t="s">
        <v>66</v>
      </c>
      <c r="R199" s="319">
        <f>COUNTIF($C138:$O139, R$170)</f>
        <v>0</v>
      </c>
      <c r="S199" s="319">
        <f t="shared" ref="S199:AS199" si="119">COUNTIF($C138:$O139, S$170)</f>
        <v>0</v>
      </c>
      <c r="T199" s="587">
        <f t="shared" si="119"/>
        <v>0</v>
      </c>
      <c r="U199" s="319">
        <f t="shared" si="119"/>
        <v>0</v>
      </c>
      <c r="V199" s="319">
        <f t="shared" si="119"/>
        <v>0</v>
      </c>
      <c r="W199" s="319">
        <f t="shared" si="119"/>
        <v>0</v>
      </c>
      <c r="X199" s="1321">
        <f t="shared" si="119"/>
        <v>0</v>
      </c>
      <c r="Y199" s="233">
        <f t="shared" si="119"/>
        <v>0</v>
      </c>
      <c r="Z199" s="36">
        <f t="shared" si="119"/>
        <v>0</v>
      </c>
      <c r="AA199" s="319">
        <f t="shared" si="119"/>
        <v>0</v>
      </c>
      <c r="AB199">
        <f t="shared" si="119"/>
        <v>0</v>
      </c>
      <c r="AC199">
        <f t="shared" si="119"/>
        <v>0</v>
      </c>
      <c r="AD199" s="242">
        <f t="shared" si="119"/>
        <v>0</v>
      </c>
      <c r="AE199" s="8">
        <f t="shared" si="119"/>
        <v>1</v>
      </c>
      <c r="AF199" s="500">
        <f t="shared" si="119"/>
        <v>0</v>
      </c>
      <c r="AG199" s="319">
        <f t="shared" si="119"/>
        <v>0</v>
      </c>
      <c r="AH199" s="319">
        <f t="shared" si="119"/>
        <v>0</v>
      </c>
      <c r="AI199" s="319">
        <f t="shared" si="119"/>
        <v>0</v>
      </c>
      <c r="AJ199" s="500">
        <f t="shared" si="119"/>
        <v>0</v>
      </c>
      <c r="AK199" s="1088">
        <f t="shared" si="119"/>
        <v>0</v>
      </c>
      <c r="AL199" s="319">
        <f t="shared" si="119"/>
        <v>0</v>
      </c>
      <c r="AM199" s="1101">
        <f t="shared" si="119"/>
        <v>0</v>
      </c>
      <c r="AN199" s="10">
        <f t="shared" si="119"/>
        <v>0</v>
      </c>
      <c r="AO199" s="1322">
        <f t="shared" si="119"/>
        <v>0</v>
      </c>
      <c r="AP199" s="319">
        <f t="shared" si="119"/>
        <v>0</v>
      </c>
      <c r="AQ199">
        <f t="shared" si="119"/>
        <v>0</v>
      </c>
      <c r="AR199" s="1323">
        <f t="shared" si="119"/>
        <v>0</v>
      </c>
      <c r="AS199" s="319">
        <f t="shared" si="119"/>
        <v>0</v>
      </c>
    </row>
    <row r="200" spans="17:45">
      <c r="Q200" t="s">
        <v>65</v>
      </c>
      <c r="R200" s="319">
        <f>COUNTIF($C142:$O143, R$170)</f>
        <v>0</v>
      </c>
      <c r="S200" s="319">
        <f t="shared" ref="S200:AS200" si="120">COUNTIF($C142:$O143, S$170)</f>
        <v>0</v>
      </c>
      <c r="T200" s="587">
        <f t="shared" si="120"/>
        <v>0</v>
      </c>
      <c r="U200" s="319">
        <f t="shared" si="120"/>
        <v>0</v>
      </c>
      <c r="V200" s="319">
        <f t="shared" si="120"/>
        <v>0</v>
      </c>
      <c r="W200" s="319">
        <f t="shared" si="120"/>
        <v>0</v>
      </c>
      <c r="X200" s="1321">
        <f t="shared" si="120"/>
        <v>0</v>
      </c>
      <c r="Y200" s="233">
        <f t="shared" si="120"/>
        <v>0</v>
      </c>
      <c r="Z200" s="36">
        <f t="shared" si="120"/>
        <v>0</v>
      </c>
      <c r="AA200" s="319">
        <f t="shared" si="120"/>
        <v>0</v>
      </c>
      <c r="AB200">
        <f t="shared" si="120"/>
        <v>0</v>
      </c>
      <c r="AC200">
        <f t="shared" si="120"/>
        <v>0</v>
      </c>
      <c r="AD200" s="242">
        <f t="shared" si="120"/>
        <v>0</v>
      </c>
      <c r="AE200" s="8">
        <f t="shared" si="120"/>
        <v>0</v>
      </c>
      <c r="AF200" s="500">
        <f t="shared" si="120"/>
        <v>0</v>
      </c>
      <c r="AG200" s="319">
        <f t="shared" si="120"/>
        <v>0</v>
      </c>
      <c r="AH200" s="319">
        <f t="shared" si="120"/>
        <v>0</v>
      </c>
      <c r="AI200" s="319">
        <f t="shared" si="120"/>
        <v>0</v>
      </c>
      <c r="AJ200" s="500">
        <f t="shared" si="120"/>
        <v>0</v>
      </c>
      <c r="AK200" s="1088">
        <f t="shared" si="120"/>
        <v>0</v>
      </c>
      <c r="AL200" s="319">
        <f t="shared" si="120"/>
        <v>0</v>
      </c>
      <c r="AM200" s="1101">
        <f t="shared" si="120"/>
        <v>0</v>
      </c>
      <c r="AN200" s="10">
        <f t="shared" si="120"/>
        <v>0</v>
      </c>
      <c r="AO200" s="1322">
        <f t="shared" si="120"/>
        <v>0</v>
      </c>
      <c r="AP200" s="319">
        <f t="shared" si="120"/>
        <v>0</v>
      </c>
      <c r="AQ200">
        <f t="shared" si="120"/>
        <v>0</v>
      </c>
      <c r="AR200" s="1323">
        <f t="shared" si="120"/>
        <v>0</v>
      </c>
      <c r="AS200" s="319">
        <f t="shared" si="120"/>
        <v>0</v>
      </c>
    </row>
    <row r="201" spans="17:45">
      <c r="Q201" t="s">
        <v>60</v>
      </c>
      <c r="R201" s="319">
        <f>COUNTIF($C144:$O145, R$170)</f>
        <v>0</v>
      </c>
      <c r="S201" s="319">
        <f t="shared" ref="S201:AS201" si="121">COUNTIF($C144:$O145, S$170)</f>
        <v>0</v>
      </c>
      <c r="T201" s="587">
        <f t="shared" si="121"/>
        <v>0</v>
      </c>
      <c r="U201" s="319">
        <f t="shared" si="121"/>
        <v>0</v>
      </c>
      <c r="V201" s="319">
        <f t="shared" si="121"/>
        <v>0</v>
      </c>
      <c r="W201" s="319">
        <f t="shared" si="121"/>
        <v>0</v>
      </c>
      <c r="X201" s="1321">
        <f t="shared" si="121"/>
        <v>0</v>
      </c>
      <c r="Y201" s="233">
        <f t="shared" si="121"/>
        <v>0</v>
      </c>
      <c r="Z201" s="36">
        <f t="shared" si="121"/>
        <v>0</v>
      </c>
      <c r="AA201" s="319">
        <f t="shared" si="121"/>
        <v>0</v>
      </c>
      <c r="AB201">
        <f t="shared" si="121"/>
        <v>0</v>
      </c>
      <c r="AC201">
        <f t="shared" si="121"/>
        <v>0</v>
      </c>
      <c r="AD201" s="242">
        <f t="shared" si="121"/>
        <v>0</v>
      </c>
      <c r="AE201" s="8">
        <f t="shared" si="121"/>
        <v>0</v>
      </c>
      <c r="AF201" s="500">
        <f t="shared" si="121"/>
        <v>0</v>
      </c>
      <c r="AG201" s="319">
        <f t="shared" si="121"/>
        <v>0</v>
      </c>
      <c r="AH201" s="319">
        <f t="shared" si="121"/>
        <v>0</v>
      </c>
      <c r="AI201" s="319">
        <f t="shared" si="121"/>
        <v>0</v>
      </c>
      <c r="AJ201" s="500">
        <f t="shared" si="121"/>
        <v>0</v>
      </c>
      <c r="AK201" s="1088">
        <f t="shared" si="121"/>
        <v>0</v>
      </c>
      <c r="AL201" s="319">
        <f t="shared" si="121"/>
        <v>0</v>
      </c>
      <c r="AM201" s="1101">
        <f t="shared" si="121"/>
        <v>0</v>
      </c>
      <c r="AN201" s="10">
        <f t="shared" si="121"/>
        <v>0</v>
      </c>
      <c r="AO201" s="1322">
        <f t="shared" si="121"/>
        <v>0</v>
      </c>
      <c r="AP201" s="319">
        <f t="shared" si="121"/>
        <v>0</v>
      </c>
      <c r="AQ201">
        <f t="shared" si="121"/>
        <v>0</v>
      </c>
      <c r="AR201" s="1323">
        <f t="shared" si="121"/>
        <v>0</v>
      </c>
      <c r="AS201" s="319">
        <f t="shared" si="121"/>
        <v>0</v>
      </c>
    </row>
    <row r="202" spans="17:45">
      <c r="Q202" t="s">
        <v>35</v>
      </c>
      <c r="R202" s="319">
        <f>COUNTIF($C147:$O148, R$170)</f>
        <v>0</v>
      </c>
      <c r="S202" s="319">
        <f t="shared" ref="S202:AS202" si="122">COUNTIF($C147:$O148, S$170)</f>
        <v>0</v>
      </c>
      <c r="T202" s="587">
        <f t="shared" si="122"/>
        <v>0</v>
      </c>
      <c r="U202" s="319">
        <f t="shared" si="122"/>
        <v>0</v>
      </c>
      <c r="V202" s="319">
        <f t="shared" si="122"/>
        <v>0</v>
      </c>
      <c r="W202" s="319">
        <f t="shared" si="122"/>
        <v>0</v>
      </c>
      <c r="X202" s="1321">
        <f t="shared" si="122"/>
        <v>0</v>
      </c>
      <c r="Y202" s="233">
        <f t="shared" si="122"/>
        <v>0</v>
      </c>
      <c r="Z202" s="36">
        <f t="shared" si="122"/>
        <v>0</v>
      </c>
      <c r="AA202" s="319">
        <f t="shared" si="122"/>
        <v>0</v>
      </c>
      <c r="AB202">
        <f t="shared" si="122"/>
        <v>0</v>
      </c>
      <c r="AC202">
        <f t="shared" si="122"/>
        <v>0</v>
      </c>
      <c r="AD202" s="242">
        <f t="shared" si="122"/>
        <v>0</v>
      </c>
      <c r="AE202" s="8">
        <f t="shared" si="122"/>
        <v>0</v>
      </c>
      <c r="AF202" s="500">
        <f t="shared" si="122"/>
        <v>0</v>
      </c>
      <c r="AG202" s="319">
        <f t="shared" si="122"/>
        <v>0</v>
      </c>
      <c r="AH202" s="319">
        <f t="shared" si="122"/>
        <v>0</v>
      </c>
      <c r="AI202" s="319">
        <f t="shared" si="122"/>
        <v>0</v>
      </c>
      <c r="AJ202" s="500">
        <f t="shared" si="122"/>
        <v>0</v>
      </c>
      <c r="AK202" s="1088">
        <f t="shared" si="122"/>
        <v>0</v>
      </c>
      <c r="AL202" s="319">
        <f t="shared" si="122"/>
        <v>0</v>
      </c>
      <c r="AM202" s="1101">
        <f t="shared" si="122"/>
        <v>0</v>
      </c>
      <c r="AN202" s="10">
        <f t="shared" si="122"/>
        <v>0</v>
      </c>
      <c r="AO202" s="1322">
        <f t="shared" si="122"/>
        <v>0</v>
      </c>
      <c r="AP202" s="319">
        <f t="shared" si="122"/>
        <v>0</v>
      </c>
      <c r="AQ202">
        <f t="shared" si="122"/>
        <v>0</v>
      </c>
      <c r="AR202" s="1323">
        <f t="shared" si="122"/>
        <v>0</v>
      </c>
      <c r="AS202" s="319">
        <f t="shared" si="122"/>
        <v>0</v>
      </c>
    </row>
    <row r="203" spans="17:45">
      <c r="Q203" t="s">
        <v>11</v>
      </c>
      <c r="R203" s="319">
        <f>COUNTIF($C150:$O151, R$170)</f>
        <v>0</v>
      </c>
      <c r="S203" s="319">
        <f t="shared" ref="S203:AS203" si="123">COUNTIF($C150:$O151, S$170)</f>
        <v>0</v>
      </c>
      <c r="T203" s="587">
        <f t="shared" si="123"/>
        <v>0</v>
      </c>
      <c r="U203" s="319">
        <f t="shared" si="123"/>
        <v>0</v>
      </c>
      <c r="V203" s="319">
        <f t="shared" si="123"/>
        <v>0</v>
      </c>
      <c r="W203" s="319">
        <f t="shared" si="123"/>
        <v>0</v>
      </c>
      <c r="X203" s="1321">
        <f t="shared" si="123"/>
        <v>0</v>
      </c>
      <c r="Y203" s="319">
        <f t="shared" si="123"/>
        <v>0</v>
      </c>
      <c r="Z203" s="36">
        <f t="shared" si="123"/>
        <v>0</v>
      </c>
      <c r="AA203" s="319">
        <f t="shared" si="123"/>
        <v>0</v>
      </c>
      <c r="AB203">
        <f t="shared" si="123"/>
        <v>0</v>
      </c>
      <c r="AC203">
        <f t="shared" si="123"/>
        <v>0</v>
      </c>
      <c r="AD203" s="242">
        <f t="shared" si="123"/>
        <v>0</v>
      </c>
      <c r="AE203" s="8">
        <f t="shared" si="123"/>
        <v>0</v>
      </c>
      <c r="AF203" s="500">
        <f t="shared" si="123"/>
        <v>0</v>
      </c>
      <c r="AG203" s="319">
        <f t="shared" si="123"/>
        <v>0</v>
      </c>
      <c r="AH203" s="319">
        <f t="shared" si="123"/>
        <v>0</v>
      </c>
      <c r="AI203" s="319">
        <f t="shared" si="123"/>
        <v>0</v>
      </c>
      <c r="AJ203" s="500">
        <f t="shared" si="123"/>
        <v>0</v>
      </c>
      <c r="AK203" s="1088">
        <f t="shared" si="123"/>
        <v>0</v>
      </c>
      <c r="AL203" s="319">
        <f t="shared" si="123"/>
        <v>0</v>
      </c>
      <c r="AM203" s="1101">
        <f t="shared" si="123"/>
        <v>0</v>
      </c>
      <c r="AN203" s="10">
        <f t="shared" si="123"/>
        <v>0</v>
      </c>
      <c r="AO203" s="1322">
        <f t="shared" si="123"/>
        <v>0</v>
      </c>
      <c r="AP203" s="319">
        <f t="shared" si="123"/>
        <v>0</v>
      </c>
      <c r="AQ203">
        <f t="shared" si="123"/>
        <v>0</v>
      </c>
      <c r="AR203" s="1323">
        <f t="shared" si="123"/>
        <v>0</v>
      </c>
      <c r="AS203" s="319">
        <f t="shared" si="123"/>
        <v>0</v>
      </c>
    </row>
    <row r="204" spans="17:45">
      <c r="Q204" t="s">
        <v>198</v>
      </c>
      <c r="R204" s="319">
        <f>COUNTIF($C153:$O154, R$170)</f>
        <v>0</v>
      </c>
      <c r="S204" s="319">
        <f t="shared" ref="S204:AS204" si="124">COUNTIF($C153:$O154, S$170)</f>
        <v>0</v>
      </c>
      <c r="T204" s="587">
        <f t="shared" si="124"/>
        <v>0</v>
      </c>
      <c r="U204" s="319">
        <f t="shared" si="124"/>
        <v>0</v>
      </c>
      <c r="V204" s="319">
        <f t="shared" si="124"/>
        <v>0</v>
      </c>
      <c r="W204" s="319">
        <f t="shared" si="124"/>
        <v>0</v>
      </c>
      <c r="X204" s="1321">
        <f t="shared" si="124"/>
        <v>0</v>
      </c>
      <c r="Y204" s="319">
        <f t="shared" si="124"/>
        <v>0</v>
      </c>
      <c r="Z204" s="36">
        <f t="shared" si="124"/>
        <v>0</v>
      </c>
      <c r="AA204" s="319">
        <f t="shared" si="124"/>
        <v>0</v>
      </c>
      <c r="AB204">
        <f t="shared" si="124"/>
        <v>0</v>
      </c>
      <c r="AC204">
        <f t="shared" si="124"/>
        <v>0</v>
      </c>
      <c r="AD204" s="242">
        <f t="shared" si="124"/>
        <v>0</v>
      </c>
      <c r="AE204" s="8">
        <f t="shared" si="124"/>
        <v>0</v>
      </c>
      <c r="AF204" s="500">
        <f t="shared" si="124"/>
        <v>0</v>
      </c>
      <c r="AG204" s="319">
        <f t="shared" si="124"/>
        <v>0</v>
      </c>
      <c r="AH204" s="319">
        <f t="shared" si="124"/>
        <v>0</v>
      </c>
      <c r="AI204" s="319">
        <f t="shared" si="124"/>
        <v>0</v>
      </c>
      <c r="AJ204" s="500">
        <f t="shared" si="124"/>
        <v>0</v>
      </c>
      <c r="AK204" s="1088">
        <f t="shared" si="124"/>
        <v>0</v>
      </c>
      <c r="AL204" s="319">
        <f t="shared" si="124"/>
        <v>0</v>
      </c>
      <c r="AM204" s="1101">
        <f t="shared" si="124"/>
        <v>0</v>
      </c>
      <c r="AN204" s="10">
        <f t="shared" si="124"/>
        <v>0</v>
      </c>
      <c r="AO204" s="1322">
        <f t="shared" si="124"/>
        <v>0</v>
      </c>
      <c r="AP204" s="319">
        <f t="shared" si="124"/>
        <v>0</v>
      </c>
      <c r="AQ204">
        <f t="shared" si="124"/>
        <v>0</v>
      </c>
      <c r="AR204" s="1323">
        <f t="shared" si="124"/>
        <v>0</v>
      </c>
      <c r="AS204" s="319">
        <f t="shared" si="124"/>
        <v>0</v>
      </c>
    </row>
    <row r="205" spans="17:45">
      <c r="Q205" t="s">
        <v>184</v>
      </c>
      <c r="R205" s="319">
        <f>COUNTIF($C156:$O157, R$170)</f>
        <v>0</v>
      </c>
      <c r="S205" s="319">
        <f t="shared" ref="S205:AS205" si="125">COUNTIF($C156:$O157, S$170)</f>
        <v>0</v>
      </c>
      <c r="T205" s="587">
        <f t="shared" si="125"/>
        <v>0</v>
      </c>
      <c r="U205" s="319">
        <f t="shared" si="125"/>
        <v>0</v>
      </c>
      <c r="V205" s="319">
        <f t="shared" si="125"/>
        <v>0</v>
      </c>
      <c r="W205" s="319">
        <f t="shared" si="125"/>
        <v>0</v>
      </c>
      <c r="X205" s="1321">
        <f t="shared" si="125"/>
        <v>0</v>
      </c>
      <c r="Y205" s="319">
        <f t="shared" si="125"/>
        <v>0</v>
      </c>
      <c r="Z205" s="36">
        <f t="shared" si="125"/>
        <v>0</v>
      </c>
      <c r="AA205" s="319">
        <f t="shared" si="125"/>
        <v>0</v>
      </c>
      <c r="AB205">
        <f t="shared" si="125"/>
        <v>0</v>
      </c>
      <c r="AC205">
        <f t="shared" si="125"/>
        <v>0</v>
      </c>
      <c r="AD205" s="242">
        <f t="shared" si="125"/>
        <v>0</v>
      </c>
      <c r="AE205" s="8">
        <f t="shared" si="125"/>
        <v>0</v>
      </c>
      <c r="AF205" s="500">
        <f t="shared" si="125"/>
        <v>0</v>
      </c>
      <c r="AG205" s="319">
        <f t="shared" si="125"/>
        <v>0</v>
      </c>
      <c r="AH205" s="319">
        <f t="shared" si="125"/>
        <v>0</v>
      </c>
      <c r="AI205" s="319">
        <f t="shared" si="125"/>
        <v>0</v>
      </c>
      <c r="AJ205" s="500">
        <f t="shared" si="125"/>
        <v>0</v>
      </c>
      <c r="AK205" s="1088">
        <f t="shared" si="125"/>
        <v>0</v>
      </c>
      <c r="AL205" s="319">
        <f t="shared" si="125"/>
        <v>0</v>
      </c>
      <c r="AM205" s="1101">
        <f t="shared" si="125"/>
        <v>0</v>
      </c>
      <c r="AN205" s="10">
        <f t="shared" si="125"/>
        <v>0</v>
      </c>
      <c r="AO205" s="1322">
        <f t="shared" si="125"/>
        <v>0</v>
      </c>
      <c r="AP205" s="319">
        <f t="shared" si="125"/>
        <v>0</v>
      </c>
      <c r="AQ205">
        <f t="shared" si="125"/>
        <v>0</v>
      </c>
      <c r="AR205" s="1323">
        <f t="shared" si="125"/>
        <v>0</v>
      </c>
      <c r="AS205" s="319">
        <f t="shared" si="125"/>
        <v>0</v>
      </c>
    </row>
    <row r="206" spans="17:45">
      <c r="Q206" t="s">
        <v>563</v>
      </c>
      <c r="R206" s="319">
        <f>COUNTIF($C159:$O160, R$170)</f>
        <v>0</v>
      </c>
      <c r="S206" s="319">
        <f t="shared" ref="S206:AS206" si="126">COUNTIF($C159:$O160, S$170)</f>
        <v>0</v>
      </c>
      <c r="T206" s="587">
        <f t="shared" si="126"/>
        <v>0</v>
      </c>
      <c r="U206" s="319">
        <f t="shared" si="126"/>
        <v>0</v>
      </c>
      <c r="V206" s="319">
        <f t="shared" si="126"/>
        <v>0</v>
      </c>
      <c r="W206" s="319">
        <f t="shared" si="126"/>
        <v>0</v>
      </c>
      <c r="X206" s="1321">
        <f t="shared" si="126"/>
        <v>0</v>
      </c>
      <c r="Y206" s="319">
        <f t="shared" si="126"/>
        <v>0</v>
      </c>
      <c r="Z206" s="36">
        <f t="shared" si="126"/>
        <v>0</v>
      </c>
      <c r="AA206" s="319">
        <f t="shared" si="126"/>
        <v>0</v>
      </c>
      <c r="AB206">
        <f t="shared" si="126"/>
        <v>0</v>
      </c>
      <c r="AC206">
        <f t="shared" si="126"/>
        <v>0</v>
      </c>
      <c r="AD206" s="242">
        <f t="shared" si="126"/>
        <v>0</v>
      </c>
      <c r="AE206" s="8">
        <f t="shared" si="126"/>
        <v>0</v>
      </c>
      <c r="AF206" s="500">
        <f t="shared" si="126"/>
        <v>0</v>
      </c>
      <c r="AG206" s="319">
        <f t="shared" si="126"/>
        <v>0</v>
      </c>
      <c r="AH206" s="319">
        <f t="shared" si="126"/>
        <v>0</v>
      </c>
      <c r="AI206" s="319">
        <f t="shared" si="126"/>
        <v>0</v>
      </c>
      <c r="AJ206" s="500">
        <f t="shared" si="126"/>
        <v>0</v>
      </c>
      <c r="AK206" s="1088">
        <f t="shared" si="126"/>
        <v>0</v>
      </c>
      <c r="AL206" s="319">
        <f t="shared" si="126"/>
        <v>0</v>
      </c>
      <c r="AM206" s="1101">
        <f t="shared" si="126"/>
        <v>0</v>
      </c>
      <c r="AN206" s="10">
        <f t="shared" si="126"/>
        <v>0</v>
      </c>
      <c r="AO206" s="1322">
        <f t="shared" si="126"/>
        <v>0</v>
      </c>
      <c r="AP206" s="319">
        <f t="shared" si="126"/>
        <v>0</v>
      </c>
      <c r="AQ206">
        <f t="shared" si="126"/>
        <v>0</v>
      </c>
      <c r="AR206" s="1323">
        <f t="shared" si="126"/>
        <v>0</v>
      </c>
      <c r="AS206" s="319">
        <f t="shared" si="126"/>
        <v>0</v>
      </c>
    </row>
    <row r="207" spans="17:45">
      <c r="Q207" t="s">
        <v>1742</v>
      </c>
      <c r="R207" s="319">
        <f>COUNTIF($C162:$O163, R$170)</f>
        <v>0</v>
      </c>
      <c r="S207" s="319">
        <f t="shared" ref="S207:AS207" si="127">COUNTIF($C162:$O163, S$170)</f>
        <v>0</v>
      </c>
      <c r="T207" s="587">
        <f t="shared" si="127"/>
        <v>0</v>
      </c>
      <c r="U207" s="319">
        <f t="shared" si="127"/>
        <v>0</v>
      </c>
      <c r="V207" s="319">
        <f t="shared" si="127"/>
        <v>0</v>
      </c>
      <c r="W207" s="319">
        <f t="shared" si="127"/>
        <v>0</v>
      </c>
      <c r="X207" s="1321">
        <f t="shared" si="127"/>
        <v>0</v>
      </c>
      <c r="Y207" s="319">
        <f t="shared" si="127"/>
        <v>0</v>
      </c>
      <c r="Z207" s="36">
        <f t="shared" si="127"/>
        <v>0</v>
      </c>
      <c r="AA207" s="319">
        <f t="shared" si="127"/>
        <v>0</v>
      </c>
      <c r="AB207">
        <f t="shared" si="127"/>
        <v>0</v>
      </c>
      <c r="AC207">
        <f t="shared" si="127"/>
        <v>0</v>
      </c>
      <c r="AD207" s="242">
        <f t="shared" si="127"/>
        <v>0</v>
      </c>
      <c r="AE207" s="8">
        <f t="shared" si="127"/>
        <v>0</v>
      </c>
      <c r="AF207" s="500">
        <f t="shared" si="127"/>
        <v>0</v>
      </c>
      <c r="AG207" s="319">
        <f t="shared" si="127"/>
        <v>0</v>
      </c>
      <c r="AH207" s="319">
        <f t="shared" si="127"/>
        <v>0</v>
      </c>
      <c r="AI207" s="319">
        <f t="shared" si="127"/>
        <v>0</v>
      </c>
      <c r="AJ207" s="500">
        <f t="shared" si="127"/>
        <v>0</v>
      </c>
      <c r="AK207" s="1088">
        <f t="shared" si="127"/>
        <v>0</v>
      </c>
      <c r="AL207" s="319">
        <f t="shared" si="127"/>
        <v>0</v>
      </c>
      <c r="AM207" s="319">
        <f t="shared" si="127"/>
        <v>0</v>
      </c>
      <c r="AN207" s="10">
        <f t="shared" si="127"/>
        <v>0</v>
      </c>
      <c r="AO207" s="1322">
        <f t="shared" si="127"/>
        <v>1</v>
      </c>
      <c r="AP207" s="319">
        <f t="shared" si="127"/>
        <v>0</v>
      </c>
      <c r="AQ207">
        <f t="shared" si="127"/>
        <v>0</v>
      </c>
      <c r="AR207" s="1323">
        <f t="shared" si="127"/>
        <v>1</v>
      </c>
      <c r="AS207" s="319">
        <f t="shared" si="127"/>
        <v>0</v>
      </c>
    </row>
    <row r="208" spans="17:45" ht="16.5" thickBot="1">
      <c r="Q208" s="996" t="s">
        <v>2056</v>
      </c>
      <c r="R208" s="1190">
        <f>COUNTIF($C165:$O166, R$170)</f>
        <v>0</v>
      </c>
      <c r="S208" s="1190">
        <f t="shared" ref="S208:AS208" si="128">COUNTIF($C165:$O166, S$170)</f>
        <v>0</v>
      </c>
      <c r="T208" s="1192">
        <f t="shared" si="128"/>
        <v>0</v>
      </c>
      <c r="U208" s="1190">
        <f t="shared" si="128"/>
        <v>0</v>
      </c>
      <c r="V208" s="1190">
        <f t="shared" si="128"/>
        <v>0</v>
      </c>
      <c r="W208" s="1190">
        <f t="shared" si="128"/>
        <v>0</v>
      </c>
      <c r="X208" s="1324">
        <f t="shared" si="128"/>
        <v>0</v>
      </c>
      <c r="Y208" s="1190">
        <f t="shared" si="128"/>
        <v>0</v>
      </c>
      <c r="Z208" s="1325">
        <f t="shared" si="128"/>
        <v>0</v>
      </c>
      <c r="AA208" s="1190">
        <f t="shared" si="128"/>
        <v>0</v>
      </c>
      <c r="AB208" s="996">
        <f t="shared" si="128"/>
        <v>0</v>
      </c>
      <c r="AC208" s="996">
        <f t="shared" si="128"/>
        <v>0</v>
      </c>
      <c r="AD208" s="1200">
        <f t="shared" si="128"/>
        <v>1</v>
      </c>
      <c r="AE208" s="1190">
        <f t="shared" si="128"/>
        <v>0</v>
      </c>
      <c r="AF208" s="1326">
        <f t="shared" si="128"/>
        <v>0</v>
      </c>
      <c r="AG208" s="1190">
        <f t="shared" si="128"/>
        <v>0</v>
      </c>
      <c r="AH208" s="1190">
        <f t="shared" si="128"/>
        <v>0</v>
      </c>
      <c r="AI208" s="1190">
        <f t="shared" si="128"/>
        <v>0</v>
      </c>
      <c r="AJ208" s="1326">
        <f t="shared" si="128"/>
        <v>0</v>
      </c>
      <c r="AK208" s="1190">
        <f t="shared" si="128"/>
        <v>0</v>
      </c>
      <c r="AL208" s="1190">
        <f t="shared" si="128"/>
        <v>0</v>
      </c>
      <c r="AM208" s="1190">
        <f t="shared" si="128"/>
        <v>0</v>
      </c>
      <c r="AN208" s="1209">
        <f t="shared" si="128"/>
        <v>1</v>
      </c>
      <c r="AO208" s="1327">
        <f t="shared" si="128"/>
        <v>0</v>
      </c>
      <c r="AP208" s="1190">
        <f t="shared" si="128"/>
        <v>0</v>
      </c>
      <c r="AQ208" s="996">
        <f t="shared" si="128"/>
        <v>0</v>
      </c>
      <c r="AR208" s="1328">
        <f t="shared" si="128"/>
        <v>0</v>
      </c>
      <c r="AS208" s="1190">
        <f t="shared" si="128"/>
        <v>0</v>
      </c>
    </row>
    <row r="209" spans="17:45" ht="16.5" thickTop="1">
      <c r="Q209" s="287" t="s">
        <v>200</v>
      </c>
      <c r="R209" s="405">
        <f>SUM(R171:R208)</f>
        <v>2</v>
      </c>
      <c r="S209" s="559">
        <f t="shared" ref="S209:AS209" si="129">SUM(S171:S208)</f>
        <v>0</v>
      </c>
      <c r="T209" s="1080">
        <f t="shared" si="129"/>
        <v>3</v>
      </c>
      <c r="U209" s="1082">
        <f t="shared" si="129"/>
        <v>0</v>
      </c>
      <c r="V209" s="1083">
        <f t="shared" si="129"/>
        <v>0</v>
      </c>
      <c r="W209" s="564">
        <f t="shared" si="129"/>
        <v>0</v>
      </c>
      <c r="X209" s="1084">
        <f t="shared" si="129"/>
        <v>2</v>
      </c>
      <c r="Y209" s="1085">
        <f t="shared" si="129"/>
        <v>1</v>
      </c>
      <c r="Z209" s="1100">
        <f t="shared" si="129"/>
        <v>8</v>
      </c>
      <c r="AA209" s="1098">
        <f t="shared" si="129"/>
        <v>0</v>
      </c>
      <c r="AB209" s="35">
        <f t="shared" si="129"/>
        <v>8</v>
      </c>
      <c r="AC209" s="35">
        <f t="shared" si="129"/>
        <v>0</v>
      </c>
      <c r="AD209" s="1097">
        <f t="shared" si="129"/>
        <v>2</v>
      </c>
      <c r="AE209" s="558">
        <f t="shared" si="129"/>
        <v>8</v>
      </c>
      <c r="AF209" s="1096">
        <f t="shared" si="129"/>
        <v>1</v>
      </c>
      <c r="AG209" s="1095">
        <f t="shared" si="129"/>
        <v>0</v>
      </c>
      <c r="AH209" s="1089">
        <f t="shared" si="129"/>
        <v>0</v>
      </c>
      <c r="AI209" s="1093">
        <f t="shared" si="129"/>
        <v>0</v>
      </c>
      <c r="AJ209" s="1091">
        <f t="shared" si="129"/>
        <v>1</v>
      </c>
      <c r="AK209" s="1089">
        <f t="shared" si="129"/>
        <v>6</v>
      </c>
      <c r="AL209" s="1087">
        <f t="shared" si="129"/>
        <v>0</v>
      </c>
      <c r="AM209" s="1102">
        <f t="shared" si="129"/>
        <v>11</v>
      </c>
      <c r="AN209" s="1103">
        <f t="shared" si="129"/>
        <v>8</v>
      </c>
      <c r="AO209" s="1095">
        <f t="shared" si="129"/>
        <v>15</v>
      </c>
      <c r="AP209" s="1104">
        <f t="shared" si="129"/>
        <v>0</v>
      </c>
      <c r="AQ209" s="35">
        <f t="shared" si="129"/>
        <v>1</v>
      </c>
      <c r="AR209" s="1105">
        <f t="shared" si="129"/>
        <v>4</v>
      </c>
      <c r="AS209" s="35">
        <f t="shared" si="129"/>
        <v>0</v>
      </c>
    </row>
    <row r="210" spans="17:45">
      <c r="Q210" s="287" t="s">
        <v>1495</v>
      </c>
      <c r="R210" s="441">
        <f>AVERAGE(R171:R208)</f>
        <v>5.2631578947368418E-2</v>
      </c>
      <c r="S210" s="441">
        <f t="shared" ref="S210:AS210" si="130">AVERAGE(S171:S208)</f>
        <v>0</v>
      </c>
      <c r="T210" s="441">
        <f t="shared" si="130"/>
        <v>7.8947368421052627E-2</v>
      </c>
      <c r="U210" s="441">
        <f t="shared" si="130"/>
        <v>0</v>
      </c>
      <c r="V210" s="441">
        <f t="shared" si="130"/>
        <v>0</v>
      </c>
      <c r="W210" s="441">
        <f t="shared" si="130"/>
        <v>0</v>
      </c>
      <c r="X210" s="441">
        <f t="shared" si="130"/>
        <v>5.2631578947368418E-2</v>
      </c>
      <c r="Y210" s="441">
        <f t="shared" si="130"/>
        <v>2.6315789473684209E-2</v>
      </c>
      <c r="Z210" s="441">
        <f t="shared" si="130"/>
        <v>0.21052631578947367</v>
      </c>
      <c r="AA210" s="441">
        <f t="shared" si="130"/>
        <v>0</v>
      </c>
      <c r="AB210" s="441">
        <f t="shared" si="130"/>
        <v>0.21052631578947367</v>
      </c>
      <c r="AC210" s="441">
        <f t="shared" si="130"/>
        <v>0</v>
      </c>
      <c r="AD210" s="441">
        <f t="shared" si="130"/>
        <v>5.2631578947368418E-2</v>
      </c>
      <c r="AE210" s="441">
        <f t="shared" si="130"/>
        <v>0.21052631578947367</v>
      </c>
      <c r="AF210" s="441">
        <f t="shared" si="130"/>
        <v>2.6315789473684209E-2</v>
      </c>
      <c r="AG210" s="441">
        <f t="shared" si="130"/>
        <v>0</v>
      </c>
      <c r="AH210" s="441">
        <f t="shared" si="130"/>
        <v>0</v>
      </c>
      <c r="AI210" s="441">
        <f t="shared" si="130"/>
        <v>0</v>
      </c>
      <c r="AJ210" s="441">
        <f t="shared" si="130"/>
        <v>2.6315789473684209E-2</v>
      </c>
      <c r="AK210" s="441">
        <f t="shared" si="130"/>
        <v>0.15789473684210525</v>
      </c>
      <c r="AL210" s="441">
        <f t="shared" si="130"/>
        <v>0</v>
      </c>
      <c r="AM210" s="441">
        <f t="shared" si="130"/>
        <v>0.28947368421052633</v>
      </c>
      <c r="AN210" s="441">
        <f t="shared" si="130"/>
        <v>0.21052631578947367</v>
      </c>
      <c r="AO210" s="441">
        <f t="shared" si="130"/>
        <v>0.39473684210526316</v>
      </c>
      <c r="AP210" s="441">
        <f t="shared" si="130"/>
        <v>0</v>
      </c>
      <c r="AQ210" s="441">
        <f t="shared" si="130"/>
        <v>2.6315789473684209E-2</v>
      </c>
      <c r="AR210" s="441">
        <f t="shared" si="130"/>
        <v>0.10526315789473684</v>
      </c>
      <c r="AS210" s="441">
        <f t="shared" si="130"/>
        <v>0</v>
      </c>
    </row>
    <row r="211" spans="17:45">
      <c r="Q211" s="287" t="s">
        <v>2705</v>
      </c>
      <c r="R211" s="1189">
        <f>MAX(R171:R208)</f>
        <v>1</v>
      </c>
      <c r="S211" s="1189">
        <f t="shared" ref="S211:AS211" si="131">MAX(S171:S208)</f>
        <v>0</v>
      </c>
      <c r="T211" s="1189">
        <f t="shared" si="131"/>
        <v>1</v>
      </c>
      <c r="U211" s="1189">
        <f t="shared" si="131"/>
        <v>0</v>
      </c>
      <c r="V211" s="1189">
        <f t="shared" si="131"/>
        <v>0</v>
      </c>
      <c r="W211" s="1189">
        <f t="shared" si="131"/>
        <v>0</v>
      </c>
      <c r="X211" s="1189">
        <f t="shared" si="131"/>
        <v>1</v>
      </c>
      <c r="Y211" s="1189">
        <f t="shared" si="131"/>
        <v>1</v>
      </c>
      <c r="Z211" s="1189">
        <f t="shared" si="131"/>
        <v>3</v>
      </c>
      <c r="AA211" s="1189">
        <f t="shared" si="131"/>
        <v>0</v>
      </c>
      <c r="AB211" s="1189">
        <f t="shared" si="131"/>
        <v>1</v>
      </c>
      <c r="AC211" s="1189">
        <f t="shared" si="131"/>
        <v>0</v>
      </c>
      <c r="AD211" s="1189">
        <f t="shared" si="131"/>
        <v>1</v>
      </c>
      <c r="AE211" s="1189">
        <f t="shared" si="131"/>
        <v>1</v>
      </c>
      <c r="AF211" s="1189">
        <f t="shared" si="131"/>
        <v>1</v>
      </c>
      <c r="AG211" s="1189">
        <f t="shared" si="131"/>
        <v>0</v>
      </c>
      <c r="AH211" s="1189">
        <f t="shared" si="131"/>
        <v>0</v>
      </c>
      <c r="AI211" s="1189">
        <f t="shared" si="131"/>
        <v>0</v>
      </c>
      <c r="AJ211" s="1189">
        <f t="shared" si="131"/>
        <v>1</v>
      </c>
      <c r="AK211" s="1189">
        <f t="shared" si="131"/>
        <v>1</v>
      </c>
      <c r="AL211" s="1189">
        <f t="shared" si="131"/>
        <v>0</v>
      </c>
      <c r="AM211" s="1189">
        <f t="shared" si="131"/>
        <v>3</v>
      </c>
      <c r="AN211" s="1189">
        <f t="shared" si="131"/>
        <v>3</v>
      </c>
      <c r="AO211" s="1189">
        <f t="shared" si="131"/>
        <v>5</v>
      </c>
      <c r="AP211" s="1189">
        <f t="shared" si="131"/>
        <v>0</v>
      </c>
      <c r="AQ211" s="1189">
        <f t="shared" si="131"/>
        <v>1</v>
      </c>
      <c r="AR211" s="1189">
        <f t="shared" si="131"/>
        <v>1</v>
      </c>
      <c r="AS211" s="1189">
        <f t="shared" si="131"/>
        <v>0</v>
      </c>
    </row>
  </sheetData>
  <mergeCells count="41">
    <mergeCell ref="B4:E4"/>
    <mergeCell ref="B6:K6"/>
    <mergeCell ref="B52:B55"/>
    <mergeCell ref="B56:B58"/>
    <mergeCell ref="B59:B62"/>
    <mergeCell ref="B49:M50"/>
    <mergeCell ref="B63:B65"/>
    <mergeCell ref="B66:B68"/>
    <mergeCell ref="B69:B71"/>
    <mergeCell ref="B72:B74"/>
    <mergeCell ref="B75:B77"/>
    <mergeCell ref="B78:B80"/>
    <mergeCell ref="B81:B83"/>
    <mergeCell ref="B84:B86"/>
    <mergeCell ref="B87:B89"/>
    <mergeCell ref="B90:B92"/>
    <mergeCell ref="B93:B95"/>
    <mergeCell ref="B96:B98"/>
    <mergeCell ref="B99:B101"/>
    <mergeCell ref="B102:B104"/>
    <mergeCell ref="B105:B107"/>
    <mergeCell ref="B108:B110"/>
    <mergeCell ref="B111:B113"/>
    <mergeCell ref="B114:B116"/>
    <mergeCell ref="B117:B119"/>
    <mergeCell ref="B120:B122"/>
    <mergeCell ref="B123:B125"/>
    <mergeCell ref="B126:B128"/>
    <mergeCell ref="B129:B131"/>
    <mergeCell ref="B132:B134"/>
    <mergeCell ref="B135:B137"/>
    <mergeCell ref="B138:B140"/>
    <mergeCell ref="B141:B143"/>
    <mergeCell ref="B144:B146"/>
    <mergeCell ref="B147:B149"/>
    <mergeCell ref="B150:B152"/>
    <mergeCell ref="B153:B155"/>
    <mergeCell ref="B156:B158"/>
    <mergeCell ref="B159:B161"/>
    <mergeCell ref="B162:B164"/>
    <mergeCell ref="B165:B167"/>
  </mergeCells>
  <phoneticPr fontId="3" type="noConversion"/>
  <conditionalFormatting sqref="R67:AD105 R171:AS211">
    <cfRule type="cellIs" dxfId="5" priority="2" operator="between">
      <formula>0</formula>
      <formula>0</formula>
    </cfRule>
  </conditionalFormatting>
  <pageMargins left="0.7" right="0.7" top="0.75" bottom="0.75" header="0.3" footer="0.3"/>
  <pageSetup orientation="portrait" r:id="rId1"/>
  <drawing r:id="rId2"/>
  <tableParts count="8">
    <tablePart r:id="rId3"/>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84A7A-FFE4-F147-AC4E-8F4168F0F2B3}">
  <sheetPr codeName="Sheet11">
    <tabColor rgb="FF92D050"/>
  </sheetPr>
  <dimension ref="B4:AS207"/>
  <sheetViews>
    <sheetView topLeftCell="Z133" zoomScaleNormal="100" workbookViewId="0">
      <selection activeCell="AF136" sqref="AF136:AG136"/>
    </sheetView>
  </sheetViews>
  <sheetFormatPr defaultColWidth="11" defaultRowHeight="15.75"/>
  <cols>
    <col min="3" max="3" width="14.125" customWidth="1"/>
    <col min="17" max="17" width="11.75" customWidth="1"/>
  </cols>
  <sheetData>
    <row r="4" spans="2:11" ht="33.75">
      <c r="B4" s="1734" t="s">
        <v>49</v>
      </c>
      <c r="C4" s="1734"/>
      <c r="D4" s="1734"/>
      <c r="E4" s="1734"/>
    </row>
    <row r="6" spans="2:11" ht="98.1" customHeight="1">
      <c r="B6" s="1701" t="s">
        <v>1541</v>
      </c>
      <c r="C6" s="1701"/>
      <c r="D6" s="1701"/>
      <c r="E6" s="1701"/>
      <c r="F6" s="1701"/>
      <c r="G6" s="1701"/>
      <c r="H6" s="1701"/>
      <c r="I6" s="1701"/>
      <c r="J6" s="1701"/>
      <c r="K6" s="1701"/>
    </row>
    <row r="8" spans="2:11" ht="18">
      <c r="B8" s="345" t="s">
        <v>1542</v>
      </c>
    </row>
    <row r="9" spans="2:11">
      <c r="B9" s="444" t="s">
        <v>183</v>
      </c>
      <c r="C9" s="312" t="s">
        <v>49</v>
      </c>
    </row>
    <row r="10" spans="2:11">
      <c r="B10" s="163" t="s">
        <v>137</v>
      </c>
      <c r="C10" s="329">
        <v>2</v>
      </c>
    </row>
    <row r="11" spans="2:11">
      <c r="B11" s="163" t="s">
        <v>138</v>
      </c>
      <c r="C11" s="329">
        <v>2</v>
      </c>
    </row>
    <row r="12" spans="2:11">
      <c r="B12" s="163" t="s">
        <v>139</v>
      </c>
      <c r="C12" s="329">
        <v>2</v>
      </c>
    </row>
    <row r="13" spans="2:11">
      <c r="B13" s="163" t="s">
        <v>140</v>
      </c>
      <c r="C13" s="329">
        <v>2</v>
      </c>
    </row>
    <row r="14" spans="2:11">
      <c r="B14" s="163" t="s">
        <v>141</v>
      </c>
      <c r="C14" s="329">
        <v>3</v>
      </c>
    </row>
    <row r="15" spans="2:11">
      <c r="B15" s="163" t="s">
        <v>142</v>
      </c>
      <c r="C15" s="329">
        <v>2</v>
      </c>
    </row>
    <row r="16" spans="2:11">
      <c r="B16" s="163" t="s">
        <v>143</v>
      </c>
      <c r="C16" s="329">
        <v>1</v>
      </c>
    </row>
    <row r="17" spans="2:3">
      <c r="B17" s="163" t="s">
        <v>144</v>
      </c>
      <c r="C17" s="329">
        <v>3</v>
      </c>
    </row>
    <row r="18" spans="2:3">
      <c r="B18" s="163" t="s">
        <v>145</v>
      </c>
      <c r="C18" s="329">
        <v>3</v>
      </c>
    </row>
    <row r="19" spans="2:3">
      <c r="B19" s="163" t="s">
        <v>146</v>
      </c>
      <c r="C19" s="329">
        <v>3</v>
      </c>
    </row>
    <row r="20" spans="2:3">
      <c r="B20" s="163" t="s">
        <v>147</v>
      </c>
      <c r="C20" s="329">
        <v>2</v>
      </c>
    </row>
    <row r="21" spans="2:3">
      <c r="B21" s="163" t="s">
        <v>148</v>
      </c>
      <c r="C21" s="329">
        <v>2</v>
      </c>
    </row>
    <row r="22" spans="2:3">
      <c r="B22" s="163" t="s">
        <v>125</v>
      </c>
      <c r="C22" s="329">
        <v>3</v>
      </c>
    </row>
    <row r="23" spans="2:3">
      <c r="B23" s="163" t="s">
        <v>116</v>
      </c>
      <c r="C23" s="329">
        <v>3</v>
      </c>
    </row>
    <row r="24" spans="2:3">
      <c r="B24" s="163" t="s">
        <v>104</v>
      </c>
      <c r="C24" s="329">
        <v>3</v>
      </c>
    </row>
    <row r="25" spans="2:3">
      <c r="B25" s="163" t="s">
        <v>95</v>
      </c>
      <c r="C25" s="329">
        <v>1</v>
      </c>
    </row>
    <row r="26" spans="2:3">
      <c r="B26" s="163" t="s">
        <v>85</v>
      </c>
      <c r="C26" s="329">
        <v>2</v>
      </c>
    </row>
    <row r="27" spans="2:3">
      <c r="B27" s="163" t="s">
        <v>66</v>
      </c>
      <c r="C27" s="329">
        <v>2</v>
      </c>
    </row>
    <row r="28" spans="2:3">
      <c r="B28" s="163" t="s">
        <v>65</v>
      </c>
      <c r="C28" s="329">
        <v>2</v>
      </c>
    </row>
    <row r="29" spans="2:3">
      <c r="B29" s="163" t="s">
        <v>60</v>
      </c>
      <c r="C29" s="329">
        <v>3</v>
      </c>
    </row>
    <row r="30" spans="2:3">
      <c r="B30" s="163" t="s">
        <v>35</v>
      </c>
      <c r="C30" s="329">
        <v>2</v>
      </c>
    </row>
    <row r="31" spans="2:3">
      <c r="B31" s="273" t="s">
        <v>11</v>
      </c>
      <c r="C31" s="334">
        <v>1</v>
      </c>
    </row>
    <row r="32" spans="2:3">
      <c r="B32" s="272" t="s">
        <v>182</v>
      </c>
      <c r="C32" s="329">
        <f>SUM(C10:C31)</f>
        <v>49</v>
      </c>
    </row>
    <row r="33" spans="2:30">
      <c r="B33" s="163" t="s">
        <v>333</v>
      </c>
      <c r="C33" s="348">
        <f>AVERAGE(C10:C31)</f>
        <v>2.2272727272727271</v>
      </c>
    </row>
    <row r="34" spans="2:30" ht="31.5">
      <c r="B34" s="436" t="s">
        <v>1938</v>
      </c>
      <c r="C34" s="445">
        <f>STDEV(C10:C31)</f>
        <v>0.68534441684234171</v>
      </c>
    </row>
    <row r="35" spans="2:30">
      <c r="B35" s="163" t="s">
        <v>1276</v>
      </c>
      <c r="C35" s="329">
        <f>MAX(C10:C31)</f>
        <v>3</v>
      </c>
    </row>
    <row r="36" spans="2:30">
      <c r="B36" s="163" t="s">
        <v>1530</v>
      </c>
      <c r="C36" s="329">
        <f>MIN(C10:C31)</f>
        <v>1</v>
      </c>
    </row>
    <row r="37" spans="2:30">
      <c r="B37" s="163" t="s">
        <v>1277</v>
      </c>
      <c r="C37" s="329">
        <f>MODE(C10:C31)</f>
        <v>2</v>
      </c>
    </row>
    <row r="39" spans="2:30" ht="18.75">
      <c r="B39" s="40" t="s">
        <v>2716</v>
      </c>
    </row>
    <row r="40" spans="2:30">
      <c r="B40" t="s">
        <v>2717</v>
      </c>
    </row>
    <row r="41" spans="2:30">
      <c r="B41" s="1704" t="s">
        <v>2718</v>
      </c>
      <c r="C41" s="1704"/>
      <c r="D41" s="1704"/>
      <c r="E41" s="1704"/>
      <c r="F41" s="1704"/>
      <c r="G41" s="1704"/>
      <c r="H41" s="1704"/>
      <c r="I41" s="1704"/>
      <c r="J41" s="1704"/>
      <c r="K41" s="1704"/>
      <c r="L41" s="1704"/>
      <c r="M41" s="1704"/>
    </row>
    <row r="42" spans="2:30">
      <c r="B42" s="1704"/>
      <c r="C42" s="1704"/>
      <c r="D42" s="1704"/>
      <c r="E42" s="1704"/>
      <c r="F42" s="1704"/>
      <c r="G42" s="1704"/>
      <c r="H42" s="1704"/>
      <c r="I42" s="1704"/>
      <c r="J42" s="1704"/>
      <c r="K42" s="1704"/>
      <c r="L42" s="1704"/>
      <c r="M42" s="1704"/>
    </row>
    <row r="43" spans="2:30" ht="19.5" thickBot="1">
      <c r="B43" s="973" t="s">
        <v>183</v>
      </c>
      <c r="C43" s="973" t="s">
        <v>1</v>
      </c>
      <c r="D43" s="973" t="s">
        <v>2</v>
      </c>
      <c r="E43" s="973" t="s">
        <v>3</v>
      </c>
      <c r="F43" s="973" t="s">
        <v>4</v>
      </c>
      <c r="G43" s="973" t="s">
        <v>5</v>
      </c>
      <c r="H43" s="973" t="s">
        <v>6</v>
      </c>
      <c r="I43" s="973" t="s">
        <v>7</v>
      </c>
      <c r="J43" s="973" t="s">
        <v>8</v>
      </c>
      <c r="K43" s="973" t="s">
        <v>9</v>
      </c>
      <c r="L43" s="973" t="s">
        <v>10</v>
      </c>
      <c r="M43" s="973" t="s">
        <v>36</v>
      </c>
      <c r="N43" s="973" t="s">
        <v>37</v>
      </c>
      <c r="O43" s="973" t="s">
        <v>344</v>
      </c>
      <c r="Q43" s="69" t="s">
        <v>2777</v>
      </c>
    </row>
    <row r="44" spans="2:30">
      <c r="B44" s="1710" t="s">
        <v>126</v>
      </c>
      <c r="C44" s="58"/>
      <c r="D44" s="990"/>
      <c r="E44" s="58"/>
      <c r="F44" s="990"/>
      <c r="G44" s="58"/>
      <c r="H44" s="990"/>
      <c r="I44" s="58"/>
      <c r="J44" s="58"/>
      <c r="K44" s="58"/>
      <c r="L44" s="58"/>
      <c r="M44" s="58"/>
      <c r="N44" s="58"/>
      <c r="O44" s="58"/>
      <c r="Q44" s="1408" t="s">
        <v>1635</v>
      </c>
      <c r="R44" s="1409" t="s">
        <v>1</v>
      </c>
      <c r="S44" s="1409" t="s">
        <v>2</v>
      </c>
      <c r="T44" s="1409" t="s">
        <v>3</v>
      </c>
      <c r="U44" s="1409" t="s">
        <v>4</v>
      </c>
      <c r="V44" s="1409" t="s">
        <v>5</v>
      </c>
      <c r="W44" s="1409" t="s">
        <v>6</v>
      </c>
      <c r="X44" s="1409" t="s">
        <v>7</v>
      </c>
      <c r="Y44" s="1409" t="s">
        <v>8</v>
      </c>
      <c r="Z44" s="1409" t="s">
        <v>9</v>
      </c>
      <c r="AA44" s="1409" t="s">
        <v>10</v>
      </c>
      <c r="AB44" s="1409" t="s">
        <v>36</v>
      </c>
      <c r="AC44" s="1409" t="s">
        <v>37</v>
      </c>
      <c r="AD44" s="1409" t="s">
        <v>344</v>
      </c>
    </row>
    <row r="45" spans="2:30">
      <c r="B45" s="1710"/>
      <c r="G45" s="990"/>
      <c r="I45" s="58"/>
      <c r="Q45" s="858" t="s">
        <v>185</v>
      </c>
      <c r="R45" s="560" t="str">
        <f t="shared" ref="R45:R57" si="0">IF(COUNTIF(C$44:C$160, "*Challenge*")&gt;0, IF(COUNTIF(C$44:C$224,$Q45)/COUNTIF(C$44:C$224, "*Challenge*")&gt;0, COUNTIF(C$44:C$224,$Q45)/COUNTIF(C$44:C$224, "*Challenge*"), ""), "")</f>
        <v/>
      </c>
      <c r="S45" s="560" t="str">
        <f t="shared" ref="S45:S57" si="1">IF(COUNTIF(D$44:D$160, "*Challenge*")&gt;0, IF(COUNTIF(D$44:D$224,$Q45)/COUNTIF(D$44:D$224, "*Challenge*")&gt;0, COUNTIF(D$44:D$224,$Q45)/COUNTIF(D$44:D$224, "*Challenge*"), ""), "")</f>
        <v/>
      </c>
      <c r="T45" s="560" t="str">
        <f t="shared" ref="T45:T57" si="2">IF(COUNTIF(E$44:E$160, "*Challenge*")&gt;0, IF(COUNTIF(E$44:E$224,$Q45)/COUNTIF(E$44:E$224, "*Challenge*")&gt;0, COUNTIF(E$44:E$224,$Q45)/COUNTIF(E$44:E$224, "*Challenge*"), ""), "")</f>
        <v/>
      </c>
      <c r="U45" s="560" t="str">
        <f t="shared" ref="U45:U57" si="3">IF(COUNTIF(F$44:F$160, "*Challenge*")&gt;0, IF(COUNTIF(F$44:F$224,$Q45)/COUNTIF(F$44:F$224, "*Challenge*")&gt;0, COUNTIF(F$44:F$224,$Q45)/COUNTIF(F$44:F$224, "*Challenge*"), ""), "")</f>
        <v/>
      </c>
      <c r="V45" s="560" t="str">
        <f t="shared" ref="V45:V57" si="4">IF(COUNTIF(G$44:G$160, "*Challenge*")&gt;0, IF(COUNTIF(G$44:G$224,$Q45)/COUNTIF(G$44:G$224, "*Challenge*")&gt;0, COUNTIF(G$44:G$224,$Q45)/COUNTIF(G$44:G$224, "*Challenge*"), ""), "")</f>
        <v/>
      </c>
      <c r="W45" s="560" t="str">
        <f t="shared" ref="W45:W57" si="5">IF(COUNTIF(H$44:H$160, "*Challenge*")&gt;0, IF(COUNTIF(H$44:H$224,$Q45)/COUNTIF(H$44:H$224, "*Challenge*")&gt;0, COUNTIF(H$44:H$224,$Q45)/COUNTIF(H$44:H$224, "*Challenge*"), ""), "")</f>
        <v/>
      </c>
      <c r="X45" s="560" t="str">
        <f t="shared" ref="X45:X57" si="6">IF(COUNTIF(I$44:I$160, "*Challenge*")&gt;0, IF(COUNTIF(I$44:I$224,$Q45)/COUNTIF(I$44:I$224, "*Challenge*")&gt;0, COUNTIF(I$44:I$224,$Q45)/COUNTIF(I$44:I$224, "*Challenge*"), ""), "")</f>
        <v/>
      </c>
      <c r="Y45" s="560" t="str">
        <f t="shared" ref="Y45:Y57" si="7">IF(COUNTIF(J$44:J$160, "*Challenge*")&gt;0, IF(COUNTIF(J$44:J$224,$Q45)/COUNTIF(J$44:J$224, "*Challenge*")&gt;0, COUNTIF(J$44:J$224,$Q45)/COUNTIF(J$44:J$224, "*Challenge*"), ""), "")</f>
        <v/>
      </c>
      <c r="Z45" s="560" t="str">
        <f t="shared" ref="Z45:Z57" si="8">IF(COUNTIF(K$44:K$160, "*Challenge*")&gt;0, IF(COUNTIF(K$44:K$224,$Q45)/COUNTIF(K$44:K$224, "*Challenge*")&gt;0, COUNTIF(K$44:K$224,$Q45)/COUNTIF(K$44:K$224, "*Challenge*"), ""), "")</f>
        <v/>
      </c>
      <c r="AA45" s="560" t="str">
        <f t="shared" ref="AA45:AA57" si="9">IF(COUNTIF(L$44:L$160, "*Challenge*")&gt;0, IF(COUNTIF(L$44:L$224,$Q45)/COUNTIF(L$44:L$224, "*Challenge*")&gt;0, COUNTIF(L$44:L$224,$Q45)/COUNTIF(L$44:L$224, "*Challenge*"), ""), "")</f>
        <v/>
      </c>
      <c r="AB45" s="560" t="str">
        <f t="shared" ref="AB45:AB57" si="10">IF(COUNTIF(M$44:M$160, "*Challenge*")&gt;0, IF(COUNTIF(M$44:M$224,$Q45)/COUNTIF(M$44:M$224, "*Challenge*")&gt;0, COUNTIF(M$44:M$224,$Q45)/COUNTIF(M$44:M$224, "*Challenge*"), ""), "")</f>
        <v/>
      </c>
      <c r="AC45" s="560" t="str">
        <f t="shared" ref="AC45:AC57" si="11">IF(COUNTIF(N$44:N$160, "*Challenge*")&gt;0, IF(COUNTIF(N$44:N$224,$Q45)/COUNTIF(N$44:N$224, "*Challenge*")&gt;0, COUNTIF(N$44:N$224,$Q45)/COUNTIF(N$44:N$224, "*Challenge*"), ""), "")</f>
        <v/>
      </c>
      <c r="AD45" s="560" t="str">
        <f t="shared" ref="AD45:AD57" si="12">IF(COUNTIF(O$44:O$160, "*Challenge*")&gt;0, IF(COUNTIF(O$44:O$224,$Q45)/COUNTIF(O$44:O$224, "*Challenge*")&gt;0, COUNTIF(O$44:O$224,$Q45)/COUNTIF(O$44:O$224, "*Challenge*"), ""), "")</f>
        <v/>
      </c>
    </row>
    <row r="46" spans="2:30">
      <c r="B46" s="1710"/>
      <c r="I46" s="990"/>
      <c r="Q46" s="858" t="s">
        <v>186</v>
      </c>
      <c r="R46" s="560" t="str">
        <f t="shared" si="0"/>
        <v/>
      </c>
      <c r="S46" s="560">
        <f t="shared" si="1"/>
        <v>0.33333333333333331</v>
      </c>
      <c r="T46" s="560" t="str">
        <f t="shared" si="2"/>
        <v/>
      </c>
      <c r="U46" s="560">
        <f t="shared" si="3"/>
        <v>0.6</v>
      </c>
      <c r="V46" s="560">
        <f t="shared" si="4"/>
        <v>0.66666666666666663</v>
      </c>
      <c r="W46" s="560" t="str">
        <f t="shared" si="5"/>
        <v/>
      </c>
      <c r="X46" s="560">
        <f t="shared" si="6"/>
        <v>0.8</v>
      </c>
      <c r="Y46" s="560">
        <f t="shared" si="7"/>
        <v>0.33333333333333331</v>
      </c>
      <c r="Z46" s="560">
        <f t="shared" si="8"/>
        <v>0.6</v>
      </c>
      <c r="AA46" s="560">
        <f t="shared" si="9"/>
        <v>0.14285714285714285</v>
      </c>
      <c r="AB46" s="560">
        <f t="shared" si="10"/>
        <v>0.33333333333333331</v>
      </c>
      <c r="AC46" s="560" t="str">
        <f t="shared" si="11"/>
        <v/>
      </c>
      <c r="AD46" s="560" t="str">
        <f t="shared" si="12"/>
        <v/>
      </c>
    </row>
    <row r="47" spans="2:30" ht="16.5" thickBot="1">
      <c r="B47" s="1723"/>
      <c r="C47" s="985"/>
      <c r="D47" s="985"/>
      <c r="E47" s="985"/>
      <c r="F47" s="985"/>
      <c r="G47" s="985"/>
      <c r="H47" s="985"/>
      <c r="I47" s="985"/>
      <c r="J47" s="985"/>
      <c r="K47" s="985"/>
      <c r="L47" s="985"/>
      <c r="M47" s="985"/>
      <c r="N47" s="985"/>
      <c r="O47" s="985"/>
      <c r="Q47" s="858" t="s">
        <v>187</v>
      </c>
      <c r="R47" s="560" t="str">
        <f t="shared" si="0"/>
        <v/>
      </c>
      <c r="S47" s="560">
        <f t="shared" si="1"/>
        <v>0.33333333333333331</v>
      </c>
      <c r="T47" s="560" t="str">
        <f t="shared" si="2"/>
        <v/>
      </c>
      <c r="U47" s="560">
        <f t="shared" si="3"/>
        <v>0.2</v>
      </c>
      <c r="V47" s="560">
        <f t="shared" si="4"/>
        <v>0.16666666666666666</v>
      </c>
      <c r="W47" s="560" t="str">
        <f t="shared" si="5"/>
        <v/>
      </c>
      <c r="X47" s="560" t="str">
        <f t="shared" si="6"/>
        <v/>
      </c>
      <c r="Y47" s="560">
        <f t="shared" si="7"/>
        <v>0.22222222222222221</v>
      </c>
      <c r="Z47" s="560">
        <f t="shared" si="8"/>
        <v>0.2</v>
      </c>
      <c r="AA47" s="560">
        <f t="shared" si="9"/>
        <v>0.2857142857142857</v>
      </c>
      <c r="AB47" s="560">
        <f t="shared" si="10"/>
        <v>0.5</v>
      </c>
      <c r="AC47" s="560" t="str">
        <f t="shared" si="11"/>
        <v/>
      </c>
      <c r="AD47" s="560" t="str">
        <f t="shared" si="12"/>
        <v/>
      </c>
    </row>
    <row r="48" spans="2:30" ht="16.5" thickTop="1">
      <c r="B48" s="1710" t="s">
        <v>127</v>
      </c>
      <c r="D48" s="990"/>
      <c r="E48" s="58"/>
      <c r="F48" s="58"/>
      <c r="G48" s="990"/>
      <c r="H48" s="58"/>
      <c r="I48" s="58"/>
      <c r="J48" s="58"/>
      <c r="K48" s="58"/>
      <c r="L48" s="58"/>
      <c r="M48" s="990"/>
      <c r="N48" s="58"/>
      <c r="O48" s="58"/>
      <c r="Q48" s="858" t="s">
        <v>188</v>
      </c>
      <c r="R48" s="560" t="str">
        <f t="shared" si="0"/>
        <v/>
      </c>
      <c r="S48" s="560">
        <f t="shared" si="1"/>
        <v>0.33333333333333331</v>
      </c>
      <c r="T48" s="560" t="str">
        <f t="shared" si="2"/>
        <v/>
      </c>
      <c r="U48" s="560" t="str">
        <f t="shared" si="3"/>
        <v/>
      </c>
      <c r="V48" s="560" t="str">
        <f t="shared" si="4"/>
        <v/>
      </c>
      <c r="W48" s="560">
        <f t="shared" si="5"/>
        <v>0.66666666666666663</v>
      </c>
      <c r="X48" s="560">
        <f t="shared" si="6"/>
        <v>0.2</v>
      </c>
      <c r="Y48" s="560">
        <f t="shared" si="7"/>
        <v>0.22222222222222221</v>
      </c>
      <c r="Z48" s="560" t="str">
        <f t="shared" si="8"/>
        <v/>
      </c>
      <c r="AA48" s="560">
        <f t="shared" si="9"/>
        <v>0.14285714285714285</v>
      </c>
      <c r="AB48" s="560">
        <f t="shared" si="10"/>
        <v>0.16666666666666666</v>
      </c>
      <c r="AC48" s="560" t="str">
        <f t="shared" si="11"/>
        <v/>
      </c>
      <c r="AD48" s="560" t="str">
        <f t="shared" si="12"/>
        <v/>
      </c>
    </row>
    <row r="49" spans="2:30">
      <c r="B49" s="1710"/>
      <c r="F49" s="990"/>
      <c r="J49" s="58"/>
      <c r="M49" s="58"/>
      <c r="Q49" s="858" t="s">
        <v>189</v>
      </c>
      <c r="R49" s="560" t="str">
        <f t="shared" si="0"/>
        <v/>
      </c>
      <c r="S49" s="560" t="str">
        <f t="shared" si="1"/>
        <v/>
      </c>
      <c r="T49" s="560" t="str">
        <f t="shared" si="2"/>
        <v/>
      </c>
      <c r="U49" s="560" t="str">
        <f t="shared" si="3"/>
        <v/>
      </c>
      <c r="V49" s="560">
        <f t="shared" si="4"/>
        <v>0.16666666666666666</v>
      </c>
      <c r="W49" s="560">
        <f t="shared" si="5"/>
        <v>0.33333333333333331</v>
      </c>
      <c r="X49" s="560" t="str">
        <f t="shared" si="6"/>
        <v/>
      </c>
      <c r="Y49" s="560">
        <f t="shared" si="7"/>
        <v>0.1111111111111111</v>
      </c>
      <c r="Z49" s="560">
        <f t="shared" si="8"/>
        <v>0.2</v>
      </c>
      <c r="AA49" s="560">
        <f t="shared" si="9"/>
        <v>0.42857142857142855</v>
      </c>
      <c r="AB49" s="560" t="str">
        <f t="shared" si="10"/>
        <v/>
      </c>
      <c r="AC49" s="560" t="str">
        <f t="shared" si="11"/>
        <v/>
      </c>
      <c r="AD49" s="560" t="str">
        <f t="shared" si="12"/>
        <v/>
      </c>
    </row>
    <row r="50" spans="2:30" ht="16.5" thickBot="1">
      <c r="B50" s="1723"/>
      <c r="C50" s="985"/>
      <c r="D50" s="985"/>
      <c r="E50" s="985"/>
      <c r="F50" s="985"/>
      <c r="G50" s="985"/>
      <c r="H50" s="985"/>
      <c r="I50" s="985"/>
      <c r="J50" s="985"/>
      <c r="K50" s="985"/>
      <c r="L50" s="985"/>
      <c r="M50" s="985"/>
      <c r="N50" s="985"/>
      <c r="O50" s="985"/>
      <c r="Q50" s="858" t="s">
        <v>190</v>
      </c>
      <c r="R50" s="560" t="str">
        <f t="shared" si="0"/>
        <v/>
      </c>
      <c r="S50" s="560" t="str">
        <f t="shared" si="1"/>
        <v/>
      </c>
      <c r="T50" s="560" t="str">
        <f t="shared" si="2"/>
        <v/>
      </c>
      <c r="U50" s="560">
        <f t="shared" si="3"/>
        <v>0.2</v>
      </c>
      <c r="V50" s="560" t="str">
        <f t="shared" si="4"/>
        <v/>
      </c>
      <c r="W50" s="560" t="str">
        <f t="shared" si="5"/>
        <v/>
      </c>
      <c r="X50" s="560" t="str">
        <f t="shared" si="6"/>
        <v/>
      </c>
      <c r="Y50" s="560">
        <f t="shared" si="7"/>
        <v>0.1111111111111111</v>
      </c>
      <c r="Z50" s="560" t="str">
        <f t="shared" si="8"/>
        <v/>
      </c>
      <c r="AA50" s="560" t="str">
        <f t="shared" si="9"/>
        <v/>
      </c>
      <c r="AB50" s="560" t="str">
        <f t="shared" si="10"/>
        <v/>
      </c>
      <c r="AC50" s="560" t="str">
        <f t="shared" si="11"/>
        <v/>
      </c>
      <c r="AD50" s="560" t="str">
        <f t="shared" si="12"/>
        <v/>
      </c>
    </row>
    <row r="51" spans="2:30" ht="16.5" thickTop="1">
      <c r="B51" s="1710" t="s">
        <v>128</v>
      </c>
      <c r="C51" s="58"/>
      <c r="D51" s="58"/>
      <c r="E51" s="990"/>
      <c r="F51" s="990"/>
      <c r="H51" s="58"/>
      <c r="I51" s="58"/>
      <c r="K51" s="58"/>
      <c r="N51" s="58"/>
      <c r="O51" s="58"/>
      <c r="Q51" s="858" t="s">
        <v>191</v>
      </c>
      <c r="R51" s="560" t="str">
        <f t="shared" si="0"/>
        <v/>
      </c>
      <c r="S51" s="560" t="str">
        <f t="shared" si="1"/>
        <v/>
      </c>
      <c r="T51" s="560" t="str">
        <f t="shared" si="2"/>
        <v/>
      </c>
      <c r="U51" s="560" t="str">
        <f t="shared" si="3"/>
        <v/>
      </c>
      <c r="V51" s="560" t="str">
        <f t="shared" si="4"/>
        <v/>
      </c>
      <c r="W51" s="560" t="str">
        <f t="shared" si="5"/>
        <v/>
      </c>
      <c r="X51" s="560" t="str">
        <f t="shared" si="6"/>
        <v/>
      </c>
      <c r="Y51" s="560" t="str">
        <f t="shared" si="7"/>
        <v/>
      </c>
      <c r="Z51" s="560" t="str">
        <f t="shared" si="8"/>
        <v/>
      </c>
      <c r="AA51" s="560" t="str">
        <f t="shared" si="9"/>
        <v/>
      </c>
      <c r="AB51" s="560" t="str">
        <f t="shared" si="10"/>
        <v/>
      </c>
      <c r="AC51" s="560" t="str">
        <f t="shared" si="11"/>
        <v/>
      </c>
      <c r="AD51" s="560" t="str">
        <f t="shared" si="12"/>
        <v/>
      </c>
    </row>
    <row r="52" spans="2:30">
      <c r="B52" s="1710"/>
      <c r="D52" s="990"/>
      <c r="K52" s="990"/>
      <c r="Q52" s="858" t="s">
        <v>192</v>
      </c>
      <c r="R52" s="560" t="str">
        <f t="shared" si="0"/>
        <v/>
      </c>
      <c r="S52" s="560" t="str">
        <f t="shared" si="1"/>
        <v/>
      </c>
      <c r="T52" s="560" t="str">
        <f t="shared" si="2"/>
        <v/>
      </c>
      <c r="U52" s="560" t="str">
        <f t="shared" si="3"/>
        <v/>
      </c>
      <c r="V52" s="560" t="str">
        <f t="shared" si="4"/>
        <v/>
      </c>
      <c r="W52" s="560" t="str">
        <f t="shared" si="5"/>
        <v/>
      </c>
      <c r="X52" s="560" t="str">
        <f t="shared" si="6"/>
        <v/>
      </c>
      <c r="Y52" s="560" t="str">
        <f t="shared" si="7"/>
        <v/>
      </c>
      <c r="Z52" s="560" t="str">
        <f t="shared" si="8"/>
        <v/>
      </c>
      <c r="AA52" s="560" t="str">
        <f t="shared" si="9"/>
        <v/>
      </c>
      <c r="AB52" s="560" t="str">
        <f t="shared" si="10"/>
        <v/>
      </c>
      <c r="AC52" s="560" t="str">
        <f t="shared" si="11"/>
        <v/>
      </c>
      <c r="AD52" s="560" t="str">
        <f t="shared" si="12"/>
        <v/>
      </c>
    </row>
    <row r="53" spans="2:30">
      <c r="B53" s="1710"/>
      <c r="D53" s="990"/>
      <c r="Q53" s="858" t="s">
        <v>193</v>
      </c>
      <c r="R53" s="560" t="str">
        <f t="shared" si="0"/>
        <v/>
      </c>
      <c r="S53" s="560" t="str">
        <f t="shared" si="1"/>
        <v/>
      </c>
      <c r="T53" s="560" t="str">
        <f t="shared" si="2"/>
        <v/>
      </c>
      <c r="U53" s="560" t="str">
        <f t="shared" si="3"/>
        <v/>
      </c>
      <c r="V53" s="560" t="str">
        <f t="shared" si="4"/>
        <v/>
      </c>
      <c r="W53" s="560" t="str">
        <f t="shared" si="5"/>
        <v/>
      </c>
      <c r="X53" s="560" t="str">
        <f t="shared" si="6"/>
        <v/>
      </c>
      <c r="Y53" s="560" t="str">
        <f t="shared" si="7"/>
        <v/>
      </c>
      <c r="Z53" s="560" t="str">
        <f t="shared" si="8"/>
        <v/>
      </c>
      <c r="AA53" s="560" t="str">
        <f t="shared" si="9"/>
        <v/>
      </c>
      <c r="AB53" s="560" t="str">
        <f t="shared" si="10"/>
        <v/>
      </c>
      <c r="AC53" s="560" t="str">
        <f t="shared" si="11"/>
        <v/>
      </c>
      <c r="AD53" s="560" t="str">
        <f t="shared" si="12"/>
        <v/>
      </c>
    </row>
    <row r="54" spans="2:30" ht="16.5" thickBot="1">
      <c r="B54" s="1723"/>
      <c r="C54" s="985"/>
      <c r="D54" s="985"/>
      <c r="E54" s="985"/>
      <c r="F54" s="985"/>
      <c r="G54" s="985"/>
      <c r="H54" s="985"/>
      <c r="I54" s="985"/>
      <c r="J54" s="985"/>
      <c r="K54" s="985"/>
      <c r="L54" s="985"/>
      <c r="M54" s="985"/>
      <c r="N54" s="985"/>
      <c r="O54" s="985"/>
      <c r="Q54" s="858" t="s">
        <v>194</v>
      </c>
      <c r="R54" s="560" t="str">
        <f t="shared" si="0"/>
        <v/>
      </c>
      <c r="S54" s="560" t="str">
        <f t="shared" si="1"/>
        <v/>
      </c>
      <c r="T54" s="560" t="str">
        <f t="shared" si="2"/>
        <v/>
      </c>
      <c r="U54" s="560" t="str">
        <f t="shared" si="3"/>
        <v/>
      </c>
      <c r="V54" s="560" t="str">
        <f t="shared" si="4"/>
        <v/>
      </c>
      <c r="W54" s="560" t="str">
        <f t="shared" si="5"/>
        <v/>
      </c>
      <c r="X54" s="560" t="str">
        <f t="shared" si="6"/>
        <v/>
      </c>
      <c r="Y54" s="560" t="str">
        <f t="shared" si="7"/>
        <v/>
      </c>
      <c r="Z54" s="560" t="str">
        <f t="shared" si="8"/>
        <v/>
      </c>
      <c r="AA54" s="560" t="str">
        <f t="shared" si="9"/>
        <v/>
      </c>
      <c r="AB54" s="560" t="str">
        <f t="shared" si="10"/>
        <v/>
      </c>
      <c r="AC54" s="560" t="str">
        <f t="shared" si="11"/>
        <v/>
      </c>
      <c r="AD54" s="560" t="str">
        <f t="shared" si="12"/>
        <v/>
      </c>
    </row>
    <row r="55" spans="2:30" ht="16.5" thickTop="1">
      <c r="B55" s="1710" t="s">
        <v>129</v>
      </c>
      <c r="C55" s="58"/>
      <c r="D55" s="58"/>
      <c r="E55" s="52"/>
      <c r="F55" s="990"/>
      <c r="G55" s="990"/>
      <c r="K55" s="990"/>
      <c r="M55" s="58"/>
      <c r="N55" s="58"/>
      <c r="O55" s="58"/>
      <c r="Q55" s="858" t="s">
        <v>1637</v>
      </c>
      <c r="R55" s="560" t="str">
        <f t="shared" si="0"/>
        <v/>
      </c>
      <c r="S55" s="560" t="str">
        <f t="shared" si="1"/>
        <v/>
      </c>
      <c r="T55" s="560" t="str">
        <f t="shared" si="2"/>
        <v/>
      </c>
      <c r="U55" s="560" t="str">
        <f t="shared" si="3"/>
        <v/>
      </c>
      <c r="V55" s="560" t="str">
        <f t="shared" si="4"/>
        <v/>
      </c>
      <c r="W55" s="560" t="str">
        <f t="shared" si="5"/>
        <v/>
      </c>
      <c r="X55" s="560" t="str">
        <f t="shared" si="6"/>
        <v/>
      </c>
      <c r="Y55" s="560" t="str">
        <f t="shared" si="7"/>
        <v/>
      </c>
      <c r="Z55" s="560" t="str">
        <f t="shared" si="8"/>
        <v/>
      </c>
      <c r="AA55" s="560" t="str">
        <f t="shared" si="9"/>
        <v/>
      </c>
      <c r="AB55" s="560" t="str">
        <f t="shared" si="10"/>
        <v/>
      </c>
      <c r="AC55" s="560" t="str">
        <f t="shared" si="11"/>
        <v/>
      </c>
      <c r="AD55" s="560" t="str">
        <f t="shared" si="12"/>
        <v/>
      </c>
    </row>
    <row r="56" spans="2:30">
      <c r="B56" s="1710"/>
      <c r="D56" s="52"/>
      <c r="Q56" s="858" t="s">
        <v>1638</v>
      </c>
      <c r="R56" s="560" t="str">
        <f t="shared" si="0"/>
        <v/>
      </c>
      <c r="S56" s="560" t="str">
        <f t="shared" si="1"/>
        <v/>
      </c>
      <c r="T56" s="560" t="str">
        <f t="shared" si="2"/>
        <v/>
      </c>
      <c r="U56" s="560" t="str">
        <f t="shared" si="3"/>
        <v/>
      </c>
      <c r="V56" s="560" t="str">
        <f t="shared" si="4"/>
        <v/>
      </c>
      <c r="W56" s="560" t="str">
        <f t="shared" si="5"/>
        <v/>
      </c>
      <c r="X56" s="560" t="str">
        <f t="shared" si="6"/>
        <v/>
      </c>
      <c r="Y56" s="560" t="str">
        <f t="shared" si="7"/>
        <v/>
      </c>
      <c r="Z56" s="560" t="str">
        <f t="shared" si="8"/>
        <v/>
      </c>
      <c r="AA56" s="560" t="str">
        <f t="shared" si="9"/>
        <v/>
      </c>
      <c r="AB56" s="560" t="str">
        <f t="shared" si="10"/>
        <v/>
      </c>
      <c r="AC56" s="560" t="str">
        <f t="shared" si="11"/>
        <v/>
      </c>
      <c r="AD56" s="560" t="str">
        <f t="shared" si="12"/>
        <v/>
      </c>
    </row>
    <row r="57" spans="2:30" ht="16.5" thickBot="1">
      <c r="B57" s="1723"/>
      <c r="C57" s="985"/>
      <c r="D57" s="985"/>
      <c r="E57" s="985"/>
      <c r="F57" s="985"/>
      <c r="G57" s="985"/>
      <c r="H57" s="985"/>
      <c r="I57" s="985"/>
      <c r="J57" s="985"/>
      <c r="K57" s="985"/>
      <c r="L57" s="985"/>
      <c r="M57" s="985"/>
      <c r="N57" s="985"/>
      <c r="O57" s="985"/>
      <c r="Q57" s="858" t="s">
        <v>1639</v>
      </c>
      <c r="R57" s="560" t="str">
        <f t="shared" si="0"/>
        <v/>
      </c>
      <c r="S57" s="560" t="str">
        <f t="shared" si="1"/>
        <v/>
      </c>
      <c r="T57" s="560" t="str">
        <f t="shared" si="2"/>
        <v/>
      </c>
      <c r="U57" s="560" t="str">
        <f t="shared" si="3"/>
        <v/>
      </c>
      <c r="V57" s="560" t="str">
        <f t="shared" si="4"/>
        <v/>
      </c>
      <c r="W57" s="560" t="str">
        <f t="shared" si="5"/>
        <v/>
      </c>
      <c r="X57" s="560" t="str">
        <f t="shared" si="6"/>
        <v/>
      </c>
      <c r="Y57" s="560" t="str">
        <f t="shared" si="7"/>
        <v/>
      </c>
      <c r="Z57" s="560" t="str">
        <f t="shared" si="8"/>
        <v/>
      </c>
      <c r="AA57" s="560" t="str">
        <f t="shared" si="9"/>
        <v/>
      </c>
      <c r="AB57" s="560" t="str">
        <f t="shared" si="10"/>
        <v/>
      </c>
      <c r="AC57" s="560" t="str">
        <f t="shared" si="11"/>
        <v/>
      </c>
      <c r="AD57" s="560" t="str">
        <f t="shared" si="12"/>
        <v/>
      </c>
    </row>
    <row r="58" spans="2:30" ht="16.5" thickTop="1">
      <c r="B58" s="1710" t="s">
        <v>130</v>
      </c>
      <c r="C58" s="58"/>
      <c r="E58" s="52"/>
      <c r="F58" s="990"/>
      <c r="G58" s="58"/>
      <c r="K58" s="58"/>
      <c r="M58" s="58"/>
      <c r="N58" s="58"/>
      <c r="O58" s="58"/>
    </row>
    <row r="59" spans="2:30" ht="19.5" thickBot="1">
      <c r="B59" s="1710"/>
      <c r="Q59" s="69" t="s">
        <v>2776</v>
      </c>
    </row>
    <row r="60" spans="2:30" ht="16.5" thickBot="1">
      <c r="B60" s="1723"/>
      <c r="C60" s="985"/>
      <c r="D60" s="985"/>
      <c r="E60" s="985"/>
      <c r="F60" s="985"/>
      <c r="G60" s="985"/>
      <c r="H60" s="985"/>
      <c r="I60" s="985"/>
      <c r="J60" s="985"/>
      <c r="K60" s="985"/>
      <c r="L60" s="985"/>
      <c r="M60" s="985"/>
      <c r="N60" s="985"/>
      <c r="O60" s="985"/>
      <c r="Q60" s="1410" t="s">
        <v>183</v>
      </c>
      <c r="R60" s="1411" t="s">
        <v>185</v>
      </c>
      <c r="S60" s="1411" t="s">
        <v>186</v>
      </c>
      <c r="T60" s="1411" t="s">
        <v>187</v>
      </c>
      <c r="U60" s="1411" t="s">
        <v>188</v>
      </c>
      <c r="V60" s="1411" t="s">
        <v>189</v>
      </c>
      <c r="W60" s="1411" t="s">
        <v>190</v>
      </c>
      <c r="X60" s="1411" t="s">
        <v>191</v>
      </c>
      <c r="Y60" s="1411" t="s">
        <v>192</v>
      </c>
      <c r="Z60" s="1411" t="s">
        <v>193</v>
      </c>
      <c r="AA60" s="1411" t="s">
        <v>194</v>
      </c>
      <c r="AB60" s="1411" t="s">
        <v>1637</v>
      </c>
      <c r="AC60" s="1411" t="s">
        <v>1638</v>
      </c>
      <c r="AD60" s="1412" t="s">
        <v>1639</v>
      </c>
    </row>
    <row r="61" spans="2:30" ht="16.5" thickTop="1">
      <c r="B61" s="1721" t="s">
        <v>131</v>
      </c>
      <c r="C61" s="58"/>
      <c r="E61" s="52"/>
      <c r="F61" s="990"/>
      <c r="G61" s="58"/>
      <c r="H61" s="58"/>
      <c r="I61" s="58"/>
      <c r="K61" s="58"/>
      <c r="M61" s="58"/>
      <c r="N61" s="58"/>
      <c r="O61" s="58"/>
      <c r="Q61" s="1329" t="s">
        <v>126</v>
      </c>
      <c r="R61">
        <f>COUNTIF($C47:$O47, R$60)</f>
        <v>0</v>
      </c>
      <c r="S61">
        <f t="shared" ref="S61:AD61" si="13">COUNTIF($C47:$O47, S$60)</f>
        <v>0</v>
      </c>
      <c r="T61">
        <f t="shared" si="13"/>
        <v>0</v>
      </c>
      <c r="U61">
        <f t="shared" si="13"/>
        <v>0</v>
      </c>
      <c r="V61">
        <f t="shared" si="13"/>
        <v>0</v>
      </c>
      <c r="W61">
        <f t="shared" si="13"/>
        <v>0</v>
      </c>
      <c r="X61">
        <f t="shared" si="13"/>
        <v>0</v>
      </c>
      <c r="Y61">
        <f t="shared" si="13"/>
        <v>0</v>
      </c>
      <c r="Z61">
        <f t="shared" si="13"/>
        <v>0</v>
      </c>
      <c r="AA61">
        <f t="shared" si="13"/>
        <v>0</v>
      </c>
      <c r="AB61">
        <f t="shared" si="13"/>
        <v>0</v>
      </c>
      <c r="AC61">
        <f t="shared" si="13"/>
        <v>0</v>
      </c>
      <c r="AD61" s="1110">
        <f t="shared" si="13"/>
        <v>0</v>
      </c>
    </row>
    <row r="62" spans="2:30">
      <c r="B62" s="1710"/>
      <c r="Q62" s="1329" t="s">
        <v>127</v>
      </c>
      <c r="R62">
        <f>COUNTIF($C50:$O50, R$60)</f>
        <v>0</v>
      </c>
      <c r="S62">
        <f t="shared" ref="S62:AD62" si="14">COUNTIF($C50:$O50, S$60)</f>
        <v>0</v>
      </c>
      <c r="T62">
        <f t="shared" si="14"/>
        <v>0</v>
      </c>
      <c r="U62">
        <f t="shared" si="14"/>
        <v>0</v>
      </c>
      <c r="V62">
        <f t="shared" si="14"/>
        <v>0</v>
      </c>
      <c r="W62">
        <f t="shared" si="14"/>
        <v>0</v>
      </c>
      <c r="X62">
        <f t="shared" si="14"/>
        <v>0</v>
      </c>
      <c r="Y62">
        <f t="shared" si="14"/>
        <v>0</v>
      </c>
      <c r="Z62">
        <f t="shared" si="14"/>
        <v>0</v>
      </c>
      <c r="AA62">
        <f t="shared" si="14"/>
        <v>0</v>
      </c>
      <c r="AB62">
        <f t="shared" si="14"/>
        <v>0</v>
      </c>
      <c r="AC62">
        <f t="shared" si="14"/>
        <v>0</v>
      </c>
      <c r="AD62" s="1110">
        <f t="shared" si="14"/>
        <v>0</v>
      </c>
    </row>
    <row r="63" spans="2:30" ht="16.5" thickBot="1">
      <c r="B63" s="1723"/>
      <c r="C63" s="985"/>
      <c r="D63" s="985"/>
      <c r="E63" s="985"/>
      <c r="F63" s="985"/>
      <c r="G63" s="985"/>
      <c r="H63" s="985"/>
      <c r="I63" s="985"/>
      <c r="J63" s="985"/>
      <c r="K63" s="985"/>
      <c r="L63" s="985"/>
      <c r="M63" s="985"/>
      <c r="N63" s="985"/>
      <c r="O63" s="985"/>
      <c r="Q63" s="1329" t="s">
        <v>128</v>
      </c>
      <c r="R63">
        <f>COUNTIF($C54:$O54, R$60)</f>
        <v>0</v>
      </c>
      <c r="S63">
        <f t="shared" ref="S63:AD63" si="15">COUNTIF($C54:$O54, S$60)</f>
        <v>0</v>
      </c>
      <c r="T63">
        <f t="shared" si="15"/>
        <v>0</v>
      </c>
      <c r="U63">
        <f t="shared" si="15"/>
        <v>0</v>
      </c>
      <c r="V63">
        <f t="shared" si="15"/>
        <v>0</v>
      </c>
      <c r="W63">
        <f t="shared" si="15"/>
        <v>0</v>
      </c>
      <c r="X63">
        <f t="shared" si="15"/>
        <v>0</v>
      </c>
      <c r="Y63">
        <f t="shared" si="15"/>
        <v>0</v>
      </c>
      <c r="Z63">
        <f t="shared" si="15"/>
        <v>0</v>
      </c>
      <c r="AA63">
        <f t="shared" si="15"/>
        <v>0</v>
      </c>
      <c r="AB63">
        <f t="shared" si="15"/>
        <v>0</v>
      </c>
      <c r="AC63">
        <f t="shared" si="15"/>
        <v>0</v>
      </c>
      <c r="AD63" s="1110">
        <f t="shared" si="15"/>
        <v>0</v>
      </c>
    </row>
    <row r="64" spans="2:30" ht="16.5" thickTop="1">
      <c r="B64" s="1721" t="s">
        <v>132</v>
      </c>
      <c r="C64" s="58"/>
      <c r="E64" s="52"/>
      <c r="F64" s="990"/>
      <c r="G64" s="990"/>
      <c r="H64" s="58"/>
      <c r="I64" s="58"/>
      <c r="K64" s="58"/>
      <c r="M64" s="58"/>
      <c r="N64" s="58"/>
      <c r="O64" s="58"/>
      <c r="Q64" s="1329" t="s">
        <v>129</v>
      </c>
      <c r="R64">
        <f>COUNTIF($C57:$O57, R$60)</f>
        <v>0</v>
      </c>
      <c r="S64">
        <f t="shared" ref="S64:AD64" si="16">COUNTIF($C57:$O57, S$60)</f>
        <v>0</v>
      </c>
      <c r="T64">
        <f t="shared" si="16"/>
        <v>0</v>
      </c>
      <c r="U64">
        <f t="shared" si="16"/>
        <v>0</v>
      </c>
      <c r="V64">
        <f t="shared" si="16"/>
        <v>0</v>
      </c>
      <c r="W64">
        <f t="shared" si="16"/>
        <v>0</v>
      </c>
      <c r="X64">
        <f t="shared" si="16"/>
        <v>0</v>
      </c>
      <c r="Y64">
        <f t="shared" si="16"/>
        <v>0</v>
      </c>
      <c r="Z64">
        <f t="shared" si="16"/>
        <v>0</v>
      </c>
      <c r="AA64">
        <f t="shared" si="16"/>
        <v>0</v>
      </c>
      <c r="AB64">
        <f t="shared" si="16"/>
        <v>0</v>
      </c>
      <c r="AC64">
        <f t="shared" si="16"/>
        <v>0</v>
      </c>
      <c r="AD64" s="1110">
        <f t="shared" si="16"/>
        <v>0</v>
      </c>
    </row>
    <row r="65" spans="2:30">
      <c r="B65" s="1710"/>
      <c r="G65" s="990"/>
      <c r="Q65" s="1329" t="s">
        <v>130</v>
      </c>
      <c r="R65">
        <f>COUNTIF($C60:$O60, R$60)</f>
        <v>0</v>
      </c>
      <c r="S65">
        <f t="shared" ref="S65:AD65" si="17">COUNTIF($C60:$O60, S$60)</f>
        <v>0</v>
      </c>
      <c r="T65">
        <f t="shared" si="17"/>
        <v>0</v>
      </c>
      <c r="U65">
        <f t="shared" si="17"/>
        <v>0</v>
      </c>
      <c r="V65">
        <f t="shared" si="17"/>
        <v>0</v>
      </c>
      <c r="W65">
        <f t="shared" si="17"/>
        <v>0</v>
      </c>
      <c r="X65">
        <f t="shared" si="17"/>
        <v>0</v>
      </c>
      <c r="Y65">
        <f t="shared" si="17"/>
        <v>0</v>
      </c>
      <c r="Z65">
        <f t="shared" si="17"/>
        <v>0</v>
      </c>
      <c r="AA65">
        <f t="shared" si="17"/>
        <v>0</v>
      </c>
      <c r="AB65">
        <f t="shared" si="17"/>
        <v>0</v>
      </c>
      <c r="AC65">
        <f t="shared" si="17"/>
        <v>0</v>
      </c>
      <c r="AD65" s="1110">
        <f t="shared" si="17"/>
        <v>0</v>
      </c>
    </row>
    <row r="66" spans="2:30" ht="16.5" thickBot="1">
      <c r="B66" s="1723"/>
      <c r="C66" s="985"/>
      <c r="D66" s="985"/>
      <c r="E66" s="985"/>
      <c r="F66" s="985"/>
      <c r="G66" s="985"/>
      <c r="H66" s="985"/>
      <c r="I66" s="985"/>
      <c r="J66" s="985"/>
      <c r="K66" s="985"/>
      <c r="L66" s="985"/>
      <c r="M66" s="985"/>
      <c r="N66" s="985"/>
      <c r="O66" s="985"/>
      <c r="Q66" s="1329" t="s">
        <v>131</v>
      </c>
      <c r="R66">
        <f>COUNTIF($C63:$O63, R$60)</f>
        <v>0</v>
      </c>
      <c r="S66">
        <f t="shared" ref="S66:AD66" si="18">COUNTIF($C63:$O63, S$60)</f>
        <v>0</v>
      </c>
      <c r="T66">
        <f t="shared" si="18"/>
        <v>0</v>
      </c>
      <c r="U66">
        <f t="shared" si="18"/>
        <v>0</v>
      </c>
      <c r="V66">
        <f t="shared" si="18"/>
        <v>0</v>
      </c>
      <c r="W66">
        <f t="shared" si="18"/>
        <v>0</v>
      </c>
      <c r="X66">
        <f t="shared" si="18"/>
        <v>0</v>
      </c>
      <c r="Y66">
        <f t="shared" si="18"/>
        <v>0</v>
      </c>
      <c r="Z66">
        <f t="shared" si="18"/>
        <v>0</v>
      </c>
      <c r="AA66">
        <f t="shared" si="18"/>
        <v>0</v>
      </c>
      <c r="AB66">
        <f t="shared" si="18"/>
        <v>0</v>
      </c>
      <c r="AC66">
        <f t="shared" si="18"/>
        <v>0</v>
      </c>
      <c r="AD66" s="1110">
        <f t="shared" si="18"/>
        <v>0</v>
      </c>
    </row>
    <row r="67" spans="2:30" ht="16.5" thickTop="1">
      <c r="B67" s="1721" t="s">
        <v>133</v>
      </c>
      <c r="C67" s="58"/>
      <c r="E67" s="52"/>
      <c r="F67" s="990"/>
      <c r="G67" s="990"/>
      <c r="H67" s="58"/>
      <c r="I67" s="58"/>
      <c r="K67" s="58"/>
      <c r="M67" s="58"/>
      <c r="N67" s="58"/>
      <c r="O67" s="58"/>
      <c r="Q67" s="1329" t="s">
        <v>132</v>
      </c>
      <c r="R67">
        <f>COUNTIF($C66:$O66, R$60)</f>
        <v>0</v>
      </c>
      <c r="S67">
        <f t="shared" ref="S67:AD67" si="19">COUNTIF($C66:$O66, S$60)</f>
        <v>0</v>
      </c>
      <c r="T67">
        <f t="shared" si="19"/>
        <v>0</v>
      </c>
      <c r="U67">
        <f t="shared" si="19"/>
        <v>0</v>
      </c>
      <c r="V67">
        <f t="shared" si="19"/>
        <v>0</v>
      </c>
      <c r="W67">
        <f t="shared" si="19"/>
        <v>0</v>
      </c>
      <c r="X67">
        <f t="shared" si="19"/>
        <v>0</v>
      </c>
      <c r="Y67">
        <f t="shared" si="19"/>
        <v>0</v>
      </c>
      <c r="Z67">
        <f t="shared" si="19"/>
        <v>0</v>
      </c>
      <c r="AA67">
        <f t="shared" si="19"/>
        <v>0</v>
      </c>
      <c r="AB67">
        <f t="shared" si="19"/>
        <v>0</v>
      </c>
      <c r="AC67">
        <f t="shared" si="19"/>
        <v>0</v>
      </c>
      <c r="AD67" s="1110">
        <f t="shared" si="19"/>
        <v>0</v>
      </c>
    </row>
    <row r="68" spans="2:30">
      <c r="B68" s="1710"/>
      <c r="G68" s="990"/>
      <c r="Q68" s="1329" t="s">
        <v>133</v>
      </c>
      <c r="R68">
        <f>COUNTIF($C69:$O69, R$60)</f>
        <v>0</v>
      </c>
      <c r="S68">
        <f t="shared" ref="S68:AD68" si="20">COUNTIF($C69:$O69, S$60)</f>
        <v>0</v>
      </c>
      <c r="T68">
        <f t="shared" si="20"/>
        <v>0</v>
      </c>
      <c r="U68">
        <f t="shared" si="20"/>
        <v>0</v>
      </c>
      <c r="V68">
        <f t="shared" si="20"/>
        <v>0</v>
      </c>
      <c r="W68">
        <f t="shared" si="20"/>
        <v>0</v>
      </c>
      <c r="X68">
        <f t="shared" si="20"/>
        <v>0</v>
      </c>
      <c r="Y68">
        <f t="shared" si="20"/>
        <v>0</v>
      </c>
      <c r="Z68">
        <f t="shared" si="20"/>
        <v>0</v>
      </c>
      <c r="AA68">
        <f t="shared" si="20"/>
        <v>0</v>
      </c>
      <c r="AB68">
        <f t="shared" si="20"/>
        <v>0</v>
      </c>
      <c r="AC68">
        <f t="shared" si="20"/>
        <v>0</v>
      </c>
      <c r="AD68" s="1110">
        <f t="shared" si="20"/>
        <v>0</v>
      </c>
    </row>
    <row r="69" spans="2:30" ht="16.5" thickBot="1">
      <c r="B69" s="1723"/>
      <c r="C69" s="985"/>
      <c r="D69" s="985"/>
      <c r="E69" s="985"/>
      <c r="F69" s="985"/>
      <c r="G69" s="985"/>
      <c r="H69" s="985"/>
      <c r="I69" s="985"/>
      <c r="J69" s="985"/>
      <c r="K69" s="985"/>
      <c r="L69" s="985"/>
      <c r="M69" s="985"/>
      <c r="N69" s="985"/>
      <c r="O69" s="985"/>
      <c r="Q69" s="1329" t="s">
        <v>134</v>
      </c>
      <c r="R69">
        <f>COUNTIF($C72:$O72, R$60)</f>
        <v>0</v>
      </c>
      <c r="S69">
        <f t="shared" ref="S69:AD69" si="21">COUNTIF($C72:$O72, S$60)</f>
        <v>0</v>
      </c>
      <c r="T69">
        <f t="shared" si="21"/>
        <v>0</v>
      </c>
      <c r="U69">
        <f t="shared" si="21"/>
        <v>0</v>
      </c>
      <c r="V69">
        <f t="shared" si="21"/>
        <v>0</v>
      </c>
      <c r="W69">
        <f t="shared" si="21"/>
        <v>0</v>
      </c>
      <c r="X69">
        <f t="shared" si="21"/>
        <v>0</v>
      </c>
      <c r="Y69">
        <f t="shared" si="21"/>
        <v>0</v>
      </c>
      <c r="Z69">
        <f t="shared" si="21"/>
        <v>0</v>
      </c>
      <c r="AA69">
        <f t="shared" si="21"/>
        <v>0</v>
      </c>
      <c r="AB69">
        <f t="shared" si="21"/>
        <v>0</v>
      </c>
      <c r="AC69">
        <f t="shared" si="21"/>
        <v>0</v>
      </c>
      <c r="AD69" s="1110">
        <f t="shared" si="21"/>
        <v>0</v>
      </c>
    </row>
    <row r="70" spans="2:30" ht="16.5" thickTop="1">
      <c r="B70" s="1721" t="s">
        <v>134</v>
      </c>
      <c r="C70" s="58"/>
      <c r="E70" s="52"/>
      <c r="F70" s="990"/>
      <c r="G70" s="990"/>
      <c r="H70" s="58"/>
      <c r="I70" s="58"/>
      <c r="K70" s="58"/>
      <c r="M70" s="58"/>
      <c r="N70" s="58"/>
      <c r="O70" s="58"/>
      <c r="Q70" s="1329" t="s">
        <v>135</v>
      </c>
      <c r="R70">
        <f>COUNTIF($C75:$O75, R$60)</f>
        <v>0</v>
      </c>
      <c r="S70">
        <f t="shared" ref="S70:AD70" si="22">COUNTIF($C75:$O75, S$60)</f>
        <v>0</v>
      </c>
      <c r="T70">
        <f t="shared" si="22"/>
        <v>0</v>
      </c>
      <c r="U70">
        <f t="shared" si="22"/>
        <v>0</v>
      </c>
      <c r="V70">
        <f t="shared" si="22"/>
        <v>0</v>
      </c>
      <c r="W70">
        <f t="shared" si="22"/>
        <v>0</v>
      </c>
      <c r="X70">
        <f t="shared" si="22"/>
        <v>0</v>
      </c>
      <c r="Y70">
        <f t="shared" si="22"/>
        <v>0</v>
      </c>
      <c r="Z70">
        <f t="shared" si="22"/>
        <v>0</v>
      </c>
      <c r="AA70">
        <f t="shared" si="22"/>
        <v>0</v>
      </c>
      <c r="AB70">
        <f t="shared" si="22"/>
        <v>0</v>
      </c>
      <c r="AC70">
        <f t="shared" si="22"/>
        <v>0</v>
      </c>
      <c r="AD70" s="1110">
        <f t="shared" si="22"/>
        <v>0</v>
      </c>
    </row>
    <row r="71" spans="2:30">
      <c r="B71" s="1710"/>
      <c r="G71" s="990"/>
      <c r="Q71" s="1329" t="s">
        <v>136</v>
      </c>
      <c r="R71">
        <f>COUNTIF($C78:$O78, R$60)</f>
        <v>0</v>
      </c>
      <c r="S71">
        <f t="shared" ref="S71:AD71" si="23">COUNTIF($C78:$O78, S$60)</f>
        <v>0</v>
      </c>
      <c r="T71">
        <f t="shared" si="23"/>
        <v>0</v>
      </c>
      <c r="U71">
        <f t="shared" si="23"/>
        <v>0</v>
      </c>
      <c r="V71">
        <f t="shared" si="23"/>
        <v>0</v>
      </c>
      <c r="W71">
        <f t="shared" si="23"/>
        <v>0</v>
      </c>
      <c r="X71">
        <f t="shared" si="23"/>
        <v>0</v>
      </c>
      <c r="Y71">
        <f t="shared" si="23"/>
        <v>0</v>
      </c>
      <c r="Z71">
        <f t="shared" si="23"/>
        <v>0</v>
      </c>
      <c r="AA71">
        <f t="shared" si="23"/>
        <v>0</v>
      </c>
      <c r="AB71">
        <f t="shared" si="23"/>
        <v>0</v>
      </c>
      <c r="AC71">
        <f t="shared" si="23"/>
        <v>0</v>
      </c>
      <c r="AD71" s="1110">
        <f t="shared" si="23"/>
        <v>0</v>
      </c>
    </row>
    <row r="72" spans="2:30" ht="16.5" thickBot="1">
      <c r="B72" s="1723"/>
      <c r="C72" s="985"/>
      <c r="D72" s="985"/>
      <c r="E72" s="985"/>
      <c r="F72" s="985"/>
      <c r="G72" s="985"/>
      <c r="H72" s="985"/>
      <c r="I72" s="985"/>
      <c r="J72" s="985"/>
      <c r="K72" s="985"/>
      <c r="L72" s="985"/>
      <c r="M72" s="985"/>
      <c r="N72" s="985"/>
      <c r="O72" s="985"/>
      <c r="Q72" s="1329" t="s">
        <v>137</v>
      </c>
      <c r="R72">
        <f>COUNTIF($C81:$O81, R$60)</f>
        <v>0</v>
      </c>
      <c r="S72">
        <f t="shared" ref="S72:AD72" si="24">COUNTIF($C81:$O81, S$60)</f>
        <v>0</v>
      </c>
      <c r="T72">
        <f t="shared" si="24"/>
        <v>1</v>
      </c>
      <c r="U72">
        <f t="shared" si="24"/>
        <v>0</v>
      </c>
      <c r="V72">
        <f t="shared" si="24"/>
        <v>1</v>
      </c>
      <c r="W72">
        <f t="shared" si="24"/>
        <v>0</v>
      </c>
      <c r="X72">
        <f t="shared" si="24"/>
        <v>0</v>
      </c>
      <c r="Y72">
        <f t="shared" si="24"/>
        <v>0</v>
      </c>
      <c r="Z72">
        <f t="shared" si="24"/>
        <v>0</v>
      </c>
      <c r="AA72">
        <f t="shared" si="24"/>
        <v>0</v>
      </c>
      <c r="AB72">
        <f t="shared" si="24"/>
        <v>0</v>
      </c>
      <c r="AC72">
        <f t="shared" si="24"/>
        <v>0</v>
      </c>
      <c r="AD72" s="1110">
        <f t="shared" si="24"/>
        <v>0</v>
      </c>
    </row>
    <row r="73" spans="2:30" ht="16.5" thickTop="1">
      <c r="B73" s="1721" t="s">
        <v>135</v>
      </c>
      <c r="C73" s="58"/>
      <c r="E73" s="52"/>
      <c r="F73" s="990"/>
      <c r="G73" s="990"/>
      <c r="H73" s="990"/>
      <c r="I73" s="58"/>
      <c r="J73" s="58"/>
      <c r="K73" s="58"/>
      <c r="M73" s="58"/>
      <c r="N73" s="58"/>
      <c r="O73" s="58"/>
      <c r="Q73" s="1329" t="s">
        <v>138</v>
      </c>
      <c r="R73">
        <f>COUNTIF($C84:$O84, R$60)</f>
        <v>0</v>
      </c>
      <c r="S73">
        <f t="shared" ref="S73:AD73" si="25">COUNTIF($C84:$O84, S$60)</f>
        <v>0</v>
      </c>
      <c r="T73">
        <f t="shared" si="25"/>
        <v>0</v>
      </c>
      <c r="U73">
        <f t="shared" si="25"/>
        <v>1</v>
      </c>
      <c r="V73">
        <f t="shared" si="25"/>
        <v>1</v>
      </c>
      <c r="W73">
        <f t="shared" si="25"/>
        <v>0</v>
      </c>
      <c r="X73">
        <f t="shared" si="25"/>
        <v>0</v>
      </c>
      <c r="Y73">
        <f t="shared" si="25"/>
        <v>0</v>
      </c>
      <c r="Z73">
        <f t="shared" si="25"/>
        <v>0</v>
      </c>
      <c r="AA73">
        <f t="shared" si="25"/>
        <v>0</v>
      </c>
      <c r="AB73">
        <f t="shared" si="25"/>
        <v>0</v>
      </c>
      <c r="AC73">
        <f t="shared" si="25"/>
        <v>0</v>
      </c>
      <c r="AD73" s="1110">
        <f t="shared" si="25"/>
        <v>0</v>
      </c>
    </row>
    <row r="74" spans="2:30">
      <c r="B74" s="1710"/>
      <c r="G74" s="990"/>
      <c r="H74" s="58"/>
      <c r="Q74" s="1329" t="s">
        <v>139</v>
      </c>
      <c r="R74">
        <f>COUNTIF($C88:$O88, R$60)</f>
        <v>0</v>
      </c>
      <c r="S74">
        <f t="shared" ref="S74:AD74" si="26">COUNTIF($C88:$O88, S$60)</f>
        <v>1</v>
      </c>
      <c r="T74">
        <f t="shared" si="26"/>
        <v>0</v>
      </c>
      <c r="U74">
        <f t="shared" si="26"/>
        <v>0</v>
      </c>
      <c r="V74">
        <f t="shared" si="26"/>
        <v>1</v>
      </c>
      <c r="W74">
        <f t="shared" si="26"/>
        <v>0</v>
      </c>
      <c r="X74">
        <f t="shared" si="26"/>
        <v>0</v>
      </c>
      <c r="Y74">
        <f t="shared" si="26"/>
        <v>0</v>
      </c>
      <c r="Z74">
        <f t="shared" si="26"/>
        <v>0</v>
      </c>
      <c r="AA74">
        <f t="shared" si="26"/>
        <v>0</v>
      </c>
      <c r="AB74">
        <f t="shared" si="26"/>
        <v>0</v>
      </c>
      <c r="AC74">
        <f t="shared" si="26"/>
        <v>0</v>
      </c>
      <c r="AD74" s="1110">
        <f t="shared" si="26"/>
        <v>0</v>
      </c>
    </row>
    <row r="75" spans="2:30" ht="16.5" thickBot="1">
      <c r="B75" s="1723"/>
      <c r="C75" s="985"/>
      <c r="D75" s="985"/>
      <c r="E75" s="985"/>
      <c r="F75" s="985"/>
      <c r="G75" s="985"/>
      <c r="H75" s="985"/>
      <c r="I75" s="985"/>
      <c r="J75" s="985"/>
      <c r="K75" s="985"/>
      <c r="L75" s="985"/>
      <c r="M75" s="985"/>
      <c r="N75" s="985"/>
      <c r="O75" s="985"/>
      <c r="Q75" s="1329" t="s">
        <v>140</v>
      </c>
      <c r="R75">
        <f>COUNTIF($C91:$O91, R$60)</f>
        <v>0</v>
      </c>
      <c r="S75">
        <f t="shared" ref="S75:AD75" si="27">COUNTIF($C91:$O91, S$60)</f>
        <v>2</v>
      </c>
      <c r="T75">
        <f t="shared" si="27"/>
        <v>0</v>
      </c>
      <c r="U75">
        <f t="shared" si="27"/>
        <v>0</v>
      </c>
      <c r="V75">
        <f t="shared" si="27"/>
        <v>0</v>
      </c>
      <c r="W75">
        <f t="shared" si="27"/>
        <v>0</v>
      </c>
      <c r="X75">
        <f t="shared" si="27"/>
        <v>0</v>
      </c>
      <c r="Y75">
        <f t="shared" si="27"/>
        <v>0</v>
      </c>
      <c r="Z75">
        <f t="shared" si="27"/>
        <v>0</v>
      </c>
      <c r="AA75">
        <f t="shared" si="27"/>
        <v>0</v>
      </c>
      <c r="AB75">
        <f t="shared" si="27"/>
        <v>0</v>
      </c>
      <c r="AC75">
        <f t="shared" si="27"/>
        <v>0</v>
      </c>
      <c r="AD75" s="1110">
        <f t="shared" si="27"/>
        <v>0</v>
      </c>
    </row>
    <row r="76" spans="2:30" ht="16.5" thickTop="1">
      <c r="B76" s="1721" t="s">
        <v>136</v>
      </c>
      <c r="C76" s="58"/>
      <c r="E76" s="52"/>
      <c r="F76" s="990"/>
      <c r="G76" s="990"/>
      <c r="H76" s="58"/>
      <c r="I76" s="58"/>
      <c r="J76" s="58"/>
      <c r="K76" s="58"/>
      <c r="M76" s="58"/>
      <c r="N76" s="58"/>
      <c r="O76" s="58"/>
      <c r="Q76" s="1329" t="s">
        <v>141</v>
      </c>
      <c r="R76">
        <f>COUNTIF($C94:$O94, R$60)</f>
        <v>0</v>
      </c>
      <c r="S76">
        <f t="shared" ref="S76:AD76" si="28">COUNTIF($C94:$O94, S$60)</f>
        <v>0</v>
      </c>
      <c r="T76">
        <f t="shared" si="28"/>
        <v>2</v>
      </c>
      <c r="U76">
        <f t="shared" si="28"/>
        <v>1</v>
      </c>
      <c r="V76">
        <f t="shared" si="28"/>
        <v>0</v>
      </c>
      <c r="W76">
        <f t="shared" si="28"/>
        <v>0</v>
      </c>
      <c r="X76">
        <f t="shared" si="28"/>
        <v>0</v>
      </c>
      <c r="Y76">
        <f t="shared" si="28"/>
        <v>0</v>
      </c>
      <c r="Z76">
        <f t="shared" si="28"/>
        <v>0</v>
      </c>
      <c r="AA76">
        <f t="shared" si="28"/>
        <v>0</v>
      </c>
      <c r="AB76">
        <f t="shared" si="28"/>
        <v>0</v>
      </c>
      <c r="AC76">
        <f t="shared" si="28"/>
        <v>0</v>
      </c>
      <c r="AD76" s="1110">
        <f t="shared" si="28"/>
        <v>0</v>
      </c>
    </row>
    <row r="77" spans="2:30">
      <c r="B77" s="1710"/>
      <c r="G77" s="990"/>
      <c r="Q77" s="1329" t="s">
        <v>142</v>
      </c>
      <c r="R77">
        <f>COUNTIF($C97:$O97, R$60)</f>
        <v>0</v>
      </c>
      <c r="S77">
        <f t="shared" ref="S77:AD77" si="29">COUNTIF($C97:$O97, S$60)</f>
        <v>1</v>
      </c>
      <c r="T77">
        <f t="shared" si="29"/>
        <v>1</v>
      </c>
      <c r="U77">
        <f t="shared" si="29"/>
        <v>0</v>
      </c>
      <c r="V77">
        <f t="shared" si="29"/>
        <v>0</v>
      </c>
      <c r="W77">
        <f t="shared" si="29"/>
        <v>0</v>
      </c>
      <c r="X77">
        <f t="shared" si="29"/>
        <v>0</v>
      </c>
      <c r="Y77">
        <f t="shared" si="29"/>
        <v>0</v>
      </c>
      <c r="Z77">
        <f t="shared" si="29"/>
        <v>0</v>
      </c>
      <c r="AA77">
        <f t="shared" si="29"/>
        <v>0</v>
      </c>
      <c r="AB77">
        <f t="shared" si="29"/>
        <v>0</v>
      </c>
      <c r="AC77">
        <f t="shared" si="29"/>
        <v>0</v>
      </c>
      <c r="AD77" s="1110">
        <f t="shared" si="29"/>
        <v>0</v>
      </c>
    </row>
    <row r="78" spans="2:30" ht="16.5" thickBot="1">
      <c r="B78" s="1723"/>
      <c r="C78" s="985"/>
      <c r="D78" s="985"/>
      <c r="E78" s="985"/>
      <c r="F78" s="985"/>
      <c r="G78" s="985"/>
      <c r="H78" s="985"/>
      <c r="I78" s="985"/>
      <c r="J78" s="985"/>
      <c r="K78" s="985"/>
      <c r="L78" s="985"/>
      <c r="M78" s="985"/>
      <c r="N78" s="985"/>
      <c r="O78" s="985"/>
      <c r="Q78" s="1329" t="s">
        <v>143</v>
      </c>
      <c r="R78">
        <f>COUNTIF($C100:$O100, R$60)</f>
        <v>0</v>
      </c>
      <c r="S78">
        <f t="shared" ref="S78:AD78" si="30">COUNTIF($C100:$O100, S$60)</f>
        <v>1</v>
      </c>
      <c r="T78">
        <f t="shared" si="30"/>
        <v>0</v>
      </c>
      <c r="U78">
        <f t="shared" si="30"/>
        <v>0</v>
      </c>
      <c r="V78">
        <f t="shared" si="30"/>
        <v>0</v>
      </c>
      <c r="W78">
        <f t="shared" si="30"/>
        <v>0</v>
      </c>
      <c r="X78">
        <f t="shared" si="30"/>
        <v>0</v>
      </c>
      <c r="Y78">
        <f t="shared" si="30"/>
        <v>0</v>
      </c>
      <c r="Z78">
        <f t="shared" si="30"/>
        <v>0</v>
      </c>
      <c r="AA78">
        <f t="shared" si="30"/>
        <v>0</v>
      </c>
      <c r="AB78">
        <f t="shared" si="30"/>
        <v>0</v>
      </c>
      <c r="AC78">
        <f t="shared" si="30"/>
        <v>0</v>
      </c>
      <c r="AD78" s="1110">
        <f t="shared" si="30"/>
        <v>0</v>
      </c>
    </row>
    <row r="79" spans="2:30" ht="16.5" thickTop="1">
      <c r="B79" s="1721" t="s">
        <v>137</v>
      </c>
      <c r="C79" s="58"/>
      <c r="E79" s="52"/>
      <c r="F79" s="990"/>
      <c r="G79" s="990"/>
      <c r="H79" s="58"/>
      <c r="I79" s="58"/>
      <c r="J79" s="981" t="s">
        <v>1271</v>
      </c>
      <c r="K79" s="58"/>
      <c r="L79" s="981" t="s">
        <v>1271</v>
      </c>
      <c r="M79" s="58"/>
      <c r="N79" s="58"/>
      <c r="O79" s="58"/>
      <c r="Q79" s="1329" t="s">
        <v>144</v>
      </c>
      <c r="R79">
        <f>COUNTIF($C103:$O103, R$60)</f>
        <v>0</v>
      </c>
      <c r="S79">
        <f t="shared" ref="S79:AD79" si="31">COUNTIF($C103:$O103, S$60)</f>
        <v>2</v>
      </c>
      <c r="T79">
        <f t="shared" si="31"/>
        <v>1</v>
      </c>
      <c r="U79">
        <f t="shared" si="31"/>
        <v>0</v>
      </c>
      <c r="V79">
        <f t="shared" si="31"/>
        <v>0</v>
      </c>
      <c r="W79">
        <f t="shared" si="31"/>
        <v>0</v>
      </c>
      <c r="X79">
        <f t="shared" si="31"/>
        <v>0</v>
      </c>
      <c r="Y79">
        <f t="shared" si="31"/>
        <v>0</v>
      </c>
      <c r="Z79">
        <f t="shared" si="31"/>
        <v>0</v>
      </c>
      <c r="AA79">
        <f t="shared" si="31"/>
        <v>0</v>
      </c>
      <c r="AB79">
        <f t="shared" si="31"/>
        <v>0</v>
      </c>
      <c r="AC79">
        <f t="shared" si="31"/>
        <v>0</v>
      </c>
      <c r="AD79" s="1110">
        <f t="shared" si="31"/>
        <v>0</v>
      </c>
    </row>
    <row r="80" spans="2:30">
      <c r="B80" s="1710"/>
      <c r="G80" s="990"/>
      <c r="L80" s="983" t="s">
        <v>124</v>
      </c>
      <c r="Q80" s="1329" t="s">
        <v>145</v>
      </c>
      <c r="R80">
        <f>COUNTIF($C106:$O106, R$60)</f>
        <v>0</v>
      </c>
      <c r="S80">
        <f t="shared" ref="S80:AD80" si="32">COUNTIF($C106:$O106, S$60)</f>
        <v>2</v>
      </c>
      <c r="T80">
        <f t="shared" si="32"/>
        <v>1</v>
      </c>
      <c r="U80">
        <f t="shared" si="32"/>
        <v>0</v>
      </c>
      <c r="V80">
        <f t="shared" si="32"/>
        <v>0</v>
      </c>
      <c r="W80">
        <f t="shared" si="32"/>
        <v>0</v>
      </c>
      <c r="X80">
        <f t="shared" si="32"/>
        <v>0</v>
      </c>
      <c r="Y80">
        <f t="shared" si="32"/>
        <v>0</v>
      </c>
      <c r="Z80">
        <f t="shared" si="32"/>
        <v>0</v>
      </c>
      <c r="AA80">
        <f t="shared" si="32"/>
        <v>0</v>
      </c>
      <c r="AB80">
        <f t="shared" si="32"/>
        <v>0</v>
      </c>
      <c r="AC80">
        <f t="shared" si="32"/>
        <v>0</v>
      </c>
      <c r="AD80" s="1110">
        <f t="shared" si="32"/>
        <v>0</v>
      </c>
    </row>
    <row r="81" spans="2:30" ht="16.5" thickBot="1">
      <c r="B81" s="1723"/>
      <c r="C81" s="985"/>
      <c r="D81" s="985"/>
      <c r="E81" s="985"/>
      <c r="F81" s="985"/>
      <c r="G81" s="985"/>
      <c r="H81" s="985"/>
      <c r="I81" s="985"/>
      <c r="J81" s="985" t="s">
        <v>187</v>
      </c>
      <c r="K81" s="985"/>
      <c r="L81" s="985" t="s">
        <v>189</v>
      </c>
      <c r="M81" s="985"/>
      <c r="N81" s="985"/>
      <c r="O81" s="985"/>
      <c r="Q81" s="1329" t="s">
        <v>146</v>
      </c>
      <c r="R81">
        <f>COUNTIF($C109:$O109, R$60)</f>
        <v>0</v>
      </c>
      <c r="S81">
        <f t="shared" ref="S81:AD81" si="33">COUNTIF($C109:$O109, S$60)</f>
        <v>1</v>
      </c>
      <c r="T81">
        <f t="shared" si="33"/>
        <v>1</v>
      </c>
      <c r="U81">
        <f t="shared" si="33"/>
        <v>1</v>
      </c>
      <c r="V81">
        <f t="shared" si="33"/>
        <v>0</v>
      </c>
      <c r="W81">
        <f t="shared" si="33"/>
        <v>0</v>
      </c>
      <c r="X81">
        <f t="shared" si="33"/>
        <v>0</v>
      </c>
      <c r="Y81">
        <f t="shared" si="33"/>
        <v>0</v>
      </c>
      <c r="Z81">
        <f t="shared" si="33"/>
        <v>0</v>
      </c>
      <c r="AA81">
        <f t="shared" si="33"/>
        <v>0</v>
      </c>
      <c r="AB81">
        <f t="shared" si="33"/>
        <v>0</v>
      </c>
      <c r="AC81">
        <f t="shared" si="33"/>
        <v>0</v>
      </c>
      <c r="AD81" s="1110">
        <f t="shared" si="33"/>
        <v>0</v>
      </c>
    </row>
    <row r="82" spans="2:30" ht="16.5" thickTop="1">
      <c r="B82" s="1721" t="s">
        <v>138</v>
      </c>
      <c r="C82" s="58"/>
      <c r="E82" s="52"/>
      <c r="G82" s="990"/>
      <c r="H82" s="58"/>
      <c r="I82" s="961" t="s">
        <v>339</v>
      </c>
      <c r="J82" s="58"/>
      <c r="K82" s="58"/>
      <c r="L82" s="959" t="s">
        <v>155</v>
      </c>
      <c r="M82" s="58"/>
      <c r="N82" s="58"/>
      <c r="O82" s="58"/>
      <c r="Q82" s="1329" t="s">
        <v>147</v>
      </c>
      <c r="R82">
        <f>COUNTIF($C112:$O112, R$60)</f>
        <v>0</v>
      </c>
      <c r="S82">
        <f t="shared" ref="S82:AD82" si="34">COUNTIF($C112:$O112, S$60)</f>
        <v>1</v>
      </c>
      <c r="T82">
        <f t="shared" si="34"/>
        <v>0</v>
      </c>
      <c r="U82">
        <f t="shared" si="34"/>
        <v>1</v>
      </c>
      <c r="V82">
        <f t="shared" si="34"/>
        <v>0</v>
      </c>
      <c r="W82">
        <f t="shared" si="34"/>
        <v>0</v>
      </c>
      <c r="X82">
        <f t="shared" si="34"/>
        <v>0</v>
      </c>
      <c r="Y82">
        <f t="shared" si="34"/>
        <v>0</v>
      </c>
      <c r="Z82">
        <f t="shared" si="34"/>
        <v>0</v>
      </c>
      <c r="AA82">
        <f t="shared" si="34"/>
        <v>0</v>
      </c>
      <c r="AB82">
        <f t="shared" si="34"/>
        <v>0</v>
      </c>
      <c r="AC82">
        <f t="shared" si="34"/>
        <v>0</v>
      </c>
      <c r="AD82" s="1110">
        <f t="shared" si="34"/>
        <v>0</v>
      </c>
    </row>
    <row r="83" spans="2:30">
      <c r="B83" s="1710"/>
      <c r="G83" s="990"/>
      <c r="Q83" s="1329" t="s">
        <v>148</v>
      </c>
      <c r="R83">
        <f>COUNTIF($C115:$O115, R$60)</f>
        <v>0</v>
      </c>
      <c r="S83">
        <f t="shared" ref="S83:AD83" si="35">COUNTIF($C115:$O115, S$60)</f>
        <v>0</v>
      </c>
      <c r="T83">
        <f t="shared" si="35"/>
        <v>0</v>
      </c>
      <c r="U83">
        <f t="shared" si="35"/>
        <v>1</v>
      </c>
      <c r="V83">
        <f t="shared" si="35"/>
        <v>0</v>
      </c>
      <c r="W83">
        <f t="shared" si="35"/>
        <v>1</v>
      </c>
      <c r="X83">
        <f t="shared" si="35"/>
        <v>0</v>
      </c>
      <c r="Y83">
        <f t="shared" si="35"/>
        <v>0</v>
      </c>
      <c r="Z83">
        <f t="shared" si="35"/>
        <v>0</v>
      </c>
      <c r="AA83">
        <f t="shared" si="35"/>
        <v>0</v>
      </c>
      <c r="AB83">
        <f t="shared" si="35"/>
        <v>0</v>
      </c>
      <c r="AC83">
        <f t="shared" si="35"/>
        <v>0</v>
      </c>
      <c r="AD83" s="1110">
        <f t="shared" si="35"/>
        <v>0</v>
      </c>
    </row>
    <row r="84" spans="2:30" ht="16.5" thickBot="1">
      <c r="B84" s="1723"/>
      <c r="C84" s="985"/>
      <c r="D84" s="985"/>
      <c r="E84" s="985"/>
      <c r="F84" s="985"/>
      <c r="G84" s="985"/>
      <c r="H84" s="985"/>
      <c r="I84" s="985" t="s">
        <v>188</v>
      </c>
      <c r="J84" s="985"/>
      <c r="K84" s="985"/>
      <c r="L84" s="985" t="s">
        <v>189</v>
      </c>
      <c r="M84" s="985"/>
      <c r="N84" s="985"/>
      <c r="O84" s="985"/>
      <c r="Q84" s="1329" t="s">
        <v>125</v>
      </c>
      <c r="R84">
        <f>COUNTIF($C118:$O118, R$60)</f>
        <v>0</v>
      </c>
      <c r="S84">
        <f t="shared" ref="S84:AD84" si="36">COUNTIF($C118:$O118, S$60)</f>
        <v>1</v>
      </c>
      <c r="T84">
        <f t="shared" si="36"/>
        <v>0</v>
      </c>
      <c r="U84">
        <f t="shared" si="36"/>
        <v>0</v>
      </c>
      <c r="V84">
        <f t="shared" si="36"/>
        <v>2</v>
      </c>
      <c r="W84">
        <f t="shared" si="36"/>
        <v>0</v>
      </c>
      <c r="X84">
        <f t="shared" si="36"/>
        <v>0</v>
      </c>
      <c r="Y84">
        <f t="shared" si="36"/>
        <v>0</v>
      </c>
      <c r="Z84">
        <f t="shared" si="36"/>
        <v>0</v>
      </c>
      <c r="AA84">
        <f t="shared" si="36"/>
        <v>0</v>
      </c>
      <c r="AB84">
        <f t="shared" si="36"/>
        <v>0</v>
      </c>
      <c r="AC84">
        <f t="shared" si="36"/>
        <v>0</v>
      </c>
      <c r="AD84" s="1110">
        <f t="shared" si="36"/>
        <v>0</v>
      </c>
    </row>
    <row r="85" spans="2:30" ht="16.5" thickTop="1">
      <c r="B85" s="1721" t="s">
        <v>139</v>
      </c>
      <c r="C85" s="58"/>
      <c r="E85" s="52"/>
      <c r="F85" s="990"/>
      <c r="G85" s="990"/>
      <c r="H85" s="967" t="s">
        <v>27</v>
      </c>
      <c r="I85" s="58"/>
      <c r="K85" s="977" t="s">
        <v>1270</v>
      </c>
      <c r="M85" s="58"/>
      <c r="N85" s="58"/>
      <c r="O85" s="58"/>
      <c r="Q85" s="1329" t="s">
        <v>116</v>
      </c>
      <c r="R85">
        <f>COUNTIF($C121:$O121, R$60)</f>
        <v>0</v>
      </c>
      <c r="S85">
        <f t="shared" ref="S85:AD85" si="37">COUNTIF($C121:$O121, S$60)</f>
        <v>2</v>
      </c>
      <c r="T85">
        <f t="shared" si="37"/>
        <v>0</v>
      </c>
      <c r="U85">
        <f t="shared" si="37"/>
        <v>0</v>
      </c>
      <c r="V85">
        <f t="shared" si="37"/>
        <v>1</v>
      </c>
      <c r="W85">
        <f t="shared" si="37"/>
        <v>0</v>
      </c>
      <c r="X85">
        <f t="shared" si="37"/>
        <v>0</v>
      </c>
      <c r="Y85">
        <f t="shared" si="37"/>
        <v>0</v>
      </c>
      <c r="Z85">
        <f t="shared" si="37"/>
        <v>0</v>
      </c>
      <c r="AA85">
        <f t="shared" si="37"/>
        <v>0</v>
      </c>
      <c r="AB85">
        <f t="shared" si="37"/>
        <v>0</v>
      </c>
      <c r="AC85">
        <f t="shared" si="37"/>
        <v>0</v>
      </c>
      <c r="AD85" s="1110">
        <f t="shared" si="37"/>
        <v>0</v>
      </c>
    </row>
    <row r="86" spans="2:30">
      <c r="B86" s="1710"/>
      <c r="C86" s="58"/>
      <c r="E86" s="52"/>
      <c r="F86" s="990"/>
      <c r="G86" s="990"/>
      <c r="H86" s="977" t="s">
        <v>1270</v>
      </c>
      <c r="I86" s="58"/>
      <c r="K86" s="58"/>
      <c r="M86" s="58"/>
      <c r="N86" s="58"/>
      <c r="O86" s="58"/>
      <c r="Q86" s="1329" t="s">
        <v>104</v>
      </c>
      <c r="R86">
        <f>COUNTIF($C124:$O124, R$60)</f>
        <v>0</v>
      </c>
      <c r="S86">
        <f t="shared" ref="S86:AD86" si="38">COUNTIF($C124:$O124, S$60)</f>
        <v>1</v>
      </c>
      <c r="T86">
        <f t="shared" si="38"/>
        <v>2</v>
      </c>
      <c r="U86">
        <f t="shared" si="38"/>
        <v>0</v>
      </c>
      <c r="V86">
        <f t="shared" si="38"/>
        <v>0</v>
      </c>
      <c r="W86">
        <f t="shared" si="38"/>
        <v>0</v>
      </c>
      <c r="X86">
        <f t="shared" si="38"/>
        <v>0</v>
      </c>
      <c r="Y86">
        <f t="shared" si="38"/>
        <v>0</v>
      </c>
      <c r="Z86">
        <f t="shared" si="38"/>
        <v>0</v>
      </c>
      <c r="AA86">
        <f t="shared" si="38"/>
        <v>0</v>
      </c>
      <c r="AB86">
        <f t="shared" si="38"/>
        <v>0</v>
      </c>
      <c r="AC86">
        <f t="shared" si="38"/>
        <v>0</v>
      </c>
      <c r="AD86" s="1110">
        <f t="shared" si="38"/>
        <v>0</v>
      </c>
    </row>
    <row r="87" spans="2:30">
      <c r="B87" s="1710"/>
      <c r="G87" s="990"/>
      <c r="H87" s="958" t="s">
        <v>74</v>
      </c>
      <c r="I87" s="978"/>
      <c r="Q87" s="1329" t="s">
        <v>95</v>
      </c>
      <c r="R87">
        <f>COUNTIF($C127:$O127, R$60)</f>
        <v>0</v>
      </c>
      <c r="S87">
        <f t="shared" ref="S87:AD87" si="39">COUNTIF($C127:$O127, S$60)</f>
        <v>0</v>
      </c>
      <c r="T87">
        <f t="shared" si="39"/>
        <v>1</v>
      </c>
      <c r="U87">
        <f t="shared" si="39"/>
        <v>0</v>
      </c>
      <c r="V87">
        <f t="shared" si="39"/>
        <v>0</v>
      </c>
      <c r="W87">
        <f t="shared" si="39"/>
        <v>0</v>
      </c>
      <c r="X87">
        <f t="shared" si="39"/>
        <v>0</v>
      </c>
      <c r="Y87">
        <f t="shared" si="39"/>
        <v>0</v>
      </c>
      <c r="Z87">
        <f t="shared" si="39"/>
        <v>0</v>
      </c>
      <c r="AA87">
        <f t="shared" si="39"/>
        <v>0</v>
      </c>
      <c r="AB87">
        <f t="shared" si="39"/>
        <v>0</v>
      </c>
      <c r="AC87">
        <f t="shared" si="39"/>
        <v>0</v>
      </c>
      <c r="AD87" s="1110">
        <f t="shared" si="39"/>
        <v>0</v>
      </c>
    </row>
    <row r="88" spans="2:30" ht="16.5" thickBot="1">
      <c r="B88" s="1723"/>
      <c r="C88" s="985"/>
      <c r="D88" s="985"/>
      <c r="E88" s="985"/>
      <c r="F88" s="985"/>
      <c r="G88" s="985"/>
      <c r="H88" s="985" t="s">
        <v>189</v>
      </c>
      <c r="I88" s="985"/>
      <c r="J88" s="985"/>
      <c r="K88" s="985" t="s">
        <v>186</v>
      </c>
      <c r="L88" s="985"/>
      <c r="M88" s="985"/>
      <c r="N88" s="985"/>
      <c r="O88" s="985"/>
      <c r="Q88" s="1329" t="s">
        <v>85</v>
      </c>
      <c r="R88">
        <f>COUNTIF($C130:$O130, R$60)</f>
        <v>0</v>
      </c>
      <c r="S88">
        <f t="shared" ref="S88:AD88" si="40">COUNTIF($C130:$O130, S$60)</f>
        <v>0</v>
      </c>
      <c r="T88">
        <f t="shared" si="40"/>
        <v>0</v>
      </c>
      <c r="U88">
        <f t="shared" si="40"/>
        <v>1</v>
      </c>
      <c r="V88">
        <f t="shared" si="40"/>
        <v>1</v>
      </c>
      <c r="W88">
        <f t="shared" si="40"/>
        <v>0</v>
      </c>
      <c r="X88">
        <f t="shared" si="40"/>
        <v>0</v>
      </c>
      <c r="Y88">
        <f t="shared" si="40"/>
        <v>0</v>
      </c>
      <c r="Z88">
        <f t="shared" si="40"/>
        <v>0</v>
      </c>
      <c r="AA88">
        <f t="shared" si="40"/>
        <v>0</v>
      </c>
      <c r="AB88">
        <f t="shared" si="40"/>
        <v>0</v>
      </c>
      <c r="AC88">
        <f t="shared" si="40"/>
        <v>0</v>
      </c>
      <c r="AD88" s="1110">
        <f t="shared" si="40"/>
        <v>0</v>
      </c>
    </row>
    <row r="89" spans="2:30" ht="16.5" thickTop="1">
      <c r="B89" s="1721" t="s">
        <v>140</v>
      </c>
      <c r="C89" s="58"/>
      <c r="D89" s="964" t="s">
        <v>44</v>
      </c>
      <c r="E89" s="52"/>
      <c r="F89" s="990"/>
      <c r="G89" s="990"/>
      <c r="H89" s="58"/>
      <c r="I89" s="58"/>
      <c r="K89" s="983" t="s">
        <v>124</v>
      </c>
      <c r="M89" s="58"/>
      <c r="N89" s="58"/>
      <c r="O89" s="58"/>
      <c r="Q89" s="1329" t="s">
        <v>66</v>
      </c>
      <c r="R89">
        <f>COUNTIF($C133:$O133, R$60)</f>
        <v>0</v>
      </c>
      <c r="S89">
        <f t="shared" ref="S89:AD89" si="41">COUNTIF($C133:$O133, S$60)</f>
        <v>0</v>
      </c>
      <c r="T89">
        <f t="shared" si="41"/>
        <v>1</v>
      </c>
      <c r="U89">
        <f t="shared" si="41"/>
        <v>1</v>
      </c>
      <c r="V89">
        <f t="shared" si="41"/>
        <v>0</v>
      </c>
      <c r="W89">
        <f t="shared" si="41"/>
        <v>0</v>
      </c>
      <c r="X89">
        <f t="shared" si="41"/>
        <v>0</v>
      </c>
      <c r="Y89">
        <f t="shared" si="41"/>
        <v>0</v>
      </c>
      <c r="Z89">
        <f t="shared" si="41"/>
        <v>0</v>
      </c>
      <c r="AA89">
        <f t="shared" si="41"/>
        <v>0</v>
      </c>
      <c r="AB89">
        <f t="shared" si="41"/>
        <v>0</v>
      </c>
      <c r="AC89">
        <f t="shared" si="41"/>
        <v>0</v>
      </c>
      <c r="AD89" s="1110">
        <f t="shared" si="41"/>
        <v>0</v>
      </c>
    </row>
    <row r="90" spans="2:30">
      <c r="B90" s="1710"/>
      <c r="D90" s="963" t="s">
        <v>46</v>
      </c>
      <c r="G90" s="990"/>
      <c r="Q90" s="1329" t="s">
        <v>65</v>
      </c>
      <c r="R90">
        <f>COUNTIF($C136:$O136, R$60)</f>
        <v>0</v>
      </c>
      <c r="S90">
        <f t="shared" ref="S90:AD90" si="42">COUNTIF($C136:$O136, S$60)</f>
        <v>2</v>
      </c>
      <c r="T90">
        <f t="shared" si="42"/>
        <v>0</v>
      </c>
      <c r="U90">
        <f t="shared" si="42"/>
        <v>0</v>
      </c>
      <c r="V90">
        <f t="shared" si="42"/>
        <v>0</v>
      </c>
      <c r="W90">
        <f t="shared" si="42"/>
        <v>0</v>
      </c>
      <c r="X90">
        <f t="shared" si="42"/>
        <v>0</v>
      </c>
      <c r="Y90">
        <f t="shared" si="42"/>
        <v>0</v>
      </c>
      <c r="Z90">
        <f t="shared" si="42"/>
        <v>0</v>
      </c>
      <c r="AA90">
        <f t="shared" si="42"/>
        <v>0</v>
      </c>
      <c r="AB90">
        <f t="shared" si="42"/>
        <v>0</v>
      </c>
      <c r="AC90">
        <f t="shared" si="42"/>
        <v>0</v>
      </c>
      <c r="AD90" s="1110">
        <f t="shared" si="42"/>
        <v>0</v>
      </c>
    </row>
    <row r="91" spans="2:30" ht="16.5" thickBot="1">
      <c r="B91" s="1723"/>
      <c r="C91" s="985"/>
      <c r="D91" s="985" t="s">
        <v>186</v>
      </c>
      <c r="E91" s="985"/>
      <c r="F91" s="985"/>
      <c r="G91" s="985"/>
      <c r="H91" s="985"/>
      <c r="I91" s="985"/>
      <c r="J91" s="985"/>
      <c r="K91" s="985" t="s">
        <v>186</v>
      </c>
      <c r="L91" s="985"/>
      <c r="M91" s="985"/>
      <c r="N91" s="985"/>
      <c r="O91" s="985"/>
      <c r="Q91" s="1329" t="s">
        <v>60</v>
      </c>
      <c r="R91">
        <f>COUNTIF($C139:$O139, R$60)</f>
        <v>0</v>
      </c>
      <c r="S91">
        <f t="shared" ref="S91:AD91" si="43">COUNTIF($C139:$O139, S$60)</f>
        <v>2</v>
      </c>
      <c r="T91">
        <f t="shared" si="43"/>
        <v>0</v>
      </c>
      <c r="U91">
        <f t="shared" si="43"/>
        <v>1</v>
      </c>
      <c r="V91">
        <f t="shared" si="43"/>
        <v>0</v>
      </c>
      <c r="W91">
        <f t="shared" si="43"/>
        <v>0</v>
      </c>
      <c r="X91">
        <f t="shared" si="43"/>
        <v>0</v>
      </c>
      <c r="Y91">
        <f t="shared" si="43"/>
        <v>0</v>
      </c>
      <c r="Z91">
        <f t="shared" si="43"/>
        <v>0</v>
      </c>
      <c r="AA91">
        <f t="shared" si="43"/>
        <v>0</v>
      </c>
      <c r="AB91">
        <f t="shared" si="43"/>
        <v>0</v>
      </c>
      <c r="AC91">
        <f t="shared" si="43"/>
        <v>0</v>
      </c>
      <c r="AD91" s="1110">
        <f t="shared" si="43"/>
        <v>0</v>
      </c>
    </row>
    <row r="92" spans="2:30" ht="16.5" thickTop="1">
      <c r="B92" s="1721" t="s">
        <v>141</v>
      </c>
      <c r="C92" s="58"/>
      <c r="E92" s="52"/>
      <c r="F92" s="990"/>
      <c r="G92" s="189" t="s">
        <v>47</v>
      </c>
      <c r="H92" s="58"/>
      <c r="I92" s="58"/>
      <c r="J92" s="977" t="s">
        <v>1270</v>
      </c>
      <c r="K92" s="990"/>
      <c r="M92" s="974" t="s">
        <v>1269</v>
      </c>
      <c r="N92" s="58"/>
      <c r="O92" s="58"/>
      <c r="Q92" s="1329" t="s">
        <v>35</v>
      </c>
      <c r="R92">
        <f>COUNTIF($C142:$O142, R$60)</f>
        <v>0</v>
      </c>
      <c r="S92">
        <f t="shared" ref="S92:AD92" si="44">COUNTIF($C142:$O142, S$60)</f>
        <v>2</v>
      </c>
      <c r="T92">
        <f t="shared" si="44"/>
        <v>0</v>
      </c>
      <c r="U92">
        <f t="shared" si="44"/>
        <v>0</v>
      </c>
      <c r="V92">
        <f t="shared" si="44"/>
        <v>0</v>
      </c>
      <c r="W92">
        <f t="shared" si="44"/>
        <v>0</v>
      </c>
      <c r="X92">
        <f t="shared" si="44"/>
        <v>0</v>
      </c>
      <c r="Y92">
        <f t="shared" si="44"/>
        <v>0</v>
      </c>
      <c r="Z92">
        <f t="shared" si="44"/>
        <v>0</v>
      </c>
      <c r="AA92">
        <f t="shared" si="44"/>
        <v>0</v>
      </c>
      <c r="AB92">
        <f t="shared" si="44"/>
        <v>0</v>
      </c>
      <c r="AC92">
        <f t="shared" si="44"/>
        <v>0</v>
      </c>
      <c r="AD92" s="1110">
        <f t="shared" si="44"/>
        <v>0</v>
      </c>
    </row>
    <row r="93" spans="2:30">
      <c r="B93" s="1710"/>
      <c r="G93" s="990"/>
      <c r="Q93" s="1329" t="s">
        <v>11</v>
      </c>
      <c r="R93">
        <f>COUNTIF($C145:$O145, R$60)</f>
        <v>0</v>
      </c>
      <c r="S93">
        <f t="shared" ref="S93:AD93" si="45">COUNTIF($C145:$O145, S$60)</f>
        <v>0</v>
      </c>
      <c r="T93">
        <f t="shared" si="45"/>
        <v>0</v>
      </c>
      <c r="U93">
        <f t="shared" si="45"/>
        <v>0</v>
      </c>
      <c r="V93">
        <f t="shared" si="45"/>
        <v>0</v>
      </c>
      <c r="W93">
        <f t="shared" si="45"/>
        <v>1</v>
      </c>
      <c r="X93">
        <f t="shared" si="45"/>
        <v>0</v>
      </c>
      <c r="Y93">
        <f t="shared" si="45"/>
        <v>0</v>
      </c>
      <c r="Z93">
        <f t="shared" si="45"/>
        <v>0</v>
      </c>
      <c r="AA93">
        <f t="shared" si="45"/>
        <v>0</v>
      </c>
      <c r="AB93">
        <f t="shared" si="45"/>
        <v>0</v>
      </c>
      <c r="AC93">
        <f t="shared" si="45"/>
        <v>0</v>
      </c>
      <c r="AD93" s="1110">
        <f t="shared" si="45"/>
        <v>0</v>
      </c>
    </row>
    <row r="94" spans="2:30" ht="16.5" thickBot="1">
      <c r="B94" s="1723"/>
      <c r="C94" s="985"/>
      <c r="D94" s="985"/>
      <c r="E94" s="985"/>
      <c r="F94" s="985"/>
      <c r="G94" s="985" t="s">
        <v>187</v>
      </c>
      <c r="H94" s="985"/>
      <c r="I94" s="985"/>
      <c r="J94" s="985" t="s">
        <v>188</v>
      </c>
      <c r="K94" s="985"/>
      <c r="L94" s="985"/>
      <c r="M94" s="985" t="s">
        <v>187</v>
      </c>
      <c r="N94" s="985"/>
      <c r="O94" s="985"/>
      <c r="Q94" s="1329" t="s">
        <v>198</v>
      </c>
      <c r="R94">
        <f>COUNTIF($C148:$O148, R$60)</f>
        <v>0</v>
      </c>
      <c r="S94">
        <f t="shared" ref="S94:AD94" si="46">COUNTIF($C148:$O148, S$60)</f>
        <v>0</v>
      </c>
      <c r="T94">
        <f t="shared" si="46"/>
        <v>0</v>
      </c>
      <c r="U94">
        <f t="shared" si="46"/>
        <v>0</v>
      </c>
      <c r="V94">
        <f t="shared" si="46"/>
        <v>0</v>
      </c>
      <c r="W94">
        <f t="shared" si="46"/>
        <v>0</v>
      </c>
      <c r="X94">
        <f t="shared" si="46"/>
        <v>0</v>
      </c>
      <c r="Y94">
        <f t="shared" si="46"/>
        <v>0</v>
      </c>
      <c r="Z94">
        <f t="shared" si="46"/>
        <v>0</v>
      </c>
      <c r="AA94">
        <f t="shared" si="46"/>
        <v>0</v>
      </c>
      <c r="AB94">
        <f t="shared" si="46"/>
        <v>0</v>
      </c>
      <c r="AC94">
        <f t="shared" si="46"/>
        <v>0</v>
      </c>
      <c r="AD94" s="1110">
        <f t="shared" si="46"/>
        <v>0</v>
      </c>
    </row>
    <row r="95" spans="2:30" ht="16.5" thickTop="1">
      <c r="B95" s="1721" t="s">
        <v>142</v>
      </c>
      <c r="C95" s="58"/>
      <c r="E95" s="52"/>
      <c r="F95" s="983" t="s">
        <v>124</v>
      </c>
      <c r="G95" s="58"/>
      <c r="H95" s="58"/>
      <c r="I95" s="58"/>
      <c r="K95" s="58"/>
      <c r="M95" s="977" t="s">
        <v>1270</v>
      </c>
      <c r="N95" s="58"/>
      <c r="O95" s="58"/>
      <c r="Q95" s="1329" t="s">
        <v>184</v>
      </c>
      <c r="R95">
        <f>COUNTIF($C151:$O151, R$60)</f>
        <v>0</v>
      </c>
      <c r="S95">
        <f t="shared" ref="S95:AD95" si="47">COUNTIF($C151:$O151, S$60)</f>
        <v>0</v>
      </c>
      <c r="T95">
        <f t="shared" si="47"/>
        <v>0</v>
      </c>
      <c r="U95">
        <f t="shared" si="47"/>
        <v>0</v>
      </c>
      <c r="V95">
        <f t="shared" si="47"/>
        <v>0</v>
      </c>
      <c r="W95">
        <f t="shared" si="47"/>
        <v>0</v>
      </c>
      <c r="X95">
        <f t="shared" si="47"/>
        <v>0</v>
      </c>
      <c r="Y95">
        <f t="shared" si="47"/>
        <v>0</v>
      </c>
      <c r="Z95">
        <f t="shared" si="47"/>
        <v>0</v>
      </c>
      <c r="AA95">
        <f t="shared" si="47"/>
        <v>0</v>
      </c>
      <c r="AB95">
        <f t="shared" si="47"/>
        <v>0</v>
      </c>
      <c r="AC95">
        <f t="shared" si="47"/>
        <v>0</v>
      </c>
      <c r="AD95" s="1110">
        <f t="shared" si="47"/>
        <v>0</v>
      </c>
    </row>
    <row r="96" spans="2:30">
      <c r="B96" s="1710"/>
      <c r="G96" s="990"/>
      <c r="Q96" s="1329" t="s">
        <v>563</v>
      </c>
      <c r="R96">
        <f>COUNTIF($C154:$O154, R$60)</f>
        <v>0</v>
      </c>
      <c r="S96">
        <f t="shared" ref="S96:AD96" si="48">COUNTIF($C154:$O154, S$60)</f>
        <v>0</v>
      </c>
      <c r="T96">
        <f t="shared" si="48"/>
        <v>0</v>
      </c>
      <c r="U96">
        <f t="shared" si="48"/>
        <v>0</v>
      </c>
      <c r="V96">
        <f t="shared" si="48"/>
        <v>0</v>
      </c>
      <c r="W96">
        <f t="shared" si="48"/>
        <v>0</v>
      </c>
      <c r="X96">
        <f t="shared" si="48"/>
        <v>0</v>
      </c>
      <c r="Y96">
        <f t="shared" si="48"/>
        <v>0</v>
      </c>
      <c r="Z96">
        <f t="shared" si="48"/>
        <v>0</v>
      </c>
      <c r="AA96">
        <f t="shared" si="48"/>
        <v>0</v>
      </c>
      <c r="AB96">
        <f t="shared" si="48"/>
        <v>0</v>
      </c>
      <c r="AC96">
        <f t="shared" si="48"/>
        <v>0</v>
      </c>
      <c r="AD96" s="1110">
        <f t="shared" si="48"/>
        <v>0</v>
      </c>
    </row>
    <row r="97" spans="2:31" ht="16.5" thickBot="1">
      <c r="B97" s="1723"/>
      <c r="C97" s="985"/>
      <c r="D97" s="985"/>
      <c r="E97" s="985"/>
      <c r="F97" s="985" t="s">
        <v>186</v>
      </c>
      <c r="G97" s="985"/>
      <c r="H97" s="985"/>
      <c r="I97" s="985"/>
      <c r="J97" s="985"/>
      <c r="K97" s="985"/>
      <c r="L97" s="985"/>
      <c r="M97" s="985" t="s">
        <v>187</v>
      </c>
      <c r="N97" s="985"/>
      <c r="O97" s="985"/>
      <c r="Q97" s="1329" t="s">
        <v>1742</v>
      </c>
      <c r="R97">
        <f>COUNTIF($C157:$O157, R$60)</f>
        <v>0</v>
      </c>
      <c r="S97">
        <f t="shared" ref="S97:AD97" si="49">COUNTIF($C157:$O157, S$60)</f>
        <v>0</v>
      </c>
      <c r="T97">
        <f t="shared" si="49"/>
        <v>0</v>
      </c>
      <c r="U97">
        <f t="shared" si="49"/>
        <v>0</v>
      </c>
      <c r="V97">
        <f t="shared" si="49"/>
        <v>0</v>
      </c>
      <c r="W97">
        <f t="shared" si="49"/>
        <v>0</v>
      </c>
      <c r="X97">
        <f t="shared" si="49"/>
        <v>0</v>
      </c>
      <c r="Y97">
        <f t="shared" si="49"/>
        <v>0</v>
      </c>
      <c r="Z97">
        <f t="shared" si="49"/>
        <v>0</v>
      </c>
      <c r="AA97">
        <f t="shared" si="49"/>
        <v>0</v>
      </c>
      <c r="AB97">
        <f t="shared" si="49"/>
        <v>0</v>
      </c>
      <c r="AC97">
        <f t="shared" si="49"/>
        <v>0</v>
      </c>
      <c r="AD97" s="1110">
        <f t="shared" si="49"/>
        <v>0</v>
      </c>
    </row>
    <row r="98" spans="2:31" ht="16.5" thickTop="1">
      <c r="B98" s="1721" t="s">
        <v>143</v>
      </c>
      <c r="C98" s="58"/>
      <c r="E98" s="52"/>
      <c r="F98" s="990"/>
      <c r="G98" s="990"/>
      <c r="H98" s="58"/>
      <c r="I98" s="58"/>
      <c r="K98" s="1003" t="s">
        <v>114</v>
      </c>
      <c r="M98" s="58"/>
      <c r="N98" s="58"/>
      <c r="O98" s="58"/>
      <c r="Q98" s="1329" t="s">
        <v>2056</v>
      </c>
      <c r="R98">
        <f>COUNTIF($C160:$O160, R$60)</f>
        <v>0</v>
      </c>
      <c r="S98">
        <f t="shared" ref="S98:AD98" si="50">COUNTIF($C160:$O160, S$60)</f>
        <v>0</v>
      </c>
      <c r="T98">
        <f t="shared" si="50"/>
        <v>0</v>
      </c>
      <c r="U98">
        <f t="shared" si="50"/>
        <v>0</v>
      </c>
      <c r="V98">
        <f t="shared" si="50"/>
        <v>0</v>
      </c>
      <c r="W98">
        <f t="shared" si="50"/>
        <v>0</v>
      </c>
      <c r="X98">
        <f t="shared" si="50"/>
        <v>0</v>
      </c>
      <c r="Y98">
        <f t="shared" si="50"/>
        <v>0</v>
      </c>
      <c r="Z98">
        <f t="shared" si="50"/>
        <v>0</v>
      </c>
      <c r="AA98">
        <f t="shared" si="50"/>
        <v>0</v>
      </c>
      <c r="AB98">
        <f t="shared" si="50"/>
        <v>0</v>
      </c>
      <c r="AC98">
        <f t="shared" si="50"/>
        <v>0</v>
      </c>
      <c r="AD98" s="1110">
        <f t="shared" si="50"/>
        <v>0</v>
      </c>
    </row>
    <row r="99" spans="2:31" ht="16.5" thickBot="1">
      <c r="B99" s="1710"/>
      <c r="G99" s="990"/>
      <c r="Q99" s="1330" t="s">
        <v>200</v>
      </c>
      <c r="R99" s="973">
        <f>SUM(R61:R98)</f>
        <v>0</v>
      </c>
      <c r="S99" s="973">
        <f t="shared" ref="S99:AD99" si="51">SUM(S61:S98)</f>
        <v>21</v>
      </c>
      <c r="T99" s="973">
        <f t="shared" si="51"/>
        <v>11</v>
      </c>
      <c r="U99" s="973">
        <f t="shared" si="51"/>
        <v>8</v>
      </c>
      <c r="V99" s="973">
        <f t="shared" si="51"/>
        <v>7</v>
      </c>
      <c r="W99" s="973">
        <f t="shared" si="51"/>
        <v>2</v>
      </c>
      <c r="X99" s="973">
        <f t="shared" si="51"/>
        <v>0</v>
      </c>
      <c r="Y99" s="973">
        <f t="shared" si="51"/>
        <v>0</v>
      </c>
      <c r="Z99" s="973">
        <f t="shared" si="51"/>
        <v>0</v>
      </c>
      <c r="AA99" s="973">
        <f t="shared" si="51"/>
        <v>0</v>
      </c>
      <c r="AB99" s="973">
        <f t="shared" si="51"/>
        <v>0</v>
      </c>
      <c r="AC99" s="973">
        <f t="shared" si="51"/>
        <v>0</v>
      </c>
      <c r="AD99" s="1331">
        <f t="shared" si="51"/>
        <v>0</v>
      </c>
    </row>
    <row r="100" spans="2:31" ht="16.5" thickBot="1">
      <c r="B100" s="1723"/>
      <c r="C100" s="985"/>
      <c r="D100" s="985"/>
      <c r="E100" s="985"/>
      <c r="F100" s="985"/>
      <c r="G100" s="985"/>
      <c r="H100" s="985"/>
      <c r="I100" s="985"/>
      <c r="J100" s="985"/>
      <c r="K100" s="985" t="s">
        <v>186</v>
      </c>
      <c r="L100" s="985"/>
      <c r="M100" s="985"/>
      <c r="N100" s="985"/>
      <c r="O100" s="985"/>
    </row>
    <row r="101" spans="2:31" ht="19.5" thickTop="1">
      <c r="B101" s="1721" t="s">
        <v>144</v>
      </c>
      <c r="C101" s="58"/>
      <c r="D101" s="14" t="s">
        <v>20</v>
      </c>
      <c r="E101" s="52"/>
      <c r="F101" s="990"/>
      <c r="G101" s="981" t="s">
        <v>1271</v>
      </c>
      <c r="H101" s="58"/>
      <c r="I101" s="14" t="s">
        <v>20</v>
      </c>
      <c r="K101" s="58"/>
      <c r="M101" s="58"/>
      <c r="N101" s="58"/>
      <c r="O101" s="58"/>
      <c r="Q101" s="69" t="s">
        <v>2775</v>
      </c>
    </row>
    <row r="102" spans="2:31">
      <c r="B102" s="1710"/>
      <c r="G102" s="967" t="s">
        <v>27</v>
      </c>
      <c r="Q102" s="1413" t="s">
        <v>19</v>
      </c>
      <c r="R102" s="1413" t="s">
        <v>1</v>
      </c>
      <c r="S102" s="1413" t="s">
        <v>2</v>
      </c>
      <c r="T102" s="1413" t="s">
        <v>3</v>
      </c>
      <c r="U102" s="1413" t="s">
        <v>4</v>
      </c>
      <c r="V102" s="1413" t="s">
        <v>5</v>
      </c>
      <c r="W102" s="1413" t="s">
        <v>6</v>
      </c>
      <c r="X102" s="1413" t="s">
        <v>7</v>
      </c>
      <c r="Y102" s="1413" t="s">
        <v>8</v>
      </c>
      <c r="Z102" s="1413" t="s">
        <v>9</v>
      </c>
      <c r="AA102" s="1413" t="s">
        <v>10</v>
      </c>
      <c r="AB102" s="1413" t="s">
        <v>36</v>
      </c>
      <c r="AC102" s="1413" t="s">
        <v>37</v>
      </c>
      <c r="AD102" s="1413" t="s">
        <v>344</v>
      </c>
      <c r="AE102" s="1414" t="s">
        <v>200</v>
      </c>
    </row>
    <row r="103" spans="2:31" ht="16.5" thickBot="1">
      <c r="B103" s="1723"/>
      <c r="C103" s="985"/>
      <c r="D103" s="985" t="s">
        <v>187</v>
      </c>
      <c r="E103" s="985"/>
      <c r="F103" s="985"/>
      <c r="G103" s="985" t="s">
        <v>186</v>
      </c>
      <c r="H103" s="985"/>
      <c r="I103" s="985" t="s">
        <v>186</v>
      </c>
      <c r="J103" s="985"/>
      <c r="K103" s="985"/>
      <c r="L103" s="985"/>
      <c r="M103" s="985"/>
      <c r="N103" s="985"/>
      <c r="O103" s="985"/>
      <c r="Q103" s="903" t="s">
        <v>27</v>
      </c>
      <c r="R103" s="319" t="str">
        <f t="shared" ref="R103:R130" si="52">IF(COUNTIF(C$44:C$224,$Q103)&gt;0,COUNTIF(C$44:C$224,$Q103), "")</f>
        <v/>
      </c>
      <c r="S103" s="319" t="str">
        <f t="shared" ref="S103:S130" si="53">IF(COUNTIF(D$44:D$224,$Q103)&gt;0,COUNTIF(D$44:D$224,$Q103), "")</f>
        <v/>
      </c>
      <c r="T103" s="319" t="str">
        <f t="shared" ref="T103:T130" si="54">IF(COUNTIF(E$44:E$224,$Q103)&gt;0,COUNTIF(E$44:E$224,$Q103), "")</f>
        <v/>
      </c>
      <c r="U103" s="319" t="str">
        <f t="shared" ref="U103:U130" si="55">IF(COUNTIF(F$44:F$224,$Q103)&gt;0,COUNTIF(F$44:F$224,$Q103), "")</f>
        <v/>
      </c>
      <c r="V103" s="319">
        <f t="shared" ref="V103:V130" si="56">IF(COUNTIF(G$44:G$224,$Q103)&gt;0,COUNTIF(G$44:G$224,$Q103), "")</f>
        <v>1</v>
      </c>
      <c r="W103" s="319">
        <f t="shared" ref="W103:W130" si="57">IF(COUNTIF(H$44:H$224,$Q103)&gt;0,COUNTIF(H$44:H$224,$Q103), "")</f>
        <v>1</v>
      </c>
      <c r="X103" s="319" t="str">
        <f t="shared" ref="X103:X130" si="58">IF(COUNTIF(I$44:I$224,$Q103)&gt;0,COUNTIF(I$44:I$224,$Q103), "")</f>
        <v/>
      </c>
      <c r="Y103" s="319" t="str">
        <f t="shared" ref="Y103:Y130" si="59">IF(COUNTIF(J$44:J$224,$Q103)&gt;0,COUNTIF(J$44:J$224,$Q103), "")</f>
        <v/>
      </c>
      <c r="Z103" s="319" t="str">
        <f t="shared" ref="Z103:Z130" si="60">IF(COUNTIF(K$44:K$224,$Q103)&gt;0,COUNTIF(K$44:K$224,$Q103), "")</f>
        <v/>
      </c>
      <c r="AA103" s="319" t="str">
        <f t="shared" ref="AA103:AA130" si="61">IF(COUNTIF(L$44:L$224,$Q103)&gt;0,COUNTIF(L$44:L$224,$Q103), "")</f>
        <v/>
      </c>
      <c r="AB103" s="319" t="str">
        <f t="shared" ref="AB103:AB130" si="62">IF(COUNTIF(M$44:M$224,$Q103)&gt;0,COUNTIF(M$44:M$224,$Q103), "")</f>
        <v/>
      </c>
      <c r="AC103" s="319" t="str">
        <f t="shared" ref="AC103:AC130" si="63">IF(COUNTIF(N$44:N$224,$Q103)&gt;0,COUNTIF(N$44:N$224,$Q103), "")</f>
        <v/>
      </c>
      <c r="AD103" s="319" t="str">
        <f t="shared" ref="AD103:AD130" si="64">IF(COUNTIF(O$44:O$224,$Q103)&gt;0,COUNTIF(O$44:O$224,$Q103), "")</f>
        <v/>
      </c>
      <c r="AE103" s="929">
        <f>SUM(R103:AD103)</f>
        <v>2</v>
      </c>
    </row>
    <row r="104" spans="2:31" ht="16.5" thickTop="1">
      <c r="B104" s="1721" t="s">
        <v>145</v>
      </c>
      <c r="C104" s="58"/>
      <c r="E104" s="52"/>
      <c r="F104" s="990"/>
      <c r="G104" s="1067" t="s">
        <v>73</v>
      </c>
      <c r="I104" s="58"/>
      <c r="J104" s="977" t="s">
        <v>1270</v>
      </c>
      <c r="K104" s="58"/>
      <c r="L104" s="977" t="s">
        <v>1270</v>
      </c>
      <c r="M104" s="58"/>
      <c r="N104" s="58"/>
      <c r="O104" s="58"/>
      <c r="Q104" s="904" t="s">
        <v>1270</v>
      </c>
      <c r="R104" s="33" t="str">
        <f t="shared" si="52"/>
        <v/>
      </c>
      <c r="S104" s="33" t="str">
        <f t="shared" si="53"/>
        <v/>
      </c>
      <c r="T104" s="33" t="str">
        <f t="shared" si="54"/>
        <v/>
      </c>
      <c r="U104" s="33">
        <f t="shared" si="55"/>
        <v>1</v>
      </c>
      <c r="V104" s="33">
        <f t="shared" si="56"/>
        <v>3</v>
      </c>
      <c r="W104" s="33">
        <f t="shared" si="57"/>
        <v>2</v>
      </c>
      <c r="X104" s="33" t="str">
        <f t="shared" si="58"/>
        <v/>
      </c>
      <c r="Y104" s="33">
        <f t="shared" si="59"/>
        <v>4</v>
      </c>
      <c r="Z104" s="33">
        <f t="shared" si="60"/>
        <v>2</v>
      </c>
      <c r="AA104" s="33">
        <f t="shared" si="61"/>
        <v>2</v>
      </c>
      <c r="AB104" s="33">
        <f t="shared" si="62"/>
        <v>2</v>
      </c>
      <c r="AC104" s="33" t="str">
        <f t="shared" si="63"/>
        <v/>
      </c>
      <c r="AD104" s="33" t="str">
        <f t="shared" si="64"/>
        <v/>
      </c>
      <c r="AE104" s="929">
        <f t="shared" ref="AE104:AE130" si="65">SUM(R104:AD104)</f>
        <v>16</v>
      </c>
    </row>
    <row r="105" spans="2:31">
      <c r="B105" s="1710"/>
      <c r="G105" s="990"/>
      <c r="L105" s="958" t="s">
        <v>74</v>
      </c>
      <c r="Q105" s="896" t="s">
        <v>43</v>
      </c>
      <c r="R105" s="587" t="str">
        <f t="shared" si="52"/>
        <v/>
      </c>
      <c r="S105" s="587" t="str">
        <f t="shared" si="53"/>
        <v/>
      </c>
      <c r="T105" s="587" t="str">
        <f t="shared" si="54"/>
        <v/>
      </c>
      <c r="U105" s="587" t="str">
        <f t="shared" si="55"/>
        <v/>
      </c>
      <c r="V105" s="587" t="str">
        <f t="shared" si="56"/>
        <v/>
      </c>
      <c r="W105" s="587" t="str">
        <f t="shared" si="57"/>
        <v/>
      </c>
      <c r="X105" s="587" t="str">
        <f t="shared" si="58"/>
        <v/>
      </c>
      <c r="Y105" s="587" t="str">
        <f t="shared" si="59"/>
        <v/>
      </c>
      <c r="Z105" s="587" t="str">
        <f t="shared" si="60"/>
        <v/>
      </c>
      <c r="AA105" s="587" t="str">
        <f t="shared" si="61"/>
        <v/>
      </c>
      <c r="AB105" s="587" t="str">
        <f t="shared" si="62"/>
        <v/>
      </c>
      <c r="AC105" s="587" t="str">
        <f t="shared" si="63"/>
        <v/>
      </c>
      <c r="AD105" s="587" t="str">
        <f t="shared" si="64"/>
        <v/>
      </c>
      <c r="AE105" s="929">
        <f t="shared" si="65"/>
        <v>0</v>
      </c>
    </row>
    <row r="106" spans="2:31" ht="16.5" thickBot="1">
      <c r="B106" s="1723"/>
      <c r="C106" s="985"/>
      <c r="D106" s="985"/>
      <c r="E106" s="985"/>
      <c r="F106" s="985"/>
      <c r="G106" s="985" t="s">
        <v>186</v>
      </c>
      <c r="H106" s="985"/>
      <c r="I106" s="985"/>
      <c r="J106" s="985" t="s">
        <v>187</v>
      </c>
      <c r="K106" s="985"/>
      <c r="L106" s="985" t="s">
        <v>186</v>
      </c>
      <c r="M106" s="985"/>
      <c r="N106" s="985"/>
      <c r="O106" s="985"/>
      <c r="Q106" s="905" t="s">
        <v>120</v>
      </c>
      <c r="R106" s="66" t="str">
        <f t="shared" si="52"/>
        <v/>
      </c>
      <c r="S106" s="66" t="str">
        <f t="shared" si="53"/>
        <v/>
      </c>
      <c r="T106" s="66" t="str">
        <f t="shared" si="54"/>
        <v/>
      </c>
      <c r="U106" s="66" t="str">
        <f t="shared" si="55"/>
        <v/>
      </c>
      <c r="V106" s="66" t="str">
        <f t="shared" si="56"/>
        <v/>
      </c>
      <c r="W106" s="66" t="str">
        <f t="shared" si="57"/>
        <v/>
      </c>
      <c r="X106" s="66" t="str">
        <f t="shared" si="58"/>
        <v/>
      </c>
      <c r="Y106" s="66" t="str">
        <f t="shared" si="59"/>
        <v/>
      </c>
      <c r="Z106" s="66" t="str">
        <f t="shared" si="60"/>
        <v/>
      </c>
      <c r="AA106" s="66" t="str">
        <f t="shared" si="61"/>
        <v/>
      </c>
      <c r="AB106" s="66" t="str">
        <f t="shared" si="62"/>
        <v/>
      </c>
      <c r="AC106" s="66" t="str">
        <f t="shared" si="63"/>
        <v/>
      </c>
      <c r="AD106" s="66" t="str">
        <f t="shared" si="64"/>
        <v/>
      </c>
      <c r="AE106" s="929">
        <f t="shared" si="65"/>
        <v>0</v>
      </c>
    </row>
    <row r="107" spans="2:31" ht="17.25" thickTop="1" thickBot="1">
      <c r="B107" s="1721" t="s">
        <v>146</v>
      </c>
      <c r="C107" s="58"/>
      <c r="E107" s="52"/>
      <c r="F107" s="58"/>
      <c r="G107" s="990"/>
      <c r="H107" s="982" t="s">
        <v>29</v>
      </c>
      <c r="I107" s="58"/>
      <c r="J107" t="s">
        <v>2719</v>
      </c>
      <c r="K107" s="58"/>
      <c r="M107" s="977" t="s">
        <v>1270</v>
      </c>
      <c r="N107" s="58"/>
      <c r="O107" s="58"/>
      <c r="Q107" s="906" t="s">
        <v>47</v>
      </c>
      <c r="R107" s="642" t="str">
        <f t="shared" si="52"/>
        <v/>
      </c>
      <c r="S107" s="642" t="str">
        <f t="shared" si="53"/>
        <v/>
      </c>
      <c r="T107" s="642" t="str">
        <f t="shared" si="54"/>
        <v/>
      </c>
      <c r="U107" s="642" t="str">
        <f t="shared" si="55"/>
        <v/>
      </c>
      <c r="V107" s="642">
        <f t="shared" si="56"/>
        <v>1</v>
      </c>
      <c r="W107" s="642" t="str">
        <f t="shared" si="57"/>
        <v/>
      </c>
      <c r="X107" s="642" t="str">
        <f t="shared" si="58"/>
        <v/>
      </c>
      <c r="Y107" s="642">
        <f t="shared" si="59"/>
        <v>1</v>
      </c>
      <c r="Z107" s="642" t="str">
        <f t="shared" si="60"/>
        <v/>
      </c>
      <c r="AA107" s="642" t="str">
        <f t="shared" si="61"/>
        <v/>
      </c>
      <c r="AB107" s="642" t="str">
        <f t="shared" si="62"/>
        <v/>
      </c>
      <c r="AC107" s="642" t="str">
        <f t="shared" si="63"/>
        <v/>
      </c>
      <c r="AD107" s="642" t="str">
        <f t="shared" si="64"/>
        <v/>
      </c>
      <c r="AE107" s="929">
        <f t="shared" si="65"/>
        <v>2</v>
      </c>
    </row>
    <row r="108" spans="2:31">
      <c r="B108" s="1710"/>
      <c r="G108" s="990"/>
      <c r="Q108" s="907" t="s">
        <v>46</v>
      </c>
      <c r="R108" t="str">
        <f t="shared" si="52"/>
        <v/>
      </c>
      <c r="S108">
        <f t="shared" si="53"/>
        <v>1</v>
      </c>
      <c r="T108" t="str">
        <f t="shared" si="54"/>
        <v/>
      </c>
      <c r="U108" t="str">
        <f t="shared" si="55"/>
        <v/>
      </c>
      <c r="V108" t="str">
        <f t="shared" si="56"/>
        <v/>
      </c>
      <c r="W108" t="str">
        <f t="shared" si="57"/>
        <v/>
      </c>
      <c r="X108" t="str">
        <f t="shared" si="58"/>
        <v/>
      </c>
      <c r="Y108">
        <f t="shared" si="59"/>
        <v>1</v>
      </c>
      <c r="Z108" t="str">
        <f t="shared" si="60"/>
        <v/>
      </c>
      <c r="AA108" t="str">
        <f t="shared" si="61"/>
        <v/>
      </c>
      <c r="AB108" t="str">
        <f t="shared" si="62"/>
        <v/>
      </c>
      <c r="AC108" t="str">
        <f t="shared" si="63"/>
        <v/>
      </c>
      <c r="AD108" t="str">
        <f t="shared" si="64"/>
        <v/>
      </c>
      <c r="AE108" s="929">
        <f t="shared" si="65"/>
        <v>2</v>
      </c>
    </row>
    <row r="109" spans="2:31" ht="16.5" thickBot="1">
      <c r="B109" s="1723"/>
      <c r="C109" s="985"/>
      <c r="D109" s="985"/>
      <c r="E109" s="985"/>
      <c r="F109" s="985"/>
      <c r="G109" s="985"/>
      <c r="H109" s="985" t="s">
        <v>188</v>
      </c>
      <c r="I109" s="985"/>
      <c r="J109" s="985" t="s">
        <v>186</v>
      </c>
      <c r="K109" s="985"/>
      <c r="L109" s="985"/>
      <c r="M109" s="985" t="s">
        <v>187</v>
      </c>
      <c r="N109" s="985"/>
      <c r="O109" s="985"/>
      <c r="Q109" s="908" t="s">
        <v>397</v>
      </c>
      <c r="R109" s="588" t="str">
        <f t="shared" si="52"/>
        <v/>
      </c>
      <c r="S109" s="588" t="str">
        <f t="shared" si="53"/>
        <v/>
      </c>
      <c r="T109" s="588" t="str">
        <f t="shared" si="54"/>
        <v/>
      </c>
      <c r="U109" s="588" t="str">
        <f t="shared" si="55"/>
        <v/>
      </c>
      <c r="V109" s="588" t="str">
        <f t="shared" si="56"/>
        <v/>
      </c>
      <c r="W109" s="588" t="str">
        <f t="shared" si="57"/>
        <v/>
      </c>
      <c r="X109" s="588" t="str">
        <f t="shared" si="58"/>
        <v/>
      </c>
      <c r="Y109" s="588" t="str">
        <f t="shared" si="59"/>
        <v/>
      </c>
      <c r="Z109" s="588" t="str">
        <f t="shared" si="60"/>
        <v/>
      </c>
      <c r="AA109" s="588" t="str">
        <f t="shared" si="61"/>
        <v/>
      </c>
      <c r="AB109" s="588" t="str">
        <f t="shared" si="62"/>
        <v/>
      </c>
      <c r="AC109" s="588" t="str">
        <f t="shared" si="63"/>
        <v/>
      </c>
      <c r="AD109" s="588" t="str">
        <f t="shared" si="64"/>
        <v/>
      </c>
      <c r="AE109" s="929">
        <f t="shared" si="65"/>
        <v>0</v>
      </c>
    </row>
    <row r="110" spans="2:31" ht="16.5" thickTop="1">
      <c r="B110" s="1721" t="s">
        <v>147</v>
      </c>
      <c r="C110" s="58"/>
      <c r="E110" s="52"/>
      <c r="F110" s="990"/>
      <c r="G110" s="990"/>
      <c r="H110" s="58"/>
      <c r="I110" s="959" t="s">
        <v>155</v>
      </c>
      <c r="K110" s="58"/>
      <c r="L110" s="974" t="s">
        <v>1269</v>
      </c>
      <c r="M110" s="58"/>
      <c r="N110" s="58"/>
      <c r="O110" s="58"/>
      <c r="Q110" s="909" t="s">
        <v>155</v>
      </c>
      <c r="R110" s="233" t="str">
        <f t="shared" si="52"/>
        <v/>
      </c>
      <c r="S110" s="233" t="str">
        <f t="shared" si="53"/>
        <v/>
      </c>
      <c r="T110" s="233" t="str">
        <f t="shared" si="54"/>
        <v/>
      </c>
      <c r="U110" s="233" t="str">
        <f t="shared" si="55"/>
        <v/>
      </c>
      <c r="V110" s="233" t="str">
        <f t="shared" si="56"/>
        <v/>
      </c>
      <c r="W110" s="233" t="str">
        <f t="shared" si="57"/>
        <v/>
      </c>
      <c r="X110" s="233">
        <f t="shared" si="58"/>
        <v>1</v>
      </c>
      <c r="Y110" s="233" t="str">
        <f t="shared" si="59"/>
        <v/>
      </c>
      <c r="Z110" s="233" t="str">
        <f t="shared" si="60"/>
        <v/>
      </c>
      <c r="AA110" s="233">
        <f t="shared" si="61"/>
        <v>1</v>
      </c>
      <c r="AB110" s="233" t="str">
        <f t="shared" si="62"/>
        <v/>
      </c>
      <c r="AC110" s="233" t="str">
        <f t="shared" si="63"/>
        <v/>
      </c>
      <c r="AD110" s="233" t="str">
        <f t="shared" si="64"/>
        <v/>
      </c>
      <c r="AE110" s="929">
        <f t="shared" si="65"/>
        <v>2</v>
      </c>
    </row>
    <row r="111" spans="2:31">
      <c r="B111" s="1710"/>
      <c r="G111" s="990"/>
      <c r="Q111" s="897" t="s">
        <v>24</v>
      </c>
      <c r="R111" s="36" t="str">
        <f t="shared" si="52"/>
        <v/>
      </c>
      <c r="S111" s="36" t="str">
        <f t="shared" si="53"/>
        <v/>
      </c>
      <c r="T111" s="36" t="str">
        <f t="shared" si="54"/>
        <v/>
      </c>
      <c r="U111" s="36" t="str">
        <f t="shared" si="55"/>
        <v/>
      </c>
      <c r="V111" s="36" t="str">
        <f t="shared" si="56"/>
        <v/>
      </c>
      <c r="W111" s="36" t="str">
        <f t="shared" si="57"/>
        <v/>
      </c>
      <c r="X111" s="36" t="str">
        <f t="shared" si="58"/>
        <v/>
      </c>
      <c r="Y111" s="36" t="str">
        <f t="shared" si="59"/>
        <v/>
      </c>
      <c r="Z111" s="36" t="str">
        <f t="shared" si="60"/>
        <v/>
      </c>
      <c r="AA111" s="36" t="str">
        <f t="shared" si="61"/>
        <v/>
      </c>
      <c r="AB111" s="36" t="str">
        <f t="shared" si="62"/>
        <v/>
      </c>
      <c r="AC111" s="36" t="str">
        <f t="shared" si="63"/>
        <v/>
      </c>
      <c r="AD111" s="36" t="str">
        <f t="shared" si="64"/>
        <v/>
      </c>
      <c r="AE111" s="929">
        <f t="shared" si="65"/>
        <v>0</v>
      </c>
    </row>
    <row r="112" spans="2:31" ht="16.5" thickBot="1">
      <c r="B112" s="1723"/>
      <c r="C112" s="985"/>
      <c r="D112" s="985"/>
      <c r="E112" s="985"/>
      <c r="F112" s="985"/>
      <c r="G112" s="985"/>
      <c r="H112" s="985"/>
      <c r="I112" s="985" t="s">
        <v>186</v>
      </c>
      <c r="J112" s="985"/>
      <c r="K112" s="985"/>
      <c r="L112" s="985" t="s">
        <v>188</v>
      </c>
      <c r="M112" s="985"/>
      <c r="N112" s="985"/>
      <c r="O112" s="985"/>
      <c r="Q112" s="910" t="s">
        <v>23</v>
      </c>
      <c r="R112" s="577" t="str">
        <f t="shared" si="52"/>
        <v/>
      </c>
      <c r="S112" s="577" t="str">
        <f t="shared" si="53"/>
        <v/>
      </c>
      <c r="T112" s="577" t="str">
        <f t="shared" si="54"/>
        <v/>
      </c>
      <c r="U112" s="577" t="str">
        <f t="shared" si="55"/>
        <v/>
      </c>
      <c r="V112" s="577" t="str">
        <f t="shared" si="56"/>
        <v/>
      </c>
      <c r="W112" s="577" t="str">
        <f t="shared" si="57"/>
        <v/>
      </c>
      <c r="X112" s="577" t="str">
        <f t="shared" si="58"/>
        <v/>
      </c>
      <c r="Y112" s="577" t="str">
        <f t="shared" si="59"/>
        <v/>
      </c>
      <c r="Z112" s="577" t="str">
        <f t="shared" si="60"/>
        <v/>
      </c>
      <c r="AA112" s="577" t="str">
        <f t="shared" si="61"/>
        <v/>
      </c>
      <c r="AB112" s="577" t="str">
        <f t="shared" si="62"/>
        <v/>
      </c>
      <c r="AC112" s="577" t="str">
        <f t="shared" si="63"/>
        <v/>
      </c>
      <c r="AD112" s="577" t="str">
        <f t="shared" si="64"/>
        <v/>
      </c>
      <c r="AE112" s="929">
        <f t="shared" si="65"/>
        <v>0</v>
      </c>
    </row>
    <row r="113" spans="2:31" ht="16.5" thickTop="1">
      <c r="B113" s="1721" t="s">
        <v>148</v>
      </c>
      <c r="C113" s="58"/>
      <c r="E113" s="52"/>
      <c r="F113" s="990"/>
      <c r="G113" s="990"/>
      <c r="H113" s="58"/>
      <c r="I113" s="58"/>
      <c r="J113" s="195" t="s">
        <v>216</v>
      </c>
      <c r="K113" s="58"/>
      <c r="M113" s="981" t="s">
        <v>1271</v>
      </c>
      <c r="N113" s="58"/>
      <c r="O113" s="58"/>
      <c r="Q113" s="895" t="s">
        <v>29</v>
      </c>
      <c r="R113" t="str">
        <f t="shared" si="52"/>
        <v/>
      </c>
      <c r="S113" t="str">
        <f t="shared" si="53"/>
        <v/>
      </c>
      <c r="T113" t="str">
        <f t="shared" si="54"/>
        <v/>
      </c>
      <c r="U113" t="str">
        <f t="shared" si="55"/>
        <v/>
      </c>
      <c r="V113" t="str">
        <f t="shared" si="56"/>
        <v/>
      </c>
      <c r="W113">
        <f t="shared" si="57"/>
        <v>1</v>
      </c>
      <c r="X113" t="str">
        <f t="shared" si="58"/>
        <v/>
      </c>
      <c r="Y113" t="str">
        <f t="shared" si="59"/>
        <v/>
      </c>
      <c r="Z113">
        <f t="shared" si="60"/>
        <v>1</v>
      </c>
      <c r="AA113" t="str">
        <f t="shared" si="61"/>
        <v/>
      </c>
      <c r="AB113" t="str">
        <f t="shared" si="62"/>
        <v/>
      </c>
      <c r="AC113" t="str">
        <f t="shared" si="63"/>
        <v/>
      </c>
      <c r="AD113" t="str">
        <f t="shared" si="64"/>
        <v/>
      </c>
      <c r="AE113" s="929">
        <f t="shared" si="65"/>
        <v>2</v>
      </c>
    </row>
    <row r="114" spans="2:31">
      <c r="B114" s="1710"/>
      <c r="G114" s="990"/>
      <c r="Q114" s="911" t="s">
        <v>93</v>
      </c>
      <c r="R114" t="str">
        <f t="shared" si="52"/>
        <v/>
      </c>
      <c r="S114" t="str">
        <f t="shared" si="53"/>
        <v/>
      </c>
      <c r="T114" t="str">
        <f t="shared" si="54"/>
        <v/>
      </c>
      <c r="U114" t="str">
        <f t="shared" si="55"/>
        <v/>
      </c>
      <c r="V114" t="str">
        <f t="shared" si="56"/>
        <v/>
      </c>
      <c r="W114" t="str">
        <f t="shared" si="57"/>
        <v/>
      </c>
      <c r="X114" t="str">
        <f t="shared" si="58"/>
        <v/>
      </c>
      <c r="Y114" t="str">
        <f t="shared" si="59"/>
        <v/>
      </c>
      <c r="Z114" t="str">
        <f t="shared" si="60"/>
        <v/>
      </c>
      <c r="AA114" t="str">
        <f t="shared" si="61"/>
        <v/>
      </c>
      <c r="AB114" t="str">
        <f t="shared" si="62"/>
        <v/>
      </c>
      <c r="AC114" t="str">
        <f t="shared" si="63"/>
        <v/>
      </c>
      <c r="AD114" t="str">
        <f t="shared" si="64"/>
        <v/>
      </c>
      <c r="AE114" s="929">
        <f t="shared" si="65"/>
        <v>0</v>
      </c>
    </row>
    <row r="115" spans="2:31" ht="16.5" thickBot="1">
      <c r="B115" s="1723"/>
      <c r="C115" s="985"/>
      <c r="D115" s="985"/>
      <c r="E115" s="985"/>
      <c r="F115" s="985"/>
      <c r="G115" s="985"/>
      <c r="H115" s="985"/>
      <c r="I115" s="985"/>
      <c r="J115" s="985" t="s">
        <v>190</v>
      </c>
      <c r="K115" s="985"/>
      <c r="L115" s="985"/>
      <c r="M115" s="985" t="s">
        <v>188</v>
      </c>
      <c r="N115" s="985"/>
      <c r="O115" s="985"/>
      <c r="Q115" s="912" t="s">
        <v>1269</v>
      </c>
      <c r="R115" s="242" t="str">
        <f t="shared" si="52"/>
        <v/>
      </c>
      <c r="S115" s="242" t="str">
        <f t="shared" si="53"/>
        <v/>
      </c>
      <c r="T115" s="242" t="str">
        <f t="shared" si="54"/>
        <v/>
      </c>
      <c r="U115" s="242">
        <f t="shared" si="55"/>
        <v>1</v>
      </c>
      <c r="V115" s="242" t="str">
        <f t="shared" si="56"/>
        <v/>
      </c>
      <c r="W115" s="242" t="str">
        <f t="shared" si="57"/>
        <v/>
      </c>
      <c r="X115" s="242" t="str">
        <f t="shared" si="58"/>
        <v/>
      </c>
      <c r="Y115" s="242" t="str">
        <f t="shared" si="59"/>
        <v/>
      </c>
      <c r="Z115" s="242" t="str">
        <f t="shared" si="60"/>
        <v/>
      </c>
      <c r="AA115" s="242">
        <f t="shared" si="61"/>
        <v>2</v>
      </c>
      <c r="AB115" s="242">
        <f t="shared" si="62"/>
        <v>1</v>
      </c>
      <c r="AC115" s="242" t="str">
        <f t="shared" si="63"/>
        <v/>
      </c>
      <c r="AD115" s="242" t="str">
        <f t="shared" si="64"/>
        <v/>
      </c>
      <c r="AE115" s="929">
        <f t="shared" si="65"/>
        <v>4</v>
      </c>
    </row>
    <row r="116" spans="2:31" ht="16.5" thickTop="1">
      <c r="B116" s="1721" t="s">
        <v>125</v>
      </c>
      <c r="C116" s="58"/>
      <c r="E116" s="52"/>
      <c r="F116" s="990"/>
      <c r="G116" s="977" t="s">
        <v>1270</v>
      </c>
      <c r="H116" s="58"/>
      <c r="I116" s="981" t="s">
        <v>1271</v>
      </c>
      <c r="K116" s="58"/>
      <c r="L116" s="981" t="s">
        <v>1271</v>
      </c>
      <c r="M116" s="58"/>
      <c r="N116" s="58"/>
      <c r="O116" s="58"/>
      <c r="Q116" s="913" t="s">
        <v>26</v>
      </c>
      <c r="R116" s="8" t="str">
        <f t="shared" si="52"/>
        <v/>
      </c>
      <c r="S116" s="8" t="str">
        <f t="shared" si="53"/>
        <v/>
      </c>
      <c r="T116" s="8" t="str">
        <f t="shared" si="54"/>
        <v/>
      </c>
      <c r="U116" s="8" t="str">
        <f t="shared" si="55"/>
        <v/>
      </c>
      <c r="V116" s="8" t="str">
        <f t="shared" si="56"/>
        <v/>
      </c>
      <c r="W116" s="8" t="str">
        <f t="shared" si="57"/>
        <v/>
      </c>
      <c r="X116" s="8" t="str">
        <f t="shared" si="58"/>
        <v/>
      </c>
      <c r="Y116" s="8" t="str">
        <f t="shared" si="59"/>
        <v/>
      </c>
      <c r="Z116" s="8" t="str">
        <f t="shared" si="60"/>
        <v/>
      </c>
      <c r="AA116" s="8" t="str">
        <f t="shared" si="61"/>
        <v/>
      </c>
      <c r="AB116" s="8" t="str">
        <f t="shared" si="62"/>
        <v/>
      </c>
      <c r="AC116" s="8" t="str">
        <f t="shared" si="63"/>
        <v/>
      </c>
      <c r="AD116" s="8" t="str">
        <f t="shared" si="64"/>
        <v/>
      </c>
      <c r="AE116" s="929">
        <f t="shared" si="65"/>
        <v>0</v>
      </c>
    </row>
    <row r="117" spans="2:31">
      <c r="B117" s="1710"/>
      <c r="G117" s="990"/>
      <c r="I117" s="14" t="s">
        <v>20</v>
      </c>
      <c r="Q117" s="914" t="s">
        <v>109</v>
      </c>
      <c r="R117" s="576" t="str">
        <f t="shared" si="52"/>
        <v/>
      </c>
      <c r="S117" s="576" t="str">
        <f t="shared" si="53"/>
        <v/>
      </c>
      <c r="T117" s="576" t="str">
        <f t="shared" si="54"/>
        <v/>
      </c>
      <c r="U117" s="576" t="str">
        <f t="shared" si="55"/>
        <v/>
      </c>
      <c r="V117" s="576" t="str">
        <f t="shared" si="56"/>
        <v/>
      </c>
      <c r="W117" s="576" t="str">
        <f t="shared" si="57"/>
        <v/>
      </c>
      <c r="X117" s="576" t="str">
        <f t="shared" si="58"/>
        <v/>
      </c>
      <c r="Y117" s="576" t="str">
        <f t="shared" si="59"/>
        <v/>
      </c>
      <c r="Z117" s="576" t="str">
        <f t="shared" si="60"/>
        <v/>
      </c>
      <c r="AA117" s="576" t="str">
        <f t="shared" si="61"/>
        <v/>
      </c>
      <c r="AB117" s="576" t="str">
        <f t="shared" si="62"/>
        <v/>
      </c>
      <c r="AC117" s="576" t="str">
        <f t="shared" si="63"/>
        <v/>
      </c>
      <c r="AD117" s="576" t="str">
        <f t="shared" si="64"/>
        <v/>
      </c>
      <c r="AE117" s="929">
        <f t="shared" si="65"/>
        <v>0</v>
      </c>
    </row>
    <row r="118" spans="2:31" ht="16.5" thickBot="1">
      <c r="B118" s="1723"/>
      <c r="C118" s="985"/>
      <c r="D118" s="985"/>
      <c r="E118" s="985"/>
      <c r="F118" s="985"/>
      <c r="G118" s="985" t="s">
        <v>189</v>
      </c>
      <c r="H118" s="985"/>
      <c r="I118" s="985" t="s">
        <v>186</v>
      </c>
      <c r="J118" s="985"/>
      <c r="K118" s="985"/>
      <c r="L118" s="985" t="s">
        <v>189</v>
      </c>
      <c r="M118" s="985"/>
      <c r="N118" s="985"/>
      <c r="O118" s="985"/>
      <c r="Q118" s="915" t="s">
        <v>114</v>
      </c>
      <c r="R118" s="498" t="str">
        <f t="shared" si="52"/>
        <v/>
      </c>
      <c r="S118" s="498" t="str">
        <f t="shared" si="53"/>
        <v/>
      </c>
      <c r="T118" s="498" t="str">
        <f t="shared" si="54"/>
        <v/>
      </c>
      <c r="U118" s="498" t="str">
        <f t="shared" si="55"/>
        <v/>
      </c>
      <c r="V118" s="498" t="str">
        <f t="shared" si="56"/>
        <v/>
      </c>
      <c r="W118" s="498" t="str">
        <f t="shared" si="57"/>
        <v/>
      </c>
      <c r="X118" s="498" t="str">
        <f t="shared" si="58"/>
        <v/>
      </c>
      <c r="Y118" s="498" t="str">
        <f t="shared" si="59"/>
        <v/>
      </c>
      <c r="Z118" s="498">
        <f t="shared" si="60"/>
        <v>1</v>
      </c>
      <c r="AA118" s="498" t="str">
        <f t="shared" si="61"/>
        <v/>
      </c>
      <c r="AB118" s="498" t="str">
        <f t="shared" si="62"/>
        <v/>
      </c>
      <c r="AC118" s="498" t="str">
        <f t="shared" si="63"/>
        <v/>
      </c>
      <c r="AD118" s="498" t="str">
        <f t="shared" si="64"/>
        <v/>
      </c>
      <c r="AE118" s="929">
        <f t="shared" si="65"/>
        <v>1</v>
      </c>
    </row>
    <row r="119" spans="2:31" ht="16.5" thickTop="1">
      <c r="B119" s="1721" t="s">
        <v>116</v>
      </c>
      <c r="C119" s="58"/>
      <c r="E119" s="52"/>
      <c r="F119" s="990"/>
      <c r="G119" s="977" t="s">
        <v>1270</v>
      </c>
      <c r="H119" s="58"/>
      <c r="I119" s="58"/>
      <c r="J119" s="977" t="s">
        <v>1270</v>
      </c>
      <c r="K119" s="52"/>
      <c r="M119" s="981" t="s">
        <v>1271</v>
      </c>
      <c r="N119" s="58"/>
      <c r="O119" s="58"/>
      <c r="Q119" s="916" t="s">
        <v>1272</v>
      </c>
      <c r="R119" s="142" t="str">
        <f t="shared" si="52"/>
        <v/>
      </c>
      <c r="S119" s="142" t="str">
        <f t="shared" si="53"/>
        <v/>
      </c>
      <c r="T119" s="142" t="str">
        <f t="shared" si="54"/>
        <v/>
      </c>
      <c r="U119" s="142" t="str">
        <f t="shared" si="55"/>
        <v/>
      </c>
      <c r="V119" s="142" t="str">
        <f t="shared" si="56"/>
        <v/>
      </c>
      <c r="W119" s="142" t="str">
        <f t="shared" si="57"/>
        <v/>
      </c>
      <c r="X119" s="142" t="str">
        <f t="shared" si="58"/>
        <v/>
      </c>
      <c r="Y119" s="142" t="str">
        <f t="shared" si="59"/>
        <v/>
      </c>
      <c r="Z119" s="142" t="str">
        <f t="shared" si="60"/>
        <v/>
      </c>
      <c r="AA119" s="142" t="str">
        <f t="shared" si="61"/>
        <v/>
      </c>
      <c r="AB119" s="142" t="str">
        <f t="shared" si="62"/>
        <v/>
      </c>
      <c r="AC119" s="142" t="str">
        <f t="shared" si="63"/>
        <v/>
      </c>
      <c r="AD119" s="142" t="str">
        <f t="shared" si="64"/>
        <v/>
      </c>
      <c r="AE119" s="929">
        <f t="shared" si="65"/>
        <v>0</v>
      </c>
    </row>
    <row r="120" spans="2:31">
      <c r="B120" s="1710"/>
      <c r="G120" s="990"/>
      <c r="J120" s="958" t="s">
        <v>74</v>
      </c>
      <c r="Q120" s="917" t="s">
        <v>68</v>
      </c>
      <c r="R120" s="329" t="str">
        <f t="shared" si="52"/>
        <v/>
      </c>
      <c r="S120" s="329" t="str">
        <f t="shared" si="53"/>
        <v/>
      </c>
      <c r="T120" s="329" t="str">
        <f t="shared" si="54"/>
        <v/>
      </c>
      <c r="U120" s="329" t="str">
        <f t="shared" si="55"/>
        <v/>
      </c>
      <c r="V120" s="329" t="str">
        <f t="shared" si="56"/>
        <v/>
      </c>
      <c r="W120" s="329" t="str">
        <f t="shared" si="57"/>
        <v/>
      </c>
      <c r="X120" s="329" t="str">
        <f t="shared" si="58"/>
        <v/>
      </c>
      <c r="Y120" s="329" t="str">
        <f t="shared" si="59"/>
        <v/>
      </c>
      <c r="Z120" s="329" t="str">
        <f t="shared" si="60"/>
        <v/>
      </c>
      <c r="AA120" s="329" t="str">
        <f t="shared" si="61"/>
        <v/>
      </c>
      <c r="AB120" s="329" t="str">
        <f t="shared" si="62"/>
        <v/>
      </c>
      <c r="AC120" s="329" t="str">
        <f t="shared" si="63"/>
        <v/>
      </c>
      <c r="AD120" s="329" t="str">
        <f t="shared" si="64"/>
        <v/>
      </c>
      <c r="AE120" s="929">
        <f t="shared" si="65"/>
        <v>0</v>
      </c>
    </row>
    <row r="121" spans="2:31" ht="16.5" thickBot="1">
      <c r="B121" s="1723"/>
      <c r="C121" s="985"/>
      <c r="D121" s="985"/>
      <c r="E121" s="985"/>
      <c r="F121" s="985"/>
      <c r="G121" s="985" t="s">
        <v>186</v>
      </c>
      <c r="H121" s="985"/>
      <c r="I121" s="985"/>
      <c r="J121" s="985" t="s">
        <v>189</v>
      </c>
      <c r="K121" s="985"/>
      <c r="L121" s="985"/>
      <c r="M121" s="985" t="s">
        <v>186</v>
      </c>
      <c r="N121" s="985"/>
      <c r="O121" s="985"/>
      <c r="Q121" s="918" t="s">
        <v>234</v>
      </c>
      <c r="R121" s="33" t="str">
        <f t="shared" si="52"/>
        <v/>
      </c>
      <c r="S121" s="33" t="str">
        <f t="shared" si="53"/>
        <v/>
      </c>
      <c r="T121" s="33" t="str">
        <f t="shared" si="54"/>
        <v/>
      </c>
      <c r="U121" s="33" t="str">
        <f t="shared" si="55"/>
        <v/>
      </c>
      <c r="V121" s="33" t="str">
        <f t="shared" si="56"/>
        <v/>
      </c>
      <c r="W121" s="33" t="str">
        <f t="shared" si="57"/>
        <v/>
      </c>
      <c r="X121" s="33" t="str">
        <f t="shared" si="58"/>
        <v/>
      </c>
      <c r="Y121" s="33" t="str">
        <f t="shared" si="59"/>
        <v/>
      </c>
      <c r="Z121" s="33" t="str">
        <f t="shared" si="60"/>
        <v/>
      </c>
      <c r="AA121" s="33" t="str">
        <f t="shared" si="61"/>
        <v/>
      </c>
      <c r="AB121" s="33" t="str">
        <f t="shared" si="62"/>
        <v/>
      </c>
      <c r="AC121" s="33" t="str">
        <f t="shared" si="63"/>
        <v/>
      </c>
      <c r="AD121" s="33" t="str">
        <f t="shared" si="64"/>
        <v/>
      </c>
      <c r="AE121" s="929">
        <f t="shared" si="65"/>
        <v>0</v>
      </c>
    </row>
    <row r="122" spans="2:31" ht="16.5" thickTop="1">
      <c r="B122" s="1721" t="s">
        <v>104</v>
      </c>
      <c r="C122" s="58"/>
      <c r="E122" s="52"/>
      <c r="F122" s="974" t="s">
        <v>1269</v>
      </c>
      <c r="G122" s="990"/>
      <c r="H122" s="58"/>
      <c r="I122" s="58"/>
      <c r="J122" s="189" t="s">
        <v>47</v>
      </c>
      <c r="K122" s="58"/>
      <c r="L122" s="977" t="s">
        <v>1270</v>
      </c>
      <c r="M122" s="58"/>
      <c r="N122" s="58"/>
      <c r="O122" s="58"/>
      <c r="Q122" s="919" t="s">
        <v>124</v>
      </c>
      <c r="R122" s="501" t="str">
        <f t="shared" si="52"/>
        <v/>
      </c>
      <c r="S122" s="501" t="str">
        <f t="shared" si="53"/>
        <v/>
      </c>
      <c r="T122" s="501" t="str">
        <f t="shared" si="54"/>
        <v/>
      </c>
      <c r="U122" s="501">
        <f t="shared" si="55"/>
        <v>1</v>
      </c>
      <c r="V122" s="501" t="str">
        <f t="shared" si="56"/>
        <v/>
      </c>
      <c r="W122" s="501" t="str">
        <f t="shared" si="57"/>
        <v/>
      </c>
      <c r="X122" s="501" t="str">
        <f t="shared" si="58"/>
        <v/>
      </c>
      <c r="Y122" s="501" t="str">
        <f t="shared" si="59"/>
        <v/>
      </c>
      <c r="Z122" s="501">
        <f t="shared" si="60"/>
        <v>1</v>
      </c>
      <c r="AA122" s="501">
        <f t="shared" si="61"/>
        <v>1</v>
      </c>
      <c r="AB122" s="501" t="str">
        <f t="shared" si="62"/>
        <v/>
      </c>
      <c r="AC122" s="501" t="str">
        <f t="shared" si="63"/>
        <v/>
      </c>
      <c r="AD122" s="501" t="str">
        <f t="shared" si="64"/>
        <v/>
      </c>
      <c r="AE122" s="929">
        <f t="shared" si="65"/>
        <v>3</v>
      </c>
    </row>
    <row r="123" spans="2:31">
      <c r="B123" s="1710"/>
      <c r="F123" s="14" t="s">
        <v>20</v>
      </c>
      <c r="G123" s="990"/>
      <c r="L123" s="974" t="s">
        <v>1269</v>
      </c>
      <c r="Q123" s="920" t="s">
        <v>74</v>
      </c>
      <c r="R123" s="276" t="str">
        <f t="shared" si="52"/>
        <v/>
      </c>
      <c r="S123" s="276" t="str">
        <f t="shared" si="53"/>
        <v/>
      </c>
      <c r="T123" s="276" t="str">
        <f t="shared" si="54"/>
        <v/>
      </c>
      <c r="U123" s="276" t="str">
        <f t="shared" si="55"/>
        <v/>
      </c>
      <c r="V123" s="276" t="str">
        <f t="shared" si="56"/>
        <v/>
      </c>
      <c r="W123" s="276">
        <f t="shared" si="57"/>
        <v>1</v>
      </c>
      <c r="X123" s="276" t="str">
        <f t="shared" si="58"/>
        <v/>
      </c>
      <c r="Y123" s="276">
        <f t="shared" si="59"/>
        <v>1</v>
      </c>
      <c r="Z123" s="276" t="str">
        <f t="shared" si="60"/>
        <v/>
      </c>
      <c r="AA123" s="276">
        <f t="shared" si="61"/>
        <v>1</v>
      </c>
      <c r="AB123" s="276" t="str">
        <f t="shared" si="62"/>
        <v/>
      </c>
      <c r="AC123" s="276" t="str">
        <f t="shared" si="63"/>
        <v/>
      </c>
      <c r="AD123" s="276" t="str">
        <f t="shared" si="64"/>
        <v/>
      </c>
      <c r="AE123" s="929">
        <f t="shared" si="65"/>
        <v>3</v>
      </c>
    </row>
    <row r="124" spans="2:31" ht="16.5" thickBot="1">
      <c r="B124" s="1723"/>
      <c r="C124" s="985"/>
      <c r="D124" s="985"/>
      <c r="E124" s="985"/>
      <c r="F124" s="985" t="s">
        <v>187</v>
      </c>
      <c r="G124" s="985"/>
      <c r="H124" s="985"/>
      <c r="I124" s="985"/>
      <c r="J124" s="985" t="s">
        <v>186</v>
      </c>
      <c r="K124" s="985"/>
      <c r="L124" s="985" t="s">
        <v>187</v>
      </c>
      <c r="M124" s="985"/>
      <c r="N124" s="985"/>
      <c r="O124" s="985"/>
      <c r="Q124" s="921" t="s">
        <v>1271</v>
      </c>
      <c r="R124" s="927" t="str">
        <f t="shared" si="52"/>
        <v/>
      </c>
      <c r="S124" s="927">
        <f t="shared" si="53"/>
        <v>1</v>
      </c>
      <c r="T124" s="927" t="str">
        <f t="shared" si="54"/>
        <v/>
      </c>
      <c r="U124" s="927">
        <f t="shared" si="55"/>
        <v>3</v>
      </c>
      <c r="V124" s="927">
        <f t="shared" si="56"/>
        <v>1</v>
      </c>
      <c r="W124" s="927" t="str">
        <f t="shared" si="57"/>
        <v/>
      </c>
      <c r="X124" s="927">
        <f t="shared" si="58"/>
        <v>1</v>
      </c>
      <c r="Y124" s="927">
        <f t="shared" si="59"/>
        <v>1</v>
      </c>
      <c r="Z124" s="927" t="str">
        <f t="shared" si="60"/>
        <v/>
      </c>
      <c r="AA124" s="927">
        <f t="shared" si="61"/>
        <v>2</v>
      </c>
      <c r="AB124" s="927">
        <f t="shared" si="62"/>
        <v>2</v>
      </c>
      <c r="AC124" s="927" t="str">
        <f t="shared" si="63"/>
        <v/>
      </c>
      <c r="AD124" s="927" t="str">
        <f t="shared" si="64"/>
        <v/>
      </c>
      <c r="AE124" s="929">
        <f t="shared" si="65"/>
        <v>11</v>
      </c>
    </row>
    <row r="125" spans="2:31" ht="16.5" thickTop="1">
      <c r="B125" s="1721" t="s">
        <v>95</v>
      </c>
      <c r="C125" s="990"/>
      <c r="E125" s="52"/>
      <c r="F125" s="990"/>
      <c r="G125" s="990"/>
      <c r="H125" s="58"/>
      <c r="I125" s="58"/>
      <c r="K125" s="977" t="s">
        <v>1270</v>
      </c>
      <c r="M125" s="58"/>
      <c r="N125" s="58"/>
      <c r="O125" s="58"/>
      <c r="Q125" s="922" t="s">
        <v>20</v>
      </c>
      <c r="R125" s="10" t="str">
        <f t="shared" si="52"/>
        <v/>
      </c>
      <c r="S125" s="10">
        <f t="shared" si="53"/>
        <v>1</v>
      </c>
      <c r="T125" s="10" t="str">
        <f t="shared" si="54"/>
        <v/>
      </c>
      <c r="U125" s="10">
        <f t="shared" si="55"/>
        <v>1</v>
      </c>
      <c r="V125" s="10" t="str">
        <f t="shared" si="56"/>
        <v/>
      </c>
      <c r="W125" s="10" t="str">
        <f t="shared" si="57"/>
        <v/>
      </c>
      <c r="X125" s="10">
        <f t="shared" si="58"/>
        <v>2</v>
      </c>
      <c r="Y125" s="10" t="str">
        <f t="shared" si="59"/>
        <v/>
      </c>
      <c r="Z125" s="10" t="str">
        <f t="shared" si="60"/>
        <v/>
      </c>
      <c r="AA125" s="10" t="str">
        <f t="shared" si="61"/>
        <v/>
      </c>
      <c r="AB125" s="10" t="str">
        <f t="shared" si="62"/>
        <v/>
      </c>
      <c r="AC125" s="10" t="str">
        <f t="shared" si="63"/>
        <v/>
      </c>
      <c r="AD125" s="10" t="str">
        <f t="shared" si="64"/>
        <v/>
      </c>
      <c r="AE125" s="929">
        <f t="shared" si="65"/>
        <v>4</v>
      </c>
    </row>
    <row r="126" spans="2:31">
      <c r="B126" s="1710"/>
      <c r="G126" s="990"/>
      <c r="Q126" s="894" t="s">
        <v>44</v>
      </c>
      <c r="R126" s="39" t="str">
        <f t="shared" si="52"/>
        <v/>
      </c>
      <c r="S126" s="39">
        <f t="shared" si="53"/>
        <v>1</v>
      </c>
      <c r="T126" s="39" t="str">
        <f t="shared" si="54"/>
        <v/>
      </c>
      <c r="U126" s="39" t="str">
        <f t="shared" si="55"/>
        <v/>
      </c>
      <c r="V126" s="39" t="str">
        <f t="shared" si="56"/>
        <v/>
      </c>
      <c r="W126" s="39" t="str">
        <f t="shared" si="57"/>
        <v/>
      </c>
      <c r="X126" s="39" t="str">
        <f t="shared" si="58"/>
        <v/>
      </c>
      <c r="Y126" s="39" t="str">
        <f t="shared" si="59"/>
        <v/>
      </c>
      <c r="Z126" s="39" t="str">
        <f t="shared" si="60"/>
        <v/>
      </c>
      <c r="AA126" s="39">
        <f t="shared" si="61"/>
        <v>1</v>
      </c>
      <c r="AB126" s="39" t="str">
        <f t="shared" si="62"/>
        <v/>
      </c>
      <c r="AC126" s="39" t="str">
        <f t="shared" si="63"/>
        <v/>
      </c>
      <c r="AD126" s="39" t="str">
        <f t="shared" si="64"/>
        <v/>
      </c>
      <c r="AE126" s="929">
        <f t="shared" si="65"/>
        <v>2</v>
      </c>
    </row>
    <row r="127" spans="2:31" ht="16.5" thickBot="1">
      <c r="B127" s="1723"/>
      <c r="C127" s="985"/>
      <c r="D127" s="985"/>
      <c r="E127" s="985"/>
      <c r="F127" s="985"/>
      <c r="G127" s="985"/>
      <c r="H127" s="985"/>
      <c r="I127" s="985"/>
      <c r="J127" s="985"/>
      <c r="K127" s="985" t="s">
        <v>187</v>
      </c>
      <c r="L127" s="985"/>
      <c r="M127" s="985"/>
      <c r="N127" s="985"/>
      <c r="O127" s="985"/>
      <c r="Q127" s="923" t="s">
        <v>339</v>
      </c>
      <c r="R127" s="277" t="str">
        <f t="shared" si="52"/>
        <v/>
      </c>
      <c r="S127" s="277" t="str">
        <f t="shared" si="53"/>
        <v/>
      </c>
      <c r="T127" s="277" t="str">
        <f t="shared" si="54"/>
        <v/>
      </c>
      <c r="U127" s="277" t="str">
        <f t="shared" si="55"/>
        <v/>
      </c>
      <c r="V127" s="277" t="str">
        <f t="shared" si="56"/>
        <v/>
      </c>
      <c r="W127" s="277" t="str">
        <f t="shared" si="57"/>
        <v/>
      </c>
      <c r="X127" s="277">
        <f t="shared" si="58"/>
        <v>1</v>
      </c>
      <c r="Y127" s="277" t="str">
        <f t="shared" si="59"/>
        <v/>
      </c>
      <c r="Z127" s="277">
        <f t="shared" si="60"/>
        <v>1</v>
      </c>
      <c r="AA127" s="277" t="str">
        <f t="shared" si="61"/>
        <v/>
      </c>
      <c r="AB127" s="277" t="str">
        <f t="shared" si="62"/>
        <v/>
      </c>
      <c r="AC127" s="277" t="str">
        <f t="shared" si="63"/>
        <v/>
      </c>
      <c r="AD127" s="277" t="str">
        <f t="shared" si="64"/>
        <v/>
      </c>
      <c r="AE127" s="929">
        <f t="shared" si="65"/>
        <v>2</v>
      </c>
    </row>
    <row r="128" spans="2:31" ht="16.5" thickTop="1">
      <c r="B128" s="1721" t="s">
        <v>85</v>
      </c>
      <c r="C128" s="58"/>
      <c r="D128" s="981" t="s">
        <v>1271</v>
      </c>
      <c r="E128" s="52"/>
      <c r="F128" s="990"/>
      <c r="G128" s="990"/>
      <c r="H128" s="58"/>
      <c r="I128" s="58"/>
      <c r="K128" s="961" t="s">
        <v>339</v>
      </c>
      <c r="M128" s="58"/>
      <c r="N128" s="58"/>
      <c r="O128" s="58"/>
      <c r="Q128" s="924" t="s">
        <v>73</v>
      </c>
      <c r="R128" t="str">
        <f t="shared" si="52"/>
        <v/>
      </c>
      <c r="S128" t="str">
        <f t="shared" si="53"/>
        <v/>
      </c>
      <c r="T128" t="str">
        <f t="shared" si="54"/>
        <v/>
      </c>
      <c r="U128" t="str">
        <f t="shared" si="55"/>
        <v/>
      </c>
      <c r="V128">
        <f t="shared" si="56"/>
        <v>1</v>
      </c>
      <c r="W128" t="str">
        <f t="shared" si="57"/>
        <v/>
      </c>
      <c r="X128" t="str">
        <f t="shared" si="58"/>
        <v/>
      </c>
      <c r="Y128" t="str">
        <f t="shared" si="59"/>
        <v/>
      </c>
      <c r="Z128" t="str">
        <f t="shared" si="60"/>
        <v/>
      </c>
      <c r="AA128" t="str">
        <f t="shared" si="61"/>
        <v/>
      </c>
      <c r="AB128" t="str">
        <f t="shared" si="62"/>
        <v/>
      </c>
      <c r="AC128" t="str">
        <f t="shared" si="63"/>
        <v/>
      </c>
      <c r="AD128" t="str">
        <f t="shared" si="64"/>
        <v/>
      </c>
      <c r="AE128" s="929">
        <f t="shared" si="65"/>
        <v>1</v>
      </c>
    </row>
    <row r="129" spans="2:33">
      <c r="B129" s="1710"/>
      <c r="G129" s="990"/>
      <c r="K129" s="982" t="s">
        <v>29</v>
      </c>
      <c r="Q129" s="925" t="s">
        <v>216</v>
      </c>
      <c r="R129" s="279" t="str">
        <f t="shared" si="52"/>
        <v/>
      </c>
      <c r="S129" s="279" t="str">
        <f t="shared" si="53"/>
        <v/>
      </c>
      <c r="T129" s="279" t="str">
        <f t="shared" si="54"/>
        <v/>
      </c>
      <c r="U129" s="279" t="str">
        <f t="shared" si="55"/>
        <v/>
      </c>
      <c r="V129" s="279" t="str">
        <f t="shared" si="56"/>
        <v/>
      </c>
      <c r="W129" s="279" t="str">
        <f t="shared" si="57"/>
        <v/>
      </c>
      <c r="X129" s="279" t="str">
        <f t="shared" si="58"/>
        <v/>
      </c>
      <c r="Y129" s="279">
        <f t="shared" si="59"/>
        <v>1</v>
      </c>
      <c r="Z129" s="279" t="str">
        <f t="shared" si="60"/>
        <v/>
      </c>
      <c r="AA129" s="279" t="str">
        <f t="shared" si="61"/>
        <v/>
      </c>
      <c r="AB129" s="279" t="str">
        <f t="shared" si="62"/>
        <v/>
      </c>
      <c r="AC129" s="279" t="str">
        <f t="shared" si="63"/>
        <v/>
      </c>
      <c r="AD129" s="279" t="str">
        <f t="shared" si="64"/>
        <v/>
      </c>
      <c r="AE129" s="929">
        <f t="shared" si="65"/>
        <v>1</v>
      </c>
    </row>
    <row r="130" spans="2:33" ht="16.5" thickBot="1">
      <c r="B130" s="1723"/>
      <c r="C130" s="985"/>
      <c r="D130" s="985" t="s">
        <v>188</v>
      </c>
      <c r="E130" s="985"/>
      <c r="F130" s="985"/>
      <c r="G130" s="985"/>
      <c r="H130" s="985"/>
      <c r="I130" s="985"/>
      <c r="J130" s="985"/>
      <c r="K130" s="985" t="s">
        <v>189</v>
      </c>
      <c r="L130" s="985"/>
      <c r="M130" s="985"/>
      <c r="N130" s="985"/>
      <c r="O130" s="985"/>
      <c r="Q130" s="926" t="s">
        <v>21</v>
      </c>
      <c r="R130" t="str">
        <f t="shared" si="52"/>
        <v/>
      </c>
      <c r="S130" t="str">
        <f t="shared" si="53"/>
        <v/>
      </c>
      <c r="T130" t="str">
        <f t="shared" si="54"/>
        <v/>
      </c>
      <c r="U130" t="str">
        <f t="shared" si="55"/>
        <v/>
      </c>
      <c r="V130" t="str">
        <f t="shared" si="56"/>
        <v/>
      </c>
      <c r="W130" t="str">
        <f t="shared" si="57"/>
        <v/>
      </c>
      <c r="X130" t="str">
        <f t="shared" si="58"/>
        <v/>
      </c>
      <c r="Y130" t="str">
        <f t="shared" si="59"/>
        <v/>
      </c>
      <c r="Z130" t="str">
        <f t="shared" si="60"/>
        <v/>
      </c>
      <c r="AA130" t="str">
        <f t="shared" si="61"/>
        <v/>
      </c>
      <c r="AB130" t="str">
        <f t="shared" si="62"/>
        <v/>
      </c>
      <c r="AC130" t="str">
        <f t="shared" si="63"/>
        <v/>
      </c>
      <c r="AD130" t="str">
        <f t="shared" si="64"/>
        <v/>
      </c>
      <c r="AE130" s="929">
        <f t="shared" si="65"/>
        <v>0</v>
      </c>
    </row>
    <row r="131" spans="2:33" ht="16.5" thickTop="1">
      <c r="B131" s="1721" t="s">
        <v>66</v>
      </c>
      <c r="C131" s="58"/>
      <c r="E131" s="52"/>
      <c r="F131" s="990"/>
      <c r="G131" s="990"/>
      <c r="H131" s="58"/>
      <c r="I131" s="58"/>
      <c r="J131" s="963" t="s">
        <v>46</v>
      </c>
      <c r="K131" s="58"/>
      <c r="L131" s="964" t="s">
        <v>44</v>
      </c>
      <c r="M131" s="58"/>
      <c r="N131" s="58"/>
      <c r="O131" s="58"/>
    </row>
    <row r="132" spans="2:33" ht="18.75">
      <c r="B132" s="1710"/>
      <c r="Q132" s="69" t="s">
        <v>2774</v>
      </c>
    </row>
    <row r="133" spans="2:33" ht="19.5" thickBot="1">
      <c r="B133" s="1723"/>
      <c r="C133" s="985"/>
      <c r="D133" s="985"/>
      <c r="E133" s="985"/>
      <c r="F133" s="985"/>
      <c r="G133" s="985"/>
      <c r="H133" s="985"/>
      <c r="I133" s="985"/>
      <c r="J133" s="985" t="s">
        <v>188</v>
      </c>
      <c r="K133" s="985"/>
      <c r="L133" s="985" t="s">
        <v>187</v>
      </c>
      <c r="M133" s="985"/>
      <c r="N133" s="985"/>
      <c r="O133" s="985"/>
      <c r="Q133" s="1413" t="s">
        <v>19</v>
      </c>
      <c r="R133" s="1413" t="s">
        <v>1</v>
      </c>
      <c r="S133" s="1413" t="s">
        <v>2</v>
      </c>
      <c r="T133" s="1413" t="s">
        <v>3</v>
      </c>
      <c r="U133" s="1413" t="s">
        <v>4</v>
      </c>
      <c r="V133" s="1413" t="s">
        <v>5</v>
      </c>
      <c r="W133" s="1413" t="s">
        <v>6</v>
      </c>
      <c r="X133" s="1413" t="s">
        <v>7</v>
      </c>
      <c r="Y133" s="1413" t="s">
        <v>8</v>
      </c>
      <c r="Z133" s="1413" t="s">
        <v>9</v>
      </c>
      <c r="AA133" s="1413" t="s">
        <v>10</v>
      </c>
      <c r="AB133" s="1413" t="s">
        <v>36</v>
      </c>
      <c r="AC133" s="1413" t="s">
        <v>37</v>
      </c>
      <c r="AD133" s="1413" t="s">
        <v>344</v>
      </c>
      <c r="AF133" s="69" t="s">
        <v>2779</v>
      </c>
    </row>
    <row r="134" spans="2:33" ht="16.5" thickTop="1">
      <c r="B134" s="1721" t="s">
        <v>65</v>
      </c>
      <c r="C134" s="58"/>
      <c r="E134" s="52"/>
      <c r="F134" s="977" t="s">
        <v>1270</v>
      </c>
      <c r="G134" s="990"/>
      <c r="H134" s="58"/>
      <c r="I134" s="58"/>
      <c r="K134" s="58"/>
      <c r="M134" s="58" t="s">
        <v>2720</v>
      </c>
      <c r="N134" s="58"/>
      <c r="O134" s="58"/>
      <c r="Q134" s="903" t="s">
        <v>27</v>
      </c>
      <c r="R134" s="930" t="str">
        <f t="shared" ref="R134:R161" si="66">IF(COUNTIF(C$44:C$224, $Q134)&gt;0, COUNTIF(C$44:C$224, $Q134)/COUNTIF(C$44:C$224, "*Challenge*"), "")</f>
        <v/>
      </c>
      <c r="S134" s="930" t="str">
        <f t="shared" ref="S134:S161" si="67">IF(COUNTIF(D$44:D$224, $Q134)&gt;0, COUNTIF(D$44:D$224, $Q134)/COUNTIF(D$44:D$224, "*Challenge*"), "")</f>
        <v/>
      </c>
      <c r="T134" s="930" t="str">
        <f t="shared" ref="T134:T161" si="68">IF(COUNTIF(E$44:E$224, $Q134)&gt;0, COUNTIF(E$44:E$224, $Q134)/COUNTIF(E$44:E$224, "*Challenge*"), "")</f>
        <v/>
      </c>
      <c r="U134" s="930" t="str">
        <f t="shared" ref="U134:U161" si="69">IF(COUNTIF(F$44:F$224, $Q134)&gt;0, COUNTIF(F$44:F$224, $Q134)/COUNTIF(F$44:F$224, "*Challenge*"), "")</f>
        <v/>
      </c>
      <c r="V134" s="930">
        <f t="shared" ref="V134:V161" si="70">IF(COUNTIF(G$44:G$224, $Q134)&gt;0, COUNTIF(G$44:G$224, $Q134)/COUNTIF(G$44:G$224, "*Challenge*"), "")</f>
        <v>0.16666666666666666</v>
      </c>
      <c r="W134" s="930">
        <f t="shared" ref="W134:W161" si="71">IF(COUNTIF(H$44:H$224, $Q134)&gt;0, COUNTIF(H$44:H$224, $Q134)/COUNTIF(H$44:H$224, "*Challenge*"), "")</f>
        <v>0.33333333333333331</v>
      </c>
      <c r="X134" s="930" t="str">
        <f t="shared" ref="X134:X161" si="72">IF(COUNTIF(I$44:I$224, $Q134)&gt;0, COUNTIF(I$44:I$224, $Q134)/COUNTIF(I$44:I$224, "*Challenge*"), "")</f>
        <v/>
      </c>
      <c r="Y134" s="930" t="str">
        <f t="shared" ref="Y134:Y161" si="73">IF(COUNTIF(J$44:J$224, $Q134)&gt;0, COUNTIF(J$44:J$224, $Q134)/COUNTIF(J$44:J$224, "*Challenge*"), "")</f>
        <v/>
      </c>
      <c r="Z134" s="930" t="str">
        <f t="shared" ref="Z134:Z161" si="74">IF(COUNTIF(K$44:K$224, $Q134)&gt;0, COUNTIF(K$44:K$224, $Q134)/COUNTIF(K$44:K$224, "*Challenge*"), "")</f>
        <v/>
      </c>
      <c r="AA134" s="930" t="str">
        <f t="shared" ref="AA134:AA161" si="75">IF(COUNTIF(L$44:L$224, $Q134)&gt;0, COUNTIF(L$44:L$224, $Q134)/COUNTIF(L$44:L$224, "*Challenge*"), "")</f>
        <v/>
      </c>
      <c r="AB134" s="930" t="str">
        <f t="shared" ref="AB134:AB161" si="76">IF(COUNTIF(M$44:M$224, $Q134)&gt;0, COUNTIF(M$44:M$224, $Q134)/COUNTIF(M$44:M$224, "*Challenge*"), "")</f>
        <v/>
      </c>
      <c r="AC134" s="930" t="str">
        <f t="shared" ref="AC134:AC161" si="77">IF(COUNTIF(N$44:N$224, $Q134)&gt;0, COUNTIF(N$44:N$224, $Q134)/COUNTIF(N$44:N$224, "*Challenge*"), "")</f>
        <v/>
      </c>
      <c r="AD134" s="930" t="str">
        <f t="shared" ref="AD134:AD161" si="78">IF(COUNTIF(O$44:O$224, $Q134)&gt;0, COUNTIF(O$44:O$224, $Q134)/COUNTIF(O$44:O$224, "*Challenge*"), "")</f>
        <v/>
      </c>
      <c r="AF134" s="1415" t="s">
        <v>1591</v>
      </c>
      <c r="AG134" s="1415" t="s">
        <v>195</v>
      </c>
    </row>
    <row r="135" spans="2:33">
      <c r="B135" s="1710"/>
      <c r="F135" s="981" t="s">
        <v>1271</v>
      </c>
      <c r="G135" s="990"/>
      <c r="Q135" s="904" t="s">
        <v>1270</v>
      </c>
      <c r="R135" s="931" t="str">
        <f t="shared" si="66"/>
        <v/>
      </c>
      <c r="S135" s="931" t="str">
        <f t="shared" si="67"/>
        <v/>
      </c>
      <c r="T135" s="931" t="str">
        <f t="shared" si="68"/>
        <v/>
      </c>
      <c r="U135" s="931">
        <f t="shared" si="69"/>
        <v>0.2</v>
      </c>
      <c r="V135" s="931">
        <f t="shared" si="70"/>
        <v>0.5</v>
      </c>
      <c r="W135" s="931">
        <f t="shared" si="71"/>
        <v>0.66666666666666663</v>
      </c>
      <c r="X135" s="931" t="str">
        <f t="shared" si="72"/>
        <v/>
      </c>
      <c r="Y135" s="931">
        <f t="shared" si="73"/>
        <v>0.44444444444444442</v>
      </c>
      <c r="Z135" s="931">
        <f t="shared" si="74"/>
        <v>0.4</v>
      </c>
      <c r="AA135" s="931">
        <f t="shared" si="75"/>
        <v>0.2857142857142857</v>
      </c>
      <c r="AB135" s="931">
        <f t="shared" si="76"/>
        <v>0.33333333333333331</v>
      </c>
      <c r="AC135" s="931" t="str">
        <f t="shared" si="77"/>
        <v/>
      </c>
      <c r="AD135" s="931" t="str">
        <f t="shared" si="78"/>
        <v/>
      </c>
      <c r="AF135" s="954" t="s">
        <v>27</v>
      </c>
      <c r="AG135" s="560">
        <f t="shared" ref="AG135:AG162" si="79">IF(COUNTIF($C$44:$O$224, AF135)&gt;0, COUNTIF($C$44:$O$224, AF135)/COUNTIF($C$44:$O$224, "*Challenge*"), "")</f>
        <v>4.0816326530612242E-2</v>
      </c>
    </row>
    <row r="136" spans="2:33" ht="16.5" thickBot="1">
      <c r="B136" s="1723"/>
      <c r="C136" s="985"/>
      <c r="D136" s="985"/>
      <c r="E136" s="985"/>
      <c r="F136" s="985" t="s">
        <v>186</v>
      </c>
      <c r="G136" s="985"/>
      <c r="H136" s="985"/>
      <c r="I136" s="985"/>
      <c r="J136" s="985"/>
      <c r="K136" s="985"/>
      <c r="L136" s="985"/>
      <c r="M136" s="985" t="s">
        <v>186</v>
      </c>
      <c r="N136" s="985"/>
      <c r="O136" s="985"/>
      <c r="Q136" s="896" t="s">
        <v>43</v>
      </c>
      <c r="R136" s="932" t="str">
        <f t="shared" si="66"/>
        <v/>
      </c>
      <c r="S136" s="932" t="str">
        <f t="shared" si="67"/>
        <v/>
      </c>
      <c r="T136" s="932" t="str">
        <f t="shared" si="68"/>
        <v/>
      </c>
      <c r="U136" s="932" t="str">
        <f t="shared" si="69"/>
        <v/>
      </c>
      <c r="V136" s="932" t="str">
        <f t="shared" si="70"/>
        <v/>
      </c>
      <c r="W136" s="932" t="str">
        <f t="shared" si="71"/>
        <v/>
      </c>
      <c r="X136" s="932" t="str">
        <f t="shared" si="72"/>
        <v/>
      </c>
      <c r="Y136" s="932" t="str">
        <f t="shared" si="73"/>
        <v/>
      </c>
      <c r="Z136" s="932" t="str">
        <f t="shared" si="74"/>
        <v/>
      </c>
      <c r="AA136" s="932" t="str">
        <f t="shared" si="75"/>
        <v/>
      </c>
      <c r="AB136" s="932" t="str">
        <f t="shared" si="76"/>
        <v/>
      </c>
      <c r="AC136" s="932" t="str">
        <f t="shared" si="77"/>
        <v/>
      </c>
      <c r="AD136" s="932" t="str">
        <f t="shared" si="78"/>
        <v/>
      </c>
      <c r="AF136" s="904" t="s">
        <v>1270</v>
      </c>
      <c r="AG136" s="560">
        <f t="shared" si="79"/>
        <v>0.32653061224489793</v>
      </c>
    </row>
    <row r="137" spans="2:33" ht="16.5" thickTop="1">
      <c r="B137" s="1721" t="s">
        <v>60</v>
      </c>
      <c r="C137" s="58"/>
      <c r="E137" s="52"/>
      <c r="F137" s="981" t="s">
        <v>1271</v>
      </c>
      <c r="G137" s="990"/>
      <c r="H137" s="977" t="s">
        <v>1270</v>
      </c>
      <c r="I137" s="58"/>
      <c r="J137" s="977" t="s">
        <v>1270</v>
      </c>
      <c r="K137" s="58"/>
      <c r="M137" s="58"/>
      <c r="N137" s="58"/>
      <c r="O137" s="58"/>
      <c r="Q137" s="905" t="s">
        <v>120</v>
      </c>
      <c r="R137" s="933" t="str">
        <f t="shared" si="66"/>
        <v/>
      </c>
      <c r="S137" s="933" t="str">
        <f t="shared" si="67"/>
        <v/>
      </c>
      <c r="T137" s="933" t="str">
        <f t="shared" si="68"/>
        <v/>
      </c>
      <c r="U137" s="933" t="str">
        <f t="shared" si="69"/>
        <v/>
      </c>
      <c r="V137" s="933" t="str">
        <f t="shared" si="70"/>
        <v/>
      </c>
      <c r="W137" s="933" t="str">
        <f t="shared" si="71"/>
        <v/>
      </c>
      <c r="X137" s="933" t="str">
        <f t="shared" si="72"/>
        <v/>
      </c>
      <c r="Y137" s="933" t="str">
        <f t="shared" si="73"/>
        <v/>
      </c>
      <c r="Z137" s="933" t="str">
        <f t="shared" si="74"/>
        <v/>
      </c>
      <c r="AA137" s="933" t="str">
        <f t="shared" si="75"/>
        <v/>
      </c>
      <c r="AB137" s="933" t="str">
        <f t="shared" si="76"/>
        <v/>
      </c>
      <c r="AC137" s="933" t="str">
        <f t="shared" si="77"/>
        <v/>
      </c>
      <c r="AD137" s="933" t="str">
        <f t="shared" si="78"/>
        <v/>
      </c>
      <c r="AF137" s="896" t="s">
        <v>43</v>
      </c>
      <c r="AG137" s="560" t="str">
        <f t="shared" si="79"/>
        <v/>
      </c>
    </row>
    <row r="138" spans="2:33" ht="16.5" thickBot="1">
      <c r="B138" s="1710"/>
      <c r="G138" s="990"/>
      <c r="Q138" s="906" t="s">
        <v>47</v>
      </c>
      <c r="R138" s="934" t="str">
        <f t="shared" si="66"/>
        <v/>
      </c>
      <c r="S138" s="934" t="str">
        <f t="shared" si="67"/>
        <v/>
      </c>
      <c r="T138" s="934" t="str">
        <f t="shared" si="68"/>
        <v/>
      </c>
      <c r="U138" s="934" t="str">
        <f t="shared" si="69"/>
        <v/>
      </c>
      <c r="V138" s="934">
        <f t="shared" si="70"/>
        <v>0.16666666666666666</v>
      </c>
      <c r="W138" s="934" t="str">
        <f t="shared" si="71"/>
        <v/>
      </c>
      <c r="X138" s="934" t="str">
        <f t="shared" si="72"/>
        <v/>
      </c>
      <c r="Y138" s="934">
        <f t="shared" si="73"/>
        <v>0.1111111111111111</v>
      </c>
      <c r="Z138" s="934" t="str">
        <f t="shared" si="74"/>
        <v/>
      </c>
      <c r="AA138" s="934" t="str">
        <f t="shared" si="75"/>
        <v/>
      </c>
      <c r="AB138" s="934" t="str">
        <f t="shared" si="76"/>
        <v/>
      </c>
      <c r="AC138" s="934" t="str">
        <f t="shared" si="77"/>
        <v/>
      </c>
      <c r="AD138" s="934" t="str">
        <f t="shared" si="78"/>
        <v/>
      </c>
      <c r="AF138" s="905" t="s">
        <v>120</v>
      </c>
      <c r="AG138" s="560" t="str">
        <f t="shared" si="79"/>
        <v/>
      </c>
    </row>
    <row r="139" spans="2:33" ht="16.5" thickBot="1">
      <c r="B139" s="1723"/>
      <c r="C139" s="985"/>
      <c r="D139" s="985"/>
      <c r="E139" s="985"/>
      <c r="F139" s="985" t="s">
        <v>186</v>
      </c>
      <c r="G139" s="985"/>
      <c r="H139" s="985" t="s">
        <v>188</v>
      </c>
      <c r="I139" s="985"/>
      <c r="J139" s="985" t="s">
        <v>186</v>
      </c>
      <c r="K139" s="985"/>
      <c r="L139" s="985"/>
      <c r="M139" s="985"/>
      <c r="N139" s="985"/>
      <c r="O139" s="985"/>
      <c r="Q139" s="907" t="s">
        <v>46</v>
      </c>
      <c r="R139" s="935" t="str">
        <f t="shared" si="66"/>
        <v/>
      </c>
      <c r="S139" s="935">
        <f t="shared" si="67"/>
        <v>0.33333333333333331</v>
      </c>
      <c r="T139" s="935" t="str">
        <f t="shared" si="68"/>
        <v/>
      </c>
      <c r="U139" s="935" t="str">
        <f t="shared" si="69"/>
        <v/>
      </c>
      <c r="V139" s="935" t="str">
        <f t="shared" si="70"/>
        <v/>
      </c>
      <c r="W139" s="935" t="str">
        <f t="shared" si="71"/>
        <v/>
      </c>
      <c r="X139" s="935" t="str">
        <f t="shared" si="72"/>
        <v/>
      </c>
      <c r="Y139" s="935">
        <f t="shared" si="73"/>
        <v>0.1111111111111111</v>
      </c>
      <c r="Z139" s="935" t="str">
        <f t="shared" si="74"/>
        <v/>
      </c>
      <c r="AA139" s="935" t="str">
        <f t="shared" si="75"/>
        <v/>
      </c>
      <c r="AB139" s="935" t="str">
        <f t="shared" si="76"/>
        <v/>
      </c>
      <c r="AC139" s="935" t="str">
        <f t="shared" si="77"/>
        <v/>
      </c>
      <c r="AD139" s="935" t="str">
        <f t="shared" si="78"/>
        <v/>
      </c>
      <c r="AF139" s="906" t="s">
        <v>47</v>
      </c>
      <c r="AG139" s="560">
        <f t="shared" si="79"/>
        <v>4.0816326530612242E-2</v>
      </c>
    </row>
    <row r="140" spans="2:33" ht="16.5" thickTop="1">
      <c r="B140" s="1721" t="s">
        <v>35</v>
      </c>
      <c r="C140" s="58"/>
      <c r="E140" s="52"/>
      <c r="F140" s="990"/>
      <c r="G140" s="977" t="s">
        <v>1270</v>
      </c>
      <c r="H140" s="58"/>
      <c r="I140" s="58" t="s">
        <v>2721</v>
      </c>
      <c r="K140" s="58"/>
      <c r="M140" s="58"/>
      <c r="N140" s="58"/>
      <c r="O140" s="58"/>
      <c r="Q140" s="908" t="s">
        <v>397</v>
      </c>
      <c r="R140" s="936" t="str">
        <f t="shared" si="66"/>
        <v/>
      </c>
      <c r="S140" s="936" t="str">
        <f t="shared" si="67"/>
        <v/>
      </c>
      <c r="T140" s="936" t="str">
        <f t="shared" si="68"/>
        <v/>
      </c>
      <c r="U140" s="936" t="str">
        <f t="shared" si="69"/>
        <v/>
      </c>
      <c r="V140" s="936" t="str">
        <f t="shared" si="70"/>
        <v/>
      </c>
      <c r="W140" s="936" t="str">
        <f t="shared" si="71"/>
        <v/>
      </c>
      <c r="X140" s="936" t="str">
        <f t="shared" si="72"/>
        <v/>
      </c>
      <c r="Y140" s="936" t="str">
        <f t="shared" si="73"/>
        <v/>
      </c>
      <c r="Z140" s="936" t="str">
        <f t="shared" si="74"/>
        <v/>
      </c>
      <c r="AA140" s="936" t="str">
        <f t="shared" si="75"/>
        <v/>
      </c>
      <c r="AB140" s="936" t="str">
        <f t="shared" si="76"/>
        <v/>
      </c>
      <c r="AC140" s="936" t="str">
        <f t="shared" si="77"/>
        <v/>
      </c>
      <c r="AD140" s="936" t="str">
        <f t="shared" si="78"/>
        <v/>
      </c>
      <c r="AF140" s="907" t="s">
        <v>46</v>
      </c>
      <c r="AG140" s="560">
        <f t="shared" si="79"/>
        <v>4.0816326530612242E-2</v>
      </c>
    </row>
    <row r="141" spans="2:33">
      <c r="B141" s="1710"/>
      <c r="G141" s="990"/>
      <c r="Q141" s="909" t="s">
        <v>155</v>
      </c>
      <c r="R141" s="937" t="str">
        <f t="shared" si="66"/>
        <v/>
      </c>
      <c r="S141" s="937" t="str">
        <f t="shared" si="67"/>
        <v/>
      </c>
      <c r="T141" s="937" t="str">
        <f t="shared" si="68"/>
        <v/>
      </c>
      <c r="U141" s="937" t="str">
        <f t="shared" si="69"/>
        <v/>
      </c>
      <c r="V141" s="937" t="str">
        <f t="shared" si="70"/>
        <v/>
      </c>
      <c r="W141" s="937" t="str">
        <f t="shared" si="71"/>
        <v/>
      </c>
      <c r="X141" s="937">
        <f t="shared" si="72"/>
        <v>0.2</v>
      </c>
      <c r="Y141" s="937" t="str">
        <f t="shared" si="73"/>
        <v/>
      </c>
      <c r="Z141" s="937" t="str">
        <f t="shared" si="74"/>
        <v/>
      </c>
      <c r="AA141" s="937">
        <f t="shared" si="75"/>
        <v>0.14285714285714285</v>
      </c>
      <c r="AB141" s="937" t="str">
        <f t="shared" si="76"/>
        <v/>
      </c>
      <c r="AC141" s="937" t="str">
        <f t="shared" si="77"/>
        <v/>
      </c>
      <c r="AD141" s="937" t="str">
        <f t="shared" si="78"/>
        <v/>
      </c>
      <c r="AF141" s="908" t="s">
        <v>397</v>
      </c>
      <c r="AG141" s="560" t="str">
        <f t="shared" si="79"/>
        <v/>
      </c>
    </row>
    <row r="142" spans="2:33" ht="16.5" thickBot="1">
      <c r="B142" s="1723"/>
      <c r="C142" s="985"/>
      <c r="D142" s="985"/>
      <c r="E142" s="985"/>
      <c r="F142" s="985"/>
      <c r="G142" s="985" t="s">
        <v>186</v>
      </c>
      <c r="H142" s="985"/>
      <c r="I142" s="985" t="s">
        <v>186</v>
      </c>
      <c r="J142" s="985"/>
      <c r="K142" s="985"/>
      <c r="L142" s="985"/>
      <c r="M142" s="985"/>
      <c r="N142" s="985"/>
      <c r="O142" s="985"/>
      <c r="Q142" s="897" t="s">
        <v>24</v>
      </c>
      <c r="R142" s="938" t="str">
        <f t="shared" si="66"/>
        <v/>
      </c>
      <c r="S142" s="938" t="str">
        <f t="shared" si="67"/>
        <v/>
      </c>
      <c r="T142" s="938" t="str">
        <f t="shared" si="68"/>
        <v/>
      </c>
      <c r="U142" s="938" t="str">
        <f t="shared" si="69"/>
        <v/>
      </c>
      <c r="V142" s="938" t="str">
        <f t="shared" si="70"/>
        <v/>
      </c>
      <c r="W142" s="938" t="str">
        <f t="shared" si="71"/>
        <v/>
      </c>
      <c r="X142" s="938" t="str">
        <f t="shared" si="72"/>
        <v/>
      </c>
      <c r="Y142" s="938" t="str">
        <f t="shared" si="73"/>
        <v/>
      </c>
      <c r="Z142" s="938" t="str">
        <f t="shared" si="74"/>
        <v/>
      </c>
      <c r="AA142" s="938" t="str">
        <f t="shared" si="75"/>
        <v/>
      </c>
      <c r="AB142" s="938" t="str">
        <f t="shared" si="76"/>
        <v/>
      </c>
      <c r="AC142" s="938" t="str">
        <f t="shared" si="77"/>
        <v/>
      </c>
      <c r="AD142" s="938" t="str">
        <f t="shared" si="78"/>
        <v/>
      </c>
      <c r="AF142" s="909" t="s">
        <v>155</v>
      </c>
      <c r="AG142" s="560">
        <f t="shared" si="79"/>
        <v>4.0816326530612242E-2</v>
      </c>
    </row>
    <row r="143" spans="2:33" ht="16.5" thickTop="1">
      <c r="B143" s="1721" t="s">
        <v>11</v>
      </c>
      <c r="C143" s="58"/>
      <c r="E143" s="52"/>
      <c r="F143" s="981" t="s">
        <v>1271</v>
      </c>
      <c r="G143" s="990"/>
      <c r="H143" s="58"/>
      <c r="I143" s="58"/>
      <c r="K143" s="58"/>
      <c r="M143" s="58"/>
      <c r="N143" s="58"/>
      <c r="O143" s="58"/>
      <c r="Q143" s="910" t="s">
        <v>23</v>
      </c>
      <c r="R143" s="939" t="str">
        <f t="shared" si="66"/>
        <v/>
      </c>
      <c r="S143" s="939" t="str">
        <f t="shared" si="67"/>
        <v/>
      </c>
      <c r="T143" s="939" t="str">
        <f t="shared" si="68"/>
        <v/>
      </c>
      <c r="U143" s="939" t="str">
        <f t="shared" si="69"/>
        <v/>
      </c>
      <c r="V143" s="939" t="str">
        <f t="shared" si="70"/>
        <v/>
      </c>
      <c r="W143" s="939" t="str">
        <f t="shared" si="71"/>
        <v/>
      </c>
      <c r="X143" s="939" t="str">
        <f t="shared" si="72"/>
        <v/>
      </c>
      <c r="Y143" s="939" t="str">
        <f t="shared" si="73"/>
        <v/>
      </c>
      <c r="Z143" s="939" t="str">
        <f t="shared" si="74"/>
        <v/>
      </c>
      <c r="AA143" s="939" t="str">
        <f t="shared" si="75"/>
        <v/>
      </c>
      <c r="AB143" s="939" t="str">
        <f t="shared" si="76"/>
        <v/>
      </c>
      <c r="AC143" s="939" t="str">
        <f t="shared" si="77"/>
        <v/>
      </c>
      <c r="AD143" s="939" t="str">
        <f t="shared" si="78"/>
        <v/>
      </c>
      <c r="AF143" s="897" t="s">
        <v>24</v>
      </c>
      <c r="AG143" s="560" t="str">
        <f t="shared" si="79"/>
        <v/>
      </c>
    </row>
    <row r="144" spans="2:33">
      <c r="B144" s="1710"/>
      <c r="G144" s="990"/>
      <c r="Q144" s="895" t="s">
        <v>29</v>
      </c>
      <c r="R144" s="935" t="str">
        <f t="shared" si="66"/>
        <v/>
      </c>
      <c r="S144" s="935" t="str">
        <f t="shared" si="67"/>
        <v/>
      </c>
      <c r="T144" s="935" t="str">
        <f t="shared" si="68"/>
        <v/>
      </c>
      <c r="U144" s="935" t="str">
        <f t="shared" si="69"/>
        <v/>
      </c>
      <c r="V144" s="935" t="str">
        <f t="shared" si="70"/>
        <v/>
      </c>
      <c r="W144" s="935">
        <f t="shared" si="71"/>
        <v>0.33333333333333331</v>
      </c>
      <c r="X144" s="935" t="str">
        <f t="shared" si="72"/>
        <v/>
      </c>
      <c r="Y144" s="935" t="str">
        <f t="shared" si="73"/>
        <v/>
      </c>
      <c r="Z144" s="935">
        <f t="shared" si="74"/>
        <v>0.2</v>
      </c>
      <c r="AA144" s="935" t="str">
        <f t="shared" si="75"/>
        <v/>
      </c>
      <c r="AB144" s="935" t="str">
        <f t="shared" si="76"/>
        <v/>
      </c>
      <c r="AC144" s="935" t="str">
        <f t="shared" si="77"/>
        <v/>
      </c>
      <c r="AD144" s="935" t="str">
        <f t="shared" si="78"/>
        <v/>
      </c>
      <c r="AF144" s="910" t="s">
        <v>23</v>
      </c>
      <c r="AG144" s="560" t="str">
        <f t="shared" si="79"/>
        <v/>
      </c>
    </row>
    <row r="145" spans="2:33" ht="16.5" thickBot="1">
      <c r="B145" s="1723"/>
      <c r="C145" s="985"/>
      <c r="D145" s="985"/>
      <c r="E145" s="985"/>
      <c r="F145" s="985" t="s">
        <v>190</v>
      </c>
      <c r="G145" s="985"/>
      <c r="H145" s="985"/>
      <c r="I145" s="985"/>
      <c r="J145" s="985"/>
      <c r="K145" s="985"/>
      <c r="L145" s="985"/>
      <c r="M145" s="985"/>
      <c r="N145" s="985"/>
      <c r="O145" s="985"/>
      <c r="Q145" s="911" t="s">
        <v>93</v>
      </c>
      <c r="R145" s="935" t="str">
        <f t="shared" si="66"/>
        <v/>
      </c>
      <c r="S145" s="935" t="str">
        <f t="shared" si="67"/>
        <v/>
      </c>
      <c r="T145" s="935" t="str">
        <f t="shared" si="68"/>
        <v/>
      </c>
      <c r="U145" s="935" t="str">
        <f t="shared" si="69"/>
        <v/>
      </c>
      <c r="V145" s="935" t="str">
        <f t="shared" si="70"/>
        <v/>
      </c>
      <c r="W145" s="935" t="str">
        <f t="shared" si="71"/>
        <v/>
      </c>
      <c r="X145" s="935" t="str">
        <f t="shared" si="72"/>
        <v/>
      </c>
      <c r="Y145" s="935" t="str">
        <f t="shared" si="73"/>
        <v/>
      </c>
      <c r="Z145" s="935" t="str">
        <f t="shared" si="74"/>
        <v/>
      </c>
      <c r="AA145" s="935" t="str">
        <f t="shared" si="75"/>
        <v/>
      </c>
      <c r="AB145" s="935" t="str">
        <f t="shared" si="76"/>
        <v/>
      </c>
      <c r="AC145" s="935" t="str">
        <f t="shared" si="77"/>
        <v/>
      </c>
      <c r="AD145" s="935" t="str">
        <f t="shared" si="78"/>
        <v/>
      </c>
      <c r="AF145" s="895" t="s">
        <v>29</v>
      </c>
      <c r="AG145" s="560">
        <f t="shared" si="79"/>
        <v>4.0816326530612242E-2</v>
      </c>
    </row>
    <row r="146" spans="2:33" ht="16.5" thickTop="1">
      <c r="B146" s="1721" t="s">
        <v>198</v>
      </c>
      <c r="C146" s="58"/>
      <c r="E146" s="52"/>
      <c r="F146" s="990"/>
      <c r="G146" s="990"/>
      <c r="H146" s="58"/>
      <c r="I146" s="58"/>
      <c r="K146" s="58"/>
      <c r="M146" s="58"/>
      <c r="N146" s="58"/>
      <c r="O146" s="58"/>
      <c r="Q146" s="912" t="s">
        <v>1269</v>
      </c>
      <c r="R146" s="940" t="str">
        <f t="shared" si="66"/>
        <v/>
      </c>
      <c r="S146" s="940" t="str">
        <f t="shared" si="67"/>
        <v/>
      </c>
      <c r="T146" s="940" t="str">
        <f t="shared" si="68"/>
        <v/>
      </c>
      <c r="U146" s="940">
        <f t="shared" si="69"/>
        <v>0.2</v>
      </c>
      <c r="V146" s="940" t="str">
        <f t="shared" si="70"/>
        <v/>
      </c>
      <c r="W146" s="940" t="str">
        <f t="shared" si="71"/>
        <v/>
      </c>
      <c r="X146" s="940" t="str">
        <f t="shared" si="72"/>
        <v/>
      </c>
      <c r="Y146" s="940" t="str">
        <f t="shared" si="73"/>
        <v/>
      </c>
      <c r="Z146" s="940" t="str">
        <f t="shared" si="74"/>
        <v/>
      </c>
      <c r="AA146" s="940">
        <f t="shared" si="75"/>
        <v>0.2857142857142857</v>
      </c>
      <c r="AB146" s="940">
        <f t="shared" si="76"/>
        <v>0.16666666666666666</v>
      </c>
      <c r="AC146" s="940" t="str">
        <f t="shared" si="77"/>
        <v/>
      </c>
      <c r="AD146" s="940" t="str">
        <f t="shared" si="78"/>
        <v/>
      </c>
      <c r="AF146" s="911" t="s">
        <v>93</v>
      </c>
      <c r="AG146" s="560" t="str">
        <f t="shared" si="79"/>
        <v/>
      </c>
    </row>
    <row r="147" spans="2:33">
      <c r="B147" s="1710"/>
      <c r="G147" s="990"/>
      <c r="Q147" s="913" t="s">
        <v>26</v>
      </c>
      <c r="R147" s="941" t="str">
        <f t="shared" si="66"/>
        <v/>
      </c>
      <c r="S147" s="941" t="str">
        <f t="shared" si="67"/>
        <v/>
      </c>
      <c r="T147" s="941" t="str">
        <f t="shared" si="68"/>
        <v/>
      </c>
      <c r="U147" s="941" t="str">
        <f t="shared" si="69"/>
        <v/>
      </c>
      <c r="V147" s="941" t="str">
        <f t="shared" si="70"/>
        <v/>
      </c>
      <c r="W147" s="941" t="str">
        <f t="shared" si="71"/>
        <v/>
      </c>
      <c r="X147" s="941" t="str">
        <f t="shared" si="72"/>
        <v/>
      </c>
      <c r="Y147" s="941" t="str">
        <f t="shared" si="73"/>
        <v/>
      </c>
      <c r="Z147" s="941" t="str">
        <f t="shared" si="74"/>
        <v/>
      </c>
      <c r="AA147" s="941" t="str">
        <f t="shared" si="75"/>
        <v/>
      </c>
      <c r="AB147" s="941" t="str">
        <f t="shared" si="76"/>
        <v/>
      </c>
      <c r="AC147" s="941" t="str">
        <f t="shared" si="77"/>
        <v/>
      </c>
      <c r="AD147" s="941" t="str">
        <f t="shared" si="78"/>
        <v/>
      </c>
      <c r="AF147" s="912" t="s">
        <v>1269</v>
      </c>
      <c r="AG147" s="560">
        <f t="shared" si="79"/>
        <v>8.1632653061224483E-2</v>
      </c>
    </row>
    <row r="148" spans="2:33" ht="16.5" thickBot="1">
      <c r="B148" s="1723"/>
      <c r="C148" s="985"/>
      <c r="D148" s="985"/>
      <c r="E148" s="985"/>
      <c r="F148" s="985"/>
      <c r="G148" s="985"/>
      <c r="H148" s="985"/>
      <c r="I148" s="985"/>
      <c r="J148" s="985"/>
      <c r="K148" s="985"/>
      <c r="L148" s="985"/>
      <c r="M148" s="985"/>
      <c r="N148" s="985"/>
      <c r="O148" s="985"/>
      <c r="Q148" s="914" t="s">
        <v>109</v>
      </c>
      <c r="R148" s="942" t="str">
        <f t="shared" si="66"/>
        <v/>
      </c>
      <c r="S148" s="942" t="str">
        <f t="shared" si="67"/>
        <v/>
      </c>
      <c r="T148" s="942" t="str">
        <f t="shared" si="68"/>
        <v/>
      </c>
      <c r="U148" s="942" t="str">
        <f t="shared" si="69"/>
        <v/>
      </c>
      <c r="V148" s="942" t="str">
        <f t="shared" si="70"/>
        <v/>
      </c>
      <c r="W148" s="942" t="str">
        <f t="shared" si="71"/>
        <v/>
      </c>
      <c r="X148" s="942" t="str">
        <f t="shared" si="72"/>
        <v/>
      </c>
      <c r="Y148" s="942" t="str">
        <f t="shared" si="73"/>
        <v/>
      </c>
      <c r="Z148" s="942" t="str">
        <f t="shared" si="74"/>
        <v/>
      </c>
      <c r="AA148" s="942" t="str">
        <f t="shared" si="75"/>
        <v/>
      </c>
      <c r="AB148" s="942" t="str">
        <f t="shared" si="76"/>
        <v/>
      </c>
      <c r="AC148" s="942" t="str">
        <f t="shared" si="77"/>
        <v/>
      </c>
      <c r="AD148" s="942" t="str">
        <f t="shared" si="78"/>
        <v/>
      </c>
      <c r="AF148" s="913" t="s">
        <v>26</v>
      </c>
      <c r="AG148" s="560" t="str">
        <f t="shared" si="79"/>
        <v/>
      </c>
    </row>
    <row r="149" spans="2:33" ht="16.5" thickTop="1">
      <c r="B149" s="1721" t="s">
        <v>184</v>
      </c>
      <c r="C149" s="58"/>
      <c r="E149" s="52"/>
      <c r="F149" s="990"/>
      <c r="G149" s="990"/>
      <c r="H149" s="58"/>
      <c r="I149" s="58"/>
      <c r="K149" s="58"/>
      <c r="M149" s="58"/>
      <c r="N149" s="58"/>
      <c r="O149" s="58"/>
      <c r="Q149" s="915" t="s">
        <v>114</v>
      </c>
      <c r="R149" s="943" t="str">
        <f t="shared" si="66"/>
        <v/>
      </c>
      <c r="S149" s="943" t="str">
        <f t="shared" si="67"/>
        <v/>
      </c>
      <c r="T149" s="943" t="str">
        <f t="shared" si="68"/>
        <v/>
      </c>
      <c r="U149" s="943" t="str">
        <f t="shared" si="69"/>
        <v/>
      </c>
      <c r="V149" s="943" t="str">
        <f t="shared" si="70"/>
        <v/>
      </c>
      <c r="W149" s="943" t="str">
        <f t="shared" si="71"/>
        <v/>
      </c>
      <c r="X149" s="943" t="str">
        <f t="shared" si="72"/>
        <v/>
      </c>
      <c r="Y149" s="943" t="str">
        <f t="shared" si="73"/>
        <v/>
      </c>
      <c r="Z149" s="943">
        <f t="shared" si="74"/>
        <v>0.2</v>
      </c>
      <c r="AA149" s="943" t="str">
        <f t="shared" si="75"/>
        <v/>
      </c>
      <c r="AB149" s="943" t="str">
        <f t="shared" si="76"/>
        <v/>
      </c>
      <c r="AC149" s="943" t="str">
        <f t="shared" si="77"/>
        <v/>
      </c>
      <c r="AD149" s="943" t="str">
        <f t="shared" si="78"/>
        <v/>
      </c>
      <c r="AF149" s="914" t="s">
        <v>109</v>
      </c>
      <c r="AG149" s="560" t="str">
        <f t="shared" si="79"/>
        <v/>
      </c>
    </row>
    <row r="150" spans="2:33">
      <c r="B150" s="1710"/>
      <c r="G150" s="990"/>
      <c r="Q150" s="916" t="s">
        <v>1272</v>
      </c>
      <c r="R150" s="944" t="str">
        <f t="shared" si="66"/>
        <v/>
      </c>
      <c r="S150" s="944" t="str">
        <f t="shared" si="67"/>
        <v/>
      </c>
      <c r="T150" s="944" t="str">
        <f t="shared" si="68"/>
        <v/>
      </c>
      <c r="U150" s="944" t="str">
        <f t="shared" si="69"/>
        <v/>
      </c>
      <c r="V150" s="944" t="str">
        <f t="shared" si="70"/>
        <v/>
      </c>
      <c r="W150" s="944" t="str">
        <f t="shared" si="71"/>
        <v/>
      </c>
      <c r="X150" s="944" t="str">
        <f t="shared" si="72"/>
        <v/>
      </c>
      <c r="Y150" s="944" t="str">
        <f t="shared" si="73"/>
        <v/>
      </c>
      <c r="Z150" s="944" t="str">
        <f t="shared" si="74"/>
        <v/>
      </c>
      <c r="AA150" s="944" t="str">
        <f t="shared" si="75"/>
        <v/>
      </c>
      <c r="AB150" s="944" t="str">
        <f t="shared" si="76"/>
        <v/>
      </c>
      <c r="AC150" s="944" t="str">
        <f t="shared" si="77"/>
        <v/>
      </c>
      <c r="AD150" s="944" t="str">
        <f t="shared" si="78"/>
        <v/>
      </c>
      <c r="AF150" s="915" t="s">
        <v>114</v>
      </c>
      <c r="AG150" s="560">
        <f t="shared" si="79"/>
        <v>2.0408163265306121E-2</v>
      </c>
    </row>
    <row r="151" spans="2:33" ht="16.5" thickBot="1">
      <c r="B151" s="1723"/>
      <c r="C151" s="985"/>
      <c r="D151" s="985"/>
      <c r="E151" s="985"/>
      <c r="F151" s="985"/>
      <c r="G151" s="985"/>
      <c r="H151" s="985"/>
      <c r="I151" s="985"/>
      <c r="J151" s="985"/>
      <c r="K151" s="985"/>
      <c r="L151" s="985"/>
      <c r="M151" s="985"/>
      <c r="N151" s="985"/>
      <c r="O151" s="985"/>
      <c r="Q151" s="917" t="s">
        <v>68</v>
      </c>
      <c r="R151" s="945" t="str">
        <f t="shared" si="66"/>
        <v/>
      </c>
      <c r="S151" s="945" t="str">
        <f t="shared" si="67"/>
        <v/>
      </c>
      <c r="T151" s="945" t="str">
        <f t="shared" si="68"/>
        <v/>
      </c>
      <c r="U151" s="945" t="str">
        <f t="shared" si="69"/>
        <v/>
      </c>
      <c r="V151" s="945" t="str">
        <f t="shared" si="70"/>
        <v/>
      </c>
      <c r="W151" s="945" t="str">
        <f t="shared" si="71"/>
        <v/>
      </c>
      <c r="X151" s="945" t="str">
        <f t="shared" si="72"/>
        <v/>
      </c>
      <c r="Y151" s="945" t="str">
        <f t="shared" si="73"/>
        <v/>
      </c>
      <c r="Z151" s="945" t="str">
        <f t="shared" si="74"/>
        <v/>
      </c>
      <c r="AA151" s="945" t="str">
        <f t="shared" si="75"/>
        <v/>
      </c>
      <c r="AB151" s="945" t="str">
        <f t="shared" si="76"/>
        <v/>
      </c>
      <c r="AC151" s="945" t="str">
        <f t="shared" si="77"/>
        <v/>
      </c>
      <c r="AD151" s="945" t="str">
        <f t="shared" si="78"/>
        <v/>
      </c>
      <c r="AF151" s="916" t="s">
        <v>1272</v>
      </c>
      <c r="AG151" s="560" t="str">
        <f t="shared" si="79"/>
        <v/>
      </c>
    </row>
    <row r="152" spans="2:33" ht="16.5" thickTop="1">
      <c r="B152" s="1721" t="s">
        <v>563</v>
      </c>
      <c r="C152" s="58"/>
      <c r="E152" s="52"/>
      <c r="F152" s="990"/>
      <c r="G152" s="990"/>
      <c r="H152" s="58"/>
      <c r="I152" s="58"/>
      <c r="K152" s="58"/>
      <c r="M152" s="58"/>
      <c r="N152" s="58"/>
      <c r="O152" s="58"/>
      <c r="Q152" s="918" t="s">
        <v>234</v>
      </c>
      <c r="R152" s="931" t="str">
        <f t="shared" si="66"/>
        <v/>
      </c>
      <c r="S152" s="931" t="str">
        <f t="shared" si="67"/>
        <v/>
      </c>
      <c r="T152" s="931" t="str">
        <f t="shared" si="68"/>
        <v/>
      </c>
      <c r="U152" s="931" t="str">
        <f t="shared" si="69"/>
        <v/>
      </c>
      <c r="V152" s="931" t="str">
        <f t="shared" si="70"/>
        <v/>
      </c>
      <c r="W152" s="931" t="str">
        <f t="shared" si="71"/>
        <v/>
      </c>
      <c r="X152" s="931" t="str">
        <f t="shared" si="72"/>
        <v/>
      </c>
      <c r="Y152" s="931" t="str">
        <f t="shared" si="73"/>
        <v/>
      </c>
      <c r="Z152" s="931" t="str">
        <f t="shared" si="74"/>
        <v/>
      </c>
      <c r="AA152" s="931" t="str">
        <f t="shared" si="75"/>
        <v/>
      </c>
      <c r="AB152" s="931" t="str">
        <f t="shared" si="76"/>
        <v/>
      </c>
      <c r="AC152" s="931" t="str">
        <f t="shared" si="77"/>
        <v/>
      </c>
      <c r="AD152" s="931" t="str">
        <f t="shared" si="78"/>
        <v/>
      </c>
      <c r="AF152" s="917" t="s">
        <v>68</v>
      </c>
      <c r="AG152" s="560" t="str">
        <f t="shared" si="79"/>
        <v/>
      </c>
    </row>
    <row r="153" spans="2:33">
      <c r="B153" s="1710"/>
      <c r="G153" s="990"/>
      <c r="Q153" s="919" t="s">
        <v>124</v>
      </c>
      <c r="R153" s="946" t="str">
        <f t="shared" si="66"/>
        <v/>
      </c>
      <c r="S153" s="946" t="str">
        <f t="shared" si="67"/>
        <v/>
      </c>
      <c r="T153" s="946" t="str">
        <f t="shared" si="68"/>
        <v/>
      </c>
      <c r="U153" s="946">
        <f t="shared" si="69"/>
        <v>0.2</v>
      </c>
      <c r="V153" s="946" t="str">
        <f t="shared" si="70"/>
        <v/>
      </c>
      <c r="W153" s="946" t="str">
        <f t="shared" si="71"/>
        <v/>
      </c>
      <c r="X153" s="946" t="str">
        <f t="shared" si="72"/>
        <v/>
      </c>
      <c r="Y153" s="946" t="str">
        <f t="shared" si="73"/>
        <v/>
      </c>
      <c r="Z153" s="946">
        <f t="shared" si="74"/>
        <v>0.2</v>
      </c>
      <c r="AA153" s="946">
        <f t="shared" si="75"/>
        <v>0.14285714285714285</v>
      </c>
      <c r="AB153" s="946" t="str">
        <f t="shared" si="76"/>
        <v/>
      </c>
      <c r="AC153" s="946" t="str">
        <f t="shared" si="77"/>
        <v/>
      </c>
      <c r="AD153" s="946" t="str">
        <f t="shared" si="78"/>
        <v/>
      </c>
      <c r="AF153" s="918" t="s">
        <v>234</v>
      </c>
      <c r="AG153" s="560" t="str">
        <f t="shared" si="79"/>
        <v/>
      </c>
    </row>
    <row r="154" spans="2:33" ht="16.5" thickBot="1">
      <c r="B154" s="1723"/>
      <c r="C154" s="985"/>
      <c r="D154" s="985"/>
      <c r="E154" s="985"/>
      <c r="F154" s="985"/>
      <c r="G154" s="985"/>
      <c r="H154" s="985"/>
      <c r="I154" s="985"/>
      <c r="J154" s="985"/>
      <c r="K154" s="985"/>
      <c r="L154" s="985"/>
      <c r="M154" s="985"/>
      <c r="N154" s="985"/>
      <c r="O154" s="985"/>
      <c r="Q154" s="920" t="s">
        <v>74</v>
      </c>
      <c r="R154" s="947" t="str">
        <f t="shared" si="66"/>
        <v/>
      </c>
      <c r="S154" s="947" t="str">
        <f t="shared" si="67"/>
        <v/>
      </c>
      <c r="T154" s="947" t="str">
        <f t="shared" si="68"/>
        <v/>
      </c>
      <c r="U154" s="947" t="str">
        <f t="shared" si="69"/>
        <v/>
      </c>
      <c r="V154" s="947" t="str">
        <f t="shared" si="70"/>
        <v/>
      </c>
      <c r="W154" s="947">
        <f t="shared" si="71"/>
        <v>0.33333333333333331</v>
      </c>
      <c r="X154" s="947" t="str">
        <f t="shared" si="72"/>
        <v/>
      </c>
      <c r="Y154" s="947">
        <f t="shared" si="73"/>
        <v>0.1111111111111111</v>
      </c>
      <c r="Z154" s="947" t="str">
        <f t="shared" si="74"/>
        <v/>
      </c>
      <c r="AA154" s="947">
        <f t="shared" si="75"/>
        <v>0.14285714285714285</v>
      </c>
      <c r="AB154" s="947" t="str">
        <f t="shared" si="76"/>
        <v/>
      </c>
      <c r="AC154" s="947" t="str">
        <f t="shared" si="77"/>
        <v/>
      </c>
      <c r="AD154" s="947" t="str">
        <f t="shared" si="78"/>
        <v/>
      </c>
      <c r="AF154" s="919" t="s">
        <v>124</v>
      </c>
      <c r="AG154" s="560">
        <f t="shared" si="79"/>
        <v>6.1224489795918366E-2</v>
      </c>
    </row>
    <row r="155" spans="2:33" ht="16.5" thickTop="1">
      <c r="B155" s="1721" t="s">
        <v>1742</v>
      </c>
      <c r="C155" s="58"/>
      <c r="E155" s="52"/>
      <c r="F155" s="990"/>
      <c r="G155" s="990"/>
      <c r="H155" s="58"/>
      <c r="I155" s="58"/>
      <c r="K155" s="58"/>
      <c r="M155" s="58"/>
      <c r="N155" s="58"/>
      <c r="O155" s="58"/>
      <c r="Q155" s="921" t="s">
        <v>1271</v>
      </c>
      <c r="R155" s="948" t="str">
        <f t="shared" si="66"/>
        <v/>
      </c>
      <c r="S155" s="948">
        <f t="shared" si="67"/>
        <v>0.33333333333333331</v>
      </c>
      <c r="T155" s="948" t="str">
        <f t="shared" si="68"/>
        <v/>
      </c>
      <c r="U155" s="948">
        <f t="shared" si="69"/>
        <v>0.6</v>
      </c>
      <c r="V155" s="948">
        <f t="shared" si="70"/>
        <v>0.16666666666666666</v>
      </c>
      <c r="W155" s="948" t="str">
        <f t="shared" si="71"/>
        <v/>
      </c>
      <c r="X155" s="948">
        <f t="shared" si="72"/>
        <v>0.2</v>
      </c>
      <c r="Y155" s="948">
        <f t="shared" si="73"/>
        <v>0.1111111111111111</v>
      </c>
      <c r="Z155" s="948" t="str">
        <f t="shared" si="74"/>
        <v/>
      </c>
      <c r="AA155" s="948">
        <f t="shared" si="75"/>
        <v>0.2857142857142857</v>
      </c>
      <c r="AB155" s="948">
        <f t="shared" si="76"/>
        <v>0.33333333333333331</v>
      </c>
      <c r="AC155" s="948" t="str">
        <f t="shared" si="77"/>
        <v/>
      </c>
      <c r="AD155" s="948" t="str">
        <f t="shared" si="78"/>
        <v/>
      </c>
      <c r="AF155" s="920" t="s">
        <v>74</v>
      </c>
      <c r="AG155" s="560">
        <f t="shared" si="79"/>
        <v>6.1224489795918366E-2</v>
      </c>
    </row>
    <row r="156" spans="2:33">
      <c r="B156" s="1710"/>
      <c r="G156" s="990"/>
      <c r="H156" s="58"/>
      <c r="Q156" s="922" t="s">
        <v>20</v>
      </c>
      <c r="R156" s="949" t="str">
        <f t="shared" si="66"/>
        <v/>
      </c>
      <c r="S156" s="949">
        <f t="shared" si="67"/>
        <v>0.33333333333333331</v>
      </c>
      <c r="T156" s="949" t="str">
        <f t="shared" si="68"/>
        <v/>
      </c>
      <c r="U156" s="949">
        <f t="shared" si="69"/>
        <v>0.2</v>
      </c>
      <c r="V156" s="949" t="str">
        <f t="shared" si="70"/>
        <v/>
      </c>
      <c r="W156" s="949" t="str">
        <f t="shared" si="71"/>
        <v/>
      </c>
      <c r="X156" s="949">
        <f t="shared" si="72"/>
        <v>0.4</v>
      </c>
      <c r="Y156" s="949" t="str">
        <f t="shared" si="73"/>
        <v/>
      </c>
      <c r="Z156" s="949" t="str">
        <f t="shared" si="74"/>
        <v/>
      </c>
      <c r="AA156" s="949" t="str">
        <f t="shared" si="75"/>
        <v/>
      </c>
      <c r="AB156" s="949" t="str">
        <f t="shared" si="76"/>
        <v/>
      </c>
      <c r="AC156" s="949" t="str">
        <f t="shared" si="77"/>
        <v/>
      </c>
      <c r="AD156" s="949" t="str">
        <f t="shared" si="78"/>
        <v/>
      </c>
      <c r="AF156" s="921" t="s">
        <v>1271</v>
      </c>
      <c r="AG156" s="560">
        <f t="shared" si="79"/>
        <v>0.22448979591836735</v>
      </c>
    </row>
    <row r="157" spans="2:33" ht="16.5" thickBot="1">
      <c r="B157" s="1723"/>
      <c r="C157" s="985"/>
      <c r="D157" s="985"/>
      <c r="E157" s="985"/>
      <c r="F157" s="985"/>
      <c r="G157" s="985"/>
      <c r="H157" s="985"/>
      <c r="I157" s="985"/>
      <c r="J157" s="985"/>
      <c r="K157" s="985"/>
      <c r="L157" s="985"/>
      <c r="M157" s="985"/>
      <c r="N157" s="985"/>
      <c r="O157" s="985"/>
      <c r="Q157" s="894" t="s">
        <v>44</v>
      </c>
      <c r="R157" s="950" t="str">
        <f t="shared" si="66"/>
        <v/>
      </c>
      <c r="S157" s="950">
        <f t="shared" si="67"/>
        <v>0.33333333333333331</v>
      </c>
      <c r="T157" s="950" t="str">
        <f t="shared" si="68"/>
        <v/>
      </c>
      <c r="U157" s="950" t="str">
        <f t="shared" si="69"/>
        <v/>
      </c>
      <c r="V157" s="950" t="str">
        <f t="shared" si="70"/>
        <v/>
      </c>
      <c r="W157" s="950" t="str">
        <f t="shared" si="71"/>
        <v/>
      </c>
      <c r="X157" s="950" t="str">
        <f t="shared" si="72"/>
        <v/>
      </c>
      <c r="Y157" s="950" t="str">
        <f t="shared" si="73"/>
        <v/>
      </c>
      <c r="Z157" s="950" t="str">
        <f t="shared" si="74"/>
        <v/>
      </c>
      <c r="AA157" s="950">
        <f t="shared" si="75"/>
        <v>0.14285714285714285</v>
      </c>
      <c r="AB157" s="950" t="str">
        <f t="shared" si="76"/>
        <v/>
      </c>
      <c r="AC157" s="950" t="str">
        <f t="shared" si="77"/>
        <v/>
      </c>
      <c r="AD157" s="950" t="str">
        <f t="shared" si="78"/>
        <v/>
      </c>
      <c r="AF157" s="922" t="s">
        <v>20</v>
      </c>
      <c r="AG157" s="560">
        <f t="shared" si="79"/>
        <v>8.1632653061224483E-2</v>
      </c>
    </row>
    <row r="158" spans="2:33" ht="16.5" thickTop="1">
      <c r="B158" s="1721" t="s">
        <v>2056</v>
      </c>
      <c r="C158" s="58"/>
      <c r="E158" s="52"/>
      <c r="F158" s="990"/>
      <c r="G158" s="990"/>
      <c r="H158" s="58"/>
      <c r="I158" s="58"/>
      <c r="K158" s="58"/>
      <c r="M158" s="58"/>
      <c r="N158" s="58"/>
      <c r="O158" s="58"/>
      <c r="Q158" s="923" t="s">
        <v>339</v>
      </c>
      <c r="R158" s="951" t="str">
        <f t="shared" si="66"/>
        <v/>
      </c>
      <c r="S158" s="951" t="str">
        <f t="shared" si="67"/>
        <v/>
      </c>
      <c r="T158" s="951" t="str">
        <f t="shared" si="68"/>
        <v/>
      </c>
      <c r="U158" s="951" t="str">
        <f t="shared" si="69"/>
        <v/>
      </c>
      <c r="V158" s="951" t="str">
        <f t="shared" si="70"/>
        <v/>
      </c>
      <c r="W158" s="951" t="str">
        <f t="shared" si="71"/>
        <v/>
      </c>
      <c r="X158" s="951">
        <f t="shared" si="72"/>
        <v>0.2</v>
      </c>
      <c r="Y158" s="951" t="str">
        <f t="shared" si="73"/>
        <v/>
      </c>
      <c r="Z158" s="951">
        <f t="shared" si="74"/>
        <v>0.2</v>
      </c>
      <c r="AA158" s="951" t="str">
        <f t="shared" si="75"/>
        <v/>
      </c>
      <c r="AB158" s="951" t="str">
        <f t="shared" si="76"/>
        <v/>
      </c>
      <c r="AC158" s="951" t="str">
        <f t="shared" si="77"/>
        <v/>
      </c>
      <c r="AD158" s="951" t="str">
        <f t="shared" si="78"/>
        <v/>
      </c>
      <c r="AF158" s="894" t="s">
        <v>44</v>
      </c>
      <c r="AG158" s="560">
        <f t="shared" si="79"/>
        <v>4.0816326530612242E-2</v>
      </c>
    </row>
    <row r="159" spans="2:33">
      <c r="B159" s="1710"/>
      <c r="F159" s="990"/>
      <c r="G159" s="990"/>
      <c r="Q159" s="924" t="s">
        <v>73</v>
      </c>
      <c r="R159" s="935" t="str">
        <f t="shared" si="66"/>
        <v/>
      </c>
      <c r="S159" s="935" t="str">
        <f t="shared" si="67"/>
        <v/>
      </c>
      <c r="T159" s="935" t="str">
        <f t="shared" si="68"/>
        <v/>
      </c>
      <c r="U159" s="935" t="str">
        <f t="shared" si="69"/>
        <v/>
      </c>
      <c r="V159" s="935">
        <f t="shared" si="70"/>
        <v>0.16666666666666666</v>
      </c>
      <c r="W159" s="935" t="str">
        <f t="shared" si="71"/>
        <v/>
      </c>
      <c r="X159" s="935" t="str">
        <f t="shared" si="72"/>
        <v/>
      </c>
      <c r="Y159" s="935" t="str">
        <f t="shared" si="73"/>
        <v/>
      </c>
      <c r="Z159" s="935" t="str">
        <f t="shared" si="74"/>
        <v/>
      </c>
      <c r="AA159" s="935" t="str">
        <f t="shared" si="75"/>
        <v/>
      </c>
      <c r="AB159" s="935" t="str">
        <f t="shared" si="76"/>
        <v/>
      </c>
      <c r="AC159" s="935" t="str">
        <f t="shared" si="77"/>
        <v/>
      </c>
      <c r="AD159" s="935" t="str">
        <f t="shared" si="78"/>
        <v/>
      </c>
      <c r="AF159" s="923" t="s">
        <v>339</v>
      </c>
      <c r="AG159" s="560">
        <f t="shared" si="79"/>
        <v>4.0816326530612242E-2</v>
      </c>
    </row>
    <row r="160" spans="2:33" ht="16.5" thickBot="1">
      <c r="B160" s="1723"/>
      <c r="C160" s="985"/>
      <c r="D160" s="985"/>
      <c r="E160" s="985"/>
      <c r="F160" s="985"/>
      <c r="G160" s="985"/>
      <c r="H160" s="985"/>
      <c r="I160" s="985"/>
      <c r="J160" s="985"/>
      <c r="K160" s="985"/>
      <c r="L160" s="985"/>
      <c r="M160" s="985"/>
      <c r="N160" s="985"/>
      <c r="O160" s="985"/>
      <c r="Q160" s="925" t="s">
        <v>216</v>
      </c>
      <c r="R160" s="952" t="str">
        <f t="shared" si="66"/>
        <v/>
      </c>
      <c r="S160" s="952" t="str">
        <f t="shared" si="67"/>
        <v/>
      </c>
      <c r="T160" s="952" t="str">
        <f t="shared" si="68"/>
        <v/>
      </c>
      <c r="U160" s="952" t="str">
        <f t="shared" si="69"/>
        <v/>
      </c>
      <c r="V160" s="952" t="str">
        <f t="shared" si="70"/>
        <v/>
      </c>
      <c r="W160" s="952" t="str">
        <f t="shared" si="71"/>
        <v/>
      </c>
      <c r="X160" s="952" t="str">
        <f t="shared" si="72"/>
        <v/>
      </c>
      <c r="Y160" s="952">
        <f t="shared" si="73"/>
        <v>0.1111111111111111</v>
      </c>
      <c r="Z160" s="952" t="str">
        <f t="shared" si="74"/>
        <v/>
      </c>
      <c r="AA160" s="952" t="str">
        <f t="shared" si="75"/>
        <v/>
      </c>
      <c r="AB160" s="952" t="str">
        <f t="shared" si="76"/>
        <v/>
      </c>
      <c r="AC160" s="952" t="str">
        <f t="shared" si="77"/>
        <v/>
      </c>
      <c r="AD160" s="952" t="str">
        <f t="shared" si="78"/>
        <v/>
      </c>
      <c r="AF160" s="924" t="s">
        <v>73</v>
      </c>
      <c r="AG160" s="560">
        <f t="shared" si="79"/>
        <v>2.0408163265306121E-2</v>
      </c>
    </row>
    <row r="161" spans="17:45" ht="16.5" thickTop="1">
      <c r="Q161" s="926" t="s">
        <v>21</v>
      </c>
      <c r="R161" s="935" t="str">
        <f t="shared" si="66"/>
        <v/>
      </c>
      <c r="S161" s="935" t="str">
        <f t="shared" si="67"/>
        <v/>
      </c>
      <c r="T161" s="935" t="str">
        <f t="shared" si="68"/>
        <v/>
      </c>
      <c r="U161" s="935" t="str">
        <f t="shared" si="69"/>
        <v/>
      </c>
      <c r="V161" s="935" t="str">
        <f t="shared" si="70"/>
        <v/>
      </c>
      <c r="W161" s="935" t="str">
        <f t="shared" si="71"/>
        <v/>
      </c>
      <c r="X161" s="935" t="str">
        <f t="shared" si="72"/>
        <v/>
      </c>
      <c r="Y161" s="935" t="str">
        <f t="shared" si="73"/>
        <v/>
      </c>
      <c r="Z161" s="935" t="str">
        <f t="shared" si="74"/>
        <v/>
      </c>
      <c r="AA161" s="935" t="str">
        <f t="shared" si="75"/>
        <v/>
      </c>
      <c r="AB161" s="935" t="str">
        <f t="shared" si="76"/>
        <v/>
      </c>
      <c r="AC161" s="935" t="str">
        <f t="shared" si="77"/>
        <v/>
      </c>
      <c r="AD161" s="935" t="str">
        <f t="shared" si="78"/>
        <v/>
      </c>
      <c r="AF161" s="925" t="s">
        <v>216</v>
      </c>
      <c r="AG161" s="560">
        <f t="shared" si="79"/>
        <v>2.0408163265306121E-2</v>
      </c>
    </row>
    <row r="162" spans="17:45">
      <c r="AF162" s="926" t="s">
        <v>21</v>
      </c>
      <c r="AG162" s="560" t="str">
        <f t="shared" si="79"/>
        <v/>
      </c>
    </row>
    <row r="165" spans="17:45" ht="18.75">
      <c r="Q165" s="69" t="s">
        <v>2778</v>
      </c>
    </row>
    <row r="166" spans="17:45" ht="16.5" thickBot="1">
      <c r="Q166" s="1413" t="s">
        <v>183</v>
      </c>
      <c r="R166" s="903" t="s">
        <v>27</v>
      </c>
      <c r="S166" s="904" t="s">
        <v>1270</v>
      </c>
      <c r="T166" s="896" t="s">
        <v>43</v>
      </c>
      <c r="U166" s="905" t="s">
        <v>120</v>
      </c>
      <c r="V166" s="906" t="s">
        <v>47</v>
      </c>
      <c r="W166" s="907" t="s">
        <v>46</v>
      </c>
      <c r="X166" s="908" t="s">
        <v>397</v>
      </c>
      <c r="Y166" s="909" t="s">
        <v>155</v>
      </c>
      <c r="Z166" s="897" t="s">
        <v>24</v>
      </c>
      <c r="AA166" s="910" t="s">
        <v>23</v>
      </c>
      <c r="AB166" s="895" t="s">
        <v>29</v>
      </c>
      <c r="AC166" s="911" t="s">
        <v>93</v>
      </c>
      <c r="AD166" s="912" t="s">
        <v>1269</v>
      </c>
      <c r="AE166" s="913" t="s">
        <v>26</v>
      </c>
      <c r="AF166" s="914" t="s">
        <v>109</v>
      </c>
      <c r="AG166" s="915" t="s">
        <v>114</v>
      </c>
      <c r="AH166" s="916" t="s">
        <v>1272</v>
      </c>
      <c r="AI166" s="917" t="s">
        <v>68</v>
      </c>
      <c r="AJ166" s="918" t="s">
        <v>234</v>
      </c>
      <c r="AK166" s="919" t="s">
        <v>124</v>
      </c>
      <c r="AL166" s="920" t="s">
        <v>74</v>
      </c>
      <c r="AM166" s="921" t="s">
        <v>1271</v>
      </c>
      <c r="AN166" s="922" t="s">
        <v>20</v>
      </c>
      <c r="AO166" s="894" t="s">
        <v>44</v>
      </c>
      <c r="AP166" s="923" t="s">
        <v>339</v>
      </c>
      <c r="AQ166" s="924" t="s">
        <v>73</v>
      </c>
      <c r="AR166" s="925" t="s">
        <v>216</v>
      </c>
      <c r="AS166" s="926" t="s">
        <v>21</v>
      </c>
    </row>
    <row r="167" spans="17:45">
      <c r="Q167" t="s">
        <v>126</v>
      </c>
      <c r="R167" s="319">
        <f t="shared" ref="R167:AS167" si="80">COUNTIF($C44:$O46, R$166)</f>
        <v>0</v>
      </c>
      <c r="S167" s="33">
        <f t="shared" si="80"/>
        <v>0</v>
      </c>
      <c r="T167" s="587">
        <f t="shared" si="80"/>
        <v>0</v>
      </c>
      <c r="U167" s="319">
        <f t="shared" si="80"/>
        <v>0</v>
      </c>
      <c r="V167" s="233">
        <f t="shared" si="80"/>
        <v>0</v>
      </c>
      <c r="W167">
        <f t="shared" si="80"/>
        <v>0</v>
      </c>
      <c r="X167" s="319">
        <f t="shared" si="80"/>
        <v>0</v>
      </c>
      <c r="Y167" s="233">
        <f t="shared" si="80"/>
        <v>0</v>
      </c>
      <c r="Z167" s="319">
        <f t="shared" si="80"/>
        <v>0</v>
      </c>
      <c r="AA167" s="319">
        <f t="shared" si="80"/>
        <v>0</v>
      </c>
      <c r="AB167">
        <f t="shared" si="80"/>
        <v>0</v>
      </c>
      <c r="AC167" s="319">
        <f t="shared" si="80"/>
        <v>0</v>
      </c>
      <c r="AD167" s="242">
        <f t="shared" si="80"/>
        <v>0</v>
      </c>
      <c r="AE167" s="319">
        <f t="shared" si="80"/>
        <v>0</v>
      </c>
      <c r="AF167" s="319">
        <f t="shared" si="80"/>
        <v>0</v>
      </c>
      <c r="AG167" s="1332">
        <f t="shared" si="80"/>
        <v>0</v>
      </c>
      <c r="AH167" s="319">
        <f t="shared" si="80"/>
        <v>0</v>
      </c>
      <c r="AI167" s="319">
        <f t="shared" si="80"/>
        <v>0</v>
      </c>
      <c r="AJ167" s="319">
        <f t="shared" si="80"/>
        <v>0</v>
      </c>
      <c r="AK167" s="1088">
        <f t="shared" si="80"/>
        <v>0</v>
      </c>
      <c r="AL167" s="36">
        <f t="shared" si="80"/>
        <v>0</v>
      </c>
      <c r="AM167" s="1101">
        <f t="shared" si="80"/>
        <v>0</v>
      </c>
      <c r="AN167" s="10">
        <f t="shared" si="80"/>
        <v>0</v>
      </c>
      <c r="AO167" s="1322">
        <f t="shared" si="80"/>
        <v>0</v>
      </c>
      <c r="AP167" s="361">
        <f t="shared" si="80"/>
        <v>0</v>
      </c>
      <c r="AQ167" s="37">
        <f t="shared" si="80"/>
        <v>0</v>
      </c>
      <c r="AR167" s="590">
        <f t="shared" si="80"/>
        <v>0</v>
      </c>
      <c r="AS167" s="319">
        <f t="shared" si="80"/>
        <v>0</v>
      </c>
    </row>
    <row r="168" spans="17:45">
      <c r="Q168" t="s">
        <v>127</v>
      </c>
      <c r="R168" s="319">
        <f t="shared" ref="R168:AS168" si="81">COUNTIF($C48:$O49, R$166)</f>
        <v>0</v>
      </c>
      <c r="S168" s="33">
        <f t="shared" si="81"/>
        <v>0</v>
      </c>
      <c r="T168" s="587">
        <f t="shared" si="81"/>
        <v>0</v>
      </c>
      <c r="U168" s="319">
        <f t="shared" si="81"/>
        <v>0</v>
      </c>
      <c r="V168" s="233">
        <f t="shared" si="81"/>
        <v>0</v>
      </c>
      <c r="W168">
        <f t="shared" si="81"/>
        <v>0</v>
      </c>
      <c r="X168" s="319">
        <f t="shared" si="81"/>
        <v>0</v>
      </c>
      <c r="Y168" s="233">
        <f t="shared" si="81"/>
        <v>0</v>
      </c>
      <c r="Z168" s="319">
        <f t="shared" si="81"/>
        <v>0</v>
      </c>
      <c r="AA168" s="319">
        <f t="shared" si="81"/>
        <v>0</v>
      </c>
      <c r="AB168">
        <f t="shared" si="81"/>
        <v>0</v>
      </c>
      <c r="AC168" s="319">
        <f t="shared" si="81"/>
        <v>0</v>
      </c>
      <c r="AD168" s="242">
        <f t="shared" si="81"/>
        <v>0</v>
      </c>
      <c r="AE168" s="319">
        <f t="shared" si="81"/>
        <v>0</v>
      </c>
      <c r="AF168" s="319">
        <f t="shared" si="81"/>
        <v>0</v>
      </c>
      <c r="AG168" s="1332">
        <f t="shared" si="81"/>
        <v>0</v>
      </c>
      <c r="AH168" s="319">
        <f t="shared" si="81"/>
        <v>0</v>
      </c>
      <c r="AI168" s="319">
        <f t="shared" si="81"/>
        <v>0</v>
      </c>
      <c r="AJ168" s="319">
        <f t="shared" si="81"/>
        <v>0</v>
      </c>
      <c r="AK168" s="1088">
        <f t="shared" si="81"/>
        <v>0</v>
      </c>
      <c r="AL168" s="36">
        <f t="shared" si="81"/>
        <v>0</v>
      </c>
      <c r="AM168" s="1101">
        <f t="shared" si="81"/>
        <v>0</v>
      </c>
      <c r="AN168" s="10">
        <f t="shared" si="81"/>
        <v>0</v>
      </c>
      <c r="AO168" s="1322">
        <f t="shared" si="81"/>
        <v>0</v>
      </c>
      <c r="AP168" s="361">
        <f t="shared" si="81"/>
        <v>0</v>
      </c>
      <c r="AQ168" s="37">
        <f t="shared" si="81"/>
        <v>0</v>
      </c>
      <c r="AR168" s="590">
        <f t="shared" si="81"/>
        <v>0</v>
      </c>
      <c r="AS168" s="319">
        <f t="shared" si="81"/>
        <v>0</v>
      </c>
    </row>
    <row r="169" spans="17:45">
      <c r="Q169" t="s">
        <v>128</v>
      </c>
      <c r="R169" s="319">
        <f t="shared" ref="R169:AS169" si="82">COUNTIF($C51:$O53, R$166)</f>
        <v>0</v>
      </c>
      <c r="S169" s="33">
        <f t="shared" si="82"/>
        <v>0</v>
      </c>
      <c r="T169" s="587">
        <f t="shared" si="82"/>
        <v>0</v>
      </c>
      <c r="U169" s="319">
        <f t="shared" si="82"/>
        <v>0</v>
      </c>
      <c r="V169" s="233">
        <f t="shared" si="82"/>
        <v>0</v>
      </c>
      <c r="W169">
        <f t="shared" si="82"/>
        <v>0</v>
      </c>
      <c r="X169" s="319">
        <f t="shared" si="82"/>
        <v>0</v>
      </c>
      <c r="Y169" s="233">
        <f t="shared" si="82"/>
        <v>0</v>
      </c>
      <c r="Z169" s="319">
        <f t="shared" si="82"/>
        <v>0</v>
      </c>
      <c r="AA169" s="319">
        <f t="shared" si="82"/>
        <v>0</v>
      </c>
      <c r="AB169">
        <f t="shared" si="82"/>
        <v>0</v>
      </c>
      <c r="AC169" s="319">
        <f t="shared" si="82"/>
        <v>0</v>
      </c>
      <c r="AD169" s="242">
        <f t="shared" si="82"/>
        <v>0</v>
      </c>
      <c r="AE169" s="319">
        <f t="shared" si="82"/>
        <v>0</v>
      </c>
      <c r="AF169" s="319">
        <f t="shared" si="82"/>
        <v>0</v>
      </c>
      <c r="AG169" s="1332">
        <f t="shared" si="82"/>
        <v>0</v>
      </c>
      <c r="AH169" s="319">
        <f t="shared" si="82"/>
        <v>0</v>
      </c>
      <c r="AI169" s="319">
        <f t="shared" si="82"/>
        <v>0</v>
      </c>
      <c r="AJ169" s="319">
        <f t="shared" si="82"/>
        <v>0</v>
      </c>
      <c r="AK169" s="1088">
        <f t="shared" si="82"/>
        <v>0</v>
      </c>
      <c r="AL169" s="36">
        <f t="shared" si="82"/>
        <v>0</v>
      </c>
      <c r="AM169" s="1101">
        <f t="shared" si="82"/>
        <v>0</v>
      </c>
      <c r="AN169" s="10">
        <f t="shared" si="82"/>
        <v>0</v>
      </c>
      <c r="AO169" s="1322">
        <f t="shared" si="82"/>
        <v>0</v>
      </c>
      <c r="AP169" s="361">
        <f t="shared" si="82"/>
        <v>0</v>
      </c>
      <c r="AQ169" s="37">
        <f t="shared" si="82"/>
        <v>0</v>
      </c>
      <c r="AR169" s="590">
        <f t="shared" si="82"/>
        <v>0</v>
      </c>
      <c r="AS169" s="319">
        <f t="shared" si="82"/>
        <v>0</v>
      </c>
    </row>
    <row r="170" spans="17:45">
      <c r="Q170" t="s">
        <v>129</v>
      </c>
      <c r="R170" s="319">
        <f t="shared" ref="R170:AS170" si="83">COUNTIF($C55:$O56, R$166)</f>
        <v>0</v>
      </c>
      <c r="S170" s="33">
        <f t="shared" si="83"/>
        <v>0</v>
      </c>
      <c r="T170" s="587">
        <f t="shared" si="83"/>
        <v>0</v>
      </c>
      <c r="U170" s="319">
        <f t="shared" si="83"/>
        <v>0</v>
      </c>
      <c r="V170" s="233">
        <f t="shared" si="83"/>
        <v>0</v>
      </c>
      <c r="W170">
        <f t="shared" si="83"/>
        <v>0</v>
      </c>
      <c r="X170" s="319">
        <f t="shared" si="83"/>
        <v>0</v>
      </c>
      <c r="Y170" s="233">
        <f t="shared" si="83"/>
        <v>0</v>
      </c>
      <c r="Z170" s="319">
        <f t="shared" si="83"/>
        <v>0</v>
      </c>
      <c r="AA170" s="319">
        <f t="shared" si="83"/>
        <v>0</v>
      </c>
      <c r="AB170">
        <f t="shared" si="83"/>
        <v>0</v>
      </c>
      <c r="AC170" s="319">
        <f t="shared" si="83"/>
        <v>0</v>
      </c>
      <c r="AD170" s="242">
        <f t="shared" si="83"/>
        <v>0</v>
      </c>
      <c r="AE170" s="319">
        <f t="shared" si="83"/>
        <v>0</v>
      </c>
      <c r="AF170" s="319">
        <f t="shared" si="83"/>
        <v>0</v>
      </c>
      <c r="AG170" s="1332">
        <f t="shared" si="83"/>
        <v>0</v>
      </c>
      <c r="AH170" s="319">
        <f t="shared" si="83"/>
        <v>0</v>
      </c>
      <c r="AI170" s="319">
        <f t="shared" si="83"/>
        <v>0</v>
      </c>
      <c r="AJ170" s="319">
        <f t="shared" si="83"/>
        <v>0</v>
      </c>
      <c r="AK170" s="1088">
        <f t="shared" si="83"/>
        <v>0</v>
      </c>
      <c r="AL170" s="36">
        <f t="shared" si="83"/>
        <v>0</v>
      </c>
      <c r="AM170" s="1101">
        <f t="shared" si="83"/>
        <v>0</v>
      </c>
      <c r="AN170" s="10">
        <f t="shared" si="83"/>
        <v>0</v>
      </c>
      <c r="AO170" s="1322">
        <f t="shared" si="83"/>
        <v>0</v>
      </c>
      <c r="AP170" s="361">
        <f t="shared" si="83"/>
        <v>0</v>
      </c>
      <c r="AQ170" s="37">
        <f t="shared" si="83"/>
        <v>0</v>
      </c>
      <c r="AR170" s="590">
        <f t="shared" si="83"/>
        <v>0</v>
      </c>
      <c r="AS170" s="319">
        <f t="shared" si="83"/>
        <v>0</v>
      </c>
    </row>
    <row r="171" spans="17:45">
      <c r="Q171" t="s">
        <v>130</v>
      </c>
      <c r="R171" s="319">
        <f t="shared" ref="R171:AS171" si="84">COUNTIF($C58:$O59, R$166)</f>
        <v>0</v>
      </c>
      <c r="S171" s="33">
        <f t="shared" si="84"/>
        <v>0</v>
      </c>
      <c r="T171" s="587">
        <f t="shared" si="84"/>
        <v>0</v>
      </c>
      <c r="U171" s="319">
        <f t="shared" si="84"/>
        <v>0</v>
      </c>
      <c r="V171" s="233">
        <f t="shared" si="84"/>
        <v>0</v>
      </c>
      <c r="W171">
        <f t="shared" si="84"/>
        <v>0</v>
      </c>
      <c r="X171" s="319">
        <f t="shared" si="84"/>
        <v>0</v>
      </c>
      <c r="Y171" s="233">
        <f t="shared" si="84"/>
        <v>0</v>
      </c>
      <c r="Z171" s="319">
        <f t="shared" si="84"/>
        <v>0</v>
      </c>
      <c r="AA171" s="319">
        <f t="shared" si="84"/>
        <v>0</v>
      </c>
      <c r="AB171">
        <f t="shared" si="84"/>
        <v>0</v>
      </c>
      <c r="AC171" s="319">
        <f t="shared" si="84"/>
        <v>0</v>
      </c>
      <c r="AD171" s="242">
        <f t="shared" si="84"/>
        <v>0</v>
      </c>
      <c r="AE171" s="319">
        <f t="shared" si="84"/>
        <v>0</v>
      </c>
      <c r="AF171" s="319">
        <f t="shared" si="84"/>
        <v>0</v>
      </c>
      <c r="AG171" s="1332">
        <f t="shared" si="84"/>
        <v>0</v>
      </c>
      <c r="AH171" s="319">
        <f t="shared" si="84"/>
        <v>0</v>
      </c>
      <c r="AI171" s="319">
        <f t="shared" si="84"/>
        <v>0</v>
      </c>
      <c r="AJ171" s="319">
        <f t="shared" si="84"/>
        <v>0</v>
      </c>
      <c r="AK171" s="1088">
        <f t="shared" si="84"/>
        <v>0</v>
      </c>
      <c r="AL171" s="36">
        <f t="shared" si="84"/>
        <v>0</v>
      </c>
      <c r="AM171" s="1101">
        <f t="shared" si="84"/>
        <v>0</v>
      </c>
      <c r="AN171" s="10">
        <f t="shared" si="84"/>
        <v>0</v>
      </c>
      <c r="AO171" s="1322">
        <f t="shared" si="84"/>
        <v>0</v>
      </c>
      <c r="AP171" s="361">
        <f t="shared" si="84"/>
        <v>0</v>
      </c>
      <c r="AQ171" s="37">
        <f t="shared" si="84"/>
        <v>0</v>
      </c>
      <c r="AR171" s="590">
        <f t="shared" si="84"/>
        <v>0</v>
      </c>
      <c r="AS171" s="319">
        <f t="shared" si="84"/>
        <v>0</v>
      </c>
    </row>
    <row r="172" spans="17:45">
      <c r="Q172" t="s">
        <v>131</v>
      </c>
      <c r="R172" s="319">
        <f t="shared" ref="R172:AS172" si="85">COUNTIF($C61:$O62, R$166)</f>
        <v>0</v>
      </c>
      <c r="S172" s="33">
        <f t="shared" si="85"/>
        <v>0</v>
      </c>
      <c r="T172" s="587">
        <f t="shared" si="85"/>
        <v>0</v>
      </c>
      <c r="U172" s="319">
        <f t="shared" si="85"/>
        <v>0</v>
      </c>
      <c r="V172" s="233">
        <f t="shared" si="85"/>
        <v>0</v>
      </c>
      <c r="W172">
        <f t="shared" si="85"/>
        <v>0</v>
      </c>
      <c r="X172" s="319">
        <f t="shared" si="85"/>
        <v>0</v>
      </c>
      <c r="Y172" s="233">
        <f t="shared" si="85"/>
        <v>0</v>
      </c>
      <c r="Z172" s="319">
        <f t="shared" si="85"/>
        <v>0</v>
      </c>
      <c r="AA172" s="319">
        <f t="shared" si="85"/>
        <v>0</v>
      </c>
      <c r="AB172">
        <f t="shared" si="85"/>
        <v>0</v>
      </c>
      <c r="AC172" s="319">
        <f t="shared" si="85"/>
        <v>0</v>
      </c>
      <c r="AD172" s="242">
        <f t="shared" si="85"/>
        <v>0</v>
      </c>
      <c r="AE172" s="319">
        <f t="shared" si="85"/>
        <v>0</v>
      </c>
      <c r="AF172" s="319">
        <f t="shared" si="85"/>
        <v>0</v>
      </c>
      <c r="AG172" s="1332">
        <f t="shared" si="85"/>
        <v>0</v>
      </c>
      <c r="AH172" s="319">
        <f t="shared" si="85"/>
        <v>0</v>
      </c>
      <c r="AI172" s="319">
        <f t="shared" si="85"/>
        <v>0</v>
      </c>
      <c r="AJ172" s="319">
        <f t="shared" si="85"/>
        <v>0</v>
      </c>
      <c r="AK172" s="1088">
        <f t="shared" si="85"/>
        <v>0</v>
      </c>
      <c r="AL172" s="36">
        <f t="shared" si="85"/>
        <v>0</v>
      </c>
      <c r="AM172" s="1101">
        <f t="shared" si="85"/>
        <v>0</v>
      </c>
      <c r="AN172" s="10">
        <f t="shared" si="85"/>
        <v>0</v>
      </c>
      <c r="AO172" s="1322">
        <f t="shared" si="85"/>
        <v>0</v>
      </c>
      <c r="AP172" s="361">
        <f t="shared" si="85"/>
        <v>0</v>
      </c>
      <c r="AQ172" s="37">
        <f t="shared" si="85"/>
        <v>0</v>
      </c>
      <c r="AR172" s="590">
        <f t="shared" si="85"/>
        <v>0</v>
      </c>
      <c r="AS172" s="319">
        <f t="shared" si="85"/>
        <v>0</v>
      </c>
    </row>
    <row r="173" spans="17:45">
      <c r="Q173" t="s">
        <v>132</v>
      </c>
      <c r="R173" s="319">
        <f t="shared" ref="R173:AS173" si="86">COUNTIF($C64:$O65, R$166)</f>
        <v>0</v>
      </c>
      <c r="S173" s="33">
        <f t="shared" si="86"/>
        <v>0</v>
      </c>
      <c r="T173" s="587">
        <f t="shared" si="86"/>
        <v>0</v>
      </c>
      <c r="U173" s="319">
        <f t="shared" si="86"/>
        <v>0</v>
      </c>
      <c r="V173" s="233">
        <f t="shared" si="86"/>
        <v>0</v>
      </c>
      <c r="W173">
        <f t="shared" si="86"/>
        <v>0</v>
      </c>
      <c r="X173" s="319">
        <f t="shared" si="86"/>
        <v>0</v>
      </c>
      <c r="Y173" s="233">
        <f t="shared" si="86"/>
        <v>0</v>
      </c>
      <c r="Z173" s="319">
        <f t="shared" si="86"/>
        <v>0</v>
      </c>
      <c r="AA173" s="319">
        <f t="shared" si="86"/>
        <v>0</v>
      </c>
      <c r="AB173">
        <f t="shared" si="86"/>
        <v>0</v>
      </c>
      <c r="AC173" s="319">
        <f t="shared" si="86"/>
        <v>0</v>
      </c>
      <c r="AD173" s="242">
        <f t="shared" si="86"/>
        <v>0</v>
      </c>
      <c r="AE173" s="319">
        <f t="shared" si="86"/>
        <v>0</v>
      </c>
      <c r="AF173" s="319">
        <f t="shared" si="86"/>
        <v>0</v>
      </c>
      <c r="AG173" s="1332">
        <f t="shared" si="86"/>
        <v>0</v>
      </c>
      <c r="AH173" s="319">
        <f t="shared" si="86"/>
        <v>0</v>
      </c>
      <c r="AI173" s="319">
        <f t="shared" si="86"/>
        <v>0</v>
      </c>
      <c r="AJ173" s="319">
        <f t="shared" si="86"/>
        <v>0</v>
      </c>
      <c r="AK173" s="1088">
        <f t="shared" si="86"/>
        <v>0</v>
      </c>
      <c r="AL173" s="36">
        <f t="shared" si="86"/>
        <v>0</v>
      </c>
      <c r="AM173" s="1101">
        <f t="shared" si="86"/>
        <v>0</v>
      </c>
      <c r="AN173" s="10">
        <f t="shared" si="86"/>
        <v>0</v>
      </c>
      <c r="AO173" s="1322">
        <f t="shared" si="86"/>
        <v>0</v>
      </c>
      <c r="AP173" s="361">
        <f t="shared" si="86"/>
        <v>0</v>
      </c>
      <c r="AQ173" s="37">
        <f t="shared" si="86"/>
        <v>0</v>
      </c>
      <c r="AR173" s="590">
        <f t="shared" si="86"/>
        <v>0</v>
      </c>
      <c r="AS173" s="319">
        <f t="shared" si="86"/>
        <v>0</v>
      </c>
    </row>
    <row r="174" spans="17:45">
      <c r="Q174" t="s">
        <v>133</v>
      </c>
      <c r="R174" s="319">
        <f t="shared" ref="R174:AS174" si="87">COUNTIF($C67:$O68, R$166)</f>
        <v>0</v>
      </c>
      <c r="S174" s="33">
        <f t="shared" si="87"/>
        <v>0</v>
      </c>
      <c r="T174" s="587">
        <f t="shared" si="87"/>
        <v>0</v>
      </c>
      <c r="U174" s="319">
        <f t="shared" si="87"/>
        <v>0</v>
      </c>
      <c r="V174" s="233">
        <f t="shared" si="87"/>
        <v>0</v>
      </c>
      <c r="W174">
        <f t="shared" si="87"/>
        <v>0</v>
      </c>
      <c r="X174" s="319">
        <f t="shared" si="87"/>
        <v>0</v>
      </c>
      <c r="Y174" s="233">
        <f t="shared" si="87"/>
        <v>0</v>
      </c>
      <c r="Z174" s="319">
        <f t="shared" si="87"/>
        <v>0</v>
      </c>
      <c r="AA174" s="319">
        <f t="shared" si="87"/>
        <v>0</v>
      </c>
      <c r="AB174">
        <f t="shared" si="87"/>
        <v>0</v>
      </c>
      <c r="AC174" s="319">
        <f t="shared" si="87"/>
        <v>0</v>
      </c>
      <c r="AD174" s="242">
        <f t="shared" si="87"/>
        <v>0</v>
      </c>
      <c r="AE174" s="319">
        <f t="shared" si="87"/>
        <v>0</v>
      </c>
      <c r="AF174" s="319">
        <f t="shared" si="87"/>
        <v>0</v>
      </c>
      <c r="AG174" s="1332">
        <f t="shared" si="87"/>
        <v>0</v>
      </c>
      <c r="AH174" s="319">
        <f t="shared" si="87"/>
        <v>0</v>
      </c>
      <c r="AI174" s="319">
        <f t="shared" si="87"/>
        <v>0</v>
      </c>
      <c r="AJ174" s="319">
        <f t="shared" si="87"/>
        <v>0</v>
      </c>
      <c r="AK174" s="1088">
        <f t="shared" si="87"/>
        <v>0</v>
      </c>
      <c r="AL174" s="36">
        <f t="shared" si="87"/>
        <v>0</v>
      </c>
      <c r="AM174" s="1101">
        <f t="shared" si="87"/>
        <v>0</v>
      </c>
      <c r="AN174" s="10">
        <f t="shared" si="87"/>
        <v>0</v>
      </c>
      <c r="AO174" s="1322">
        <f t="shared" si="87"/>
        <v>0</v>
      </c>
      <c r="AP174" s="361">
        <f t="shared" si="87"/>
        <v>0</v>
      </c>
      <c r="AQ174" s="37">
        <f t="shared" si="87"/>
        <v>0</v>
      </c>
      <c r="AR174" s="590">
        <f t="shared" si="87"/>
        <v>0</v>
      </c>
      <c r="AS174" s="319">
        <f t="shared" si="87"/>
        <v>0</v>
      </c>
    </row>
    <row r="175" spans="17:45">
      <c r="Q175" t="s">
        <v>134</v>
      </c>
      <c r="R175" s="319">
        <f t="shared" ref="R175:AS175" si="88">COUNTIF($C70:$O71, R$166)</f>
        <v>0</v>
      </c>
      <c r="S175" s="33">
        <f t="shared" si="88"/>
        <v>0</v>
      </c>
      <c r="T175" s="587">
        <f t="shared" si="88"/>
        <v>0</v>
      </c>
      <c r="U175" s="319">
        <f t="shared" si="88"/>
        <v>0</v>
      </c>
      <c r="V175" s="233">
        <f t="shared" si="88"/>
        <v>0</v>
      </c>
      <c r="W175">
        <f t="shared" si="88"/>
        <v>0</v>
      </c>
      <c r="X175" s="319">
        <f t="shared" si="88"/>
        <v>0</v>
      </c>
      <c r="Y175" s="233">
        <f t="shared" si="88"/>
        <v>0</v>
      </c>
      <c r="Z175" s="319">
        <f t="shared" si="88"/>
        <v>0</v>
      </c>
      <c r="AA175" s="319">
        <f t="shared" si="88"/>
        <v>0</v>
      </c>
      <c r="AB175">
        <f t="shared" si="88"/>
        <v>0</v>
      </c>
      <c r="AC175" s="319">
        <f t="shared" si="88"/>
        <v>0</v>
      </c>
      <c r="AD175" s="242">
        <f t="shared" si="88"/>
        <v>0</v>
      </c>
      <c r="AE175" s="319">
        <f t="shared" si="88"/>
        <v>0</v>
      </c>
      <c r="AF175" s="319">
        <f t="shared" si="88"/>
        <v>0</v>
      </c>
      <c r="AG175" s="1332">
        <f t="shared" si="88"/>
        <v>0</v>
      </c>
      <c r="AH175" s="319">
        <f t="shared" si="88"/>
        <v>0</v>
      </c>
      <c r="AI175" s="319">
        <f t="shared" si="88"/>
        <v>0</v>
      </c>
      <c r="AJ175" s="319">
        <f t="shared" si="88"/>
        <v>0</v>
      </c>
      <c r="AK175" s="1088">
        <f t="shared" si="88"/>
        <v>0</v>
      </c>
      <c r="AL175" s="36">
        <f t="shared" si="88"/>
        <v>0</v>
      </c>
      <c r="AM175" s="1101">
        <f t="shared" si="88"/>
        <v>0</v>
      </c>
      <c r="AN175" s="10">
        <f t="shared" si="88"/>
        <v>0</v>
      </c>
      <c r="AO175" s="1322">
        <f t="shared" si="88"/>
        <v>0</v>
      </c>
      <c r="AP175" s="361">
        <f t="shared" si="88"/>
        <v>0</v>
      </c>
      <c r="AQ175" s="37">
        <f t="shared" si="88"/>
        <v>0</v>
      </c>
      <c r="AR175" s="590">
        <f t="shared" si="88"/>
        <v>0</v>
      </c>
      <c r="AS175" s="319">
        <f t="shared" si="88"/>
        <v>0</v>
      </c>
    </row>
    <row r="176" spans="17:45">
      <c r="Q176" t="s">
        <v>135</v>
      </c>
      <c r="R176" s="319">
        <f t="shared" ref="R176:AS176" si="89">COUNTIF($C73:$O74, R$166)</f>
        <v>0</v>
      </c>
      <c r="S176" s="33">
        <f t="shared" si="89"/>
        <v>0</v>
      </c>
      <c r="T176" s="587">
        <f t="shared" si="89"/>
        <v>0</v>
      </c>
      <c r="U176" s="319">
        <f t="shared" si="89"/>
        <v>0</v>
      </c>
      <c r="V176" s="233">
        <f t="shared" si="89"/>
        <v>0</v>
      </c>
      <c r="W176">
        <f t="shared" si="89"/>
        <v>0</v>
      </c>
      <c r="X176" s="319">
        <f t="shared" si="89"/>
        <v>0</v>
      </c>
      <c r="Y176" s="233">
        <f t="shared" si="89"/>
        <v>0</v>
      </c>
      <c r="Z176" s="319">
        <f t="shared" si="89"/>
        <v>0</v>
      </c>
      <c r="AA176" s="319">
        <f t="shared" si="89"/>
        <v>0</v>
      </c>
      <c r="AB176">
        <f t="shared" si="89"/>
        <v>0</v>
      </c>
      <c r="AC176" s="319">
        <f t="shared" si="89"/>
        <v>0</v>
      </c>
      <c r="AD176" s="242">
        <f t="shared" si="89"/>
        <v>0</v>
      </c>
      <c r="AE176" s="319">
        <f t="shared" si="89"/>
        <v>0</v>
      </c>
      <c r="AF176" s="319">
        <f t="shared" si="89"/>
        <v>0</v>
      </c>
      <c r="AG176" s="1332">
        <f t="shared" si="89"/>
        <v>0</v>
      </c>
      <c r="AH176" s="319">
        <f t="shared" si="89"/>
        <v>0</v>
      </c>
      <c r="AI176" s="319">
        <f t="shared" si="89"/>
        <v>0</v>
      </c>
      <c r="AJ176" s="319">
        <f t="shared" si="89"/>
        <v>0</v>
      </c>
      <c r="AK176" s="1088">
        <f t="shared" si="89"/>
        <v>0</v>
      </c>
      <c r="AL176" s="36">
        <f t="shared" si="89"/>
        <v>0</v>
      </c>
      <c r="AM176" s="1101">
        <f t="shared" si="89"/>
        <v>0</v>
      </c>
      <c r="AN176" s="10">
        <f t="shared" si="89"/>
        <v>0</v>
      </c>
      <c r="AO176" s="1322">
        <f t="shared" si="89"/>
        <v>0</v>
      </c>
      <c r="AP176" s="361">
        <f t="shared" si="89"/>
        <v>0</v>
      </c>
      <c r="AQ176" s="37">
        <f t="shared" si="89"/>
        <v>0</v>
      </c>
      <c r="AR176" s="590">
        <f t="shared" si="89"/>
        <v>0</v>
      </c>
      <c r="AS176" s="319">
        <f t="shared" si="89"/>
        <v>0</v>
      </c>
    </row>
    <row r="177" spans="17:45">
      <c r="Q177" t="s">
        <v>136</v>
      </c>
      <c r="R177" s="319">
        <f t="shared" ref="R177:AS177" si="90">COUNTIF($C76:$O77, R$166)</f>
        <v>0</v>
      </c>
      <c r="S177" s="33">
        <f t="shared" si="90"/>
        <v>0</v>
      </c>
      <c r="T177" s="587">
        <f t="shared" si="90"/>
        <v>0</v>
      </c>
      <c r="U177" s="319">
        <f t="shared" si="90"/>
        <v>0</v>
      </c>
      <c r="V177" s="233">
        <f t="shared" si="90"/>
        <v>0</v>
      </c>
      <c r="W177">
        <f t="shared" si="90"/>
        <v>0</v>
      </c>
      <c r="X177" s="319">
        <f t="shared" si="90"/>
        <v>0</v>
      </c>
      <c r="Y177" s="233">
        <f t="shared" si="90"/>
        <v>0</v>
      </c>
      <c r="Z177" s="319">
        <f t="shared" si="90"/>
        <v>0</v>
      </c>
      <c r="AA177" s="319">
        <f t="shared" si="90"/>
        <v>0</v>
      </c>
      <c r="AB177">
        <f t="shared" si="90"/>
        <v>0</v>
      </c>
      <c r="AC177" s="319">
        <f t="shared" si="90"/>
        <v>0</v>
      </c>
      <c r="AD177" s="242">
        <f t="shared" si="90"/>
        <v>0</v>
      </c>
      <c r="AE177" s="319">
        <f t="shared" si="90"/>
        <v>0</v>
      </c>
      <c r="AF177" s="319">
        <f t="shared" si="90"/>
        <v>0</v>
      </c>
      <c r="AG177" s="1332">
        <f t="shared" si="90"/>
        <v>0</v>
      </c>
      <c r="AH177" s="319">
        <f t="shared" si="90"/>
        <v>0</v>
      </c>
      <c r="AI177" s="319">
        <f t="shared" si="90"/>
        <v>0</v>
      </c>
      <c r="AJ177" s="319">
        <f t="shared" si="90"/>
        <v>0</v>
      </c>
      <c r="AK177" s="1088">
        <f t="shared" si="90"/>
        <v>0</v>
      </c>
      <c r="AL177" s="36">
        <f t="shared" si="90"/>
        <v>0</v>
      </c>
      <c r="AM177" s="1101">
        <f t="shared" si="90"/>
        <v>0</v>
      </c>
      <c r="AN177" s="10">
        <f t="shared" si="90"/>
        <v>0</v>
      </c>
      <c r="AO177" s="1322">
        <f t="shared" si="90"/>
        <v>0</v>
      </c>
      <c r="AP177" s="361">
        <f t="shared" si="90"/>
        <v>0</v>
      </c>
      <c r="AQ177" s="37">
        <f t="shared" si="90"/>
        <v>0</v>
      </c>
      <c r="AR177" s="590">
        <f t="shared" si="90"/>
        <v>0</v>
      </c>
      <c r="AS177" s="319">
        <f t="shared" si="90"/>
        <v>0</v>
      </c>
    </row>
    <row r="178" spans="17:45">
      <c r="Q178" t="s">
        <v>137</v>
      </c>
      <c r="R178" s="319">
        <f t="shared" ref="R178:AS178" si="91">COUNTIF($C79:$O80, R$166)</f>
        <v>0</v>
      </c>
      <c r="S178" s="33">
        <f t="shared" si="91"/>
        <v>0</v>
      </c>
      <c r="T178" s="587">
        <f t="shared" si="91"/>
        <v>0</v>
      </c>
      <c r="U178" s="319">
        <f t="shared" si="91"/>
        <v>0</v>
      </c>
      <c r="V178" s="233">
        <f t="shared" si="91"/>
        <v>0</v>
      </c>
      <c r="W178">
        <f t="shared" si="91"/>
        <v>0</v>
      </c>
      <c r="X178" s="319">
        <f t="shared" si="91"/>
        <v>0</v>
      </c>
      <c r="Y178" s="233">
        <f t="shared" si="91"/>
        <v>0</v>
      </c>
      <c r="Z178" s="319">
        <f t="shared" si="91"/>
        <v>0</v>
      </c>
      <c r="AA178" s="319">
        <f t="shared" si="91"/>
        <v>0</v>
      </c>
      <c r="AB178">
        <f t="shared" si="91"/>
        <v>0</v>
      </c>
      <c r="AC178" s="319">
        <f t="shared" si="91"/>
        <v>0</v>
      </c>
      <c r="AD178" s="242">
        <f t="shared" si="91"/>
        <v>0</v>
      </c>
      <c r="AE178" s="319">
        <f t="shared" si="91"/>
        <v>0</v>
      </c>
      <c r="AF178" s="319">
        <f t="shared" si="91"/>
        <v>0</v>
      </c>
      <c r="AG178" s="1332">
        <f t="shared" si="91"/>
        <v>0</v>
      </c>
      <c r="AH178" s="319">
        <f t="shared" si="91"/>
        <v>0</v>
      </c>
      <c r="AI178" s="319">
        <f t="shared" si="91"/>
        <v>0</v>
      </c>
      <c r="AJ178" s="319">
        <f t="shared" si="91"/>
        <v>0</v>
      </c>
      <c r="AK178" s="1088">
        <f t="shared" si="91"/>
        <v>1</v>
      </c>
      <c r="AL178" s="36">
        <f t="shared" si="91"/>
        <v>0</v>
      </c>
      <c r="AM178" s="1101">
        <f t="shared" si="91"/>
        <v>2</v>
      </c>
      <c r="AN178" s="10">
        <f t="shared" si="91"/>
        <v>0</v>
      </c>
      <c r="AO178" s="1322">
        <f t="shared" si="91"/>
        <v>0</v>
      </c>
      <c r="AP178" s="361">
        <f t="shared" si="91"/>
        <v>0</v>
      </c>
      <c r="AQ178" s="37">
        <f t="shared" si="91"/>
        <v>0</v>
      </c>
      <c r="AR178" s="590">
        <f t="shared" si="91"/>
        <v>0</v>
      </c>
      <c r="AS178" s="319">
        <f t="shared" si="91"/>
        <v>0</v>
      </c>
    </row>
    <row r="179" spans="17:45">
      <c r="Q179" t="s">
        <v>138</v>
      </c>
      <c r="R179" s="319">
        <f t="shared" ref="R179:AS179" si="92">COUNTIF($C82:$O83, R$166)</f>
        <v>0</v>
      </c>
      <c r="S179" s="33">
        <f t="shared" si="92"/>
        <v>0</v>
      </c>
      <c r="T179" s="587">
        <f t="shared" si="92"/>
        <v>0</v>
      </c>
      <c r="U179" s="319">
        <f t="shared" si="92"/>
        <v>0</v>
      </c>
      <c r="V179" s="233">
        <f t="shared" si="92"/>
        <v>0</v>
      </c>
      <c r="W179">
        <f t="shared" si="92"/>
        <v>0</v>
      </c>
      <c r="X179" s="319">
        <f t="shared" si="92"/>
        <v>0</v>
      </c>
      <c r="Y179" s="233">
        <f t="shared" si="92"/>
        <v>1</v>
      </c>
      <c r="Z179" s="319">
        <f t="shared" si="92"/>
        <v>0</v>
      </c>
      <c r="AA179" s="319">
        <f t="shared" si="92"/>
        <v>0</v>
      </c>
      <c r="AB179">
        <f t="shared" si="92"/>
        <v>0</v>
      </c>
      <c r="AC179" s="319">
        <f t="shared" si="92"/>
        <v>0</v>
      </c>
      <c r="AD179" s="242">
        <f t="shared" si="92"/>
        <v>0</v>
      </c>
      <c r="AE179" s="319">
        <f t="shared" si="92"/>
        <v>0</v>
      </c>
      <c r="AF179" s="319">
        <f t="shared" si="92"/>
        <v>0</v>
      </c>
      <c r="AG179" s="1332">
        <f t="shared" si="92"/>
        <v>0</v>
      </c>
      <c r="AH179" s="319">
        <f t="shared" si="92"/>
        <v>0</v>
      </c>
      <c r="AI179" s="319">
        <f t="shared" si="92"/>
        <v>0</v>
      </c>
      <c r="AJ179" s="319">
        <f t="shared" si="92"/>
        <v>0</v>
      </c>
      <c r="AK179" s="1088">
        <f t="shared" si="92"/>
        <v>0</v>
      </c>
      <c r="AL179" s="36">
        <f t="shared" si="92"/>
        <v>0</v>
      </c>
      <c r="AM179" s="1101">
        <f t="shared" si="92"/>
        <v>0</v>
      </c>
      <c r="AN179" s="10">
        <f t="shared" si="92"/>
        <v>0</v>
      </c>
      <c r="AO179" s="1322">
        <f t="shared" si="92"/>
        <v>0</v>
      </c>
      <c r="AP179" s="361">
        <f t="shared" si="92"/>
        <v>1</v>
      </c>
      <c r="AQ179" s="37">
        <f t="shared" si="92"/>
        <v>0</v>
      </c>
      <c r="AR179" s="590">
        <f t="shared" si="92"/>
        <v>0</v>
      </c>
      <c r="AS179" s="319">
        <f t="shared" si="92"/>
        <v>0</v>
      </c>
    </row>
    <row r="180" spans="17:45">
      <c r="Q180" t="s">
        <v>139</v>
      </c>
      <c r="R180" s="319">
        <f t="shared" ref="R180:AS180" si="93">COUNTIF($C85:$O87, R$166)</f>
        <v>1</v>
      </c>
      <c r="S180" s="33">
        <f t="shared" si="93"/>
        <v>2</v>
      </c>
      <c r="T180" s="587">
        <f t="shared" si="93"/>
        <v>0</v>
      </c>
      <c r="U180" s="319">
        <f t="shared" si="93"/>
        <v>0</v>
      </c>
      <c r="V180" s="233">
        <f t="shared" si="93"/>
        <v>0</v>
      </c>
      <c r="W180">
        <f t="shared" si="93"/>
        <v>0</v>
      </c>
      <c r="X180" s="319">
        <f t="shared" si="93"/>
        <v>0</v>
      </c>
      <c r="Y180" s="233">
        <f t="shared" si="93"/>
        <v>0</v>
      </c>
      <c r="Z180" s="319">
        <f t="shared" si="93"/>
        <v>0</v>
      </c>
      <c r="AA180" s="319">
        <f t="shared" si="93"/>
        <v>0</v>
      </c>
      <c r="AB180">
        <f t="shared" si="93"/>
        <v>0</v>
      </c>
      <c r="AC180" s="319">
        <f t="shared" si="93"/>
        <v>0</v>
      </c>
      <c r="AD180" s="242">
        <f t="shared" si="93"/>
        <v>0</v>
      </c>
      <c r="AE180" s="319">
        <f t="shared" si="93"/>
        <v>0</v>
      </c>
      <c r="AF180" s="319">
        <f t="shared" si="93"/>
        <v>0</v>
      </c>
      <c r="AG180" s="1332">
        <f t="shared" si="93"/>
        <v>0</v>
      </c>
      <c r="AH180" s="319">
        <f t="shared" si="93"/>
        <v>0</v>
      </c>
      <c r="AI180" s="319">
        <f t="shared" si="93"/>
        <v>0</v>
      </c>
      <c r="AJ180" s="319">
        <f t="shared" si="93"/>
        <v>0</v>
      </c>
      <c r="AK180" s="1088">
        <f t="shared" si="93"/>
        <v>0</v>
      </c>
      <c r="AL180" s="36">
        <f t="shared" si="93"/>
        <v>1</v>
      </c>
      <c r="AM180" s="1101">
        <f t="shared" si="93"/>
        <v>0</v>
      </c>
      <c r="AN180" s="10">
        <f t="shared" si="93"/>
        <v>0</v>
      </c>
      <c r="AO180" s="1322">
        <f t="shared" si="93"/>
        <v>0</v>
      </c>
      <c r="AP180" s="361">
        <f t="shared" si="93"/>
        <v>0</v>
      </c>
      <c r="AQ180" s="37">
        <f t="shared" si="93"/>
        <v>0</v>
      </c>
      <c r="AR180" s="590">
        <f t="shared" si="93"/>
        <v>0</v>
      </c>
      <c r="AS180" s="319">
        <f t="shared" si="93"/>
        <v>0</v>
      </c>
    </row>
    <row r="181" spans="17:45">
      <c r="Q181" t="s">
        <v>140</v>
      </c>
      <c r="R181" s="319">
        <f t="shared" ref="R181:AS181" si="94">COUNTIF($C89:$O90, R$166)</f>
        <v>0</v>
      </c>
      <c r="S181" s="33">
        <f t="shared" si="94"/>
        <v>0</v>
      </c>
      <c r="T181" s="587">
        <f t="shared" si="94"/>
        <v>0</v>
      </c>
      <c r="U181" s="319">
        <f t="shared" si="94"/>
        <v>0</v>
      </c>
      <c r="V181" s="233">
        <f t="shared" si="94"/>
        <v>0</v>
      </c>
      <c r="W181">
        <f t="shared" si="94"/>
        <v>1</v>
      </c>
      <c r="X181" s="319">
        <f t="shared" si="94"/>
        <v>0</v>
      </c>
      <c r="Y181" s="233">
        <f t="shared" si="94"/>
        <v>0</v>
      </c>
      <c r="Z181" s="319">
        <f t="shared" si="94"/>
        <v>0</v>
      </c>
      <c r="AA181" s="319">
        <f t="shared" si="94"/>
        <v>0</v>
      </c>
      <c r="AB181">
        <f t="shared" si="94"/>
        <v>0</v>
      </c>
      <c r="AC181" s="319">
        <f t="shared" si="94"/>
        <v>0</v>
      </c>
      <c r="AD181" s="242">
        <f t="shared" si="94"/>
        <v>0</v>
      </c>
      <c r="AE181" s="319">
        <f t="shared" si="94"/>
        <v>0</v>
      </c>
      <c r="AF181" s="319">
        <f t="shared" si="94"/>
        <v>0</v>
      </c>
      <c r="AG181" s="1332">
        <f t="shared" si="94"/>
        <v>0</v>
      </c>
      <c r="AH181" s="319">
        <f t="shared" si="94"/>
        <v>0</v>
      </c>
      <c r="AI181" s="319">
        <f t="shared" si="94"/>
        <v>0</v>
      </c>
      <c r="AJ181" s="319">
        <f t="shared" si="94"/>
        <v>0</v>
      </c>
      <c r="AK181" s="1088">
        <f t="shared" si="94"/>
        <v>1</v>
      </c>
      <c r="AL181" s="36">
        <f t="shared" si="94"/>
        <v>0</v>
      </c>
      <c r="AM181" s="1101">
        <f t="shared" si="94"/>
        <v>0</v>
      </c>
      <c r="AN181" s="10">
        <f t="shared" si="94"/>
        <v>0</v>
      </c>
      <c r="AO181" s="1322">
        <f t="shared" si="94"/>
        <v>1</v>
      </c>
      <c r="AP181" s="361">
        <f t="shared" si="94"/>
        <v>0</v>
      </c>
      <c r="AQ181" s="37">
        <f t="shared" si="94"/>
        <v>0</v>
      </c>
      <c r="AR181" s="590">
        <f t="shared" si="94"/>
        <v>0</v>
      </c>
      <c r="AS181" s="319">
        <f t="shared" si="94"/>
        <v>0</v>
      </c>
    </row>
    <row r="182" spans="17:45">
      <c r="Q182" t="s">
        <v>141</v>
      </c>
      <c r="R182" s="319">
        <f t="shared" ref="R182:AS182" si="95">COUNTIF($C92:$O93, R$166)</f>
        <v>0</v>
      </c>
      <c r="S182" s="33">
        <f t="shared" si="95"/>
        <v>1</v>
      </c>
      <c r="T182" s="587">
        <f t="shared" si="95"/>
        <v>0</v>
      </c>
      <c r="U182" s="319">
        <f t="shared" si="95"/>
        <v>0</v>
      </c>
      <c r="V182" s="233">
        <f t="shared" si="95"/>
        <v>1</v>
      </c>
      <c r="W182">
        <f t="shared" si="95"/>
        <v>0</v>
      </c>
      <c r="X182" s="319">
        <f t="shared" si="95"/>
        <v>0</v>
      </c>
      <c r="Y182" s="233">
        <f t="shared" si="95"/>
        <v>0</v>
      </c>
      <c r="Z182" s="319">
        <f t="shared" si="95"/>
        <v>0</v>
      </c>
      <c r="AA182" s="319">
        <f t="shared" si="95"/>
        <v>0</v>
      </c>
      <c r="AB182">
        <f t="shared" si="95"/>
        <v>0</v>
      </c>
      <c r="AC182" s="319">
        <f t="shared" si="95"/>
        <v>0</v>
      </c>
      <c r="AD182" s="242">
        <f t="shared" si="95"/>
        <v>1</v>
      </c>
      <c r="AE182" s="319">
        <f t="shared" si="95"/>
        <v>0</v>
      </c>
      <c r="AF182" s="319">
        <f t="shared" si="95"/>
        <v>0</v>
      </c>
      <c r="AG182" s="1332">
        <f t="shared" si="95"/>
        <v>0</v>
      </c>
      <c r="AH182" s="319">
        <f t="shared" si="95"/>
        <v>0</v>
      </c>
      <c r="AI182" s="319">
        <f t="shared" si="95"/>
        <v>0</v>
      </c>
      <c r="AJ182" s="319">
        <f t="shared" si="95"/>
        <v>0</v>
      </c>
      <c r="AK182" s="1088">
        <f t="shared" si="95"/>
        <v>0</v>
      </c>
      <c r="AL182" s="36">
        <f t="shared" si="95"/>
        <v>0</v>
      </c>
      <c r="AM182" s="1101">
        <f t="shared" si="95"/>
        <v>0</v>
      </c>
      <c r="AN182" s="10">
        <f t="shared" si="95"/>
        <v>0</v>
      </c>
      <c r="AO182" s="1322">
        <f t="shared" si="95"/>
        <v>0</v>
      </c>
      <c r="AP182" s="361">
        <f t="shared" si="95"/>
        <v>0</v>
      </c>
      <c r="AQ182" s="37">
        <f t="shared" si="95"/>
        <v>0</v>
      </c>
      <c r="AR182" s="590">
        <f t="shared" si="95"/>
        <v>0</v>
      </c>
      <c r="AS182" s="319">
        <f t="shared" si="95"/>
        <v>0</v>
      </c>
    </row>
    <row r="183" spans="17:45">
      <c r="Q183" t="s">
        <v>142</v>
      </c>
      <c r="R183" s="319">
        <f t="shared" ref="R183:AS183" si="96">COUNTIF($C95:$O96, R$166)</f>
        <v>0</v>
      </c>
      <c r="S183" s="33">
        <f t="shared" si="96"/>
        <v>1</v>
      </c>
      <c r="T183" s="587">
        <f t="shared" si="96"/>
        <v>0</v>
      </c>
      <c r="U183" s="319">
        <f t="shared" si="96"/>
        <v>0</v>
      </c>
      <c r="V183" s="233">
        <f t="shared" si="96"/>
        <v>0</v>
      </c>
      <c r="W183">
        <f t="shared" si="96"/>
        <v>0</v>
      </c>
      <c r="X183" s="319">
        <f t="shared" si="96"/>
        <v>0</v>
      </c>
      <c r="Y183" s="233">
        <f t="shared" si="96"/>
        <v>0</v>
      </c>
      <c r="Z183" s="319">
        <f t="shared" si="96"/>
        <v>0</v>
      </c>
      <c r="AA183" s="319">
        <f t="shared" si="96"/>
        <v>0</v>
      </c>
      <c r="AB183">
        <f t="shared" si="96"/>
        <v>0</v>
      </c>
      <c r="AC183" s="319">
        <f t="shared" si="96"/>
        <v>0</v>
      </c>
      <c r="AD183" s="242">
        <f t="shared" si="96"/>
        <v>0</v>
      </c>
      <c r="AE183" s="319">
        <f t="shared" si="96"/>
        <v>0</v>
      </c>
      <c r="AF183" s="319">
        <f t="shared" si="96"/>
        <v>0</v>
      </c>
      <c r="AG183" s="1332">
        <f t="shared" si="96"/>
        <v>0</v>
      </c>
      <c r="AH183" s="319">
        <f t="shared" si="96"/>
        <v>0</v>
      </c>
      <c r="AI183" s="319">
        <f t="shared" si="96"/>
        <v>0</v>
      </c>
      <c r="AJ183" s="319">
        <f t="shared" si="96"/>
        <v>0</v>
      </c>
      <c r="AK183" s="1088">
        <f t="shared" si="96"/>
        <v>1</v>
      </c>
      <c r="AL183" s="36">
        <f t="shared" si="96"/>
        <v>0</v>
      </c>
      <c r="AM183" s="1101">
        <f t="shared" si="96"/>
        <v>0</v>
      </c>
      <c r="AN183" s="10">
        <f t="shared" si="96"/>
        <v>0</v>
      </c>
      <c r="AO183" s="1322">
        <f t="shared" si="96"/>
        <v>0</v>
      </c>
      <c r="AP183" s="361">
        <f t="shared" si="96"/>
        <v>0</v>
      </c>
      <c r="AQ183" s="37">
        <f t="shared" si="96"/>
        <v>0</v>
      </c>
      <c r="AR183" s="590">
        <f t="shared" si="96"/>
        <v>0</v>
      </c>
      <c r="AS183" s="319">
        <f t="shared" si="96"/>
        <v>0</v>
      </c>
    </row>
    <row r="184" spans="17:45">
      <c r="Q184" t="s">
        <v>143</v>
      </c>
      <c r="R184" s="319">
        <f t="shared" ref="R184:AS184" si="97">COUNTIF($C98:$O99, R$166)</f>
        <v>0</v>
      </c>
      <c r="S184" s="33">
        <f t="shared" si="97"/>
        <v>0</v>
      </c>
      <c r="T184" s="587">
        <f t="shared" si="97"/>
        <v>0</v>
      </c>
      <c r="U184" s="319">
        <f t="shared" si="97"/>
        <v>0</v>
      </c>
      <c r="V184" s="233">
        <f t="shared" si="97"/>
        <v>0</v>
      </c>
      <c r="W184">
        <f t="shared" si="97"/>
        <v>0</v>
      </c>
      <c r="X184" s="319">
        <f t="shared" si="97"/>
        <v>0</v>
      </c>
      <c r="Y184" s="233">
        <f t="shared" si="97"/>
        <v>0</v>
      </c>
      <c r="Z184" s="319">
        <f t="shared" si="97"/>
        <v>0</v>
      </c>
      <c r="AA184" s="319">
        <f t="shared" si="97"/>
        <v>0</v>
      </c>
      <c r="AB184">
        <f t="shared" si="97"/>
        <v>0</v>
      </c>
      <c r="AC184" s="319">
        <f t="shared" si="97"/>
        <v>0</v>
      </c>
      <c r="AD184" s="242">
        <f t="shared" si="97"/>
        <v>0</v>
      </c>
      <c r="AE184" s="319">
        <f t="shared" si="97"/>
        <v>0</v>
      </c>
      <c r="AF184" s="319">
        <f t="shared" si="97"/>
        <v>0</v>
      </c>
      <c r="AG184" s="1332">
        <f t="shared" si="97"/>
        <v>1</v>
      </c>
      <c r="AH184" s="319">
        <f t="shared" si="97"/>
        <v>0</v>
      </c>
      <c r="AI184" s="319">
        <f t="shared" si="97"/>
        <v>0</v>
      </c>
      <c r="AJ184" s="319">
        <f t="shared" si="97"/>
        <v>0</v>
      </c>
      <c r="AK184" s="1088">
        <f t="shared" si="97"/>
        <v>0</v>
      </c>
      <c r="AL184" s="36">
        <f t="shared" si="97"/>
        <v>0</v>
      </c>
      <c r="AM184" s="1101">
        <f t="shared" si="97"/>
        <v>0</v>
      </c>
      <c r="AN184" s="10">
        <f t="shared" si="97"/>
        <v>0</v>
      </c>
      <c r="AO184" s="1322">
        <f t="shared" si="97"/>
        <v>0</v>
      </c>
      <c r="AP184" s="361">
        <f t="shared" si="97"/>
        <v>0</v>
      </c>
      <c r="AQ184" s="37">
        <f t="shared" si="97"/>
        <v>0</v>
      </c>
      <c r="AR184" s="590">
        <f t="shared" si="97"/>
        <v>0</v>
      </c>
      <c r="AS184" s="319">
        <f t="shared" si="97"/>
        <v>0</v>
      </c>
    </row>
    <row r="185" spans="17:45">
      <c r="Q185" t="s">
        <v>144</v>
      </c>
      <c r="R185" s="319">
        <f t="shared" ref="R185:AS185" si="98">COUNTIF($C101:$O102, R$166)</f>
        <v>1</v>
      </c>
      <c r="S185" s="33">
        <f t="shared" si="98"/>
        <v>0</v>
      </c>
      <c r="T185" s="587">
        <f t="shared" si="98"/>
        <v>0</v>
      </c>
      <c r="U185" s="319">
        <f t="shared" si="98"/>
        <v>0</v>
      </c>
      <c r="V185" s="233">
        <f t="shared" si="98"/>
        <v>0</v>
      </c>
      <c r="W185">
        <f t="shared" si="98"/>
        <v>0</v>
      </c>
      <c r="X185" s="319">
        <f t="shared" si="98"/>
        <v>0</v>
      </c>
      <c r="Y185" s="233">
        <f t="shared" si="98"/>
        <v>0</v>
      </c>
      <c r="Z185" s="319">
        <f t="shared" si="98"/>
        <v>0</v>
      </c>
      <c r="AA185" s="319">
        <f t="shared" si="98"/>
        <v>0</v>
      </c>
      <c r="AB185">
        <f t="shared" si="98"/>
        <v>0</v>
      </c>
      <c r="AC185" s="319">
        <f t="shared" si="98"/>
        <v>0</v>
      </c>
      <c r="AD185" s="242">
        <f t="shared" si="98"/>
        <v>0</v>
      </c>
      <c r="AE185" s="319">
        <f t="shared" si="98"/>
        <v>0</v>
      </c>
      <c r="AF185" s="319">
        <f t="shared" si="98"/>
        <v>0</v>
      </c>
      <c r="AG185" s="1332">
        <f t="shared" si="98"/>
        <v>0</v>
      </c>
      <c r="AH185" s="319">
        <f t="shared" si="98"/>
        <v>0</v>
      </c>
      <c r="AI185" s="319">
        <f t="shared" si="98"/>
        <v>0</v>
      </c>
      <c r="AJ185" s="319">
        <f t="shared" si="98"/>
        <v>0</v>
      </c>
      <c r="AK185" s="1088">
        <f t="shared" si="98"/>
        <v>0</v>
      </c>
      <c r="AL185" s="36">
        <f t="shared" si="98"/>
        <v>0</v>
      </c>
      <c r="AM185" s="1101">
        <f t="shared" si="98"/>
        <v>1</v>
      </c>
      <c r="AN185" s="10">
        <f t="shared" si="98"/>
        <v>2</v>
      </c>
      <c r="AO185" s="1322">
        <f t="shared" si="98"/>
        <v>0</v>
      </c>
      <c r="AP185" s="361">
        <f t="shared" si="98"/>
        <v>0</v>
      </c>
      <c r="AQ185" s="37">
        <f t="shared" si="98"/>
        <v>0</v>
      </c>
      <c r="AR185" s="590">
        <f t="shared" si="98"/>
        <v>0</v>
      </c>
      <c r="AS185" s="319">
        <f t="shared" si="98"/>
        <v>0</v>
      </c>
    </row>
    <row r="186" spans="17:45">
      <c r="Q186" t="s">
        <v>145</v>
      </c>
      <c r="R186" s="319">
        <f t="shared" ref="R186:AS186" si="99">COUNTIF($C104:$O105, R$166)</f>
        <v>0</v>
      </c>
      <c r="S186" s="33">
        <f t="shared" si="99"/>
        <v>2</v>
      </c>
      <c r="T186" s="587">
        <f t="shared" si="99"/>
        <v>0</v>
      </c>
      <c r="U186" s="319">
        <f t="shared" si="99"/>
        <v>0</v>
      </c>
      <c r="V186" s="233">
        <f t="shared" si="99"/>
        <v>0</v>
      </c>
      <c r="W186">
        <f t="shared" si="99"/>
        <v>0</v>
      </c>
      <c r="X186" s="319">
        <f t="shared" si="99"/>
        <v>0</v>
      </c>
      <c r="Y186" s="233">
        <f t="shared" si="99"/>
        <v>0</v>
      </c>
      <c r="Z186" s="319">
        <f t="shared" si="99"/>
        <v>0</v>
      </c>
      <c r="AA186" s="319">
        <f t="shared" si="99"/>
        <v>0</v>
      </c>
      <c r="AB186">
        <f t="shared" si="99"/>
        <v>0</v>
      </c>
      <c r="AC186" s="319">
        <f t="shared" si="99"/>
        <v>0</v>
      </c>
      <c r="AD186" s="242">
        <f t="shared" si="99"/>
        <v>0</v>
      </c>
      <c r="AE186" s="319">
        <f t="shared" si="99"/>
        <v>0</v>
      </c>
      <c r="AF186" s="319">
        <f t="shared" si="99"/>
        <v>0</v>
      </c>
      <c r="AG186" s="1332">
        <f t="shared" si="99"/>
        <v>0</v>
      </c>
      <c r="AH186" s="319">
        <f t="shared" si="99"/>
        <v>0</v>
      </c>
      <c r="AI186" s="319">
        <f t="shared" si="99"/>
        <v>0</v>
      </c>
      <c r="AJ186" s="319">
        <f t="shared" si="99"/>
        <v>0</v>
      </c>
      <c r="AK186" s="1088">
        <f t="shared" si="99"/>
        <v>0</v>
      </c>
      <c r="AL186" s="36">
        <f t="shared" si="99"/>
        <v>1</v>
      </c>
      <c r="AM186" s="1101">
        <f t="shared" si="99"/>
        <v>0</v>
      </c>
      <c r="AN186" s="10">
        <f t="shared" si="99"/>
        <v>0</v>
      </c>
      <c r="AO186" s="1322">
        <f t="shared" si="99"/>
        <v>0</v>
      </c>
      <c r="AP186" s="361">
        <f t="shared" si="99"/>
        <v>0</v>
      </c>
      <c r="AQ186" s="37">
        <f t="shared" si="99"/>
        <v>1</v>
      </c>
      <c r="AR186" s="590">
        <f t="shared" si="99"/>
        <v>0</v>
      </c>
      <c r="AS186" s="319">
        <f t="shared" si="99"/>
        <v>0</v>
      </c>
    </row>
    <row r="187" spans="17:45">
      <c r="Q187" t="s">
        <v>146</v>
      </c>
      <c r="R187" s="319">
        <f t="shared" ref="R187:AS187" si="100">COUNTIF($C107:$O108, R$166)</f>
        <v>0</v>
      </c>
      <c r="S187" s="33">
        <f t="shared" si="100"/>
        <v>1</v>
      </c>
      <c r="T187" s="587">
        <f t="shared" si="100"/>
        <v>0</v>
      </c>
      <c r="U187" s="319">
        <f t="shared" si="100"/>
        <v>0</v>
      </c>
      <c r="V187" s="233">
        <f t="shared" si="100"/>
        <v>0</v>
      </c>
      <c r="W187">
        <f t="shared" si="100"/>
        <v>0</v>
      </c>
      <c r="X187" s="319">
        <f t="shared" si="100"/>
        <v>0</v>
      </c>
      <c r="Y187" s="233">
        <f t="shared" si="100"/>
        <v>0</v>
      </c>
      <c r="Z187" s="319">
        <f t="shared" si="100"/>
        <v>0</v>
      </c>
      <c r="AA187" s="319">
        <f t="shared" si="100"/>
        <v>0</v>
      </c>
      <c r="AB187">
        <f t="shared" si="100"/>
        <v>1</v>
      </c>
      <c r="AC187" s="319">
        <f t="shared" si="100"/>
        <v>0</v>
      </c>
      <c r="AD187" s="242">
        <f t="shared" si="100"/>
        <v>0</v>
      </c>
      <c r="AE187" s="319">
        <f t="shared" si="100"/>
        <v>0</v>
      </c>
      <c r="AF187" s="319">
        <f t="shared" si="100"/>
        <v>0</v>
      </c>
      <c r="AG187" s="1332">
        <f t="shared" si="100"/>
        <v>0</v>
      </c>
      <c r="AH187" s="319">
        <f t="shared" si="100"/>
        <v>0</v>
      </c>
      <c r="AI187" s="319">
        <f t="shared" si="100"/>
        <v>0</v>
      </c>
      <c r="AJ187" s="319">
        <f t="shared" si="100"/>
        <v>0</v>
      </c>
      <c r="AK187" s="1088">
        <f t="shared" si="100"/>
        <v>0</v>
      </c>
      <c r="AL187" s="36">
        <f t="shared" si="100"/>
        <v>0</v>
      </c>
      <c r="AM187" s="1101">
        <f t="shared" si="100"/>
        <v>0</v>
      </c>
      <c r="AN187" s="10">
        <f t="shared" si="100"/>
        <v>0</v>
      </c>
      <c r="AO187" s="1322">
        <f t="shared" si="100"/>
        <v>0</v>
      </c>
      <c r="AP187" s="361">
        <f t="shared" si="100"/>
        <v>0</v>
      </c>
      <c r="AQ187" s="37">
        <f t="shared" si="100"/>
        <v>0</v>
      </c>
      <c r="AR187" s="590">
        <f t="shared" si="100"/>
        <v>0</v>
      </c>
      <c r="AS187" s="319">
        <f t="shared" si="100"/>
        <v>0</v>
      </c>
    </row>
    <row r="188" spans="17:45">
      <c r="Q188" t="s">
        <v>147</v>
      </c>
      <c r="R188" s="319">
        <f t="shared" ref="R188:AS188" si="101">COUNTIF($C110:$O111, R$166)</f>
        <v>0</v>
      </c>
      <c r="S188" s="33">
        <f t="shared" si="101"/>
        <v>0</v>
      </c>
      <c r="T188" s="587">
        <f t="shared" si="101"/>
        <v>0</v>
      </c>
      <c r="U188" s="319">
        <f t="shared" si="101"/>
        <v>0</v>
      </c>
      <c r="V188" s="233">
        <f t="shared" si="101"/>
        <v>0</v>
      </c>
      <c r="W188">
        <f t="shared" si="101"/>
        <v>0</v>
      </c>
      <c r="X188" s="319">
        <f t="shared" si="101"/>
        <v>0</v>
      </c>
      <c r="Y188" s="233">
        <f t="shared" si="101"/>
        <v>1</v>
      </c>
      <c r="Z188" s="319">
        <f t="shared" si="101"/>
        <v>0</v>
      </c>
      <c r="AA188" s="319">
        <f t="shared" si="101"/>
        <v>0</v>
      </c>
      <c r="AB188">
        <f t="shared" si="101"/>
        <v>0</v>
      </c>
      <c r="AC188" s="319">
        <f t="shared" si="101"/>
        <v>0</v>
      </c>
      <c r="AD188" s="242">
        <f t="shared" si="101"/>
        <v>1</v>
      </c>
      <c r="AE188" s="319">
        <f t="shared" si="101"/>
        <v>0</v>
      </c>
      <c r="AF188" s="319">
        <f t="shared" si="101"/>
        <v>0</v>
      </c>
      <c r="AG188" s="1332">
        <f t="shared" si="101"/>
        <v>0</v>
      </c>
      <c r="AH188" s="319">
        <f t="shared" si="101"/>
        <v>0</v>
      </c>
      <c r="AI188" s="319">
        <f t="shared" si="101"/>
        <v>0</v>
      </c>
      <c r="AJ188" s="319">
        <f t="shared" si="101"/>
        <v>0</v>
      </c>
      <c r="AK188" s="1088">
        <f t="shared" si="101"/>
        <v>0</v>
      </c>
      <c r="AL188" s="36">
        <f t="shared" si="101"/>
        <v>0</v>
      </c>
      <c r="AM188" s="1101">
        <f t="shared" si="101"/>
        <v>0</v>
      </c>
      <c r="AN188" s="10">
        <f t="shared" si="101"/>
        <v>0</v>
      </c>
      <c r="AO188" s="1322">
        <f t="shared" si="101"/>
        <v>0</v>
      </c>
      <c r="AP188" s="361">
        <f t="shared" si="101"/>
        <v>0</v>
      </c>
      <c r="AQ188" s="37">
        <f t="shared" si="101"/>
        <v>0</v>
      </c>
      <c r="AR188" s="590">
        <f t="shared" si="101"/>
        <v>0</v>
      </c>
      <c r="AS188" s="319">
        <f t="shared" si="101"/>
        <v>0</v>
      </c>
    </row>
    <row r="189" spans="17:45">
      <c r="Q189" t="s">
        <v>148</v>
      </c>
      <c r="R189" s="319">
        <f t="shared" ref="R189:AS189" si="102">COUNTIF($C113:$O114, R$166)</f>
        <v>0</v>
      </c>
      <c r="S189" s="33">
        <f t="shared" si="102"/>
        <v>0</v>
      </c>
      <c r="T189" s="587">
        <f t="shared" si="102"/>
        <v>0</v>
      </c>
      <c r="U189" s="319">
        <f t="shared" si="102"/>
        <v>0</v>
      </c>
      <c r="V189" s="233">
        <f t="shared" si="102"/>
        <v>0</v>
      </c>
      <c r="W189">
        <f t="shared" si="102"/>
        <v>0</v>
      </c>
      <c r="X189" s="319">
        <f t="shared" si="102"/>
        <v>0</v>
      </c>
      <c r="Y189" s="233">
        <f t="shared" si="102"/>
        <v>0</v>
      </c>
      <c r="Z189" s="319">
        <f t="shared" si="102"/>
        <v>0</v>
      </c>
      <c r="AA189" s="319">
        <f t="shared" si="102"/>
        <v>0</v>
      </c>
      <c r="AB189">
        <f t="shared" si="102"/>
        <v>0</v>
      </c>
      <c r="AC189" s="319">
        <f t="shared" si="102"/>
        <v>0</v>
      </c>
      <c r="AD189" s="242">
        <f t="shared" si="102"/>
        <v>0</v>
      </c>
      <c r="AE189" s="319">
        <f t="shared" si="102"/>
        <v>0</v>
      </c>
      <c r="AF189" s="319">
        <f t="shared" si="102"/>
        <v>0</v>
      </c>
      <c r="AG189" s="1332">
        <f t="shared" si="102"/>
        <v>0</v>
      </c>
      <c r="AH189" s="319">
        <f t="shared" si="102"/>
        <v>0</v>
      </c>
      <c r="AI189" s="319">
        <f t="shared" si="102"/>
        <v>0</v>
      </c>
      <c r="AJ189" s="319">
        <f t="shared" si="102"/>
        <v>0</v>
      </c>
      <c r="AK189" s="1088">
        <f t="shared" si="102"/>
        <v>0</v>
      </c>
      <c r="AL189" s="36">
        <f t="shared" si="102"/>
        <v>0</v>
      </c>
      <c r="AM189" s="1101">
        <f t="shared" si="102"/>
        <v>1</v>
      </c>
      <c r="AN189" s="10">
        <f t="shared" si="102"/>
        <v>0</v>
      </c>
      <c r="AO189" s="1322">
        <f t="shared" si="102"/>
        <v>0</v>
      </c>
      <c r="AP189" s="361">
        <f t="shared" si="102"/>
        <v>0</v>
      </c>
      <c r="AQ189" s="37">
        <f t="shared" si="102"/>
        <v>0</v>
      </c>
      <c r="AR189" s="590">
        <f t="shared" si="102"/>
        <v>1</v>
      </c>
      <c r="AS189" s="319">
        <f t="shared" si="102"/>
        <v>0</v>
      </c>
    </row>
    <row r="190" spans="17:45">
      <c r="Q190" t="s">
        <v>125</v>
      </c>
      <c r="R190" s="319">
        <f t="shared" ref="R190:AS190" si="103">COUNTIF($C116:$O117, R$166)</f>
        <v>0</v>
      </c>
      <c r="S190" s="33">
        <f t="shared" si="103"/>
        <v>1</v>
      </c>
      <c r="T190" s="587">
        <f t="shared" si="103"/>
        <v>0</v>
      </c>
      <c r="U190" s="319">
        <f t="shared" si="103"/>
        <v>0</v>
      </c>
      <c r="V190" s="233">
        <f t="shared" si="103"/>
        <v>0</v>
      </c>
      <c r="W190">
        <f t="shared" si="103"/>
        <v>0</v>
      </c>
      <c r="X190" s="319">
        <f t="shared" si="103"/>
        <v>0</v>
      </c>
      <c r="Y190" s="233">
        <f t="shared" si="103"/>
        <v>0</v>
      </c>
      <c r="Z190" s="319">
        <f t="shared" si="103"/>
        <v>0</v>
      </c>
      <c r="AA190" s="319">
        <f t="shared" si="103"/>
        <v>0</v>
      </c>
      <c r="AB190">
        <f t="shared" si="103"/>
        <v>0</v>
      </c>
      <c r="AC190" s="319">
        <f t="shared" si="103"/>
        <v>0</v>
      </c>
      <c r="AD190" s="242">
        <f t="shared" si="103"/>
        <v>0</v>
      </c>
      <c r="AE190" s="319">
        <f t="shared" si="103"/>
        <v>0</v>
      </c>
      <c r="AF190" s="319">
        <f t="shared" si="103"/>
        <v>0</v>
      </c>
      <c r="AG190" s="1332">
        <f t="shared" si="103"/>
        <v>0</v>
      </c>
      <c r="AH190" s="319">
        <f t="shared" si="103"/>
        <v>0</v>
      </c>
      <c r="AI190" s="319">
        <f t="shared" si="103"/>
        <v>0</v>
      </c>
      <c r="AJ190" s="319">
        <f t="shared" si="103"/>
        <v>0</v>
      </c>
      <c r="AK190" s="1088">
        <f t="shared" si="103"/>
        <v>0</v>
      </c>
      <c r="AL190" s="36">
        <f t="shared" si="103"/>
        <v>0</v>
      </c>
      <c r="AM190" s="1101">
        <f t="shared" si="103"/>
        <v>2</v>
      </c>
      <c r="AN190" s="10">
        <f t="shared" si="103"/>
        <v>1</v>
      </c>
      <c r="AO190" s="1322">
        <f t="shared" si="103"/>
        <v>0</v>
      </c>
      <c r="AP190" s="361">
        <f t="shared" si="103"/>
        <v>0</v>
      </c>
      <c r="AQ190" s="37">
        <f t="shared" si="103"/>
        <v>0</v>
      </c>
      <c r="AR190" s="590">
        <f t="shared" si="103"/>
        <v>0</v>
      </c>
      <c r="AS190" s="319">
        <f t="shared" si="103"/>
        <v>0</v>
      </c>
    </row>
    <row r="191" spans="17:45">
      <c r="Q191" t="s">
        <v>116</v>
      </c>
      <c r="R191" s="319">
        <f t="shared" ref="R191:AS191" si="104">COUNTIF($C119:$O120, R$166)</f>
        <v>0</v>
      </c>
      <c r="S191" s="33">
        <f t="shared" si="104"/>
        <v>2</v>
      </c>
      <c r="T191" s="587">
        <f t="shared" si="104"/>
        <v>0</v>
      </c>
      <c r="U191" s="319">
        <f t="shared" si="104"/>
        <v>0</v>
      </c>
      <c r="V191" s="233">
        <f t="shared" si="104"/>
        <v>0</v>
      </c>
      <c r="W191">
        <f t="shared" si="104"/>
        <v>0</v>
      </c>
      <c r="X191" s="319">
        <f t="shared" si="104"/>
        <v>0</v>
      </c>
      <c r="Y191" s="233">
        <f t="shared" si="104"/>
        <v>0</v>
      </c>
      <c r="Z191" s="319">
        <f t="shared" si="104"/>
        <v>0</v>
      </c>
      <c r="AA191" s="319">
        <f t="shared" si="104"/>
        <v>0</v>
      </c>
      <c r="AB191">
        <f t="shared" si="104"/>
        <v>0</v>
      </c>
      <c r="AC191" s="319">
        <f t="shared" si="104"/>
        <v>0</v>
      </c>
      <c r="AD191" s="242">
        <f t="shared" si="104"/>
        <v>0</v>
      </c>
      <c r="AE191" s="319">
        <f t="shared" si="104"/>
        <v>0</v>
      </c>
      <c r="AF191" s="319">
        <f t="shared" si="104"/>
        <v>0</v>
      </c>
      <c r="AG191" s="1332">
        <f t="shared" si="104"/>
        <v>0</v>
      </c>
      <c r="AH191" s="319">
        <f t="shared" si="104"/>
        <v>0</v>
      </c>
      <c r="AI191" s="319">
        <f t="shared" si="104"/>
        <v>0</v>
      </c>
      <c r="AJ191" s="319">
        <f t="shared" si="104"/>
        <v>0</v>
      </c>
      <c r="AK191" s="1088">
        <f t="shared" si="104"/>
        <v>0</v>
      </c>
      <c r="AL191" s="36">
        <f t="shared" si="104"/>
        <v>1</v>
      </c>
      <c r="AM191" s="1101">
        <f t="shared" si="104"/>
        <v>1</v>
      </c>
      <c r="AN191" s="10">
        <f t="shared" si="104"/>
        <v>0</v>
      </c>
      <c r="AO191" s="1322">
        <f t="shared" si="104"/>
        <v>0</v>
      </c>
      <c r="AP191" s="361">
        <f t="shared" si="104"/>
        <v>0</v>
      </c>
      <c r="AQ191" s="37">
        <f t="shared" si="104"/>
        <v>0</v>
      </c>
      <c r="AR191" s="590">
        <f t="shared" si="104"/>
        <v>0</v>
      </c>
      <c r="AS191" s="319">
        <f t="shared" si="104"/>
        <v>0</v>
      </c>
    </row>
    <row r="192" spans="17:45">
      <c r="Q192" t="s">
        <v>104</v>
      </c>
      <c r="R192" s="319">
        <f t="shared" ref="R192:AS192" si="105">COUNTIF($C122:$O123, R$166)</f>
        <v>0</v>
      </c>
      <c r="S192" s="33">
        <f t="shared" si="105"/>
        <v>1</v>
      </c>
      <c r="T192" s="587">
        <f t="shared" si="105"/>
        <v>0</v>
      </c>
      <c r="U192" s="319">
        <f t="shared" si="105"/>
        <v>0</v>
      </c>
      <c r="V192" s="233">
        <f t="shared" si="105"/>
        <v>1</v>
      </c>
      <c r="W192">
        <f t="shared" si="105"/>
        <v>0</v>
      </c>
      <c r="X192" s="319">
        <f t="shared" si="105"/>
        <v>0</v>
      </c>
      <c r="Y192" s="233">
        <f t="shared" si="105"/>
        <v>0</v>
      </c>
      <c r="Z192" s="319">
        <f t="shared" si="105"/>
        <v>0</v>
      </c>
      <c r="AA192" s="319">
        <f t="shared" si="105"/>
        <v>0</v>
      </c>
      <c r="AB192">
        <f t="shared" si="105"/>
        <v>0</v>
      </c>
      <c r="AC192" s="319">
        <f t="shared" si="105"/>
        <v>0</v>
      </c>
      <c r="AD192" s="242">
        <f t="shared" si="105"/>
        <v>2</v>
      </c>
      <c r="AE192" s="319">
        <f t="shared" si="105"/>
        <v>0</v>
      </c>
      <c r="AF192" s="319">
        <f t="shared" si="105"/>
        <v>0</v>
      </c>
      <c r="AG192" s="1332">
        <f t="shared" si="105"/>
        <v>0</v>
      </c>
      <c r="AH192" s="319">
        <f t="shared" si="105"/>
        <v>0</v>
      </c>
      <c r="AI192" s="319">
        <f t="shared" si="105"/>
        <v>0</v>
      </c>
      <c r="AJ192" s="319">
        <f t="shared" si="105"/>
        <v>0</v>
      </c>
      <c r="AK192" s="1088">
        <f t="shared" si="105"/>
        <v>0</v>
      </c>
      <c r="AL192" s="36">
        <f t="shared" si="105"/>
        <v>0</v>
      </c>
      <c r="AM192" s="1101">
        <f t="shared" si="105"/>
        <v>0</v>
      </c>
      <c r="AN192" s="10">
        <f t="shared" si="105"/>
        <v>1</v>
      </c>
      <c r="AO192" s="1322">
        <f t="shared" si="105"/>
        <v>0</v>
      </c>
      <c r="AP192" s="361">
        <f t="shared" si="105"/>
        <v>0</v>
      </c>
      <c r="AQ192" s="37">
        <f t="shared" si="105"/>
        <v>0</v>
      </c>
      <c r="AR192" s="590">
        <f t="shared" si="105"/>
        <v>0</v>
      </c>
      <c r="AS192" s="319">
        <f t="shared" si="105"/>
        <v>0</v>
      </c>
    </row>
    <row r="193" spans="17:45">
      <c r="Q193" t="s">
        <v>95</v>
      </c>
      <c r="R193" s="319">
        <f t="shared" ref="R193:AS193" si="106">COUNTIF($C125:$O126, R$166)</f>
        <v>0</v>
      </c>
      <c r="S193" s="33">
        <f t="shared" si="106"/>
        <v>1</v>
      </c>
      <c r="T193" s="587">
        <f t="shared" si="106"/>
        <v>0</v>
      </c>
      <c r="U193" s="319">
        <f t="shared" si="106"/>
        <v>0</v>
      </c>
      <c r="V193" s="233">
        <f t="shared" si="106"/>
        <v>0</v>
      </c>
      <c r="W193">
        <f t="shared" si="106"/>
        <v>0</v>
      </c>
      <c r="X193" s="319">
        <f t="shared" si="106"/>
        <v>0</v>
      </c>
      <c r="Y193" s="233">
        <f t="shared" si="106"/>
        <v>0</v>
      </c>
      <c r="Z193" s="319">
        <f t="shared" si="106"/>
        <v>0</v>
      </c>
      <c r="AA193" s="319">
        <f t="shared" si="106"/>
        <v>0</v>
      </c>
      <c r="AB193">
        <f t="shared" si="106"/>
        <v>0</v>
      </c>
      <c r="AC193" s="319">
        <f t="shared" si="106"/>
        <v>0</v>
      </c>
      <c r="AD193" s="242">
        <f t="shared" si="106"/>
        <v>0</v>
      </c>
      <c r="AE193" s="319">
        <f t="shared" si="106"/>
        <v>0</v>
      </c>
      <c r="AF193" s="319">
        <f t="shared" si="106"/>
        <v>0</v>
      </c>
      <c r="AG193" s="1332">
        <f t="shared" si="106"/>
        <v>0</v>
      </c>
      <c r="AH193" s="319">
        <f t="shared" si="106"/>
        <v>0</v>
      </c>
      <c r="AI193" s="319">
        <f t="shared" si="106"/>
        <v>0</v>
      </c>
      <c r="AJ193" s="319">
        <f t="shared" si="106"/>
        <v>0</v>
      </c>
      <c r="AK193" s="1088">
        <f t="shared" si="106"/>
        <v>0</v>
      </c>
      <c r="AL193" s="36">
        <f t="shared" si="106"/>
        <v>0</v>
      </c>
      <c r="AM193" s="1101">
        <f t="shared" si="106"/>
        <v>0</v>
      </c>
      <c r="AN193" s="10">
        <f t="shared" si="106"/>
        <v>0</v>
      </c>
      <c r="AO193" s="1322">
        <f t="shared" si="106"/>
        <v>0</v>
      </c>
      <c r="AP193" s="361">
        <f t="shared" si="106"/>
        <v>0</v>
      </c>
      <c r="AQ193" s="37">
        <f t="shared" si="106"/>
        <v>0</v>
      </c>
      <c r="AR193" s="590">
        <f t="shared" si="106"/>
        <v>0</v>
      </c>
      <c r="AS193" s="319">
        <f t="shared" si="106"/>
        <v>0</v>
      </c>
    </row>
    <row r="194" spans="17:45">
      <c r="Q194" t="s">
        <v>85</v>
      </c>
      <c r="R194" s="319">
        <f t="shared" ref="R194:AS194" si="107">COUNTIF($C128:$O129, R$166)</f>
        <v>0</v>
      </c>
      <c r="S194" s="33">
        <f t="shared" si="107"/>
        <v>0</v>
      </c>
      <c r="T194" s="587">
        <f t="shared" si="107"/>
        <v>0</v>
      </c>
      <c r="U194" s="319">
        <f t="shared" si="107"/>
        <v>0</v>
      </c>
      <c r="V194" s="233">
        <f t="shared" si="107"/>
        <v>0</v>
      </c>
      <c r="W194">
        <f t="shared" si="107"/>
        <v>0</v>
      </c>
      <c r="X194" s="319">
        <f t="shared" si="107"/>
        <v>0</v>
      </c>
      <c r="Y194" s="233">
        <f t="shared" si="107"/>
        <v>0</v>
      </c>
      <c r="Z194" s="319">
        <f t="shared" si="107"/>
        <v>0</v>
      </c>
      <c r="AA194" s="319">
        <f t="shared" si="107"/>
        <v>0</v>
      </c>
      <c r="AB194">
        <f t="shared" si="107"/>
        <v>1</v>
      </c>
      <c r="AC194" s="319">
        <f t="shared" si="107"/>
        <v>0</v>
      </c>
      <c r="AD194" s="242">
        <f t="shared" si="107"/>
        <v>0</v>
      </c>
      <c r="AE194" s="319">
        <f t="shared" si="107"/>
        <v>0</v>
      </c>
      <c r="AF194" s="319">
        <f t="shared" si="107"/>
        <v>0</v>
      </c>
      <c r="AG194" s="1332">
        <f t="shared" si="107"/>
        <v>0</v>
      </c>
      <c r="AH194" s="319">
        <f t="shared" si="107"/>
        <v>0</v>
      </c>
      <c r="AI194" s="319">
        <f t="shared" si="107"/>
        <v>0</v>
      </c>
      <c r="AJ194" s="319">
        <f t="shared" si="107"/>
        <v>0</v>
      </c>
      <c r="AK194" s="1088">
        <f t="shared" si="107"/>
        <v>0</v>
      </c>
      <c r="AL194" s="36">
        <f t="shared" si="107"/>
        <v>0</v>
      </c>
      <c r="AM194" s="1101">
        <f t="shared" si="107"/>
        <v>1</v>
      </c>
      <c r="AN194" s="10">
        <f t="shared" si="107"/>
        <v>0</v>
      </c>
      <c r="AO194" s="1322">
        <f t="shared" si="107"/>
        <v>0</v>
      </c>
      <c r="AP194" s="361">
        <f t="shared" si="107"/>
        <v>1</v>
      </c>
      <c r="AQ194" s="37">
        <f t="shared" si="107"/>
        <v>0</v>
      </c>
      <c r="AR194" s="590">
        <f t="shared" si="107"/>
        <v>0</v>
      </c>
      <c r="AS194" s="319">
        <f t="shared" si="107"/>
        <v>0</v>
      </c>
    </row>
    <row r="195" spans="17:45">
      <c r="Q195" t="s">
        <v>66</v>
      </c>
      <c r="R195" s="319">
        <f t="shared" ref="R195:AS195" si="108">COUNTIF($C131:$O132, R$166)</f>
        <v>0</v>
      </c>
      <c r="S195" s="33">
        <f t="shared" si="108"/>
        <v>0</v>
      </c>
      <c r="T195" s="587">
        <f t="shared" si="108"/>
        <v>0</v>
      </c>
      <c r="U195" s="319">
        <f t="shared" si="108"/>
        <v>0</v>
      </c>
      <c r="V195" s="233">
        <f t="shared" si="108"/>
        <v>0</v>
      </c>
      <c r="W195">
        <f t="shared" si="108"/>
        <v>1</v>
      </c>
      <c r="X195" s="319">
        <f t="shared" si="108"/>
        <v>0</v>
      </c>
      <c r="Y195" s="233">
        <f t="shared" si="108"/>
        <v>0</v>
      </c>
      <c r="Z195" s="319">
        <f t="shared" si="108"/>
        <v>0</v>
      </c>
      <c r="AA195" s="319">
        <f t="shared" si="108"/>
        <v>0</v>
      </c>
      <c r="AB195">
        <f t="shared" si="108"/>
        <v>0</v>
      </c>
      <c r="AC195" s="319">
        <f t="shared" si="108"/>
        <v>0</v>
      </c>
      <c r="AD195" s="242">
        <f t="shared" si="108"/>
        <v>0</v>
      </c>
      <c r="AE195" s="319">
        <f t="shared" si="108"/>
        <v>0</v>
      </c>
      <c r="AF195" s="319">
        <f t="shared" si="108"/>
        <v>0</v>
      </c>
      <c r="AG195" s="319">
        <f t="shared" si="108"/>
        <v>0</v>
      </c>
      <c r="AH195" s="319">
        <f t="shared" si="108"/>
        <v>0</v>
      </c>
      <c r="AI195" s="319">
        <f t="shared" si="108"/>
        <v>0</v>
      </c>
      <c r="AJ195" s="319">
        <f t="shared" si="108"/>
        <v>0</v>
      </c>
      <c r="AK195" s="1088">
        <f t="shared" si="108"/>
        <v>0</v>
      </c>
      <c r="AL195" s="36">
        <f t="shared" si="108"/>
        <v>0</v>
      </c>
      <c r="AM195" s="1101">
        <f t="shared" si="108"/>
        <v>0</v>
      </c>
      <c r="AN195" s="10">
        <f t="shared" si="108"/>
        <v>0</v>
      </c>
      <c r="AO195" s="1322">
        <f t="shared" si="108"/>
        <v>1</v>
      </c>
      <c r="AP195" s="361">
        <f t="shared" si="108"/>
        <v>0</v>
      </c>
      <c r="AQ195" s="37">
        <f t="shared" si="108"/>
        <v>0</v>
      </c>
      <c r="AR195" s="590">
        <f t="shared" si="108"/>
        <v>0</v>
      </c>
      <c r="AS195" s="319">
        <f t="shared" si="108"/>
        <v>0</v>
      </c>
    </row>
    <row r="196" spans="17:45">
      <c r="Q196" t="s">
        <v>65</v>
      </c>
      <c r="R196" s="319">
        <f t="shared" ref="R196:AS196" si="109">COUNTIF($C134:$O135, R$166)</f>
        <v>0</v>
      </c>
      <c r="S196" s="33">
        <f t="shared" si="109"/>
        <v>1</v>
      </c>
      <c r="T196" s="587">
        <f t="shared" si="109"/>
        <v>0</v>
      </c>
      <c r="U196" s="319">
        <f t="shared" si="109"/>
        <v>0</v>
      </c>
      <c r="V196" s="233">
        <f t="shared" si="109"/>
        <v>0</v>
      </c>
      <c r="W196">
        <f t="shared" si="109"/>
        <v>0</v>
      </c>
      <c r="X196" s="319">
        <f t="shared" si="109"/>
        <v>0</v>
      </c>
      <c r="Y196" s="233">
        <f t="shared" si="109"/>
        <v>0</v>
      </c>
      <c r="Z196" s="319">
        <f t="shared" si="109"/>
        <v>0</v>
      </c>
      <c r="AA196" s="319">
        <f t="shared" si="109"/>
        <v>0</v>
      </c>
      <c r="AB196">
        <f t="shared" si="109"/>
        <v>0</v>
      </c>
      <c r="AC196" s="319">
        <f t="shared" si="109"/>
        <v>0</v>
      </c>
      <c r="AD196" s="242">
        <f t="shared" si="109"/>
        <v>0</v>
      </c>
      <c r="AE196" s="319">
        <f t="shared" si="109"/>
        <v>0</v>
      </c>
      <c r="AF196" s="319">
        <f t="shared" si="109"/>
        <v>0</v>
      </c>
      <c r="AG196" s="319">
        <f t="shared" si="109"/>
        <v>0</v>
      </c>
      <c r="AH196" s="319">
        <f t="shared" si="109"/>
        <v>0</v>
      </c>
      <c r="AI196" s="319">
        <f t="shared" si="109"/>
        <v>0</v>
      </c>
      <c r="AJ196" s="319">
        <f t="shared" si="109"/>
        <v>0</v>
      </c>
      <c r="AK196" s="1088">
        <f t="shared" si="109"/>
        <v>0</v>
      </c>
      <c r="AL196" s="36">
        <f t="shared" si="109"/>
        <v>0</v>
      </c>
      <c r="AM196" s="1101">
        <f t="shared" si="109"/>
        <v>1</v>
      </c>
      <c r="AN196" s="10">
        <f t="shared" si="109"/>
        <v>0</v>
      </c>
      <c r="AO196" s="1322">
        <f t="shared" si="109"/>
        <v>0</v>
      </c>
      <c r="AP196" s="361">
        <f t="shared" si="109"/>
        <v>0</v>
      </c>
      <c r="AQ196" s="37">
        <f t="shared" si="109"/>
        <v>0</v>
      </c>
      <c r="AR196" s="590">
        <f t="shared" si="109"/>
        <v>0</v>
      </c>
      <c r="AS196" s="319">
        <f t="shared" si="109"/>
        <v>0</v>
      </c>
    </row>
    <row r="197" spans="17:45">
      <c r="Q197" t="s">
        <v>60</v>
      </c>
      <c r="R197" s="319">
        <f t="shared" ref="R197:AS197" si="110">COUNTIF($C137:$O138, R$166)</f>
        <v>0</v>
      </c>
      <c r="S197" s="33">
        <f t="shared" si="110"/>
        <v>2</v>
      </c>
      <c r="T197" s="587">
        <f t="shared" si="110"/>
        <v>0</v>
      </c>
      <c r="U197" s="319">
        <f t="shared" si="110"/>
        <v>0</v>
      </c>
      <c r="V197" s="233">
        <f t="shared" si="110"/>
        <v>0</v>
      </c>
      <c r="W197">
        <f t="shared" si="110"/>
        <v>0</v>
      </c>
      <c r="X197" s="319">
        <f t="shared" si="110"/>
        <v>0</v>
      </c>
      <c r="Y197" s="233">
        <f t="shared" si="110"/>
        <v>0</v>
      </c>
      <c r="Z197" s="319">
        <f t="shared" si="110"/>
        <v>0</v>
      </c>
      <c r="AA197" s="319">
        <f t="shared" si="110"/>
        <v>0</v>
      </c>
      <c r="AB197">
        <f t="shared" si="110"/>
        <v>0</v>
      </c>
      <c r="AC197" s="319">
        <f t="shared" si="110"/>
        <v>0</v>
      </c>
      <c r="AD197" s="242">
        <f t="shared" si="110"/>
        <v>0</v>
      </c>
      <c r="AE197" s="319">
        <f t="shared" si="110"/>
        <v>0</v>
      </c>
      <c r="AF197" s="319">
        <f t="shared" si="110"/>
        <v>0</v>
      </c>
      <c r="AG197" s="319">
        <f t="shared" si="110"/>
        <v>0</v>
      </c>
      <c r="AH197" s="319">
        <f t="shared" si="110"/>
        <v>0</v>
      </c>
      <c r="AI197" s="319">
        <f t="shared" si="110"/>
        <v>0</v>
      </c>
      <c r="AJ197" s="319">
        <f t="shared" si="110"/>
        <v>0</v>
      </c>
      <c r="AK197" s="1088">
        <f t="shared" si="110"/>
        <v>0</v>
      </c>
      <c r="AL197" s="36">
        <f t="shared" si="110"/>
        <v>0</v>
      </c>
      <c r="AM197" s="1101">
        <f t="shared" si="110"/>
        <v>1</v>
      </c>
      <c r="AN197" s="10">
        <f t="shared" si="110"/>
        <v>0</v>
      </c>
      <c r="AO197" s="1322">
        <f t="shared" si="110"/>
        <v>0</v>
      </c>
      <c r="AP197" s="361">
        <f t="shared" si="110"/>
        <v>0</v>
      </c>
      <c r="AQ197" s="37">
        <f t="shared" si="110"/>
        <v>0</v>
      </c>
      <c r="AR197" s="590">
        <f t="shared" si="110"/>
        <v>0</v>
      </c>
      <c r="AS197" s="319">
        <f t="shared" si="110"/>
        <v>0</v>
      </c>
    </row>
    <row r="198" spans="17:45">
      <c r="Q198" t="s">
        <v>35</v>
      </c>
      <c r="R198" s="319">
        <f t="shared" ref="R198:AS198" si="111">COUNTIF($C140:$O141, R$166)</f>
        <v>0</v>
      </c>
      <c r="S198" s="33">
        <f t="shared" si="111"/>
        <v>1</v>
      </c>
      <c r="T198" s="587">
        <f t="shared" si="111"/>
        <v>0</v>
      </c>
      <c r="U198" s="319">
        <f t="shared" si="111"/>
        <v>0</v>
      </c>
      <c r="V198" s="233">
        <f t="shared" si="111"/>
        <v>0</v>
      </c>
      <c r="W198">
        <f t="shared" si="111"/>
        <v>0</v>
      </c>
      <c r="X198" s="319">
        <f t="shared" si="111"/>
        <v>0</v>
      </c>
      <c r="Y198" s="233">
        <f t="shared" si="111"/>
        <v>0</v>
      </c>
      <c r="Z198" s="319">
        <f t="shared" si="111"/>
        <v>0</v>
      </c>
      <c r="AA198" s="319">
        <f t="shared" si="111"/>
        <v>0</v>
      </c>
      <c r="AB198">
        <f t="shared" si="111"/>
        <v>0</v>
      </c>
      <c r="AC198" s="319">
        <f t="shared" si="111"/>
        <v>0</v>
      </c>
      <c r="AD198" s="242">
        <f t="shared" si="111"/>
        <v>0</v>
      </c>
      <c r="AE198" s="319">
        <f t="shared" si="111"/>
        <v>0</v>
      </c>
      <c r="AF198" s="319">
        <f t="shared" si="111"/>
        <v>0</v>
      </c>
      <c r="AG198" s="319">
        <f t="shared" si="111"/>
        <v>0</v>
      </c>
      <c r="AH198" s="319">
        <f t="shared" si="111"/>
        <v>0</v>
      </c>
      <c r="AI198" s="319">
        <f t="shared" si="111"/>
        <v>0</v>
      </c>
      <c r="AJ198" s="319">
        <f t="shared" si="111"/>
        <v>0</v>
      </c>
      <c r="AK198" s="1088">
        <f t="shared" si="111"/>
        <v>0</v>
      </c>
      <c r="AL198" s="36">
        <f t="shared" si="111"/>
        <v>0</v>
      </c>
      <c r="AM198" s="1101">
        <f t="shared" si="111"/>
        <v>0</v>
      </c>
      <c r="AN198" s="10">
        <f t="shared" si="111"/>
        <v>0</v>
      </c>
      <c r="AO198" s="1322">
        <f t="shared" si="111"/>
        <v>0</v>
      </c>
      <c r="AP198" s="361">
        <f t="shared" si="111"/>
        <v>0</v>
      </c>
      <c r="AQ198" s="37">
        <f t="shared" si="111"/>
        <v>0</v>
      </c>
      <c r="AR198" s="590">
        <f t="shared" si="111"/>
        <v>0</v>
      </c>
      <c r="AS198" s="319">
        <f t="shared" si="111"/>
        <v>0</v>
      </c>
    </row>
    <row r="199" spans="17:45">
      <c r="Q199" t="s">
        <v>11</v>
      </c>
      <c r="R199" s="319">
        <f t="shared" ref="R199:AS199" si="112">COUNTIF($C143:$O144, R$166)</f>
        <v>0</v>
      </c>
      <c r="S199" s="33">
        <f t="shared" si="112"/>
        <v>0</v>
      </c>
      <c r="T199" s="587">
        <f t="shared" si="112"/>
        <v>0</v>
      </c>
      <c r="U199" s="319">
        <f t="shared" si="112"/>
        <v>0</v>
      </c>
      <c r="V199" s="233">
        <f t="shared" si="112"/>
        <v>0</v>
      </c>
      <c r="W199">
        <f t="shared" si="112"/>
        <v>0</v>
      </c>
      <c r="X199" s="319">
        <f t="shared" si="112"/>
        <v>0</v>
      </c>
      <c r="Y199" s="233">
        <f t="shared" si="112"/>
        <v>0</v>
      </c>
      <c r="Z199" s="319">
        <f t="shared" si="112"/>
        <v>0</v>
      </c>
      <c r="AA199" s="319">
        <f t="shared" si="112"/>
        <v>0</v>
      </c>
      <c r="AB199">
        <f t="shared" si="112"/>
        <v>0</v>
      </c>
      <c r="AC199" s="319">
        <f t="shared" si="112"/>
        <v>0</v>
      </c>
      <c r="AD199" s="242">
        <f t="shared" si="112"/>
        <v>0</v>
      </c>
      <c r="AE199" s="319">
        <f t="shared" si="112"/>
        <v>0</v>
      </c>
      <c r="AF199" s="319">
        <f t="shared" si="112"/>
        <v>0</v>
      </c>
      <c r="AG199" s="319">
        <f t="shared" si="112"/>
        <v>0</v>
      </c>
      <c r="AH199" s="319">
        <f t="shared" si="112"/>
        <v>0</v>
      </c>
      <c r="AI199" s="319">
        <f t="shared" si="112"/>
        <v>0</v>
      </c>
      <c r="AJ199" s="319">
        <f t="shared" si="112"/>
        <v>0</v>
      </c>
      <c r="AK199" s="1088">
        <f t="shared" si="112"/>
        <v>0</v>
      </c>
      <c r="AL199" s="36">
        <f t="shared" si="112"/>
        <v>0</v>
      </c>
      <c r="AM199" s="1101">
        <f t="shared" si="112"/>
        <v>1</v>
      </c>
      <c r="AN199" s="10">
        <f t="shared" si="112"/>
        <v>0</v>
      </c>
      <c r="AO199" s="1322">
        <f t="shared" si="112"/>
        <v>0</v>
      </c>
      <c r="AP199" s="361">
        <f t="shared" si="112"/>
        <v>0</v>
      </c>
      <c r="AQ199" s="37">
        <f t="shared" si="112"/>
        <v>0</v>
      </c>
      <c r="AR199" s="590">
        <f t="shared" si="112"/>
        <v>0</v>
      </c>
      <c r="AS199" s="319">
        <f t="shared" si="112"/>
        <v>0</v>
      </c>
    </row>
    <row r="200" spans="17:45">
      <c r="Q200" t="s">
        <v>198</v>
      </c>
      <c r="R200" s="319">
        <f t="shared" ref="R200:AS200" si="113">COUNTIF($C146:$O147, R$166)</f>
        <v>0</v>
      </c>
      <c r="S200" s="33">
        <f t="shared" si="113"/>
        <v>0</v>
      </c>
      <c r="T200" s="587">
        <f t="shared" si="113"/>
        <v>0</v>
      </c>
      <c r="U200" s="319">
        <f t="shared" si="113"/>
        <v>0</v>
      </c>
      <c r="V200" s="233">
        <f t="shared" si="113"/>
        <v>0</v>
      </c>
      <c r="W200">
        <f t="shared" si="113"/>
        <v>0</v>
      </c>
      <c r="X200" s="319">
        <f t="shared" si="113"/>
        <v>0</v>
      </c>
      <c r="Y200" s="233">
        <f t="shared" si="113"/>
        <v>0</v>
      </c>
      <c r="Z200" s="319">
        <f t="shared" si="113"/>
        <v>0</v>
      </c>
      <c r="AA200" s="319">
        <f t="shared" si="113"/>
        <v>0</v>
      </c>
      <c r="AB200">
        <f t="shared" si="113"/>
        <v>0</v>
      </c>
      <c r="AC200" s="319">
        <f t="shared" si="113"/>
        <v>0</v>
      </c>
      <c r="AD200" s="242">
        <f t="shared" si="113"/>
        <v>0</v>
      </c>
      <c r="AE200" s="319">
        <f t="shared" si="113"/>
        <v>0</v>
      </c>
      <c r="AF200" s="319">
        <f t="shared" si="113"/>
        <v>0</v>
      </c>
      <c r="AG200" s="319">
        <f t="shared" si="113"/>
        <v>0</v>
      </c>
      <c r="AH200" s="319">
        <f t="shared" si="113"/>
        <v>0</v>
      </c>
      <c r="AI200" s="319">
        <f t="shared" si="113"/>
        <v>0</v>
      </c>
      <c r="AJ200" s="319">
        <f t="shared" si="113"/>
        <v>0</v>
      </c>
      <c r="AK200" s="1088">
        <f t="shared" si="113"/>
        <v>0</v>
      </c>
      <c r="AL200" s="36">
        <f t="shared" si="113"/>
        <v>0</v>
      </c>
      <c r="AM200" s="1101">
        <f t="shared" si="113"/>
        <v>0</v>
      </c>
      <c r="AN200" s="10">
        <f t="shared" si="113"/>
        <v>0</v>
      </c>
      <c r="AO200" s="1322">
        <f t="shared" si="113"/>
        <v>0</v>
      </c>
      <c r="AP200" s="361">
        <f t="shared" si="113"/>
        <v>0</v>
      </c>
      <c r="AQ200" s="37">
        <f t="shared" si="113"/>
        <v>0</v>
      </c>
      <c r="AR200" s="590">
        <f t="shared" si="113"/>
        <v>0</v>
      </c>
      <c r="AS200" s="319">
        <f t="shared" si="113"/>
        <v>0</v>
      </c>
    </row>
    <row r="201" spans="17:45">
      <c r="Q201" t="s">
        <v>184</v>
      </c>
      <c r="R201" s="319">
        <f t="shared" ref="R201:AS201" si="114">COUNTIF($C149:$O150, R$166)</f>
        <v>0</v>
      </c>
      <c r="S201" s="33">
        <f t="shared" si="114"/>
        <v>0</v>
      </c>
      <c r="T201" s="587">
        <f t="shared" si="114"/>
        <v>0</v>
      </c>
      <c r="U201" s="319">
        <f t="shared" si="114"/>
        <v>0</v>
      </c>
      <c r="V201" s="233">
        <f t="shared" si="114"/>
        <v>0</v>
      </c>
      <c r="W201">
        <f t="shared" si="114"/>
        <v>0</v>
      </c>
      <c r="X201" s="319">
        <f t="shared" si="114"/>
        <v>0</v>
      </c>
      <c r="Y201" s="233">
        <f t="shared" si="114"/>
        <v>0</v>
      </c>
      <c r="Z201" s="319">
        <f t="shared" si="114"/>
        <v>0</v>
      </c>
      <c r="AA201" s="319">
        <f t="shared" si="114"/>
        <v>0</v>
      </c>
      <c r="AB201" s="319">
        <f t="shared" si="114"/>
        <v>0</v>
      </c>
      <c r="AC201" s="319">
        <f t="shared" si="114"/>
        <v>0</v>
      </c>
      <c r="AD201" s="242">
        <f t="shared" si="114"/>
        <v>0</v>
      </c>
      <c r="AE201" s="319">
        <f t="shared" si="114"/>
        <v>0</v>
      </c>
      <c r="AF201" s="319">
        <f t="shared" si="114"/>
        <v>0</v>
      </c>
      <c r="AG201" s="319">
        <f t="shared" si="114"/>
        <v>0</v>
      </c>
      <c r="AH201" s="319">
        <f t="shared" si="114"/>
        <v>0</v>
      </c>
      <c r="AI201" s="319">
        <f t="shared" si="114"/>
        <v>0</v>
      </c>
      <c r="AJ201" s="319">
        <f t="shared" si="114"/>
        <v>0</v>
      </c>
      <c r="AK201" s="1088">
        <f t="shared" si="114"/>
        <v>0</v>
      </c>
      <c r="AL201" s="36">
        <f t="shared" si="114"/>
        <v>0</v>
      </c>
      <c r="AM201" s="319">
        <f t="shared" si="114"/>
        <v>0</v>
      </c>
      <c r="AN201" s="10">
        <f t="shared" si="114"/>
        <v>0</v>
      </c>
      <c r="AO201" s="1322">
        <f t="shared" si="114"/>
        <v>0</v>
      </c>
      <c r="AP201" s="361">
        <f t="shared" si="114"/>
        <v>0</v>
      </c>
      <c r="AQ201" s="37">
        <f t="shared" si="114"/>
        <v>0</v>
      </c>
      <c r="AR201" s="590">
        <f t="shared" si="114"/>
        <v>0</v>
      </c>
      <c r="AS201" s="319">
        <f t="shared" si="114"/>
        <v>0</v>
      </c>
    </row>
    <row r="202" spans="17:45">
      <c r="Q202" t="s">
        <v>563</v>
      </c>
      <c r="R202" s="319">
        <f t="shared" ref="R202:AS202" si="115">COUNTIF($C152:$O153, R$166)</f>
        <v>0</v>
      </c>
      <c r="S202" s="33">
        <f t="shared" si="115"/>
        <v>0</v>
      </c>
      <c r="T202" s="587">
        <f t="shared" si="115"/>
        <v>0</v>
      </c>
      <c r="U202" s="319">
        <f t="shared" si="115"/>
        <v>0</v>
      </c>
      <c r="V202" s="233">
        <f t="shared" si="115"/>
        <v>0</v>
      </c>
      <c r="W202">
        <f t="shared" si="115"/>
        <v>0</v>
      </c>
      <c r="X202" s="319">
        <f t="shared" si="115"/>
        <v>0</v>
      </c>
      <c r="Y202" s="233">
        <f t="shared" si="115"/>
        <v>0</v>
      </c>
      <c r="Z202" s="319">
        <f t="shared" si="115"/>
        <v>0</v>
      </c>
      <c r="AA202" s="319">
        <f t="shared" si="115"/>
        <v>0</v>
      </c>
      <c r="AB202" s="319">
        <f t="shared" si="115"/>
        <v>0</v>
      </c>
      <c r="AC202" s="319">
        <f t="shared" si="115"/>
        <v>0</v>
      </c>
      <c r="AD202" s="242">
        <f t="shared" si="115"/>
        <v>0</v>
      </c>
      <c r="AE202" s="319">
        <f t="shared" si="115"/>
        <v>0</v>
      </c>
      <c r="AF202" s="319">
        <f t="shared" si="115"/>
        <v>0</v>
      </c>
      <c r="AG202" s="319">
        <f t="shared" si="115"/>
        <v>0</v>
      </c>
      <c r="AH202" s="319">
        <f t="shared" si="115"/>
        <v>0</v>
      </c>
      <c r="AI202" s="319">
        <f t="shared" si="115"/>
        <v>0</v>
      </c>
      <c r="AJ202" s="319">
        <f t="shared" si="115"/>
        <v>0</v>
      </c>
      <c r="AK202" s="1088">
        <f t="shared" si="115"/>
        <v>0</v>
      </c>
      <c r="AL202" s="36">
        <f t="shared" si="115"/>
        <v>0</v>
      </c>
      <c r="AM202" s="319">
        <f t="shared" si="115"/>
        <v>0</v>
      </c>
      <c r="AN202" s="10">
        <f t="shared" si="115"/>
        <v>0</v>
      </c>
      <c r="AO202" s="1322">
        <f t="shared" si="115"/>
        <v>0</v>
      </c>
      <c r="AP202" s="361">
        <f t="shared" si="115"/>
        <v>0</v>
      </c>
      <c r="AQ202" s="37">
        <f t="shared" si="115"/>
        <v>0</v>
      </c>
      <c r="AR202" s="590">
        <f t="shared" si="115"/>
        <v>0</v>
      </c>
      <c r="AS202" s="319">
        <f t="shared" si="115"/>
        <v>0</v>
      </c>
    </row>
    <row r="203" spans="17:45">
      <c r="Q203" t="s">
        <v>1742</v>
      </c>
      <c r="R203" s="319">
        <f t="shared" ref="R203:AS203" si="116">COUNTIF($C155:$O156, R$166)</f>
        <v>0</v>
      </c>
      <c r="S203" s="33">
        <f t="shared" si="116"/>
        <v>0</v>
      </c>
      <c r="T203" s="587">
        <f t="shared" si="116"/>
        <v>0</v>
      </c>
      <c r="U203" s="319">
        <f t="shared" si="116"/>
        <v>0</v>
      </c>
      <c r="V203" s="233">
        <f t="shared" si="116"/>
        <v>0</v>
      </c>
      <c r="W203">
        <f t="shared" si="116"/>
        <v>0</v>
      </c>
      <c r="X203" s="319">
        <f t="shared" si="116"/>
        <v>0</v>
      </c>
      <c r="Y203" s="233">
        <f t="shared" si="116"/>
        <v>0</v>
      </c>
      <c r="Z203" s="319">
        <f t="shared" si="116"/>
        <v>0</v>
      </c>
      <c r="AA203" s="319">
        <f t="shared" si="116"/>
        <v>0</v>
      </c>
      <c r="AB203" s="319">
        <f t="shared" si="116"/>
        <v>0</v>
      </c>
      <c r="AC203" s="319">
        <f t="shared" si="116"/>
        <v>0</v>
      </c>
      <c r="AD203" s="242">
        <f t="shared" si="116"/>
        <v>0</v>
      </c>
      <c r="AE203" s="319">
        <f t="shared" si="116"/>
        <v>0</v>
      </c>
      <c r="AF203" s="319">
        <f t="shared" si="116"/>
        <v>0</v>
      </c>
      <c r="AG203" s="319">
        <f t="shared" si="116"/>
        <v>0</v>
      </c>
      <c r="AH203" s="319">
        <f t="shared" si="116"/>
        <v>0</v>
      </c>
      <c r="AI203" s="319">
        <f t="shared" si="116"/>
        <v>0</v>
      </c>
      <c r="AJ203" s="319">
        <f t="shared" si="116"/>
        <v>0</v>
      </c>
      <c r="AK203" s="1088">
        <f t="shared" si="116"/>
        <v>0</v>
      </c>
      <c r="AL203" s="36">
        <f t="shared" si="116"/>
        <v>0</v>
      </c>
      <c r="AM203" s="319">
        <f t="shared" si="116"/>
        <v>0</v>
      </c>
      <c r="AN203" s="10">
        <f t="shared" si="116"/>
        <v>0</v>
      </c>
      <c r="AO203" s="319">
        <f t="shared" si="116"/>
        <v>0</v>
      </c>
      <c r="AP203" s="361">
        <f t="shared" si="116"/>
        <v>0</v>
      </c>
      <c r="AQ203" s="37">
        <f t="shared" si="116"/>
        <v>0</v>
      </c>
      <c r="AR203" s="590">
        <f t="shared" si="116"/>
        <v>0</v>
      </c>
      <c r="AS203" s="319">
        <f t="shared" si="116"/>
        <v>0</v>
      </c>
    </row>
    <row r="204" spans="17:45" ht="16.5" thickBot="1">
      <c r="Q204" t="s">
        <v>2056</v>
      </c>
      <c r="R204" s="319">
        <f t="shared" ref="R204:AS204" si="117">COUNTIF($C158:$O159, R$166)</f>
        <v>0</v>
      </c>
      <c r="S204" s="33">
        <f t="shared" si="117"/>
        <v>0</v>
      </c>
      <c r="T204" s="587">
        <f t="shared" si="117"/>
        <v>0</v>
      </c>
      <c r="U204" s="319">
        <f t="shared" si="117"/>
        <v>0</v>
      </c>
      <c r="V204" s="233">
        <f t="shared" si="117"/>
        <v>0</v>
      </c>
      <c r="W204">
        <f t="shared" si="117"/>
        <v>0</v>
      </c>
      <c r="X204" s="319">
        <f t="shared" si="117"/>
        <v>0</v>
      </c>
      <c r="Y204" s="233">
        <f t="shared" si="117"/>
        <v>0</v>
      </c>
      <c r="Z204" s="319">
        <f t="shared" si="117"/>
        <v>0</v>
      </c>
      <c r="AA204" s="319">
        <f t="shared" si="117"/>
        <v>0</v>
      </c>
      <c r="AB204" s="319">
        <f t="shared" si="117"/>
        <v>0</v>
      </c>
      <c r="AC204" s="319">
        <f t="shared" si="117"/>
        <v>0</v>
      </c>
      <c r="AD204" s="319">
        <f t="shared" si="117"/>
        <v>0</v>
      </c>
      <c r="AE204" s="319">
        <f t="shared" si="117"/>
        <v>0</v>
      </c>
      <c r="AF204" s="319">
        <f t="shared" si="117"/>
        <v>0</v>
      </c>
      <c r="AG204" s="319">
        <f t="shared" si="117"/>
        <v>0</v>
      </c>
      <c r="AH204" s="319">
        <f t="shared" si="117"/>
        <v>0</v>
      </c>
      <c r="AI204" s="319">
        <f t="shared" si="117"/>
        <v>0</v>
      </c>
      <c r="AJ204" s="319">
        <f t="shared" si="117"/>
        <v>0</v>
      </c>
      <c r="AK204" s="1088">
        <f t="shared" si="117"/>
        <v>0</v>
      </c>
      <c r="AL204" s="36">
        <f t="shared" si="117"/>
        <v>0</v>
      </c>
      <c r="AM204" s="319">
        <f t="shared" si="117"/>
        <v>0</v>
      </c>
      <c r="AN204" s="10">
        <f t="shared" si="117"/>
        <v>0</v>
      </c>
      <c r="AO204" s="319">
        <f t="shared" si="117"/>
        <v>0</v>
      </c>
      <c r="AP204" s="361">
        <f t="shared" si="117"/>
        <v>0</v>
      </c>
      <c r="AQ204" s="37">
        <f t="shared" si="117"/>
        <v>0</v>
      </c>
      <c r="AR204" s="590">
        <f t="shared" si="117"/>
        <v>0</v>
      </c>
      <c r="AS204" s="319">
        <f t="shared" si="117"/>
        <v>0</v>
      </c>
    </row>
    <row r="205" spans="17:45">
      <c r="Q205" s="1333" t="s">
        <v>200</v>
      </c>
      <c r="R205" s="1334">
        <f>SUM(R167:R204)</f>
        <v>2</v>
      </c>
      <c r="S205" s="1335">
        <f t="shared" ref="S205:AS205" si="118">SUM(S167:S204)</f>
        <v>16</v>
      </c>
      <c r="T205" s="1336">
        <f t="shared" si="118"/>
        <v>0</v>
      </c>
      <c r="U205" s="1337">
        <f t="shared" si="118"/>
        <v>0</v>
      </c>
      <c r="V205" s="1338">
        <f t="shared" si="118"/>
        <v>2</v>
      </c>
      <c r="W205" s="1339">
        <f t="shared" si="118"/>
        <v>2</v>
      </c>
      <c r="X205" s="1340">
        <f t="shared" si="118"/>
        <v>0</v>
      </c>
      <c r="Y205" s="1341">
        <f t="shared" si="118"/>
        <v>2</v>
      </c>
      <c r="Z205" s="1342">
        <f t="shared" si="118"/>
        <v>0</v>
      </c>
      <c r="AA205" s="1343">
        <f t="shared" si="118"/>
        <v>0</v>
      </c>
      <c r="AB205" s="1344">
        <f t="shared" si="118"/>
        <v>2</v>
      </c>
      <c r="AC205" s="1344">
        <f t="shared" si="118"/>
        <v>0</v>
      </c>
      <c r="AD205" s="1345">
        <f t="shared" si="118"/>
        <v>4</v>
      </c>
      <c r="AE205" s="1346">
        <f t="shared" si="118"/>
        <v>0</v>
      </c>
      <c r="AF205" s="1347">
        <f t="shared" si="118"/>
        <v>0</v>
      </c>
      <c r="AG205" s="1348">
        <f t="shared" si="118"/>
        <v>1</v>
      </c>
      <c r="AH205" s="1349">
        <f t="shared" si="118"/>
        <v>0</v>
      </c>
      <c r="AI205" s="1350">
        <f t="shared" si="118"/>
        <v>0</v>
      </c>
      <c r="AJ205" s="1351">
        <f t="shared" si="118"/>
        <v>0</v>
      </c>
      <c r="AK205" s="1349">
        <f t="shared" si="118"/>
        <v>3</v>
      </c>
      <c r="AL205" s="1352">
        <f t="shared" si="118"/>
        <v>3</v>
      </c>
      <c r="AM205" s="1353">
        <f t="shared" si="118"/>
        <v>11</v>
      </c>
      <c r="AN205" s="1354">
        <f t="shared" si="118"/>
        <v>4</v>
      </c>
      <c r="AO205" s="1348">
        <f t="shared" si="118"/>
        <v>2</v>
      </c>
      <c r="AP205" s="1355">
        <f t="shared" si="118"/>
        <v>2</v>
      </c>
      <c r="AQ205" s="1344">
        <f t="shared" si="118"/>
        <v>1</v>
      </c>
      <c r="AR205" s="1356">
        <f t="shared" si="118"/>
        <v>1</v>
      </c>
      <c r="AS205" s="1357">
        <f t="shared" si="118"/>
        <v>0</v>
      </c>
    </row>
    <row r="206" spans="17:45">
      <c r="Q206" s="1358" t="s">
        <v>1495</v>
      </c>
      <c r="R206" s="441">
        <f>AVERAGE(R167:R204)</f>
        <v>5.2631578947368418E-2</v>
      </c>
      <c r="S206" s="441">
        <f t="shared" ref="S206:AS206" si="119">AVERAGE(S167:S204)</f>
        <v>0.42105263157894735</v>
      </c>
      <c r="T206" s="441">
        <f t="shared" si="119"/>
        <v>0</v>
      </c>
      <c r="U206" s="441">
        <f t="shared" si="119"/>
        <v>0</v>
      </c>
      <c r="V206" s="441">
        <f t="shared" si="119"/>
        <v>5.2631578947368418E-2</v>
      </c>
      <c r="W206" s="441">
        <f t="shared" si="119"/>
        <v>5.2631578947368418E-2</v>
      </c>
      <c r="X206" s="441">
        <f t="shared" si="119"/>
        <v>0</v>
      </c>
      <c r="Y206" s="441">
        <f t="shared" si="119"/>
        <v>5.2631578947368418E-2</v>
      </c>
      <c r="Z206" s="441">
        <f t="shared" si="119"/>
        <v>0</v>
      </c>
      <c r="AA206" s="441">
        <f t="shared" si="119"/>
        <v>0</v>
      </c>
      <c r="AB206" s="441">
        <f t="shared" si="119"/>
        <v>5.2631578947368418E-2</v>
      </c>
      <c r="AC206" s="441">
        <f t="shared" si="119"/>
        <v>0</v>
      </c>
      <c r="AD206" s="441">
        <f t="shared" si="119"/>
        <v>0.10526315789473684</v>
      </c>
      <c r="AE206" s="441">
        <f t="shared" si="119"/>
        <v>0</v>
      </c>
      <c r="AF206" s="441">
        <f t="shared" si="119"/>
        <v>0</v>
      </c>
      <c r="AG206" s="441">
        <f t="shared" si="119"/>
        <v>2.6315789473684209E-2</v>
      </c>
      <c r="AH206" s="441">
        <f t="shared" si="119"/>
        <v>0</v>
      </c>
      <c r="AI206" s="441">
        <f t="shared" si="119"/>
        <v>0</v>
      </c>
      <c r="AJ206" s="441">
        <f t="shared" si="119"/>
        <v>0</v>
      </c>
      <c r="AK206" s="441">
        <f t="shared" si="119"/>
        <v>7.8947368421052627E-2</v>
      </c>
      <c r="AL206" s="441">
        <f t="shared" si="119"/>
        <v>7.8947368421052627E-2</v>
      </c>
      <c r="AM206" s="441">
        <f t="shared" si="119"/>
        <v>0.28947368421052633</v>
      </c>
      <c r="AN206" s="441">
        <f t="shared" si="119"/>
        <v>0.10526315789473684</v>
      </c>
      <c r="AO206" s="441">
        <f t="shared" si="119"/>
        <v>5.2631578947368418E-2</v>
      </c>
      <c r="AP206" s="441">
        <f t="shared" si="119"/>
        <v>5.2631578947368418E-2</v>
      </c>
      <c r="AQ206" s="441">
        <f t="shared" si="119"/>
        <v>2.6315789473684209E-2</v>
      </c>
      <c r="AR206" s="441">
        <f t="shared" si="119"/>
        <v>2.6315789473684209E-2</v>
      </c>
      <c r="AS206" s="1359">
        <f t="shared" si="119"/>
        <v>0</v>
      </c>
    </row>
    <row r="207" spans="17:45" ht="16.5" thickBot="1">
      <c r="Q207" s="1330" t="s">
        <v>2705</v>
      </c>
      <c r="R207" s="1360">
        <f>MAX(R167:R204)</f>
        <v>1</v>
      </c>
      <c r="S207" s="1360">
        <f t="shared" ref="S207:AS207" si="120">MAX(S167:S204)</f>
        <v>2</v>
      </c>
      <c r="T207" s="1360">
        <f t="shared" si="120"/>
        <v>0</v>
      </c>
      <c r="U207" s="1360">
        <f t="shared" si="120"/>
        <v>0</v>
      </c>
      <c r="V207" s="1360">
        <f t="shared" si="120"/>
        <v>1</v>
      </c>
      <c r="W207" s="1360">
        <f t="shared" si="120"/>
        <v>1</v>
      </c>
      <c r="X207" s="1360">
        <f t="shared" si="120"/>
        <v>0</v>
      </c>
      <c r="Y207" s="1360">
        <f t="shared" si="120"/>
        <v>1</v>
      </c>
      <c r="Z207" s="1360">
        <f t="shared" si="120"/>
        <v>0</v>
      </c>
      <c r="AA207" s="1360">
        <f t="shared" si="120"/>
        <v>0</v>
      </c>
      <c r="AB207" s="1360">
        <f t="shared" si="120"/>
        <v>1</v>
      </c>
      <c r="AC207" s="1360">
        <f t="shared" si="120"/>
        <v>0</v>
      </c>
      <c r="AD207" s="1360">
        <f t="shared" si="120"/>
        <v>2</v>
      </c>
      <c r="AE207" s="1360">
        <f t="shared" si="120"/>
        <v>0</v>
      </c>
      <c r="AF207" s="1360">
        <f t="shared" si="120"/>
        <v>0</v>
      </c>
      <c r="AG207" s="1360">
        <f t="shared" si="120"/>
        <v>1</v>
      </c>
      <c r="AH207" s="1360">
        <f t="shared" si="120"/>
        <v>0</v>
      </c>
      <c r="AI207" s="1360">
        <f t="shared" si="120"/>
        <v>0</v>
      </c>
      <c r="AJ207" s="1360">
        <f t="shared" si="120"/>
        <v>0</v>
      </c>
      <c r="AK207" s="1360">
        <f t="shared" si="120"/>
        <v>1</v>
      </c>
      <c r="AL207" s="1360">
        <f t="shared" si="120"/>
        <v>1</v>
      </c>
      <c r="AM207" s="1360">
        <f t="shared" si="120"/>
        <v>2</v>
      </c>
      <c r="AN207" s="1360">
        <f t="shared" si="120"/>
        <v>2</v>
      </c>
      <c r="AO207" s="1360">
        <f t="shared" si="120"/>
        <v>1</v>
      </c>
      <c r="AP207" s="1360">
        <f t="shared" si="120"/>
        <v>1</v>
      </c>
      <c r="AQ207" s="1360">
        <f t="shared" si="120"/>
        <v>1</v>
      </c>
      <c r="AR207" s="1360">
        <f t="shared" si="120"/>
        <v>1</v>
      </c>
      <c r="AS207" s="1361">
        <f t="shared" si="120"/>
        <v>0</v>
      </c>
    </row>
  </sheetData>
  <mergeCells count="41">
    <mergeCell ref="B4:E4"/>
    <mergeCell ref="B6:K6"/>
    <mergeCell ref="B41:M42"/>
    <mergeCell ref="B44:B47"/>
    <mergeCell ref="B48:B50"/>
    <mergeCell ref="B51:B54"/>
    <mergeCell ref="B55:B57"/>
    <mergeCell ref="B58:B60"/>
    <mergeCell ref="B61:B63"/>
    <mergeCell ref="B64:B66"/>
    <mergeCell ref="B67:B69"/>
    <mergeCell ref="B70:B72"/>
    <mergeCell ref="B73:B75"/>
    <mergeCell ref="B76:B78"/>
    <mergeCell ref="B79:B81"/>
    <mergeCell ref="B82:B84"/>
    <mergeCell ref="B85: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58:B160"/>
    <mergeCell ref="B143:B145"/>
    <mergeCell ref="B146:B148"/>
    <mergeCell ref="B149:B151"/>
    <mergeCell ref="B152:B154"/>
    <mergeCell ref="B155:B157"/>
  </mergeCells>
  <conditionalFormatting sqref="R61:AD98">
    <cfRule type="cellIs" dxfId="4" priority="2" operator="between">
      <formula>0</formula>
      <formula>0</formula>
    </cfRule>
  </conditionalFormatting>
  <conditionalFormatting sqref="R167:AS207">
    <cfRule type="cellIs" dxfId="3" priority="1" operator="between">
      <formula>0</formula>
      <formula>0</formula>
    </cfRule>
  </conditionalFormatting>
  <pageMargins left="0.7" right="0.7" top="0.75" bottom="0.75" header="0.3" footer="0.3"/>
  <pageSetup orientation="portrait" r:id="rId1"/>
  <drawing r:id="rId2"/>
  <tableParts count="7">
    <tablePart r:id="rId3"/>
    <tablePart r:id="rId4"/>
    <tablePart r:id="rId5"/>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A2A2F-76D9-F049-AA2A-7F82684577AB}">
  <sheetPr codeName="Sheet12">
    <tabColor theme="5"/>
  </sheetPr>
  <dimension ref="B3:AX458"/>
  <sheetViews>
    <sheetView zoomScale="110" workbookViewId="0">
      <selection activeCell="G133" sqref="G133"/>
    </sheetView>
  </sheetViews>
  <sheetFormatPr defaultColWidth="11" defaultRowHeight="15.75" outlineLevelRow="2"/>
  <cols>
    <col min="2" max="2" width="16" customWidth="1"/>
    <col min="4" max="4" width="12.875" customWidth="1"/>
    <col min="6" max="6" width="12" bestFit="1" customWidth="1"/>
    <col min="7" max="7" width="11.625" bestFit="1" customWidth="1"/>
    <col min="10" max="10" width="10.875" customWidth="1"/>
    <col min="12" max="13" width="12" bestFit="1" customWidth="1"/>
    <col min="14" max="16" width="11.875" customWidth="1"/>
    <col min="17" max="17" width="12.625" bestFit="1" customWidth="1"/>
    <col min="18" max="19" width="12" bestFit="1" customWidth="1"/>
    <col min="20" max="20" width="12.125" bestFit="1" customWidth="1"/>
    <col min="21" max="23" width="11.875" customWidth="1"/>
    <col min="24" max="24" width="12" bestFit="1" customWidth="1"/>
    <col min="25" max="25" width="11.875" customWidth="1"/>
    <col min="26" max="26" width="12" bestFit="1" customWidth="1"/>
    <col min="27" max="27" width="11.875" customWidth="1"/>
    <col min="28" max="28" width="11.875" bestFit="1" customWidth="1"/>
    <col min="29" max="39" width="11.875" customWidth="1"/>
    <col min="41" max="41" width="11.625" customWidth="1"/>
  </cols>
  <sheetData>
    <row r="3" spans="2:14" ht="33.75">
      <c r="B3" s="1735" t="s">
        <v>455</v>
      </c>
      <c r="C3" s="1735"/>
      <c r="D3" s="1735"/>
    </row>
    <row r="5" spans="2:14" ht="32.1" customHeight="1">
      <c r="B5" s="1701" t="s">
        <v>1525</v>
      </c>
      <c r="C5" s="1701"/>
      <c r="D5" s="1701"/>
      <c r="E5" s="1701"/>
      <c r="F5" s="1701"/>
      <c r="G5" s="1701"/>
      <c r="H5" s="1701"/>
      <c r="I5" s="1701"/>
    </row>
    <row r="6" spans="2:14">
      <c r="B6" s="35"/>
    </row>
    <row r="7" spans="2:14" ht="18.75">
      <c r="B7" s="68" t="s">
        <v>1546</v>
      </c>
    </row>
    <row r="8" spans="2:14">
      <c r="B8" s="35" t="s">
        <v>1547</v>
      </c>
    </row>
    <row r="9" spans="2:14">
      <c r="B9" t="s">
        <v>1550</v>
      </c>
    </row>
    <row r="10" spans="2:14">
      <c r="B10" s="35"/>
      <c r="C10" s="1617" t="s">
        <v>12</v>
      </c>
      <c r="D10" s="1617"/>
      <c r="E10" s="1618" t="s">
        <v>14</v>
      </c>
      <c r="F10" s="1618"/>
      <c r="G10" s="1619" t="s">
        <v>13</v>
      </c>
      <c r="H10" s="1619"/>
      <c r="I10" s="1737" t="s">
        <v>49</v>
      </c>
      <c r="J10" s="1737"/>
      <c r="K10" s="1736" t="s">
        <v>1548</v>
      </c>
      <c r="L10" s="1736"/>
      <c r="M10" s="1736" t="s">
        <v>1549</v>
      </c>
      <c r="N10" s="1736"/>
    </row>
    <row r="11" spans="2:14">
      <c r="B11" s="442" t="s">
        <v>1110</v>
      </c>
      <c r="C11" s="355" t="s">
        <v>150</v>
      </c>
      <c r="D11" s="355" t="s">
        <v>151</v>
      </c>
      <c r="E11" s="355" t="s">
        <v>1935</v>
      </c>
      <c r="F11" s="355" t="s">
        <v>1940</v>
      </c>
      <c r="G11" s="355" t="s">
        <v>1942</v>
      </c>
      <c r="H11" s="355" t="s">
        <v>1941</v>
      </c>
      <c r="I11" s="355" t="s">
        <v>1943</v>
      </c>
      <c r="J11" s="355" t="s">
        <v>1945</v>
      </c>
      <c r="K11" s="355" t="s">
        <v>1944</v>
      </c>
      <c r="L11" s="355" t="s">
        <v>1975</v>
      </c>
      <c r="M11" s="355" t="s">
        <v>1946</v>
      </c>
      <c r="N11" s="355" t="s">
        <v>1947</v>
      </c>
    </row>
    <row r="12" spans="2:14">
      <c r="B12" s="163" t="s">
        <v>1</v>
      </c>
      <c r="C12" s="319">
        <f>COUNTIF(Logs!C$9:'Logs'!C$1001, "*"&amp;$C$10&amp;"*")</f>
        <v>177</v>
      </c>
      <c r="D12" s="41">
        <f>C12/COUNTIF(Logs!$C$1:$O$1001, "Final Leg")</f>
        <v>4.6578947368421053</v>
      </c>
      <c r="E12" s="8">
        <f>COUNTIF(Logs!$C$9:'Logs'!$C$680, "*"&amp;E10&amp;"*")</f>
        <v>27</v>
      </c>
      <c r="F12" s="41">
        <f>E12/COUNTIF(Logs!$C$1:$O$1001, "Final Leg")</f>
        <v>0.71052631578947367</v>
      </c>
      <c r="G12" s="446">
        <f>COUNTIF(Logs!$C$9:'Logs'!$C$1001, "*"&amp;G10&amp;"*")</f>
        <v>19</v>
      </c>
      <c r="H12" s="41">
        <f>G12/COUNTIF(Logs!$C$1:$O$1001, "Final Leg")</f>
        <v>0.5</v>
      </c>
      <c r="I12" s="329">
        <f>COUNTIF(Logs!$C$9:'Logs'!$C$649, "*"&amp;I10&amp;"*")</f>
        <v>0</v>
      </c>
      <c r="J12" s="41">
        <f>I12/22</f>
        <v>0</v>
      </c>
      <c r="K12" s="561">
        <f>COUNTIF(Logs!$C$9:'Logs'!$C$72, "Fast Forward")</f>
        <v>4</v>
      </c>
      <c r="L12" s="41">
        <f t="shared" ref="L12:L17" si="0">K12/4</f>
        <v>1</v>
      </c>
      <c r="M12" s="561">
        <f>COUNTIF(Logs!$C$81:'Logs'!$C$1001, "Fast Forward")</f>
        <v>1</v>
      </c>
      <c r="N12" s="41">
        <f>M12/27</f>
        <v>3.7037037037037035E-2</v>
      </c>
    </row>
    <row r="13" spans="2:14">
      <c r="B13" s="163" t="s">
        <v>2</v>
      </c>
      <c r="C13" s="319">
        <f>COUNTIF(Logs!D$9:'Logs'!D$1001, "*"&amp;$C$10&amp;"*")</f>
        <v>140</v>
      </c>
      <c r="D13" s="41">
        <f>C13/COUNTIF(Logs!$C$1:$O$1001, "Final Leg")</f>
        <v>3.6842105263157894</v>
      </c>
      <c r="E13" s="8">
        <f>COUNTIF(Logs!$D$9:'Logs'!$D$1001,  "*"&amp;E10&amp;"*")</f>
        <v>36</v>
      </c>
      <c r="F13" s="41">
        <f>E13/COUNTIF(Logs!$C$1:$O$1001, "Final Leg")</f>
        <v>0.94736842105263153</v>
      </c>
      <c r="G13" s="446">
        <f>COUNTIF(Logs!$D$9:'Logs'!$D$1010,  "*"&amp;G10&amp;"*")</f>
        <v>36</v>
      </c>
      <c r="H13" s="41">
        <f>G13/COUNTIF(Logs!$C$1:$O$1001, "Final Leg")</f>
        <v>0.94736842105263153</v>
      </c>
      <c r="I13" s="329">
        <f>COUNTIF(Logs!$D$9:'Logs'!$D$649,  "*"&amp;I10&amp;"*")</f>
        <v>3</v>
      </c>
      <c r="J13" s="41">
        <f t="shared" ref="J13:J20" si="1">I13/22</f>
        <v>0.13636363636363635</v>
      </c>
      <c r="K13" s="561">
        <f>COUNTIF(Logs!$D$9:'Logs'!$D$72, "Fast Forward")</f>
        <v>4</v>
      </c>
      <c r="L13" s="41">
        <f t="shared" si="0"/>
        <v>1</v>
      </c>
      <c r="M13" s="561">
        <f>COUNTIF(Logs!$D$81:'Logs'!$D$1001,  "Fast Forward")</f>
        <v>0</v>
      </c>
      <c r="N13" s="41">
        <f t="shared" ref="N13:N24" si="2">M13/27</f>
        <v>0</v>
      </c>
    </row>
    <row r="14" spans="2:14">
      <c r="B14" s="163" t="s">
        <v>3</v>
      </c>
      <c r="C14" s="319">
        <f>COUNTIF(Logs!E$9:'Logs'!E$1001, "*"&amp;$C$10&amp;"*")</f>
        <v>147</v>
      </c>
      <c r="D14" s="41">
        <f>C14/COUNTIF(Logs!$C$1:$O$1001, "Final Leg")</f>
        <v>3.8684210526315788</v>
      </c>
      <c r="E14" s="8">
        <f>COUNTIF(Logs!$E$9:'Logs'!$E$1001,  "*"&amp;E10&amp;"*")</f>
        <v>36</v>
      </c>
      <c r="F14" s="41">
        <f>E14/COUNTIF(Logs!$C$1:$O$1001, "Final Leg")</f>
        <v>0.94736842105263153</v>
      </c>
      <c r="G14" s="446">
        <f>COUNTIF(Logs!$E$9:'Logs'!$E$1001,  "*"&amp;G10&amp;"*")</f>
        <v>38</v>
      </c>
      <c r="H14" s="41">
        <f>G14/COUNTIF(Logs!$C$1:$O$1001, "Final Leg")</f>
        <v>1</v>
      </c>
      <c r="I14" s="329">
        <f>COUNTIF(Logs!$E$9:'Logs'!$E$649,  "*"&amp;I10&amp;"*")</f>
        <v>0</v>
      </c>
      <c r="J14" s="41">
        <f t="shared" si="1"/>
        <v>0</v>
      </c>
      <c r="K14" s="561">
        <f>COUNTIF(Logs!$E$9:'Logs'!$E$72, "Fast Forward")</f>
        <v>4</v>
      </c>
      <c r="L14" s="41">
        <f t="shared" si="0"/>
        <v>1</v>
      </c>
      <c r="M14" s="561">
        <f>COUNTIF(Logs!$E$81:'Logs'!$E$1001, "Fast Forward")</f>
        <v>0</v>
      </c>
      <c r="N14" s="41">
        <f t="shared" si="2"/>
        <v>0</v>
      </c>
    </row>
    <row r="15" spans="2:14">
      <c r="B15" s="163" t="s">
        <v>4</v>
      </c>
      <c r="C15" s="319">
        <f>COUNTIF(Logs!F$9:'Logs'!F$1001, "*"&amp;$C$10&amp;"*")</f>
        <v>158</v>
      </c>
      <c r="D15" s="41">
        <f>C15/COUNTIF(Logs!$C$1:$O$1001, "Final Leg")</f>
        <v>4.1578947368421053</v>
      </c>
      <c r="E15" s="8">
        <f>COUNTIF(Logs!$F$9:'Logs'!$F$1001,  "*"&amp;E10&amp;"*")</f>
        <v>38</v>
      </c>
      <c r="F15" s="41">
        <f>E15/COUNTIF(Logs!$C$1:$O$1001, "Final Leg")</f>
        <v>1</v>
      </c>
      <c r="G15" s="446">
        <f>COUNTIF(Logs!$F$9:'Logs'!$F$1001,  "*"&amp;G10&amp;"*")</f>
        <v>38</v>
      </c>
      <c r="H15" s="41">
        <f>G15/COUNTIF(Logs!$C$1:$O$1001, "Final Leg")</f>
        <v>1</v>
      </c>
      <c r="I15" s="329">
        <f>COUNTIF(Logs!$F$9:'Logs'!$F$649,  "*"&amp;I10&amp;"*")</f>
        <v>5</v>
      </c>
      <c r="J15" s="41">
        <f t="shared" si="1"/>
        <v>0.22727272727272727</v>
      </c>
      <c r="K15" s="561">
        <f>COUNTIF(Logs!$F$9:'Logs'!$F$72, "Fast Forward")</f>
        <v>4</v>
      </c>
      <c r="L15" s="41">
        <f t="shared" si="0"/>
        <v>1</v>
      </c>
      <c r="M15" s="561">
        <f>COUNTIF(Logs!$F$81:'Logs'!$F$1001,  "Fast Forward")</f>
        <v>4</v>
      </c>
      <c r="N15" s="41">
        <f t="shared" si="2"/>
        <v>0.14814814814814814</v>
      </c>
    </row>
    <row r="16" spans="2:14">
      <c r="B16" s="163" t="s">
        <v>5</v>
      </c>
      <c r="C16" s="319">
        <f>COUNTIF(Logs!G$9:'Logs'!G$1001, "*"&amp;$C$10&amp;"*")</f>
        <v>146</v>
      </c>
      <c r="D16" s="41">
        <f>C16/COUNTIF(Logs!$C$1:$O$1001, "Final Leg")</f>
        <v>3.8421052631578947</v>
      </c>
      <c r="E16" s="8">
        <f>COUNTIF(Logs!$G$9:'Logs'!$G$1001,  "*"&amp;E10&amp;"*")</f>
        <v>38</v>
      </c>
      <c r="F16" s="41">
        <f>E16/COUNTIF(Logs!$C$1:$O$1001, "Final Leg")</f>
        <v>1</v>
      </c>
      <c r="G16" s="446">
        <f>COUNTIF(Logs!$G$9:'Logs'!$G$1001,  "*"&amp;G10&amp;"*")</f>
        <v>36</v>
      </c>
      <c r="H16" s="41">
        <f>G16/COUNTIF(Logs!$C$1:$O$1001, "Final Leg")</f>
        <v>0.94736842105263153</v>
      </c>
      <c r="I16" s="329">
        <f>COUNTIF(Logs!$G$9:'Logs'!$G$649,  "*"&amp;I10&amp;"*")</f>
        <v>6</v>
      </c>
      <c r="J16" s="41">
        <f t="shared" si="1"/>
        <v>0.27272727272727271</v>
      </c>
      <c r="K16" s="561">
        <f>COUNTIF(Logs!$G$9:'Logs'!$G$72, "Fast Forward")</f>
        <v>4</v>
      </c>
      <c r="L16" s="41">
        <f t="shared" si="0"/>
        <v>1</v>
      </c>
      <c r="M16" s="561">
        <f>COUNTIF(Logs!$G$81:'Logs'!$G$1001, "Fast Forward")</f>
        <v>6</v>
      </c>
      <c r="N16" s="41">
        <f t="shared" si="2"/>
        <v>0.22222222222222221</v>
      </c>
    </row>
    <row r="17" spans="2:14">
      <c r="B17" s="163" t="s">
        <v>6</v>
      </c>
      <c r="C17" s="319">
        <f>COUNTIF(Logs!H$9:'Logs'!H$1001, "*"&amp;$C$10&amp;"*")</f>
        <v>151</v>
      </c>
      <c r="D17" s="41">
        <f>C17/COUNTIF(Logs!$C$1:$O$1001, "Final Leg")</f>
        <v>3.9736842105263159</v>
      </c>
      <c r="E17" s="8">
        <f>COUNTIF(Logs!$H$9:'Logs'!$H$1001,  "*"&amp;E10&amp;"*")</f>
        <v>42</v>
      </c>
      <c r="F17" s="41">
        <f>E17/COUNTIF(Logs!$C$1:$O$1001, "Final Leg")</f>
        <v>1.1052631578947369</v>
      </c>
      <c r="G17" s="446">
        <f>COUNTIF(Logs!$H$9:'Logs'!$H$1001,  "*"&amp;G10&amp;"*")</f>
        <v>39</v>
      </c>
      <c r="H17" s="41">
        <f>G17/COUNTIF(Logs!$C$1:$O$1001, "Final Leg")</f>
        <v>1.0263157894736843</v>
      </c>
      <c r="I17" s="329">
        <f>COUNTIF(Logs!$H$9:'Logs'!$H$649,  "*"&amp;I10&amp;"*")</f>
        <v>3</v>
      </c>
      <c r="J17" s="41">
        <f t="shared" si="1"/>
        <v>0.13636363636363635</v>
      </c>
      <c r="K17" s="561">
        <f>COUNTIF(Logs!$H$9:'Logs'!$H$72, "Fast Forward")</f>
        <v>4</v>
      </c>
      <c r="L17" s="41">
        <f t="shared" si="0"/>
        <v>1</v>
      </c>
      <c r="M17" s="561">
        <f>COUNTIF(Logs!$H$81:'Logs'!$H$1001,  "Fast Forward")</f>
        <v>5</v>
      </c>
      <c r="N17" s="41">
        <f t="shared" si="2"/>
        <v>0.18518518518518517</v>
      </c>
    </row>
    <row r="18" spans="2:14">
      <c r="B18" s="163" t="s">
        <v>7</v>
      </c>
      <c r="C18" s="319">
        <f>COUNTIF(Logs!I$9:'Logs'!I$1001, "*"&amp;$C$10&amp;"*")</f>
        <v>148</v>
      </c>
      <c r="D18" s="41">
        <f>C18/COUNTIF(Logs!$C$1:$O$1001, "Final Leg")</f>
        <v>3.8947368421052633</v>
      </c>
      <c r="E18" s="8">
        <f>COUNTIF(Logs!$I$9:'Logs'!$I$10001,  "*"&amp;E10&amp;"*")</f>
        <v>35</v>
      </c>
      <c r="F18" s="41">
        <f>E18/COUNTIF(Logs!$C$1:$O$1001, "Final Leg")</f>
        <v>0.92105263157894735</v>
      </c>
      <c r="G18" s="446">
        <f>COUNTIF(Logs!$I$9:'Logs'!$I$1001,  "*"&amp;G10&amp;"*")</f>
        <v>38</v>
      </c>
      <c r="H18" s="41">
        <f>G18/COUNTIF(Logs!$C$1:$O$1001, "Final Leg")</f>
        <v>1</v>
      </c>
      <c r="I18" s="329">
        <f>COUNTIF(Logs!$I$9:'Logs'!$I$649,  "*"&amp;I10&amp;"*")</f>
        <v>5</v>
      </c>
      <c r="J18" s="41">
        <f t="shared" si="1"/>
        <v>0.22727272727272727</v>
      </c>
      <c r="K18" s="561">
        <f>COUNTIF(Logs!$I$9:'Logs'!$I$72, "Fast Forward")</f>
        <v>4</v>
      </c>
      <c r="L18" s="41">
        <f t="shared" ref="L18:L24" si="3">K18/4</f>
        <v>1</v>
      </c>
      <c r="M18" s="561">
        <f>COUNTIF(Logs!$I$81:'Logs'!$I$1001, "Fast Forward")</f>
        <v>5</v>
      </c>
      <c r="N18" s="41">
        <f t="shared" si="2"/>
        <v>0.18518518518518517</v>
      </c>
    </row>
    <row r="19" spans="2:14">
      <c r="B19" s="163" t="s">
        <v>8</v>
      </c>
      <c r="C19" s="319">
        <f>COUNTIF(Logs!J$9:'Logs'!J$1001, "*"&amp;$C$10&amp;"*")</f>
        <v>163</v>
      </c>
      <c r="D19" s="41">
        <f>C19/COUNTIF(Logs!$C$1:$O$1001, "Final Leg")</f>
        <v>4.2894736842105265</v>
      </c>
      <c r="E19" s="8">
        <f>COUNTIF(Logs!$J$9:'Logs'!$J$1001,  "*"&amp;E10&amp;"*")</f>
        <v>40</v>
      </c>
      <c r="F19" s="41">
        <f>E19/COUNTIF(Logs!$C$1:$O$1001, "Final Leg")</f>
        <v>1.0526315789473684</v>
      </c>
      <c r="G19" s="446">
        <f>COUNTIF(Logs!$J$9:'Logs'!$J$1001,  "*"&amp;G10&amp;"*")</f>
        <v>37</v>
      </c>
      <c r="H19" s="41">
        <f>G19/COUNTIF(Logs!$C$1:$O$1001, "Final Leg")</f>
        <v>0.97368421052631582</v>
      </c>
      <c r="I19" s="329">
        <f>COUNTIF(Logs!$J$9:'Logs'!$J$649,  "*"&amp;I10&amp;"*")</f>
        <v>9</v>
      </c>
      <c r="J19" s="41">
        <f t="shared" si="1"/>
        <v>0.40909090909090912</v>
      </c>
      <c r="K19" s="561">
        <f>COUNTIF(Logs!$J$9:'Logs'!$J$72, "Fast Forward")</f>
        <v>4</v>
      </c>
      <c r="L19" s="41">
        <f t="shared" si="3"/>
        <v>1</v>
      </c>
      <c r="M19" s="561">
        <f>COUNTIF(Logs!$J$81:'Logs'!$J$1001,  "Fast Forward")</f>
        <v>3</v>
      </c>
      <c r="N19" s="41">
        <f t="shared" si="2"/>
        <v>0.1111111111111111</v>
      </c>
    </row>
    <row r="20" spans="2:14">
      <c r="B20" s="163" t="s">
        <v>9</v>
      </c>
      <c r="C20" s="319">
        <f>COUNTIF(Logs!K$9:'Logs'!K$1001, "*"&amp;$C$10&amp;"*")</f>
        <v>186</v>
      </c>
      <c r="D20" s="41">
        <f>C20/COUNTIF(Logs!$C$1:$O$1001, "Final Leg")</f>
        <v>4.8947368421052628</v>
      </c>
      <c r="E20" s="8">
        <f>COUNTIF(Logs!$K$9:'Logs'!$K$1001,  "*"&amp;E10&amp;"*")</f>
        <v>40</v>
      </c>
      <c r="F20" s="41">
        <f>E20/COUNTIF(Logs!$C$1:$O$1001, "Final Leg")</f>
        <v>1.0526315789473684</v>
      </c>
      <c r="G20" s="446">
        <f>COUNTIF(Logs!$K$9:'Logs'!$K$1001,  "*"&amp;G10&amp;"*")</f>
        <v>33</v>
      </c>
      <c r="H20" s="41">
        <f>G20/COUNTIF(Logs!$C$1:$O$1001, "Final Leg")</f>
        <v>0.86842105263157898</v>
      </c>
      <c r="I20" s="329">
        <f>COUNTIF(Logs!$K$9:'Logs'!$K$649,  "*"&amp;I10&amp;"*")</f>
        <v>5</v>
      </c>
      <c r="J20" s="41">
        <f t="shared" si="1"/>
        <v>0.22727272727272727</v>
      </c>
      <c r="K20" s="561">
        <f>COUNTIF(Logs!$K$9:'Logs'!$K$72, "Fast Forward")</f>
        <v>4</v>
      </c>
      <c r="L20" s="41">
        <f t="shared" si="3"/>
        <v>1</v>
      </c>
      <c r="M20" s="561">
        <f>COUNTIF(Logs!$K$81:'Logs'!$K$1001, "Fast Forward")</f>
        <v>5</v>
      </c>
      <c r="N20" s="41">
        <f t="shared" si="2"/>
        <v>0.18518518518518517</v>
      </c>
    </row>
    <row r="21" spans="2:14">
      <c r="B21" s="163" t="s">
        <v>10</v>
      </c>
      <c r="C21" s="319">
        <f>COUNTIF(Logs!$L$9:'Logs'!$L$600,  "*"&amp;C10&amp;"*") + COUNTIF(Logs!$L$623:'Logs'!$L$681,  "*"&amp;C10&amp;"*")</f>
        <v>165</v>
      </c>
      <c r="D21" s="41">
        <f>C21/COUNTIF(Logs!$C$1:$O$1001, "Final Leg")</f>
        <v>4.3421052631578947</v>
      </c>
      <c r="E21" s="8">
        <f>COUNTIF(Logs!$L$9:'Logs'!$L$600,  "*"&amp;E10&amp;"*") + COUNTIF(Logs!$L$623:'Logs'!$L$1001,  "*"&amp;E10&amp;"*")</f>
        <v>37</v>
      </c>
      <c r="F21" s="41">
        <f>E21/COUNTIF(Logs!$C$1:$O$1001, "Final Leg")</f>
        <v>0.97368421052631582</v>
      </c>
      <c r="G21" s="446">
        <f>COUNTIF(Logs!$L$9:'Logs'!$L$600,  "*"&amp;G10&amp;"*") + COUNTIF(Logs!$L$623:'Logs'!$L$1001,  "*"&amp;G10&amp;"*")</f>
        <v>32</v>
      </c>
      <c r="H21" s="41">
        <f>G21/COUNTIF(Logs!$C$1:$O$1001, "Final Leg")</f>
        <v>0.84210526315789469</v>
      </c>
      <c r="I21" s="329">
        <f>COUNTIF(Logs!$L$9:'Logs'!$L$600,  "*"&amp;I10&amp;"*") + COUNTIF(Logs!$L$623:'Logs'!$L$649,  "*"&amp;I10&amp;"*")</f>
        <v>7</v>
      </c>
      <c r="J21" s="41">
        <f>I21/22</f>
        <v>0.31818181818181818</v>
      </c>
      <c r="K21" s="561">
        <f>COUNTIF(Logs!$L$9:'Logs'!$L$72, "Fast Forward")</f>
        <v>4</v>
      </c>
      <c r="L21" s="41">
        <f t="shared" si="3"/>
        <v>1</v>
      </c>
      <c r="M21" s="561">
        <f>COUNTIF(Logs!$L$81:'Logs'!$L$600,  "Fast Forward") + COUNTIF(Logs!$L$623:'Logs'!$L$1001, "Fast Forward")</f>
        <v>2</v>
      </c>
      <c r="N21" s="41">
        <f t="shared" si="2"/>
        <v>7.407407407407407E-2</v>
      </c>
    </row>
    <row r="22" spans="2:14">
      <c r="B22" s="163" t="s">
        <v>36</v>
      </c>
      <c r="C22" s="319">
        <f>COUNTIF(Logs!$M$10:'Logs'!$M$210,  "*"&amp;C10&amp;"*") + COUNTIF(Logs!$M$250:'Logs'!$M$569,  "*"&amp;C10&amp;"*") + COUNTIF(Logs!$M$623:'Logs'!$M$632,  "*"&amp;C10&amp;"*")+COUNTIF(Logs!$M$655:'Logs'!$M$681,  "*"&amp;C10&amp;"*")</f>
        <v>140</v>
      </c>
      <c r="D22" s="41">
        <f>C22/COUNTIF(Logs!$C$1:$O$1001, "Final Leg")</f>
        <v>3.6842105263157894</v>
      </c>
      <c r="E22" s="8">
        <f>COUNTIF(Logs!$M$10:'Logs'!$M$210,  "*"&amp;E10&amp;"*") + COUNTIF(Logs!$M$250:'Logs'!$M$569,  "*"&amp;E10&amp;"*") + COUNTIF(Logs!$M$623:'Logs'!$M$632,  "*"&amp;E10&amp;"*")+COUNTIF(Logs!$M$655:'Logs'!$M$681,  "*"&amp;E10&amp;"*")</f>
        <v>35</v>
      </c>
      <c r="F22" s="41">
        <f>E22/COUNTIF(Logs!$C$1:$O$1001, "Final Leg")</f>
        <v>0.92105263157894735</v>
      </c>
      <c r="G22" s="446">
        <f>COUNTIF(Logs!$M$10:'Logs'!$M$210,  "*"&amp;G10&amp;"*") + COUNTIF(Logs!$M$250:'Logs'!$M$569,  "*"&amp;G10&amp;"*") + COUNTIF(Logs!$M$623:'Logs'!$M$632,  "*"&amp;G10&amp;"*")+COUNTIF(Logs!$M$655:'Logs'!$M$681,  "*"&amp;G10&amp;"*")</f>
        <v>28</v>
      </c>
      <c r="H22" s="41">
        <f>G22/COUNTIF(Logs!$C$1:$O$1001, "Final Leg")</f>
        <v>0.73684210526315785</v>
      </c>
      <c r="I22" s="329">
        <f>COUNTIF(Logs!$M$10:'Logs'!$M$210,  "*"&amp;I10&amp;"*") + COUNTIF(Logs!$M$250:'Logs'!$M$569,  "*"&amp;I10&amp;"*") + COUNTIF(Logs!$M$623:'Logs'!$M$632,  "*"&amp;I10&amp;"*")+COUNTIF(Logs!$M$655:'Logs'!$M$664,  "*"&amp;I10&amp;"*")</f>
        <v>6</v>
      </c>
      <c r="J22" s="41">
        <f>I22/18</f>
        <v>0.33333333333333331</v>
      </c>
      <c r="K22" s="561">
        <f>COUNTIF(Logs!$M$10:'Logs'!$M$72, "Fast Forward")</f>
        <v>3</v>
      </c>
      <c r="L22" s="41">
        <f t="shared" si="3"/>
        <v>0.75</v>
      </c>
      <c r="M22" s="561">
        <f>COUNTIF(Logs!$M$81:'Logs'!$M$210, "Fast Forward") + COUNTIF(Logs!$M$250:'Logs'!$M$569,  "Fast Forward") + COUNTIF(Logs!$M$623:'Logs'!$M$632, "Fast Forward")+COUNTIF(Logs!$M$655:'Logs'!$M$1001,  "*"&amp;M10&amp;"*")</f>
        <v>1</v>
      </c>
      <c r="N22" s="41">
        <f t="shared" si="2"/>
        <v>3.7037037037037035E-2</v>
      </c>
    </row>
    <row r="23" spans="2:14">
      <c r="B23" s="163" t="s">
        <v>37</v>
      </c>
      <c r="C23" s="319">
        <f>COUNTIF(Logs!$N$9:'Logs'!$N$90,  "*"&amp;C10&amp;"*") + COUNTIF(Logs!$N$120:'Logs'!$N$129,  "*"&amp;C10&amp;"*")+ COUNTIF(Logs!$N$159:'Logs'!$N$168,  "*"&amp;C10&amp;"*")+ COUNTIF(Logs!$N$198:'Logs'!$N$207,  "*"&amp;C10&amp;"*")</f>
        <v>39</v>
      </c>
      <c r="D23" s="41">
        <f>C23/COUNTIF(Logs!$C$1:$O$1001, "Final Leg")</f>
        <v>1.0263157894736843</v>
      </c>
      <c r="E23" s="8">
        <f>COUNTIF(Logs!$N$9:'Logs'!$N$90,  "*"&amp;E10&amp;"*") + COUNTIF(Logs!$N$120:'Logs'!$N$129,  "*"&amp;E10&amp;"*")+ COUNTIF(Logs!$N$159:'Logs'!$N$168,  "*"&amp;E10&amp;"*")+ COUNTIF(Logs!$N$198:'Logs'!$N$207,  "*"&amp;E10&amp;"*")</f>
        <v>8</v>
      </c>
      <c r="F23" s="41">
        <f>E23/COUNTIF(Logs!$C$1:$O$1001, "Final Leg")</f>
        <v>0.21052631578947367</v>
      </c>
      <c r="G23" s="446">
        <f>COUNTIF(Logs!$N$9:'Logs'!$N$90,  "*"&amp;G10&amp;"*") + COUNTIF(Logs!$N$120:'Logs'!$N$129,  "*"&amp;G10&amp;"*")+ COUNTIF(Logs!$N$159:'Logs'!$N$168,  "*"&amp;G10&amp;"*")+ COUNTIF(Logs!$N$198:'Logs'!$N$207,  "*"&amp;G10&amp;"*")</f>
        <v>7</v>
      </c>
      <c r="H23" s="41">
        <f>G23/COUNTIF(Logs!$C$1:$O$1001, "Final Leg")</f>
        <v>0.18421052631578946</v>
      </c>
      <c r="I23" s="329">
        <f>COUNTIF(Logs!$N$9:'Logs'!$N$90,  "*"&amp;I10&amp;"*") + COUNTIF(Logs!$N$120:'Logs'!$N$129,  "*"&amp;I10&amp;"*")+ COUNTIF(Logs!$N$159:'Logs'!$N$168,  "*"&amp;I10&amp;"*")+ COUNTIF(Logs!$N$198:'Logs'!$N$207,  "*"&amp;I10&amp;"*")</f>
        <v>0</v>
      </c>
      <c r="J23" s="41">
        <f>I23/18</f>
        <v>0</v>
      </c>
      <c r="K23" s="561">
        <f>COUNTIF(Logs!$N$9:'Logs'!$N$72, "Fast Forward")</f>
        <v>0</v>
      </c>
      <c r="L23" s="41">
        <f t="shared" si="3"/>
        <v>0</v>
      </c>
      <c r="M23" s="561">
        <f>COUNTIF(Logs!$N$81:'Logs'!$N$90,  "Fast Forward") + COUNTIF(Logs!$N$120:'Logs'!$N$129, "Fast Forward")+ COUNTIF(Logs!$N$159:'Logs'!$N$168,  "Fast Forward")+ COUNTIF(Logs!$N$198:'Logs'!$N$207,  "Fast Forward")</f>
        <v>0</v>
      </c>
      <c r="N23" s="41">
        <f t="shared" si="2"/>
        <v>0</v>
      </c>
    </row>
    <row r="24" spans="2:14">
      <c r="B24" s="450" t="s">
        <v>1218</v>
      </c>
      <c r="C24" s="319">
        <f>COUNTIF(Logs!$O$9:'Logs'!$O$649,  "*"&amp;C10&amp;"*")+ COUNTIF(Logs!$N$100:'Logs'!$N$112,  "*"&amp;C10&amp;"*") + COUNTIF(Logs!$N$139:'Logs'!$N$150,  "*"&amp;C10&amp;"*")+ COUNTIF(Logs!$N$177:'Logs'!$N$189,  "*"&amp;C10&amp;"*") + COUNTIF(Logs!$M$213:'Logs'!$M$242,  "*"&amp;C10&amp;"*") + COUNTIF(Logs!$N$250:'Logs'!$N$564,  "*"&amp;C10&amp;"*") + COUNTIF(Logs!$M$572:'Logs'!$M$600,  "*"&amp;C10&amp;"*") + COUNTIF(Logs!$L$607:'Logs'!$L$616,  "*"&amp;C10&amp;"*")+ COUNTIF(Logs!$N$623:'Logs'!$N$632,  "*"&amp;C10&amp;"*") + COUNTIF(Logs!$M$640:'Logs'!$N$649,  "*"&amp;C10&amp;"*")+COUNTIF(Logs!$N$655:'Logs'!$N$664,  "*"&amp;C10&amp;"*") + COUNTIF(Logs!$N$671:'Logs'!$N$681,  "*"&amp;C10&amp;"*")</f>
        <v>256</v>
      </c>
      <c r="D24" s="41">
        <f>C24/COUNTIF(Logs!$C$1:$O$1001, "Final Leg")</f>
        <v>6.7368421052631575</v>
      </c>
      <c r="E24" s="8">
        <f>COUNTIF(Logs!$O$9:'Logs'!$O$649,  "*"&amp;E10&amp;"*")+ COUNTIF(Logs!$N$100:'Logs'!$N$112,  "*"&amp;E10&amp;"*") + COUNTIF(Logs!$N$139:'Logs'!$N$150,  "*"&amp;E10&amp;"*")+ COUNTIF(Logs!$N$177:'Logs'!$N$189,  "*"&amp;E10&amp;"*") + COUNTIF(Logs!$M$213:'Logs'!$M$242,  "*"&amp;E10&amp;"*") + COUNTIF(Logs!$N$250:'Logs'!$N$564,  "*"&amp;E10&amp;"*") + COUNTIF(Logs!$M$572:'Logs'!$M$600,  "*"&amp;E10&amp;"*") + COUNTIF(Logs!$L$607:'Logs'!$L$616,  "*"&amp;E10&amp;"*")+ COUNTIF(Logs!$N$623:'Logs'!$N$632,  "*"&amp;E10&amp;"*") + COUNTIF(Logs!$M$640:'Logs'!$N$649,  "*"&amp;E10&amp;"*")+COUNTIF(Logs!$N$655:'Logs'!$N$664,  "*"&amp;E10&amp;"*") +COUNTIF(Logs!$N$671:'Logs'!$N$681,  "*"&amp;E10&amp;"*")</f>
        <v>42</v>
      </c>
      <c r="F24" s="41">
        <f>E24/COUNTIF(Logs!$C$1:$O$1001, "Final Leg")</f>
        <v>1.1052631578947369</v>
      </c>
      <c r="G24" s="446">
        <f>COUNTIF(Logs!$O$9:'Logs'!$O$649,  "*"&amp;G10&amp;"*")+ COUNTIF(Logs!$N$100:'Logs'!$N$112,  "*"&amp;G10&amp;"*") + COUNTIF(Logs!$N$139:'Logs'!$N$150,  "*"&amp;G10&amp;"*")+ COUNTIF(Logs!$N$177:'Logs'!$N$189,  "*"&amp;G10&amp;"*") + COUNTIF(Logs!$M$213:'Logs'!$M$242,  "*"&amp;G10&amp;"*") + COUNTIF(Logs!$N$250:'Logs'!$N$564,  "*"&amp;G10&amp;"*") + COUNTIF(Logs!$M$572:'Logs'!$M$600,  "*"&amp;G10&amp;"*") + COUNTIF(Logs!$L$607:'Logs'!$L$616,  "*"&amp;G10&amp;"*")+ COUNTIF(Logs!$N$623:'Logs'!$N$632,  "*"&amp;G10&amp;"*") + COUNTIF(Logs!$M$640:'Logs'!$N$649,  "*"&amp;G10&amp;"*")+COUNTIF(Logs!$N$655:'Logs'!$N$664,  "*"&amp;G10&amp;"*")  + COUNTIF(Logs!$N$671:'Logs'!$N$681,  "*"&amp;G10&amp;"*")</f>
        <v>13</v>
      </c>
      <c r="H24" s="41">
        <f>G24/COUNTIF(Logs!$C$1:$O$1001, "Final Leg")</f>
        <v>0.34210526315789475</v>
      </c>
      <c r="I24" s="329">
        <f>COUNTIF(Logs!$O$9:'Logs'!$O$649,  "*"&amp;I10&amp;"*")+ COUNTIF(Logs!$N$100:'Logs'!$N$112,  "*"&amp;I10&amp;"*") + COUNTIF(Logs!$N$139:'Logs'!$N$150,  "*"&amp;I10&amp;"*")+ COUNTIF(Logs!$N$177:'Logs'!$N$189,  "*"&amp;I10&amp;"*") + COUNTIF(Logs!$M$213:'Logs'!$M$242,  "*"&amp;I10&amp;"*") + COUNTIF(Logs!$N$250:'Logs'!$N$564,  "*"&amp;I10&amp;"*") + COUNTIF(Logs!$M$572:'Logs'!$M$600,  "*"&amp;I10&amp;"*") + COUNTIF(Logs!$L$607:'Logs'!$L$616,  "*"&amp;I10&amp;"*")+ COUNTIF(Logs!$N$623:'Logs'!$N$632,  "*"&amp;I10&amp;"*") + COUNTIF(Logs!$M$640:'Logs'!$N$649,  "*"&amp;I10&amp;"*")+COUNTIF(Logs!$N$655:'Logs'!$N$664,  "*"&amp;C10&amp;"*")</f>
        <v>7</v>
      </c>
      <c r="J24" s="41">
        <f>I24/22</f>
        <v>0.31818181818181818</v>
      </c>
      <c r="K24" s="561">
        <f>COUNTIF(Logs!$O$9:'Logs'!$O$72, "Fast Forward")</f>
        <v>0</v>
      </c>
      <c r="L24" s="41">
        <f t="shared" si="3"/>
        <v>0</v>
      </c>
      <c r="M24" s="561">
        <f>COUNTIF(Logs!$O$81:'Logs'!$O$649,  "Fast Forward")+ COUNTIF(Logs!$N$100:'Logs'!$N$112,  "Fast Forward") + COUNTIF(Logs!$N$139:'Logs'!$N$150,  "Fast Forward")+ COUNTIF(Logs!$N$177:'Logs'!$N$189,  "Fast Forward") + COUNTIF(Logs!$M$213:'Logs'!$M$242,  "Fast Forward") + COUNTIF(Logs!$N$250:'Logs'!$N$564,  "Fast Forward") + COUNTIF(Logs!$M$572:'Logs'!$M$600,  "Fast Forward") + COUNTIF(Logs!$L$607:'Logs'!$L$616, "Fast Forward")+ COUNTIF(Logs!$N$623:'Logs'!$N$632,  "Fast Forward") + COUNTIF(Logs!$M$640:'Logs'!$N$649, "Fast Forward")+COUNTIF(Logs!$N$655:'Logs'!$N$664,  "*Fast Forward*") + COUNTIF(Logs!$N$671:'Logs'!$N$681,  "*Fast Forward*")</f>
        <v>0</v>
      </c>
      <c r="N24" s="41">
        <f t="shared" si="2"/>
        <v>0</v>
      </c>
    </row>
    <row r="25" spans="2:14">
      <c r="B25" s="272" t="s">
        <v>200</v>
      </c>
      <c r="C25" s="356">
        <f>SUM(C12:C24)</f>
        <v>2016</v>
      </c>
      <c r="D25" s="357">
        <f>AVERAGE(D12:D24)</f>
        <v>4.0809716599190278</v>
      </c>
      <c r="E25" s="323">
        <f>SUM(E12:E24)</f>
        <v>454</v>
      </c>
      <c r="F25" s="357">
        <f>AVERAGE(F12:F24)</f>
        <v>0.91902834008097156</v>
      </c>
      <c r="G25" s="447">
        <f>SUM(G12:G24)</f>
        <v>394</v>
      </c>
      <c r="H25" s="357">
        <f>AVERAGE(H12:H24)</f>
        <v>0.79757085020242913</v>
      </c>
      <c r="I25" s="330">
        <f>SUM(I12:I24)</f>
        <v>56</v>
      </c>
      <c r="J25" s="357">
        <f>AVERAGE(J12:J24)</f>
        <v>0.20046620046620051</v>
      </c>
      <c r="K25" s="562">
        <f>SUM(K12:K24)</f>
        <v>43</v>
      </c>
      <c r="L25" s="357">
        <f>AVERAGE(L12:L24)</f>
        <v>0.82692307692307687</v>
      </c>
      <c r="M25" s="562">
        <f>SUM(M12:M24)</f>
        <v>32</v>
      </c>
      <c r="N25" s="357">
        <f>AVERAGE(N12:N24)</f>
        <v>9.1168091168091145E-2</v>
      </c>
    </row>
    <row r="26" spans="2:14">
      <c r="B26" s="35"/>
    </row>
    <row r="27" spans="2:14">
      <c r="B27" s="35"/>
    </row>
    <row r="28" spans="2:14">
      <c r="B28" s="35"/>
    </row>
    <row r="29" spans="2:14">
      <c r="B29" s="35"/>
    </row>
    <row r="30" spans="2:14">
      <c r="B30" s="35"/>
    </row>
    <row r="31" spans="2:14">
      <c r="B31" s="35"/>
    </row>
    <row r="32" spans="2:14">
      <c r="B32" s="35"/>
    </row>
    <row r="33" spans="2:2">
      <c r="B33" s="35"/>
    </row>
    <row r="34" spans="2:2">
      <c r="B34" s="35"/>
    </row>
    <row r="35" spans="2:2">
      <c r="B35" s="35"/>
    </row>
    <row r="36" spans="2:2">
      <c r="B36" s="35"/>
    </row>
    <row r="37" spans="2:2">
      <c r="B37" s="35"/>
    </row>
    <row r="38" spans="2:2">
      <c r="B38" s="35"/>
    </row>
    <row r="39" spans="2:2">
      <c r="B39" s="35"/>
    </row>
    <row r="40" spans="2:2">
      <c r="B40" s="35"/>
    </row>
    <row r="41" spans="2:2">
      <c r="B41" s="35"/>
    </row>
    <row r="42" spans="2:2">
      <c r="B42" s="35"/>
    </row>
    <row r="43" spans="2:2">
      <c r="B43" s="35"/>
    </row>
    <row r="44" spans="2:2">
      <c r="B44" s="35"/>
    </row>
    <row r="45" spans="2:2">
      <c r="B45" s="35"/>
    </row>
    <row r="46" spans="2:2">
      <c r="B46" s="35"/>
    </row>
    <row r="47" spans="2:2">
      <c r="B47" s="35"/>
    </row>
    <row r="48" spans="2:2" ht="18.75">
      <c r="B48" s="68" t="s">
        <v>1987</v>
      </c>
    </row>
    <row r="49" spans="2:44">
      <c r="B49" s="82" t="s">
        <v>1110</v>
      </c>
      <c r="C49" s="372" t="s">
        <v>200</v>
      </c>
      <c r="D49" s="372" t="s">
        <v>333</v>
      </c>
      <c r="E49" s="20" t="s">
        <v>126</v>
      </c>
      <c r="F49" s="20" t="s">
        <v>127</v>
      </c>
      <c r="G49" s="20" t="s">
        <v>128</v>
      </c>
      <c r="H49" s="20" t="s">
        <v>129</v>
      </c>
      <c r="I49" s="20" t="s">
        <v>130</v>
      </c>
      <c r="J49" s="20" t="s">
        <v>131</v>
      </c>
      <c r="K49" s="20" t="s">
        <v>132</v>
      </c>
      <c r="L49" s="20" t="s">
        <v>133</v>
      </c>
      <c r="M49" s="20" t="s">
        <v>134</v>
      </c>
      <c r="N49" s="20" t="s">
        <v>135</v>
      </c>
      <c r="O49" s="20" t="s">
        <v>136</v>
      </c>
      <c r="P49" s="20" t="s">
        <v>137</v>
      </c>
      <c r="Q49" s="20" t="s">
        <v>138</v>
      </c>
      <c r="R49" s="20" t="s">
        <v>139</v>
      </c>
      <c r="S49" s="20" t="s">
        <v>140</v>
      </c>
      <c r="T49" s="20" t="s">
        <v>141</v>
      </c>
      <c r="U49" s="20" t="s">
        <v>142</v>
      </c>
      <c r="V49" s="20" t="s">
        <v>143</v>
      </c>
      <c r="W49" s="20" t="s">
        <v>144</v>
      </c>
      <c r="X49" s="20" t="s">
        <v>145</v>
      </c>
      <c r="Y49" s="20" t="s">
        <v>146</v>
      </c>
      <c r="Z49" s="20" t="s">
        <v>147</v>
      </c>
      <c r="AA49" s="20" t="s">
        <v>148</v>
      </c>
      <c r="AB49" s="20" t="s">
        <v>125</v>
      </c>
      <c r="AC49" s="20" t="s">
        <v>116</v>
      </c>
      <c r="AD49" s="20" t="s">
        <v>104</v>
      </c>
      <c r="AE49" s="20" t="s">
        <v>95</v>
      </c>
      <c r="AF49" s="20" t="s">
        <v>85</v>
      </c>
      <c r="AG49" s="20" t="s">
        <v>66</v>
      </c>
      <c r="AH49" s="20" t="s">
        <v>65</v>
      </c>
      <c r="AI49" s="20" t="s">
        <v>60</v>
      </c>
      <c r="AJ49" s="20" t="s">
        <v>35</v>
      </c>
      <c r="AK49" s="20" t="s">
        <v>11</v>
      </c>
      <c r="AL49" s="20" t="s">
        <v>198</v>
      </c>
      <c r="AM49" s="20" t="s">
        <v>184</v>
      </c>
      <c r="AN49" s="20" t="s">
        <v>563</v>
      </c>
      <c r="AO49" s="20" t="s">
        <v>1742</v>
      </c>
      <c r="AP49" s="20" t="s">
        <v>2056</v>
      </c>
      <c r="AR49" s="287"/>
    </row>
    <row r="50" spans="2:44">
      <c r="B50" s="163" t="s">
        <v>1</v>
      </c>
      <c r="C50" s="291">
        <f t="shared" ref="C50:C63" si="4">SUM(E50:AP50)</f>
        <v>230</v>
      </c>
      <c r="D50" s="373">
        <f t="shared" ref="D50:D60" si="5">AVERAGE(E50:AO50)</f>
        <v>5.9459459459459456</v>
      </c>
      <c r="E50">
        <v>6</v>
      </c>
      <c r="F50">
        <v>6</v>
      </c>
      <c r="G50">
        <v>6</v>
      </c>
      <c r="H50">
        <v>6</v>
      </c>
      <c r="I50">
        <v>8</v>
      </c>
      <c r="J50">
        <v>8</v>
      </c>
      <c r="K50">
        <v>8</v>
      </c>
      <c r="L50">
        <v>8</v>
      </c>
      <c r="M50">
        <v>5</v>
      </c>
      <c r="N50">
        <v>6</v>
      </c>
      <c r="O50">
        <v>5</v>
      </c>
      <c r="P50">
        <v>5</v>
      </c>
      <c r="Q50">
        <v>6</v>
      </c>
      <c r="R50">
        <v>6</v>
      </c>
      <c r="S50">
        <v>3</v>
      </c>
      <c r="T50">
        <v>5</v>
      </c>
      <c r="U50">
        <v>5</v>
      </c>
      <c r="V50">
        <v>5</v>
      </c>
      <c r="W50">
        <v>8</v>
      </c>
      <c r="X50">
        <v>6</v>
      </c>
      <c r="Y50">
        <v>7</v>
      </c>
      <c r="Z50">
        <v>7</v>
      </c>
      <c r="AA50">
        <v>6</v>
      </c>
      <c r="AB50">
        <v>6</v>
      </c>
      <c r="AC50">
        <v>6</v>
      </c>
      <c r="AD50">
        <v>4</v>
      </c>
      <c r="AE50">
        <v>6</v>
      </c>
      <c r="AF50">
        <v>5</v>
      </c>
      <c r="AG50">
        <v>5</v>
      </c>
      <c r="AH50">
        <v>6</v>
      </c>
      <c r="AI50">
        <v>8</v>
      </c>
      <c r="AJ50">
        <v>5</v>
      </c>
      <c r="AK50">
        <v>5</v>
      </c>
      <c r="AL50">
        <v>5</v>
      </c>
      <c r="AM50">
        <v>7</v>
      </c>
      <c r="AN50">
        <v>5</v>
      </c>
      <c r="AO50">
        <v>6</v>
      </c>
      <c r="AP50" s="42">
        <v>10</v>
      </c>
      <c r="AR50" s="90"/>
    </row>
    <row r="51" spans="2:44">
      <c r="B51" s="163" t="s">
        <v>2</v>
      </c>
      <c r="C51" s="291">
        <f t="shared" si="4"/>
        <v>219</v>
      </c>
      <c r="D51" s="373">
        <f t="shared" si="5"/>
        <v>5.756756756756757</v>
      </c>
      <c r="E51">
        <v>5</v>
      </c>
      <c r="F51">
        <v>8</v>
      </c>
      <c r="G51">
        <v>7</v>
      </c>
      <c r="H51">
        <v>7</v>
      </c>
      <c r="I51">
        <v>6</v>
      </c>
      <c r="J51">
        <v>8</v>
      </c>
      <c r="K51">
        <v>5</v>
      </c>
      <c r="L51">
        <v>6</v>
      </c>
      <c r="M51">
        <v>5</v>
      </c>
      <c r="N51">
        <v>5</v>
      </c>
      <c r="O51">
        <v>5</v>
      </c>
      <c r="P51">
        <v>5</v>
      </c>
      <c r="Q51">
        <v>6</v>
      </c>
      <c r="R51">
        <v>6</v>
      </c>
      <c r="S51">
        <v>6</v>
      </c>
      <c r="T51">
        <v>5</v>
      </c>
      <c r="U51">
        <v>6</v>
      </c>
      <c r="V51">
        <v>7</v>
      </c>
      <c r="W51">
        <v>6</v>
      </c>
      <c r="X51">
        <v>5</v>
      </c>
      <c r="Y51">
        <v>7</v>
      </c>
      <c r="Z51">
        <v>4</v>
      </c>
      <c r="AA51">
        <v>6</v>
      </c>
      <c r="AB51">
        <v>6</v>
      </c>
      <c r="AC51">
        <v>6</v>
      </c>
      <c r="AD51">
        <v>5</v>
      </c>
      <c r="AE51">
        <v>5</v>
      </c>
      <c r="AF51">
        <v>6</v>
      </c>
      <c r="AG51">
        <v>5</v>
      </c>
      <c r="AH51">
        <v>4</v>
      </c>
      <c r="AI51">
        <v>7</v>
      </c>
      <c r="AJ51">
        <v>7</v>
      </c>
      <c r="AK51">
        <v>5</v>
      </c>
      <c r="AL51">
        <v>5</v>
      </c>
      <c r="AM51">
        <v>5</v>
      </c>
      <c r="AN51">
        <v>5</v>
      </c>
      <c r="AO51">
        <v>6</v>
      </c>
      <c r="AP51" s="42">
        <v>6</v>
      </c>
      <c r="AR51" s="90"/>
    </row>
    <row r="52" spans="2:44">
      <c r="B52" s="163" t="s">
        <v>3</v>
      </c>
      <c r="C52" s="291">
        <f t="shared" si="4"/>
        <v>225</v>
      </c>
      <c r="D52" s="373">
        <f t="shared" si="5"/>
        <v>5.8918918918918921</v>
      </c>
      <c r="E52">
        <v>6</v>
      </c>
      <c r="F52">
        <v>6</v>
      </c>
      <c r="G52">
        <v>6</v>
      </c>
      <c r="H52">
        <v>7</v>
      </c>
      <c r="I52">
        <v>6</v>
      </c>
      <c r="J52">
        <v>7</v>
      </c>
      <c r="K52">
        <v>5</v>
      </c>
      <c r="L52">
        <v>7</v>
      </c>
      <c r="M52">
        <v>6</v>
      </c>
      <c r="N52">
        <v>7</v>
      </c>
      <c r="O52">
        <v>6</v>
      </c>
      <c r="P52">
        <v>6</v>
      </c>
      <c r="Q52">
        <v>6</v>
      </c>
      <c r="R52">
        <v>5</v>
      </c>
      <c r="S52">
        <v>6</v>
      </c>
      <c r="T52">
        <v>6</v>
      </c>
      <c r="U52">
        <v>7</v>
      </c>
      <c r="V52">
        <v>6</v>
      </c>
      <c r="W52">
        <v>6</v>
      </c>
      <c r="X52">
        <v>5</v>
      </c>
      <c r="Y52">
        <v>6</v>
      </c>
      <c r="Z52">
        <v>6</v>
      </c>
      <c r="AA52">
        <v>6</v>
      </c>
      <c r="AB52">
        <v>5</v>
      </c>
      <c r="AC52">
        <v>6</v>
      </c>
      <c r="AD52">
        <v>6</v>
      </c>
      <c r="AE52">
        <v>5</v>
      </c>
      <c r="AF52">
        <v>6</v>
      </c>
      <c r="AG52">
        <v>6</v>
      </c>
      <c r="AH52">
        <v>5</v>
      </c>
      <c r="AI52">
        <v>4</v>
      </c>
      <c r="AJ52">
        <v>5</v>
      </c>
      <c r="AK52">
        <v>6</v>
      </c>
      <c r="AL52">
        <v>8</v>
      </c>
      <c r="AM52">
        <v>5</v>
      </c>
      <c r="AN52">
        <v>5</v>
      </c>
      <c r="AO52">
        <v>6</v>
      </c>
      <c r="AP52" s="42">
        <v>7</v>
      </c>
      <c r="AR52" s="90"/>
    </row>
    <row r="53" spans="2:44" outlineLevel="1">
      <c r="B53" s="163" t="s">
        <v>4</v>
      </c>
      <c r="C53" s="291">
        <f t="shared" si="4"/>
        <v>245</v>
      </c>
      <c r="D53" s="373">
        <f t="shared" si="5"/>
        <v>6.3783783783783781</v>
      </c>
      <c r="E53">
        <v>5</v>
      </c>
      <c r="F53">
        <v>10</v>
      </c>
      <c r="G53">
        <v>7</v>
      </c>
      <c r="H53">
        <v>7</v>
      </c>
      <c r="I53">
        <v>6</v>
      </c>
      <c r="J53">
        <v>8</v>
      </c>
      <c r="K53">
        <v>6</v>
      </c>
      <c r="L53">
        <v>10</v>
      </c>
      <c r="M53">
        <v>7</v>
      </c>
      <c r="N53">
        <v>6</v>
      </c>
      <c r="O53">
        <v>6</v>
      </c>
      <c r="P53">
        <v>7</v>
      </c>
      <c r="Q53">
        <v>9</v>
      </c>
      <c r="R53">
        <v>7</v>
      </c>
      <c r="S53">
        <v>6</v>
      </c>
      <c r="T53">
        <v>6</v>
      </c>
      <c r="U53">
        <v>7</v>
      </c>
      <c r="V53">
        <v>8</v>
      </c>
      <c r="W53">
        <v>5</v>
      </c>
      <c r="X53">
        <v>7</v>
      </c>
      <c r="Y53">
        <v>6</v>
      </c>
      <c r="Z53">
        <v>4</v>
      </c>
      <c r="AA53">
        <v>6</v>
      </c>
      <c r="AB53">
        <v>5</v>
      </c>
      <c r="AC53">
        <v>6</v>
      </c>
      <c r="AD53">
        <v>6</v>
      </c>
      <c r="AE53">
        <v>6</v>
      </c>
      <c r="AF53">
        <v>6</v>
      </c>
      <c r="AG53">
        <v>5</v>
      </c>
      <c r="AH53">
        <v>5</v>
      </c>
      <c r="AI53">
        <v>7</v>
      </c>
      <c r="AJ53">
        <v>5</v>
      </c>
      <c r="AK53">
        <v>7</v>
      </c>
      <c r="AL53">
        <v>5</v>
      </c>
      <c r="AM53">
        <v>5</v>
      </c>
      <c r="AN53">
        <v>5</v>
      </c>
      <c r="AO53">
        <v>7</v>
      </c>
      <c r="AP53" s="42">
        <v>9</v>
      </c>
      <c r="AR53" s="90"/>
    </row>
    <row r="54" spans="2:44" outlineLevel="1">
      <c r="B54" s="163" t="s">
        <v>5</v>
      </c>
      <c r="C54" s="291">
        <f t="shared" si="4"/>
        <v>235</v>
      </c>
      <c r="D54" s="373">
        <f t="shared" si="5"/>
        <v>6.1891891891891895</v>
      </c>
      <c r="E54">
        <v>6</v>
      </c>
      <c r="F54">
        <v>6</v>
      </c>
      <c r="G54">
        <v>7</v>
      </c>
      <c r="H54">
        <v>7</v>
      </c>
      <c r="I54">
        <v>8</v>
      </c>
      <c r="J54">
        <v>7</v>
      </c>
      <c r="K54">
        <v>7</v>
      </c>
      <c r="L54">
        <v>6</v>
      </c>
      <c r="M54">
        <v>6</v>
      </c>
      <c r="N54">
        <v>6</v>
      </c>
      <c r="O54">
        <v>6</v>
      </c>
      <c r="P54">
        <v>6</v>
      </c>
      <c r="Q54">
        <v>7</v>
      </c>
      <c r="R54">
        <v>4</v>
      </c>
      <c r="S54">
        <v>7</v>
      </c>
      <c r="T54">
        <v>7</v>
      </c>
      <c r="U54">
        <v>7</v>
      </c>
      <c r="V54">
        <v>7</v>
      </c>
      <c r="W54">
        <v>7</v>
      </c>
      <c r="X54">
        <v>7</v>
      </c>
      <c r="Y54">
        <v>5</v>
      </c>
      <c r="Z54">
        <v>5</v>
      </c>
      <c r="AA54">
        <v>7</v>
      </c>
      <c r="AB54">
        <v>7</v>
      </c>
      <c r="AC54">
        <v>9</v>
      </c>
      <c r="AD54">
        <v>7</v>
      </c>
      <c r="AE54">
        <v>5</v>
      </c>
      <c r="AF54">
        <v>6</v>
      </c>
      <c r="AG54">
        <v>6</v>
      </c>
      <c r="AH54">
        <v>5</v>
      </c>
      <c r="AI54">
        <v>6</v>
      </c>
      <c r="AJ54">
        <v>6</v>
      </c>
      <c r="AK54">
        <v>4</v>
      </c>
      <c r="AL54">
        <v>4</v>
      </c>
      <c r="AM54">
        <v>5</v>
      </c>
      <c r="AN54">
        <v>5</v>
      </c>
      <c r="AO54">
        <v>6</v>
      </c>
      <c r="AP54" s="42">
        <v>6</v>
      </c>
      <c r="AR54" s="90"/>
    </row>
    <row r="55" spans="2:44" outlineLevel="1">
      <c r="B55" s="163" t="s">
        <v>6</v>
      </c>
      <c r="C55" s="291">
        <f t="shared" si="4"/>
        <v>245</v>
      </c>
      <c r="D55" s="373">
        <f t="shared" si="5"/>
        <v>6.4864864864864868</v>
      </c>
      <c r="E55">
        <v>6</v>
      </c>
      <c r="F55">
        <v>7</v>
      </c>
      <c r="G55">
        <v>7</v>
      </c>
      <c r="H55">
        <v>7</v>
      </c>
      <c r="I55">
        <v>6</v>
      </c>
      <c r="J55">
        <v>13</v>
      </c>
      <c r="K55">
        <v>6</v>
      </c>
      <c r="L55">
        <v>6</v>
      </c>
      <c r="M55">
        <v>6</v>
      </c>
      <c r="N55">
        <v>6</v>
      </c>
      <c r="O55">
        <v>5</v>
      </c>
      <c r="P55">
        <v>5</v>
      </c>
      <c r="Q55">
        <v>5</v>
      </c>
      <c r="R55">
        <v>7</v>
      </c>
      <c r="S55">
        <v>6</v>
      </c>
      <c r="T55">
        <v>6</v>
      </c>
      <c r="U55">
        <v>6</v>
      </c>
      <c r="V55">
        <v>6</v>
      </c>
      <c r="W55">
        <v>6</v>
      </c>
      <c r="X55">
        <v>7</v>
      </c>
      <c r="Y55">
        <v>8</v>
      </c>
      <c r="Z55">
        <v>6</v>
      </c>
      <c r="AA55">
        <v>7</v>
      </c>
      <c r="AB55">
        <v>7</v>
      </c>
      <c r="AC55">
        <v>6</v>
      </c>
      <c r="AD55">
        <v>5</v>
      </c>
      <c r="AE55">
        <v>6</v>
      </c>
      <c r="AF55">
        <v>7</v>
      </c>
      <c r="AG55">
        <v>6</v>
      </c>
      <c r="AH55">
        <v>5</v>
      </c>
      <c r="AI55">
        <v>8</v>
      </c>
      <c r="AJ55">
        <v>6</v>
      </c>
      <c r="AK55">
        <v>5</v>
      </c>
      <c r="AL55">
        <v>5</v>
      </c>
      <c r="AM55">
        <v>7</v>
      </c>
      <c r="AN55">
        <v>9</v>
      </c>
      <c r="AO55">
        <v>8</v>
      </c>
      <c r="AP55" s="42">
        <v>5</v>
      </c>
      <c r="AR55" s="90"/>
    </row>
    <row r="56" spans="2:44" outlineLevel="1">
      <c r="B56" s="163" t="s">
        <v>7</v>
      </c>
      <c r="C56" s="291">
        <f t="shared" si="4"/>
        <v>235</v>
      </c>
      <c r="D56" s="373">
        <f t="shared" si="5"/>
        <v>6.1621621621621623</v>
      </c>
      <c r="E56">
        <v>5</v>
      </c>
      <c r="F56">
        <v>8</v>
      </c>
      <c r="G56">
        <v>7</v>
      </c>
      <c r="H56">
        <v>7</v>
      </c>
      <c r="I56">
        <v>6</v>
      </c>
      <c r="J56">
        <v>8</v>
      </c>
      <c r="K56">
        <v>5</v>
      </c>
      <c r="L56">
        <v>6</v>
      </c>
      <c r="M56">
        <v>8</v>
      </c>
      <c r="N56">
        <v>6</v>
      </c>
      <c r="O56">
        <v>5</v>
      </c>
      <c r="P56">
        <v>7</v>
      </c>
      <c r="Q56">
        <v>6</v>
      </c>
      <c r="R56">
        <v>6</v>
      </c>
      <c r="S56">
        <v>6</v>
      </c>
      <c r="T56">
        <v>6</v>
      </c>
      <c r="U56">
        <v>7</v>
      </c>
      <c r="V56">
        <v>5</v>
      </c>
      <c r="W56">
        <v>6</v>
      </c>
      <c r="X56">
        <v>5</v>
      </c>
      <c r="Y56">
        <v>6</v>
      </c>
      <c r="Z56">
        <v>7</v>
      </c>
      <c r="AA56">
        <v>6</v>
      </c>
      <c r="AB56">
        <v>6</v>
      </c>
      <c r="AC56">
        <v>5</v>
      </c>
      <c r="AD56">
        <v>6</v>
      </c>
      <c r="AE56">
        <v>7</v>
      </c>
      <c r="AF56">
        <v>6</v>
      </c>
      <c r="AG56">
        <v>5</v>
      </c>
      <c r="AH56">
        <v>5</v>
      </c>
      <c r="AI56">
        <v>5</v>
      </c>
      <c r="AJ56">
        <v>7</v>
      </c>
      <c r="AK56">
        <v>5</v>
      </c>
      <c r="AL56">
        <v>5</v>
      </c>
      <c r="AM56">
        <v>8</v>
      </c>
      <c r="AN56">
        <v>5</v>
      </c>
      <c r="AO56">
        <v>9</v>
      </c>
      <c r="AP56" s="42">
        <v>7</v>
      </c>
      <c r="AR56" s="90"/>
    </row>
    <row r="57" spans="2:44" outlineLevel="1">
      <c r="B57" s="163" t="s">
        <v>8</v>
      </c>
      <c r="C57" s="291">
        <f t="shared" si="4"/>
        <v>258</v>
      </c>
      <c r="D57" s="373">
        <f t="shared" si="5"/>
        <v>6.7837837837837842</v>
      </c>
      <c r="E57">
        <v>7</v>
      </c>
      <c r="F57">
        <v>7</v>
      </c>
      <c r="G57">
        <v>8</v>
      </c>
      <c r="H57">
        <v>6</v>
      </c>
      <c r="I57">
        <v>6</v>
      </c>
      <c r="J57">
        <v>7</v>
      </c>
      <c r="K57">
        <v>6</v>
      </c>
      <c r="L57">
        <v>6</v>
      </c>
      <c r="M57">
        <v>6</v>
      </c>
      <c r="N57">
        <v>5</v>
      </c>
      <c r="O57">
        <v>6</v>
      </c>
      <c r="P57">
        <v>8</v>
      </c>
      <c r="Q57">
        <v>6</v>
      </c>
      <c r="R57">
        <v>5</v>
      </c>
      <c r="S57">
        <v>6</v>
      </c>
      <c r="T57">
        <v>6</v>
      </c>
      <c r="U57">
        <v>7</v>
      </c>
      <c r="V57">
        <v>7</v>
      </c>
      <c r="W57">
        <v>7</v>
      </c>
      <c r="X57">
        <v>7</v>
      </c>
      <c r="Y57">
        <v>5</v>
      </c>
      <c r="Z57">
        <v>8</v>
      </c>
      <c r="AA57">
        <v>8</v>
      </c>
      <c r="AB57">
        <v>6</v>
      </c>
      <c r="AC57">
        <v>7</v>
      </c>
      <c r="AD57">
        <v>7</v>
      </c>
      <c r="AE57">
        <v>6</v>
      </c>
      <c r="AF57">
        <v>6</v>
      </c>
      <c r="AG57">
        <v>8</v>
      </c>
      <c r="AH57">
        <v>5</v>
      </c>
      <c r="AI57">
        <v>6</v>
      </c>
      <c r="AJ57">
        <v>11</v>
      </c>
      <c r="AK57">
        <v>6</v>
      </c>
      <c r="AL57">
        <v>9</v>
      </c>
      <c r="AM57">
        <v>8</v>
      </c>
      <c r="AN57">
        <v>6</v>
      </c>
      <c r="AO57">
        <v>10</v>
      </c>
      <c r="AP57" s="42">
        <v>7</v>
      </c>
      <c r="AR57" s="90"/>
    </row>
    <row r="58" spans="2:44" outlineLevel="1">
      <c r="B58" s="163" t="s">
        <v>9</v>
      </c>
      <c r="C58" s="291">
        <f t="shared" si="4"/>
        <v>273</v>
      </c>
      <c r="D58" s="373">
        <f t="shared" si="5"/>
        <v>7.1891891891891895</v>
      </c>
      <c r="E58">
        <v>5</v>
      </c>
      <c r="F58">
        <v>7</v>
      </c>
      <c r="G58">
        <v>7</v>
      </c>
      <c r="H58">
        <v>7</v>
      </c>
      <c r="I58">
        <v>9</v>
      </c>
      <c r="J58">
        <v>7</v>
      </c>
      <c r="K58">
        <v>8</v>
      </c>
      <c r="L58">
        <v>9</v>
      </c>
      <c r="M58">
        <v>6</v>
      </c>
      <c r="N58">
        <v>13</v>
      </c>
      <c r="O58">
        <v>6</v>
      </c>
      <c r="P58">
        <v>6</v>
      </c>
      <c r="Q58">
        <v>6</v>
      </c>
      <c r="R58">
        <v>6</v>
      </c>
      <c r="S58">
        <v>6</v>
      </c>
      <c r="T58">
        <v>9</v>
      </c>
      <c r="U58">
        <v>6</v>
      </c>
      <c r="V58">
        <v>7</v>
      </c>
      <c r="W58">
        <v>8</v>
      </c>
      <c r="X58">
        <v>5</v>
      </c>
      <c r="Y58">
        <v>8</v>
      </c>
      <c r="Z58">
        <v>7</v>
      </c>
      <c r="AA58">
        <v>7</v>
      </c>
      <c r="AB58">
        <v>8</v>
      </c>
      <c r="AC58">
        <v>8</v>
      </c>
      <c r="AD58">
        <v>5</v>
      </c>
      <c r="AE58">
        <v>7</v>
      </c>
      <c r="AF58">
        <v>9</v>
      </c>
      <c r="AG58">
        <v>6</v>
      </c>
      <c r="AH58">
        <v>9</v>
      </c>
      <c r="AI58">
        <v>7</v>
      </c>
      <c r="AJ58">
        <v>8</v>
      </c>
      <c r="AK58">
        <v>5</v>
      </c>
      <c r="AL58">
        <v>6</v>
      </c>
      <c r="AM58">
        <v>7</v>
      </c>
      <c r="AN58">
        <v>8</v>
      </c>
      <c r="AO58">
        <v>8</v>
      </c>
      <c r="AP58" s="42">
        <v>7</v>
      </c>
      <c r="AR58" s="90"/>
    </row>
    <row r="59" spans="2:44" outlineLevel="1">
      <c r="B59" s="163" t="s">
        <v>10</v>
      </c>
      <c r="C59" s="291">
        <f t="shared" si="4"/>
        <v>254</v>
      </c>
      <c r="D59" s="373">
        <f t="shared" si="5"/>
        <v>6.833333333333333</v>
      </c>
      <c r="E59">
        <v>7</v>
      </c>
      <c r="F59">
        <v>6</v>
      </c>
      <c r="G59">
        <v>8</v>
      </c>
      <c r="H59">
        <v>8</v>
      </c>
      <c r="I59">
        <v>4</v>
      </c>
      <c r="J59">
        <v>7</v>
      </c>
      <c r="K59">
        <v>6</v>
      </c>
      <c r="L59">
        <v>10</v>
      </c>
      <c r="M59">
        <v>7</v>
      </c>
      <c r="N59">
        <v>6</v>
      </c>
      <c r="O59">
        <v>7</v>
      </c>
      <c r="P59">
        <v>9</v>
      </c>
      <c r="Q59">
        <v>7</v>
      </c>
      <c r="R59">
        <v>5</v>
      </c>
      <c r="S59">
        <v>6</v>
      </c>
      <c r="T59">
        <v>7</v>
      </c>
      <c r="U59">
        <v>6</v>
      </c>
      <c r="V59">
        <v>5</v>
      </c>
      <c r="W59">
        <v>7</v>
      </c>
      <c r="X59">
        <v>8</v>
      </c>
      <c r="Y59">
        <v>6</v>
      </c>
      <c r="Z59">
        <v>7</v>
      </c>
      <c r="AA59">
        <v>5</v>
      </c>
      <c r="AB59">
        <v>8</v>
      </c>
      <c r="AC59">
        <v>6</v>
      </c>
      <c r="AD59">
        <v>9</v>
      </c>
      <c r="AE59">
        <v>5</v>
      </c>
      <c r="AF59">
        <v>7</v>
      </c>
      <c r="AG59">
        <v>8</v>
      </c>
      <c r="AH59">
        <v>5</v>
      </c>
      <c r="AI59">
        <v>5</v>
      </c>
      <c r="AJ59">
        <v>10</v>
      </c>
      <c r="AK59">
        <v>7</v>
      </c>
      <c r="AM59">
        <v>9</v>
      </c>
      <c r="AN59">
        <v>5</v>
      </c>
      <c r="AO59">
        <v>8</v>
      </c>
      <c r="AP59" s="42">
        <v>8</v>
      </c>
      <c r="AR59" s="90"/>
    </row>
    <row r="60" spans="2:44" outlineLevel="1">
      <c r="B60" s="163" t="s">
        <v>36</v>
      </c>
      <c r="C60" s="291">
        <f t="shared" si="4"/>
        <v>212</v>
      </c>
      <c r="D60" s="373">
        <f t="shared" si="5"/>
        <v>6.645161290322581</v>
      </c>
      <c r="E60">
        <v>5</v>
      </c>
      <c r="F60">
        <v>7</v>
      </c>
      <c r="G60">
        <v>5</v>
      </c>
      <c r="H60">
        <v>7</v>
      </c>
      <c r="I60">
        <v>7</v>
      </c>
      <c r="J60">
        <v>6</v>
      </c>
      <c r="K60">
        <v>7</v>
      </c>
      <c r="L60">
        <v>6</v>
      </c>
      <c r="M60">
        <v>6</v>
      </c>
      <c r="N60">
        <v>5</v>
      </c>
      <c r="O60">
        <v>7</v>
      </c>
      <c r="R60">
        <v>8</v>
      </c>
      <c r="S60">
        <v>9</v>
      </c>
      <c r="T60">
        <v>7</v>
      </c>
      <c r="U60">
        <v>8</v>
      </c>
      <c r="V60">
        <v>7</v>
      </c>
      <c r="W60">
        <v>7</v>
      </c>
      <c r="X60">
        <v>6</v>
      </c>
      <c r="Y60">
        <v>8</v>
      </c>
      <c r="Z60">
        <v>5</v>
      </c>
      <c r="AA60">
        <v>7</v>
      </c>
      <c r="AB60">
        <v>6</v>
      </c>
      <c r="AC60">
        <v>6</v>
      </c>
      <c r="AD60">
        <v>5</v>
      </c>
      <c r="AE60">
        <v>5</v>
      </c>
      <c r="AF60">
        <v>6</v>
      </c>
      <c r="AG60">
        <v>8</v>
      </c>
      <c r="AH60">
        <v>8</v>
      </c>
      <c r="AI60">
        <v>7</v>
      </c>
      <c r="AM60">
        <v>7</v>
      </c>
      <c r="AO60">
        <v>8</v>
      </c>
      <c r="AP60" s="42">
        <v>6</v>
      </c>
      <c r="AR60" s="90"/>
    </row>
    <row r="61" spans="2:44" outlineLevel="1">
      <c r="B61" s="163" t="s">
        <v>37</v>
      </c>
      <c r="C61" s="291">
        <f t="shared" si="4"/>
        <v>54</v>
      </c>
      <c r="D61" s="373">
        <f>AVERAGE(E61:AO61)</f>
        <v>6.75</v>
      </c>
      <c r="E61">
        <v>8</v>
      </c>
      <c r="F61">
        <v>7</v>
      </c>
      <c r="G61">
        <v>6</v>
      </c>
      <c r="H61">
        <v>8</v>
      </c>
      <c r="I61">
        <v>7</v>
      </c>
      <c r="K61">
        <v>5</v>
      </c>
      <c r="M61">
        <v>8</v>
      </c>
      <c r="O61">
        <v>5</v>
      </c>
      <c r="AP61" s="41"/>
      <c r="AR61" s="90"/>
    </row>
    <row r="62" spans="2:44" outlineLevel="1">
      <c r="B62" s="778" t="s">
        <v>59</v>
      </c>
      <c r="C62" s="299">
        <f t="shared" si="4"/>
        <v>307</v>
      </c>
      <c r="D62" s="373">
        <f>AVERAGE(E62:AO62)</f>
        <v>8.0810810810810807</v>
      </c>
      <c r="E62" s="45">
        <v>5</v>
      </c>
      <c r="F62" s="45">
        <v>9</v>
      </c>
      <c r="G62" s="45">
        <v>9</v>
      </c>
      <c r="H62" s="45">
        <v>10</v>
      </c>
      <c r="I62" s="45">
        <v>6</v>
      </c>
      <c r="J62" s="45">
        <v>7</v>
      </c>
      <c r="K62" s="45">
        <v>9</v>
      </c>
      <c r="L62" s="45">
        <v>12</v>
      </c>
      <c r="M62" s="45">
        <v>7</v>
      </c>
      <c r="N62" s="45">
        <v>9</v>
      </c>
      <c r="O62" s="45">
        <v>8</v>
      </c>
      <c r="P62" s="45">
        <v>9</v>
      </c>
      <c r="Q62" s="45">
        <v>8</v>
      </c>
      <c r="R62" s="45">
        <v>5</v>
      </c>
      <c r="S62" s="45">
        <v>9</v>
      </c>
      <c r="T62" s="45">
        <v>9</v>
      </c>
      <c r="U62" s="45">
        <v>7</v>
      </c>
      <c r="V62" s="45">
        <v>9</v>
      </c>
      <c r="W62" s="45">
        <v>7</v>
      </c>
      <c r="X62" s="45">
        <v>8</v>
      </c>
      <c r="Y62" s="45">
        <v>7</v>
      </c>
      <c r="Z62" s="45">
        <v>10</v>
      </c>
      <c r="AA62" s="45">
        <v>7</v>
      </c>
      <c r="AB62" s="45">
        <v>7</v>
      </c>
      <c r="AC62" s="45">
        <v>9</v>
      </c>
      <c r="AD62" s="45">
        <v>8</v>
      </c>
      <c r="AE62" s="45">
        <v>8</v>
      </c>
      <c r="AF62" s="45">
        <v>8</v>
      </c>
      <c r="AG62" s="45">
        <v>9</v>
      </c>
      <c r="AH62" s="45">
        <v>7</v>
      </c>
      <c r="AI62" s="45">
        <v>7</v>
      </c>
      <c r="AJ62" s="45">
        <v>8</v>
      </c>
      <c r="AK62" s="45">
        <v>8</v>
      </c>
      <c r="AL62" s="45">
        <v>8</v>
      </c>
      <c r="AM62" s="45">
        <v>8</v>
      </c>
      <c r="AN62" s="45">
        <v>10</v>
      </c>
      <c r="AO62" s="45">
        <v>8</v>
      </c>
      <c r="AP62" s="289">
        <v>8</v>
      </c>
      <c r="AR62" s="90"/>
    </row>
    <row r="63" spans="2:44" outlineLevel="1">
      <c r="B63" s="287" t="s">
        <v>182</v>
      </c>
      <c r="C63" s="291">
        <f t="shared" si="4"/>
        <v>2992</v>
      </c>
      <c r="D63" s="775">
        <f>AVERAGE(D50:D62)</f>
        <v>6.5456430375785208</v>
      </c>
      <c r="E63" s="556">
        <f t="shared" ref="E63:AP63" si="6">SUM(E50:E62)</f>
        <v>76</v>
      </c>
      <c r="F63" s="556">
        <f t="shared" si="6"/>
        <v>94</v>
      </c>
      <c r="G63" s="556">
        <f t="shared" si="6"/>
        <v>90</v>
      </c>
      <c r="H63" s="556">
        <f t="shared" si="6"/>
        <v>94</v>
      </c>
      <c r="I63" s="556">
        <f t="shared" si="6"/>
        <v>85</v>
      </c>
      <c r="J63" s="556">
        <f t="shared" si="6"/>
        <v>93</v>
      </c>
      <c r="K63" s="556">
        <f t="shared" si="6"/>
        <v>83</v>
      </c>
      <c r="L63" s="556">
        <f t="shared" si="6"/>
        <v>92</v>
      </c>
      <c r="M63" s="556">
        <f t="shared" si="6"/>
        <v>83</v>
      </c>
      <c r="N63" s="556">
        <f t="shared" si="6"/>
        <v>80</v>
      </c>
      <c r="O63" s="556">
        <f t="shared" si="6"/>
        <v>77</v>
      </c>
      <c r="P63" s="556">
        <f t="shared" si="6"/>
        <v>73</v>
      </c>
      <c r="Q63" s="556">
        <f t="shared" si="6"/>
        <v>72</v>
      </c>
      <c r="R63" s="556">
        <f t="shared" si="6"/>
        <v>70</v>
      </c>
      <c r="S63" s="556">
        <f t="shared" si="6"/>
        <v>76</v>
      </c>
      <c r="T63" s="556">
        <f t="shared" si="6"/>
        <v>79</v>
      </c>
      <c r="U63" s="556">
        <f t="shared" si="6"/>
        <v>79</v>
      </c>
      <c r="V63" s="556">
        <f t="shared" si="6"/>
        <v>79</v>
      </c>
      <c r="W63" s="556">
        <f t="shared" si="6"/>
        <v>80</v>
      </c>
      <c r="X63" s="556">
        <f t="shared" si="6"/>
        <v>76</v>
      </c>
      <c r="Y63" s="556">
        <f t="shared" si="6"/>
        <v>79</v>
      </c>
      <c r="Z63" s="556">
        <f t="shared" si="6"/>
        <v>76</v>
      </c>
      <c r="AA63" s="556">
        <f t="shared" si="6"/>
        <v>78</v>
      </c>
      <c r="AB63" s="556">
        <f t="shared" si="6"/>
        <v>77</v>
      </c>
      <c r="AC63" s="556">
        <f t="shared" si="6"/>
        <v>80</v>
      </c>
      <c r="AD63" s="556">
        <f t="shared" si="6"/>
        <v>73</v>
      </c>
      <c r="AE63" s="556">
        <f t="shared" si="6"/>
        <v>71</v>
      </c>
      <c r="AF63" s="556">
        <f t="shared" si="6"/>
        <v>78</v>
      </c>
      <c r="AG63" s="556">
        <f t="shared" si="6"/>
        <v>77</v>
      </c>
      <c r="AH63" s="556">
        <f t="shared" si="6"/>
        <v>69</v>
      </c>
      <c r="AI63" s="556">
        <f t="shared" si="6"/>
        <v>77</v>
      </c>
      <c r="AJ63" s="556">
        <f t="shared" si="6"/>
        <v>78</v>
      </c>
      <c r="AK63" s="556">
        <f t="shared" si="6"/>
        <v>63</v>
      </c>
      <c r="AL63" s="556">
        <f t="shared" si="6"/>
        <v>60</v>
      </c>
      <c r="AM63" s="556">
        <f t="shared" si="6"/>
        <v>81</v>
      </c>
      <c r="AN63" s="556">
        <f t="shared" si="6"/>
        <v>68</v>
      </c>
      <c r="AO63" s="556">
        <f t="shared" si="6"/>
        <v>90</v>
      </c>
      <c r="AP63" s="42">
        <f t="shared" si="6"/>
        <v>86</v>
      </c>
    </row>
    <row r="64" spans="2:44" outlineLevel="1">
      <c r="B64" s="287"/>
      <c r="C64" s="556"/>
      <c r="D64" s="556"/>
      <c r="E64" s="556"/>
      <c r="F64" s="556"/>
      <c r="G64" s="556"/>
      <c r="H64" s="556"/>
      <c r="I64" s="556"/>
      <c r="J64" s="556"/>
      <c r="K64" s="556"/>
      <c r="L64" s="556"/>
      <c r="M64" s="556"/>
      <c r="N64" s="556"/>
      <c r="O64" s="556"/>
      <c r="P64" s="556"/>
      <c r="Q64" s="556"/>
      <c r="R64" s="556"/>
      <c r="S64" s="556"/>
      <c r="T64" s="556"/>
      <c r="U64" s="556"/>
      <c r="V64" s="556"/>
      <c r="W64" s="556"/>
      <c r="X64" s="556"/>
      <c r="Y64" s="556"/>
      <c r="Z64" s="556"/>
      <c r="AA64" s="556"/>
      <c r="AB64" s="556"/>
      <c r="AC64" s="556"/>
      <c r="AD64" s="556"/>
      <c r="AE64" s="556"/>
      <c r="AF64" s="556"/>
      <c r="AG64" s="556"/>
      <c r="AH64" s="556"/>
      <c r="AI64" s="556"/>
      <c r="AJ64" s="556"/>
      <c r="AK64" s="556"/>
      <c r="AL64" s="556"/>
      <c r="AM64" s="556"/>
    </row>
    <row r="65" spans="2:44" ht="18.75" outlineLevel="1">
      <c r="B65" s="68" t="s">
        <v>1988</v>
      </c>
    </row>
    <row r="66" spans="2:44" outlineLevel="1">
      <c r="B66" s="465" t="s">
        <v>1982</v>
      </c>
      <c r="C66" s="20" t="s">
        <v>200</v>
      </c>
      <c r="D66" s="777" t="s">
        <v>195</v>
      </c>
      <c r="E66" s="20" t="s">
        <v>126</v>
      </c>
      <c r="F66" s="20" t="s">
        <v>127</v>
      </c>
      <c r="G66" s="20" t="s">
        <v>128</v>
      </c>
      <c r="H66" s="20" t="s">
        <v>129</v>
      </c>
      <c r="I66" s="20" t="s">
        <v>130</v>
      </c>
      <c r="J66" s="20" t="s">
        <v>131</v>
      </c>
      <c r="K66" s="20" t="s">
        <v>132</v>
      </c>
      <c r="L66" s="20" t="s">
        <v>133</v>
      </c>
      <c r="M66" s="20" t="s">
        <v>134</v>
      </c>
      <c r="N66" s="20" t="s">
        <v>135</v>
      </c>
      <c r="O66" s="20" t="s">
        <v>136</v>
      </c>
      <c r="P66" s="20" t="s">
        <v>137</v>
      </c>
      <c r="Q66" s="20" t="s">
        <v>138</v>
      </c>
      <c r="R66" s="20" t="s">
        <v>139</v>
      </c>
      <c r="S66" s="20" t="s">
        <v>140</v>
      </c>
      <c r="T66" s="20" t="s">
        <v>141</v>
      </c>
      <c r="U66" s="20" t="s">
        <v>142</v>
      </c>
      <c r="V66" s="20" t="s">
        <v>143</v>
      </c>
      <c r="W66" s="20" t="s">
        <v>144</v>
      </c>
      <c r="X66" s="20" t="s">
        <v>145</v>
      </c>
      <c r="Y66" s="20" t="s">
        <v>146</v>
      </c>
      <c r="Z66" s="20" t="s">
        <v>147</v>
      </c>
      <c r="AA66" s="20" t="s">
        <v>148</v>
      </c>
      <c r="AB66" s="20" t="s">
        <v>125</v>
      </c>
      <c r="AC66" s="20" t="s">
        <v>116</v>
      </c>
      <c r="AD66" s="20" t="s">
        <v>104</v>
      </c>
      <c r="AE66" s="20" t="s">
        <v>95</v>
      </c>
      <c r="AF66" s="20" t="s">
        <v>85</v>
      </c>
      <c r="AG66" s="20" t="s">
        <v>66</v>
      </c>
      <c r="AH66" s="20" t="s">
        <v>65</v>
      </c>
      <c r="AI66" s="20" t="s">
        <v>60</v>
      </c>
      <c r="AJ66" s="20" t="s">
        <v>35</v>
      </c>
      <c r="AK66" s="20" t="s">
        <v>11</v>
      </c>
      <c r="AL66" s="20" t="s">
        <v>198</v>
      </c>
      <c r="AM66" s="20" t="s">
        <v>184</v>
      </c>
      <c r="AN66" s="20" t="s">
        <v>563</v>
      </c>
      <c r="AO66" s="32" t="s">
        <v>1742</v>
      </c>
      <c r="AP66" s="20" t="s">
        <v>2056</v>
      </c>
    </row>
    <row r="67" spans="2:44">
      <c r="B67" s="163">
        <v>1</v>
      </c>
      <c r="C67" s="35">
        <f t="shared" ref="C67:C79" si="7">SUM(E67:AO67)</f>
        <v>0</v>
      </c>
      <c r="D67" s="392">
        <f t="shared" ref="D67:D79" si="8">$C67/SUM($C$67:$C$79)</f>
        <v>0</v>
      </c>
      <c r="E67">
        <f t="shared" ref="E67:N79" si="9">COUNTIF(E$50:E$62, $B67)</f>
        <v>0</v>
      </c>
      <c r="F67">
        <f t="shared" si="9"/>
        <v>0</v>
      </c>
      <c r="G67">
        <f t="shared" si="9"/>
        <v>0</v>
      </c>
      <c r="H67">
        <f t="shared" si="9"/>
        <v>0</v>
      </c>
      <c r="I67">
        <f t="shared" si="9"/>
        <v>0</v>
      </c>
      <c r="J67">
        <f t="shared" si="9"/>
        <v>0</v>
      </c>
      <c r="K67">
        <f t="shared" si="9"/>
        <v>0</v>
      </c>
      <c r="L67">
        <f t="shared" si="9"/>
        <v>0</v>
      </c>
      <c r="M67">
        <f t="shared" si="9"/>
        <v>0</v>
      </c>
      <c r="N67">
        <f t="shared" si="9"/>
        <v>0</v>
      </c>
      <c r="O67">
        <f t="shared" ref="O67:X79" si="10">COUNTIF(O$50:O$62, $B67)</f>
        <v>0</v>
      </c>
      <c r="P67">
        <f t="shared" si="10"/>
        <v>0</v>
      </c>
      <c r="Q67">
        <f t="shared" si="10"/>
        <v>0</v>
      </c>
      <c r="R67">
        <f t="shared" si="10"/>
        <v>0</v>
      </c>
      <c r="S67">
        <f t="shared" si="10"/>
        <v>0</v>
      </c>
      <c r="T67">
        <f t="shared" si="10"/>
        <v>0</v>
      </c>
      <c r="U67">
        <f t="shared" si="10"/>
        <v>0</v>
      </c>
      <c r="V67">
        <f t="shared" si="10"/>
        <v>0</v>
      </c>
      <c r="W67">
        <f t="shared" si="10"/>
        <v>0</v>
      </c>
      <c r="X67">
        <f t="shared" si="10"/>
        <v>0</v>
      </c>
      <c r="Y67">
        <f t="shared" ref="Y67:AH79" si="11">COUNTIF(Y$50:Y$62, $B67)</f>
        <v>0</v>
      </c>
      <c r="Z67">
        <f t="shared" si="11"/>
        <v>0</v>
      </c>
      <c r="AA67">
        <f t="shared" si="11"/>
        <v>0</v>
      </c>
      <c r="AB67">
        <f t="shared" si="11"/>
        <v>0</v>
      </c>
      <c r="AC67">
        <f t="shared" si="11"/>
        <v>0</v>
      </c>
      <c r="AD67">
        <f t="shared" si="11"/>
        <v>0</v>
      </c>
      <c r="AE67">
        <f t="shared" si="11"/>
        <v>0</v>
      </c>
      <c r="AF67">
        <f t="shared" si="11"/>
        <v>0</v>
      </c>
      <c r="AG67">
        <f t="shared" si="11"/>
        <v>0</v>
      </c>
      <c r="AH67">
        <f t="shared" si="11"/>
        <v>0</v>
      </c>
      <c r="AI67">
        <f t="shared" ref="AI67:AP79" si="12">COUNTIF(AI$50:AI$62, $B67)</f>
        <v>0</v>
      </c>
      <c r="AJ67">
        <f t="shared" si="12"/>
        <v>0</v>
      </c>
      <c r="AK67">
        <f t="shared" si="12"/>
        <v>0</v>
      </c>
      <c r="AL67">
        <f t="shared" si="12"/>
        <v>0</v>
      </c>
      <c r="AM67">
        <f t="shared" si="12"/>
        <v>0</v>
      </c>
      <c r="AN67">
        <f t="shared" si="12"/>
        <v>0</v>
      </c>
      <c r="AO67">
        <f t="shared" si="12"/>
        <v>0</v>
      </c>
      <c r="AP67">
        <f t="shared" si="12"/>
        <v>0</v>
      </c>
      <c r="AQ67" s="143"/>
      <c r="AR67" s="90"/>
    </row>
    <row r="68" spans="2:44">
      <c r="B68" s="163">
        <v>2</v>
      </c>
      <c r="C68" s="35">
        <f t="shared" si="7"/>
        <v>0</v>
      </c>
      <c r="D68" s="392">
        <f t="shared" si="8"/>
        <v>0</v>
      </c>
      <c r="E68">
        <f t="shared" si="9"/>
        <v>0</v>
      </c>
      <c r="F68">
        <f t="shared" si="9"/>
        <v>0</v>
      </c>
      <c r="G68">
        <f t="shared" si="9"/>
        <v>0</v>
      </c>
      <c r="H68">
        <f t="shared" si="9"/>
        <v>0</v>
      </c>
      <c r="I68">
        <f t="shared" si="9"/>
        <v>0</v>
      </c>
      <c r="J68">
        <f t="shared" si="9"/>
        <v>0</v>
      </c>
      <c r="K68">
        <f t="shared" si="9"/>
        <v>0</v>
      </c>
      <c r="L68">
        <f t="shared" si="9"/>
        <v>0</v>
      </c>
      <c r="M68">
        <f t="shared" si="9"/>
        <v>0</v>
      </c>
      <c r="N68">
        <f t="shared" si="9"/>
        <v>0</v>
      </c>
      <c r="O68">
        <f t="shared" si="10"/>
        <v>0</v>
      </c>
      <c r="P68">
        <f t="shared" si="10"/>
        <v>0</v>
      </c>
      <c r="Q68">
        <f t="shared" si="10"/>
        <v>0</v>
      </c>
      <c r="R68">
        <f t="shared" si="10"/>
        <v>0</v>
      </c>
      <c r="S68">
        <f t="shared" si="10"/>
        <v>0</v>
      </c>
      <c r="T68">
        <f t="shared" si="10"/>
        <v>0</v>
      </c>
      <c r="U68">
        <f t="shared" si="10"/>
        <v>0</v>
      </c>
      <c r="V68">
        <f t="shared" si="10"/>
        <v>0</v>
      </c>
      <c r="W68">
        <f t="shared" si="10"/>
        <v>0</v>
      </c>
      <c r="X68">
        <f t="shared" si="10"/>
        <v>0</v>
      </c>
      <c r="Y68">
        <f t="shared" si="11"/>
        <v>0</v>
      </c>
      <c r="Z68">
        <f t="shared" si="11"/>
        <v>0</v>
      </c>
      <c r="AA68">
        <f t="shared" si="11"/>
        <v>0</v>
      </c>
      <c r="AB68">
        <f t="shared" si="11"/>
        <v>0</v>
      </c>
      <c r="AC68">
        <f t="shared" si="11"/>
        <v>0</v>
      </c>
      <c r="AD68">
        <f t="shared" si="11"/>
        <v>0</v>
      </c>
      <c r="AE68">
        <f t="shared" si="11"/>
        <v>0</v>
      </c>
      <c r="AF68">
        <f t="shared" si="11"/>
        <v>0</v>
      </c>
      <c r="AG68">
        <f t="shared" si="11"/>
        <v>0</v>
      </c>
      <c r="AH68">
        <f t="shared" si="11"/>
        <v>0</v>
      </c>
      <c r="AI68">
        <f t="shared" si="12"/>
        <v>0</v>
      </c>
      <c r="AJ68">
        <f t="shared" si="12"/>
        <v>0</v>
      </c>
      <c r="AK68">
        <f t="shared" si="12"/>
        <v>0</v>
      </c>
      <c r="AL68">
        <f t="shared" si="12"/>
        <v>0</v>
      </c>
      <c r="AM68">
        <f t="shared" si="12"/>
        <v>0</v>
      </c>
      <c r="AN68">
        <f t="shared" si="12"/>
        <v>0</v>
      </c>
      <c r="AO68">
        <f t="shared" si="12"/>
        <v>0</v>
      </c>
      <c r="AP68" s="72">
        <f t="shared" si="12"/>
        <v>0</v>
      </c>
      <c r="AQ68" s="143"/>
      <c r="AR68" s="90"/>
    </row>
    <row r="69" spans="2:44">
      <c r="B69" s="163">
        <v>3</v>
      </c>
      <c r="C69" s="35">
        <f t="shared" si="7"/>
        <v>1</v>
      </c>
      <c r="D69" s="392">
        <f t="shared" si="8"/>
        <v>2.2471910112359553E-3</v>
      </c>
      <c r="E69">
        <f t="shared" si="9"/>
        <v>0</v>
      </c>
      <c r="F69">
        <f t="shared" si="9"/>
        <v>0</v>
      </c>
      <c r="G69">
        <f t="shared" si="9"/>
        <v>0</v>
      </c>
      <c r="H69">
        <f t="shared" si="9"/>
        <v>0</v>
      </c>
      <c r="I69">
        <f t="shared" si="9"/>
        <v>0</v>
      </c>
      <c r="J69">
        <f t="shared" si="9"/>
        <v>0</v>
      </c>
      <c r="K69">
        <f t="shared" si="9"/>
        <v>0</v>
      </c>
      <c r="L69">
        <f t="shared" si="9"/>
        <v>0</v>
      </c>
      <c r="M69">
        <f t="shared" si="9"/>
        <v>0</v>
      </c>
      <c r="N69">
        <f t="shared" si="9"/>
        <v>0</v>
      </c>
      <c r="O69">
        <f t="shared" si="10"/>
        <v>0</v>
      </c>
      <c r="P69">
        <f t="shared" si="10"/>
        <v>0</v>
      </c>
      <c r="Q69">
        <f t="shared" si="10"/>
        <v>0</v>
      </c>
      <c r="R69">
        <f t="shared" si="10"/>
        <v>0</v>
      </c>
      <c r="S69">
        <f t="shared" si="10"/>
        <v>1</v>
      </c>
      <c r="T69">
        <f t="shared" si="10"/>
        <v>0</v>
      </c>
      <c r="U69">
        <f t="shared" si="10"/>
        <v>0</v>
      </c>
      <c r="V69">
        <f t="shared" si="10"/>
        <v>0</v>
      </c>
      <c r="W69">
        <f t="shared" si="10"/>
        <v>0</v>
      </c>
      <c r="X69">
        <f t="shared" si="10"/>
        <v>0</v>
      </c>
      <c r="Y69">
        <f t="shared" si="11"/>
        <v>0</v>
      </c>
      <c r="Z69">
        <f t="shared" si="11"/>
        <v>0</v>
      </c>
      <c r="AA69">
        <f t="shared" si="11"/>
        <v>0</v>
      </c>
      <c r="AB69">
        <f t="shared" si="11"/>
        <v>0</v>
      </c>
      <c r="AC69">
        <f t="shared" si="11"/>
        <v>0</v>
      </c>
      <c r="AD69">
        <f t="shared" si="11"/>
        <v>0</v>
      </c>
      <c r="AE69">
        <f t="shared" si="11"/>
        <v>0</v>
      </c>
      <c r="AF69">
        <f t="shared" si="11"/>
        <v>0</v>
      </c>
      <c r="AG69">
        <f t="shared" si="11"/>
        <v>0</v>
      </c>
      <c r="AH69">
        <f t="shared" si="11"/>
        <v>0</v>
      </c>
      <c r="AI69">
        <f t="shared" si="12"/>
        <v>0</v>
      </c>
      <c r="AJ69">
        <f t="shared" si="12"/>
        <v>0</v>
      </c>
      <c r="AK69">
        <f t="shared" si="12"/>
        <v>0</v>
      </c>
      <c r="AL69">
        <f t="shared" si="12"/>
        <v>0</v>
      </c>
      <c r="AM69">
        <f t="shared" si="12"/>
        <v>0</v>
      </c>
      <c r="AN69">
        <f t="shared" si="12"/>
        <v>0</v>
      </c>
      <c r="AO69">
        <f t="shared" si="12"/>
        <v>0</v>
      </c>
      <c r="AP69" s="72">
        <f t="shared" si="12"/>
        <v>0</v>
      </c>
      <c r="AQ69" s="143"/>
      <c r="AR69" s="90"/>
    </row>
    <row r="70" spans="2:44">
      <c r="B70" s="163">
        <v>4</v>
      </c>
      <c r="C70" s="35">
        <f t="shared" si="7"/>
        <v>9</v>
      </c>
      <c r="D70" s="392">
        <f t="shared" si="8"/>
        <v>2.0224719101123594E-2</v>
      </c>
      <c r="E70">
        <f t="shared" si="9"/>
        <v>0</v>
      </c>
      <c r="F70">
        <f t="shared" si="9"/>
        <v>0</v>
      </c>
      <c r="G70">
        <f t="shared" si="9"/>
        <v>0</v>
      </c>
      <c r="H70">
        <f t="shared" si="9"/>
        <v>0</v>
      </c>
      <c r="I70">
        <f t="shared" si="9"/>
        <v>1</v>
      </c>
      <c r="J70">
        <f t="shared" si="9"/>
        <v>0</v>
      </c>
      <c r="K70">
        <f t="shared" si="9"/>
        <v>0</v>
      </c>
      <c r="L70">
        <f t="shared" si="9"/>
        <v>0</v>
      </c>
      <c r="M70">
        <f t="shared" si="9"/>
        <v>0</v>
      </c>
      <c r="N70">
        <f t="shared" si="9"/>
        <v>0</v>
      </c>
      <c r="O70">
        <f t="shared" si="10"/>
        <v>0</v>
      </c>
      <c r="P70">
        <f t="shared" si="10"/>
        <v>0</v>
      </c>
      <c r="Q70">
        <f t="shared" si="10"/>
        <v>0</v>
      </c>
      <c r="R70">
        <f t="shared" si="10"/>
        <v>1</v>
      </c>
      <c r="S70">
        <f t="shared" si="10"/>
        <v>0</v>
      </c>
      <c r="T70">
        <f t="shared" si="10"/>
        <v>0</v>
      </c>
      <c r="U70">
        <f t="shared" si="10"/>
        <v>0</v>
      </c>
      <c r="V70">
        <f t="shared" si="10"/>
        <v>0</v>
      </c>
      <c r="W70">
        <f t="shared" si="10"/>
        <v>0</v>
      </c>
      <c r="X70">
        <f t="shared" si="10"/>
        <v>0</v>
      </c>
      <c r="Y70">
        <f t="shared" si="11"/>
        <v>0</v>
      </c>
      <c r="Z70">
        <f t="shared" si="11"/>
        <v>2</v>
      </c>
      <c r="AA70">
        <f t="shared" si="11"/>
        <v>0</v>
      </c>
      <c r="AB70">
        <f t="shared" si="11"/>
        <v>0</v>
      </c>
      <c r="AC70">
        <f t="shared" si="11"/>
        <v>0</v>
      </c>
      <c r="AD70">
        <f t="shared" si="11"/>
        <v>1</v>
      </c>
      <c r="AE70">
        <f t="shared" si="11"/>
        <v>0</v>
      </c>
      <c r="AF70">
        <f t="shared" si="11"/>
        <v>0</v>
      </c>
      <c r="AG70">
        <f t="shared" si="11"/>
        <v>0</v>
      </c>
      <c r="AH70">
        <f t="shared" si="11"/>
        <v>1</v>
      </c>
      <c r="AI70">
        <f t="shared" si="12"/>
        <v>1</v>
      </c>
      <c r="AJ70">
        <f t="shared" si="12"/>
        <v>0</v>
      </c>
      <c r="AK70">
        <f t="shared" si="12"/>
        <v>1</v>
      </c>
      <c r="AL70">
        <f t="shared" si="12"/>
        <v>1</v>
      </c>
      <c r="AM70">
        <f t="shared" si="12"/>
        <v>0</v>
      </c>
      <c r="AN70">
        <f t="shared" si="12"/>
        <v>0</v>
      </c>
      <c r="AO70">
        <f t="shared" si="12"/>
        <v>0</v>
      </c>
      <c r="AP70" s="72">
        <f t="shared" si="12"/>
        <v>0</v>
      </c>
      <c r="AQ70" s="143"/>
      <c r="AR70" s="90"/>
    </row>
    <row r="71" spans="2:44" outlineLevel="1">
      <c r="B71" s="532">
        <v>5</v>
      </c>
      <c r="C71" s="35">
        <f t="shared" si="7"/>
        <v>95</v>
      </c>
      <c r="D71" s="392">
        <f t="shared" si="8"/>
        <v>0.21348314606741572</v>
      </c>
      <c r="E71">
        <f t="shared" si="9"/>
        <v>6</v>
      </c>
      <c r="F71">
        <f t="shared" si="9"/>
        <v>0</v>
      </c>
      <c r="G71">
        <f t="shared" si="9"/>
        <v>1</v>
      </c>
      <c r="H71">
        <f t="shared" si="9"/>
        <v>0</v>
      </c>
      <c r="I71">
        <f t="shared" si="9"/>
        <v>0</v>
      </c>
      <c r="J71">
        <f t="shared" si="9"/>
        <v>0</v>
      </c>
      <c r="K71">
        <f t="shared" si="9"/>
        <v>4</v>
      </c>
      <c r="L71">
        <f t="shared" si="9"/>
        <v>0</v>
      </c>
      <c r="M71">
        <f t="shared" si="9"/>
        <v>2</v>
      </c>
      <c r="N71">
        <f t="shared" si="9"/>
        <v>3</v>
      </c>
      <c r="O71">
        <f t="shared" si="10"/>
        <v>5</v>
      </c>
      <c r="P71">
        <f t="shared" si="10"/>
        <v>3</v>
      </c>
      <c r="Q71">
        <f t="shared" si="10"/>
        <v>1</v>
      </c>
      <c r="R71">
        <f t="shared" si="10"/>
        <v>4</v>
      </c>
      <c r="S71">
        <f t="shared" si="10"/>
        <v>0</v>
      </c>
      <c r="T71">
        <f t="shared" si="10"/>
        <v>2</v>
      </c>
      <c r="U71">
        <f t="shared" si="10"/>
        <v>1</v>
      </c>
      <c r="V71">
        <f t="shared" si="10"/>
        <v>3</v>
      </c>
      <c r="W71">
        <f t="shared" si="10"/>
        <v>1</v>
      </c>
      <c r="X71">
        <f t="shared" si="10"/>
        <v>4</v>
      </c>
      <c r="Y71">
        <f t="shared" si="11"/>
        <v>2</v>
      </c>
      <c r="Z71">
        <f t="shared" si="11"/>
        <v>2</v>
      </c>
      <c r="AA71">
        <f t="shared" si="11"/>
        <v>1</v>
      </c>
      <c r="AB71">
        <f t="shared" si="11"/>
        <v>2</v>
      </c>
      <c r="AC71">
        <f t="shared" si="11"/>
        <v>1</v>
      </c>
      <c r="AD71">
        <f t="shared" si="11"/>
        <v>4</v>
      </c>
      <c r="AE71">
        <f t="shared" si="11"/>
        <v>5</v>
      </c>
      <c r="AF71">
        <f t="shared" si="11"/>
        <v>1</v>
      </c>
      <c r="AG71">
        <f t="shared" si="11"/>
        <v>4</v>
      </c>
      <c r="AH71">
        <f t="shared" si="11"/>
        <v>7</v>
      </c>
      <c r="AI71">
        <f t="shared" si="12"/>
        <v>2</v>
      </c>
      <c r="AJ71">
        <f t="shared" si="12"/>
        <v>3</v>
      </c>
      <c r="AK71">
        <f t="shared" si="12"/>
        <v>5</v>
      </c>
      <c r="AL71">
        <f t="shared" si="12"/>
        <v>5</v>
      </c>
      <c r="AM71">
        <f t="shared" si="12"/>
        <v>4</v>
      </c>
      <c r="AN71">
        <f t="shared" si="12"/>
        <v>7</v>
      </c>
      <c r="AO71">
        <f t="shared" si="12"/>
        <v>0</v>
      </c>
      <c r="AP71" s="72">
        <f t="shared" si="12"/>
        <v>1</v>
      </c>
      <c r="AQ71" s="143"/>
      <c r="AR71" s="555"/>
    </row>
    <row r="72" spans="2:44" outlineLevel="1">
      <c r="B72" s="532">
        <v>6</v>
      </c>
      <c r="C72" s="35">
        <f t="shared" si="7"/>
        <v>140</v>
      </c>
      <c r="D72" s="392">
        <f t="shared" si="8"/>
        <v>0.3146067415730337</v>
      </c>
      <c r="E72">
        <f t="shared" si="9"/>
        <v>4</v>
      </c>
      <c r="F72">
        <f t="shared" si="9"/>
        <v>4</v>
      </c>
      <c r="G72">
        <f t="shared" si="9"/>
        <v>3</v>
      </c>
      <c r="H72">
        <f t="shared" si="9"/>
        <v>2</v>
      </c>
      <c r="I72">
        <f t="shared" si="9"/>
        <v>7</v>
      </c>
      <c r="J72">
        <f t="shared" si="9"/>
        <v>1</v>
      </c>
      <c r="K72">
        <f t="shared" si="9"/>
        <v>4</v>
      </c>
      <c r="L72">
        <f t="shared" si="9"/>
        <v>6</v>
      </c>
      <c r="M72">
        <f t="shared" si="9"/>
        <v>6</v>
      </c>
      <c r="N72">
        <f t="shared" si="9"/>
        <v>6</v>
      </c>
      <c r="O72">
        <f t="shared" si="10"/>
        <v>5</v>
      </c>
      <c r="P72">
        <f t="shared" si="10"/>
        <v>3</v>
      </c>
      <c r="Q72">
        <f t="shared" si="10"/>
        <v>6</v>
      </c>
      <c r="R72">
        <f t="shared" si="10"/>
        <v>4</v>
      </c>
      <c r="S72">
        <f t="shared" si="10"/>
        <v>8</v>
      </c>
      <c r="T72">
        <f t="shared" si="10"/>
        <v>5</v>
      </c>
      <c r="U72">
        <f t="shared" si="10"/>
        <v>4</v>
      </c>
      <c r="V72">
        <f t="shared" si="10"/>
        <v>2</v>
      </c>
      <c r="W72">
        <f t="shared" si="10"/>
        <v>4</v>
      </c>
      <c r="X72">
        <f t="shared" si="10"/>
        <v>2</v>
      </c>
      <c r="Y72">
        <f t="shared" si="11"/>
        <v>4</v>
      </c>
      <c r="Z72">
        <f t="shared" si="11"/>
        <v>2</v>
      </c>
      <c r="AA72">
        <f t="shared" si="11"/>
        <v>5</v>
      </c>
      <c r="AB72">
        <f t="shared" si="11"/>
        <v>5</v>
      </c>
      <c r="AC72">
        <f t="shared" si="11"/>
        <v>7</v>
      </c>
      <c r="AD72">
        <f t="shared" si="11"/>
        <v>3</v>
      </c>
      <c r="AE72">
        <f t="shared" si="11"/>
        <v>4</v>
      </c>
      <c r="AF72">
        <f t="shared" si="11"/>
        <v>7</v>
      </c>
      <c r="AG72">
        <f t="shared" si="11"/>
        <v>4</v>
      </c>
      <c r="AH72">
        <f t="shared" si="11"/>
        <v>1</v>
      </c>
      <c r="AI72">
        <f t="shared" si="12"/>
        <v>2</v>
      </c>
      <c r="AJ72">
        <f t="shared" si="12"/>
        <v>2</v>
      </c>
      <c r="AK72">
        <f t="shared" si="12"/>
        <v>2</v>
      </c>
      <c r="AL72">
        <f t="shared" si="12"/>
        <v>1</v>
      </c>
      <c r="AM72">
        <f t="shared" si="12"/>
        <v>0</v>
      </c>
      <c r="AN72">
        <f t="shared" si="12"/>
        <v>1</v>
      </c>
      <c r="AO72">
        <f t="shared" si="12"/>
        <v>4</v>
      </c>
      <c r="AP72" s="72">
        <f t="shared" si="12"/>
        <v>3</v>
      </c>
      <c r="AQ72" s="143"/>
      <c r="AR72" s="555"/>
    </row>
    <row r="73" spans="2:44" outlineLevel="1">
      <c r="B73" s="532">
        <v>7</v>
      </c>
      <c r="C73" s="35">
        <f t="shared" si="7"/>
        <v>105</v>
      </c>
      <c r="D73" s="392">
        <f t="shared" si="8"/>
        <v>0.23595505617977527</v>
      </c>
      <c r="E73">
        <f t="shared" si="9"/>
        <v>2</v>
      </c>
      <c r="F73">
        <f t="shared" si="9"/>
        <v>5</v>
      </c>
      <c r="G73">
        <f t="shared" si="9"/>
        <v>6</v>
      </c>
      <c r="H73">
        <f t="shared" si="9"/>
        <v>8</v>
      </c>
      <c r="I73">
        <f t="shared" si="9"/>
        <v>2</v>
      </c>
      <c r="J73">
        <f t="shared" si="9"/>
        <v>6</v>
      </c>
      <c r="K73">
        <f t="shared" si="9"/>
        <v>2</v>
      </c>
      <c r="L73">
        <f t="shared" si="9"/>
        <v>1</v>
      </c>
      <c r="M73">
        <f t="shared" si="9"/>
        <v>3</v>
      </c>
      <c r="N73">
        <f t="shared" si="9"/>
        <v>1</v>
      </c>
      <c r="O73">
        <f t="shared" si="10"/>
        <v>2</v>
      </c>
      <c r="P73">
        <f t="shared" si="10"/>
        <v>2</v>
      </c>
      <c r="Q73">
        <f t="shared" si="10"/>
        <v>2</v>
      </c>
      <c r="R73">
        <f t="shared" si="10"/>
        <v>2</v>
      </c>
      <c r="S73">
        <f t="shared" si="10"/>
        <v>1</v>
      </c>
      <c r="T73">
        <f t="shared" si="10"/>
        <v>3</v>
      </c>
      <c r="U73">
        <f t="shared" si="10"/>
        <v>6</v>
      </c>
      <c r="V73">
        <f t="shared" si="10"/>
        <v>5</v>
      </c>
      <c r="W73">
        <f t="shared" si="10"/>
        <v>5</v>
      </c>
      <c r="X73">
        <f t="shared" si="10"/>
        <v>4</v>
      </c>
      <c r="Y73">
        <f t="shared" si="11"/>
        <v>3</v>
      </c>
      <c r="Z73">
        <f t="shared" si="11"/>
        <v>4</v>
      </c>
      <c r="AA73">
        <f t="shared" si="11"/>
        <v>5</v>
      </c>
      <c r="AB73">
        <f t="shared" si="11"/>
        <v>3</v>
      </c>
      <c r="AC73">
        <f t="shared" si="11"/>
        <v>1</v>
      </c>
      <c r="AD73">
        <f t="shared" si="11"/>
        <v>2</v>
      </c>
      <c r="AE73">
        <f t="shared" si="11"/>
        <v>2</v>
      </c>
      <c r="AF73">
        <f t="shared" si="11"/>
        <v>2</v>
      </c>
      <c r="AG73">
        <f t="shared" si="11"/>
        <v>0</v>
      </c>
      <c r="AH73">
        <f t="shared" si="11"/>
        <v>1</v>
      </c>
      <c r="AI73">
        <f t="shared" si="12"/>
        <v>5</v>
      </c>
      <c r="AJ73">
        <f t="shared" si="12"/>
        <v>2</v>
      </c>
      <c r="AK73">
        <f t="shared" si="12"/>
        <v>2</v>
      </c>
      <c r="AL73">
        <f t="shared" si="12"/>
        <v>0</v>
      </c>
      <c r="AM73">
        <f t="shared" si="12"/>
        <v>4</v>
      </c>
      <c r="AN73">
        <f t="shared" si="12"/>
        <v>0</v>
      </c>
      <c r="AO73">
        <f t="shared" si="12"/>
        <v>1</v>
      </c>
      <c r="AP73" s="72">
        <f t="shared" si="12"/>
        <v>4</v>
      </c>
      <c r="AQ73" s="143"/>
      <c r="AR73" s="555"/>
    </row>
    <row r="74" spans="2:44" outlineLevel="1">
      <c r="B74" s="532">
        <v>8</v>
      </c>
      <c r="C74" s="35">
        <f t="shared" si="7"/>
        <v>59</v>
      </c>
      <c r="D74" s="392">
        <f t="shared" si="8"/>
        <v>0.13258426966292136</v>
      </c>
      <c r="E74">
        <f t="shared" si="9"/>
        <v>1</v>
      </c>
      <c r="F74">
        <f t="shared" si="9"/>
        <v>2</v>
      </c>
      <c r="G74">
        <f t="shared" si="9"/>
        <v>2</v>
      </c>
      <c r="H74">
        <f t="shared" si="9"/>
        <v>2</v>
      </c>
      <c r="I74">
        <f t="shared" si="9"/>
        <v>2</v>
      </c>
      <c r="J74">
        <f t="shared" si="9"/>
        <v>4</v>
      </c>
      <c r="K74">
        <f t="shared" si="9"/>
        <v>2</v>
      </c>
      <c r="L74">
        <f t="shared" si="9"/>
        <v>1</v>
      </c>
      <c r="M74">
        <f t="shared" si="9"/>
        <v>2</v>
      </c>
      <c r="N74">
        <f t="shared" si="9"/>
        <v>0</v>
      </c>
      <c r="O74">
        <f t="shared" si="10"/>
        <v>1</v>
      </c>
      <c r="P74">
        <f t="shared" si="10"/>
        <v>1</v>
      </c>
      <c r="Q74">
        <f t="shared" si="10"/>
        <v>1</v>
      </c>
      <c r="R74">
        <f t="shared" si="10"/>
        <v>1</v>
      </c>
      <c r="S74">
        <f t="shared" si="10"/>
        <v>0</v>
      </c>
      <c r="T74">
        <f t="shared" si="10"/>
        <v>0</v>
      </c>
      <c r="U74">
        <f t="shared" si="10"/>
        <v>1</v>
      </c>
      <c r="V74">
        <f t="shared" si="10"/>
        <v>1</v>
      </c>
      <c r="W74">
        <f t="shared" si="10"/>
        <v>2</v>
      </c>
      <c r="X74">
        <f t="shared" si="10"/>
        <v>2</v>
      </c>
      <c r="Y74">
        <f t="shared" si="11"/>
        <v>3</v>
      </c>
      <c r="Z74">
        <f t="shared" si="11"/>
        <v>1</v>
      </c>
      <c r="AA74">
        <f t="shared" si="11"/>
        <v>1</v>
      </c>
      <c r="AB74">
        <f t="shared" si="11"/>
        <v>2</v>
      </c>
      <c r="AC74">
        <f t="shared" si="11"/>
        <v>1</v>
      </c>
      <c r="AD74">
        <f t="shared" si="11"/>
        <v>1</v>
      </c>
      <c r="AE74">
        <f t="shared" si="11"/>
        <v>1</v>
      </c>
      <c r="AF74">
        <f t="shared" si="11"/>
        <v>1</v>
      </c>
      <c r="AG74">
        <f t="shared" si="11"/>
        <v>3</v>
      </c>
      <c r="AH74">
        <f t="shared" si="11"/>
        <v>1</v>
      </c>
      <c r="AI74">
        <f t="shared" si="12"/>
        <v>2</v>
      </c>
      <c r="AJ74">
        <f t="shared" si="12"/>
        <v>2</v>
      </c>
      <c r="AK74">
        <f t="shared" si="12"/>
        <v>1</v>
      </c>
      <c r="AL74">
        <f t="shared" si="12"/>
        <v>2</v>
      </c>
      <c r="AM74">
        <f t="shared" si="12"/>
        <v>3</v>
      </c>
      <c r="AN74">
        <f t="shared" si="12"/>
        <v>1</v>
      </c>
      <c r="AO74">
        <f t="shared" si="12"/>
        <v>5</v>
      </c>
      <c r="AP74" s="72">
        <f t="shared" si="12"/>
        <v>2</v>
      </c>
      <c r="AQ74" s="143"/>
      <c r="AR74" s="555"/>
    </row>
    <row r="75" spans="2:44" outlineLevel="1">
      <c r="B75" s="532">
        <v>9</v>
      </c>
      <c r="C75" s="35">
        <f t="shared" si="7"/>
        <v>24</v>
      </c>
      <c r="D75" s="392">
        <f t="shared" si="8"/>
        <v>5.3932584269662923E-2</v>
      </c>
      <c r="E75">
        <f t="shared" si="9"/>
        <v>0</v>
      </c>
      <c r="F75">
        <f t="shared" si="9"/>
        <v>1</v>
      </c>
      <c r="G75">
        <f t="shared" si="9"/>
        <v>1</v>
      </c>
      <c r="H75">
        <f t="shared" si="9"/>
        <v>0</v>
      </c>
      <c r="I75">
        <f t="shared" si="9"/>
        <v>1</v>
      </c>
      <c r="J75">
        <f t="shared" si="9"/>
        <v>0</v>
      </c>
      <c r="K75">
        <f t="shared" si="9"/>
        <v>1</v>
      </c>
      <c r="L75">
        <f t="shared" si="9"/>
        <v>1</v>
      </c>
      <c r="M75">
        <f t="shared" si="9"/>
        <v>0</v>
      </c>
      <c r="N75">
        <f t="shared" si="9"/>
        <v>1</v>
      </c>
      <c r="O75">
        <f t="shared" si="10"/>
        <v>0</v>
      </c>
      <c r="P75">
        <f t="shared" si="10"/>
        <v>2</v>
      </c>
      <c r="Q75">
        <f t="shared" si="10"/>
        <v>1</v>
      </c>
      <c r="R75">
        <f t="shared" si="10"/>
        <v>0</v>
      </c>
      <c r="S75">
        <f t="shared" si="10"/>
        <v>2</v>
      </c>
      <c r="T75">
        <f t="shared" si="10"/>
        <v>2</v>
      </c>
      <c r="U75">
        <f t="shared" si="10"/>
        <v>0</v>
      </c>
      <c r="V75">
        <f t="shared" si="10"/>
        <v>1</v>
      </c>
      <c r="W75">
        <f t="shared" si="10"/>
        <v>0</v>
      </c>
      <c r="X75">
        <f t="shared" si="10"/>
        <v>0</v>
      </c>
      <c r="Y75">
        <f t="shared" si="11"/>
        <v>0</v>
      </c>
      <c r="Z75">
        <f t="shared" si="11"/>
        <v>0</v>
      </c>
      <c r="AA75">
        <f t="shared" si="11"/>
        <v>0</v>
      </c>
      <c r="AB75">
        <f t="shared" si="11"/>
        <v>0</v>
      </c>
      <c r="AC75">
        <f t="shared" si="11"/>
        <v>2</v>
      </c>
      <c r="AD75">
        <f t="shared" si="11"/>
        <v>1</v>
      </c>
      <c r="AE75">
        <f t="shared" si="11"/>
        <v>0</v>
      </c>
      <c r="AF75">
        <f t="shared" si="11"/>
        <v>1</v>
      </c>
      <c r="AG75">
        <f t="shared" si="11"/>
        <v>1</v>
      </c>
      <c r="AH75">
        <f t="shared" si="11"/>
        <v>1</v>
      </c>
      <c r="AI75">
        <f t="shared" si="12"/>
        <v>0</v>
      </c>
      <c r="AJ75">
        <f t="shared" si="12"/>
        <v>0</v>
      </c>
      <c r="AK75">
        <f t="shared" si="12"/>
        <v>0</v>
      </c>
      <c r="AL75">
        <f t="shared" si="12"/>
        <v>1</v>
      </c>
      <c r="AM75">
        <f t="shared" si="12"/>
        <v>1</v>
      </c>
      <c r="AN75">
        <f t="shared" si="12"/>
        <v>1</v>
      </c>
      <c r="AO75">
        <f t="shared" si="12"/>
        <v>1</v>
      </c>
      <c r="AP75" s="72">
        <f t="shared" si="12"/>
        <v>1</v>
      </c>
      <c r="AQ75" s="143"/>
      <c r="AR75" s="555"/>
    </row>
    <row r="76" spans="2:44" outlineLevel="1">
      <c r="B76" s="532">
        <v>10</v>
      </c>
      <c r="C76" s="35">
        <f t="shared" si="7"/>
        <v>8</v>
      </c>
      <c r="D76" s="392">
        <f t="shared" si="8"/>
        <v>1.7977528089887642E-2</v>
      </c>
      <c r="E76">
        <f t="shared" si="9"/>
        <v>0</v>
      </c>
      <c r="F76">
        <f t="shared" si="9"/>
        <v>1</v>
      </c>
      <c r="G76">
        <f t="shared" si="9"/>
        <v>0</v>
      </c>
      <c r="H76">
        <f t="shared" si="9"/>
        <v>1</v>
      </c>
      <c r="I76">
        <f t="shared" si="9"/>
        <v>0</v>
      </c>
      <c r="J76">
        <f t="shared" si="9"/>
        <v>0</v>
      </c>
      <c r="K76">
        <f t="shared" si="9"/>
        <v>0</v>
      </c>
      <c r="L76">
        <f t="shared" si="9"/>
        <v>2</v>
      </c>
      <c r="M76">
        <f t="shared" si="9"/>
        <v>0</v>
      </c>
      <c r="N76">
        <f t="shared" si="9"/>
        <v>0</v>
      </c>
      <c r="O76">
        <f t="shared" si="10"/>
        <v>0</v>
      </c>
      <c r="P76">
        <f t="shared" si="10"/>
        <v>0</v>
      </c>
      <c r="Q76">
        <f t="shared" si="10"/>
        <v>0</v>
      </c>
      <c r="R76">
        <f t="shared" si="10"/>
        <v>0</v>
      </c>
      <c r="S76">
        <f t="shared" si="10"/>
        <v>0</v>
      </c>
      <c r="T76">
        <f t="shared" si="10"/>
        <v>0</v>
      </c>
      <c r="U76">
        <f t="shared" si="10"/>
        <v>0</v>
      </c>
      <c r="V76">
        <f t="shared" si="10"/>
        <v>0</v>
      </c>
      <c r="W76">
        <f t="shared" si="10"/>
        <v>0</v>
      </c>
      <c r="X76">
        <f t="shared" si="10"/>
        <v>0</v>
      </c>
      <c r="Y76">
        <f t="shared" si="11"/>
        <v>0</v>
      </c>
      <c r="Z76">
        <f t="shared" si="11"/>
        <v>1</v>
      </c>
      <c r="AA76">
        <f t="shared" si="11"/>
        <v>0</v>
      </c>
      <c r="AB76">
        <f t="shared" si="11"/>
        <v>0</v>
      </c>
      <c r="AC76">
        <f t="shared" si="11"/>
        <v>0</v>
      </c>
      <c r="AD76">
        <f t="shared" si="11"/>
        <v>0</v>
      </c>
      <c r="AE76">
        <f t="shared" si="11"/>
        <v>0</v>
      </c>
      <c r="AF76">
        <f t="shared" si="11"/>
        <v>0</v>
      </c>
      <c r="AG76">
        <f t="shared" si="11"/>
        <v>0</v>
      </c>
      <c r="AH76">
        <f t="shared" si="11"/>
        <v>0</v>
      </c>
      <c r="AI76">
        <f t="shared" si="12"/>
        <v>0</v>
      </c>
      <c r="AJ76">
        <f t="shared" si="12"/>
        <v>1</v>
      </c>
      <c r="AK76">
        <f t="shared" si="12"/>
        <v>0</v>
      </c>
      <c r="AL76">
        <f t="shared" si="12"/>
        <v>0</v>
      </c>
      <c r="AM76">
        <f t="shared" si="12"/>
        <v>0</v>
      </c>
      <c r="AN76">
        <f t="shared" si="12"/>
        <v>1</v>
      </c>
      <c r="AO76">
        <f t="shared" si="12"/>
        <v>1</v>
      </c>
      <c r="AP76" s="72">
        <f t="shared" si="12"/>
        <v>1</v>
      </c>
      <c r="AQ76" s="143"/>
      <c r="AR76" s="555"/>
    </row>
    <row r="77" spans="2:44" outlineLevel="1">
      <c r="B77" s="532">
        <v>11</v>
      </c>
      <c r="C77" s="35">
        <f t="shared" si="7"/>
        <v>1</v>
      </c>
      <c r="D77" s="392">
        <f t="shared" si="8"/>
        <v>2.2471910112359553E-3</v>
      </c>
      <c r="E77">
        <f t="shared" si="9"/>
        <v>0</v>
      </c>
      <c r="F77">
        <f t="shared" si="9"/>
        <v>0</v>
      </c>
      <c r="G77">
        <f t="shared" si="9"/>
        <v>0</v>
      </c>
      <c r="H77">
        <f t="shared" si="9"/>
        <v>0</v>
      </c>
      <c r="I77">
        <f t="shared" si="9"/>
        <v>0</v>
      </c>
      <c r="J77">
        <f t="shared" si="9"/>
        <v>0</v>
      </c>
      <c r="K77">
        <f t="shared" si="9"/>
        <v>0</v>
      </c>
      <c r="L77">
        <f t="shared" si="9"/>
        <v>0</v>
      </c>
      <c r="M77">
        <f t="shared" si="9"/>
        <v>0</v>
      </c>
      <c r="N77">
        <f t="shared" si="9"/>
        <v>0</v>
      </c>
      <c r="O77">
        <f t="shared" si="10"/>
        <v>0</v>
      </c>
      <c r="P77">
        <f t="shared" si="10"/>
        <v>0</v>
      </c>
      <c r="Q77">
        <f t="shared" si="10"/>
        <v>0</v>
      </c>
      <c r="R77">
        <f t="shared" si="10"/>
        <v>0</v>
      </c>
      <c r="S77">
        <f t="shared" si="10"/>
        <v>0</v>
      </c>
      <c r="T77">
        <f t="shared" si="10"/>
        <v>0</v>
      </c>
      <c r="U77">
        <f t="shared" si="10"/>
        <v>0</v>
      </c>
      <c r="V77">
        <f t="shared" si="10"/>
        <v>0</v>
      </c>
      <c r="W77">
        <f t="shared" si="10"/>
        <v>0</v>
      </c>
      <c r="X77">
        <f t="shared" si="10"/>
        <v>0</v>
      </c>
      <c r="Y77">
        <f t="shared" si="11"/>
        <v>0</v>
      </c>
      <c r="Z77">
        <f t="shared" si="11"/>
        <v>0</v>
      </c>
      <c r="AA77">
        <f t="shared" si="11"/>
        <v>0</v>
      </c>
      <c r="AB77">
        <f t="shared" si="11"/>
        <v>0</v>
      </c>
      <c r="AC77">
        <f t="shared" si="11"/>
        <v>0</v>
      </c>
      <c r="AD77">
        <f t="shared" si="11"/>
        <v>0</v>
      </c>
      <c r="AE77">
        <f t="shared" si="11"/>
        <v>0</v>
      </c>
      <c r="AF77">
        <f t="shared" si="11"/>
        <v>0</v>
      </c>
      <c r="AG77">
        <f t="shared" si="11"/>
        <v>0</v>
      </c>
      <c r="AH77">
        <f t="shared" si="11"/>
        <v>0</v>
      </c>
      <c r="AI77">
        <f t="shared" si="12"/>
        <v>0</v>
      </c>
      <c r="AJ77">
        <f t="shared" si="12"/>
        <v>1</v>
      </c>
      <c r="AK77">
        <f t="shared" si="12"/>
        <v>0</v>
      </c>
      <c r="AL77">
        <f t="shared" si="12"/>
        <v>0</v>
      </c>
      <c r="AM77">
        <f t="shared" si="12"/>
        <v>0</v>
      </c>
      <c r="AN77">
        <f t="shared" si="12"/>
        <v>0</v>
      </c>
      <c r="AO77">
        <f t="shared" si="12"/>
        <v>0</v>
      </c>
      <c r="AP77" s="72">
        <f t="shared" si="12"/>
        <v>0</v>
      </c>
      <c r="AQ77" s="143"/>
      <c r="AR77" s="555"/>
    </row>
    <row r="78" spans="2:44" outlineLevel="1">
      <c r="B78" s="532">
        <v>12</v>
      </c>
      <c r="C78" s="35">
        <f t="shared" si="7"/>
        <v>1</v>
      </c>
      <c r="D78" s="392">
        <f t="shared" si="8"/>
        <v>2.2471910112359553E-3</v>
      </c>
      <c r="E78">
        <f t="shared" si="9"/>
        <v>0</v>
      </c>
      <c r="F78">
        <f t="shared" si="9"/>
        <v>0</v>
      </c>
      <c r="G78">
        <f t="shared" si="9"/>
        <v>0</v>
      </c>
      <c r="H78">
        <f t="shared" si="9"/>
        <v>0</v>
      </c>
      <c r="I78">
        <f t="shared" si="9"/>
        <v>0</v>
      </c>
      <c r="J78">
        <f t="shared" si="9"/>
        <v>0</v>
      </c>
      <c r="K78">
        <f t="shared" si="9"/>
        <v>0</v>
      </c>
      <c r="L78">
        <f t="shared" si="9"/>
        <v>1</v>
      </c>
      <c r="M78">
        <f t="shared" si="9"/>
        <v>0</v>
      </c>
      <c r="N78">
        <f t="shared" si="9"/>
        <v>0</v>
      </c>
      <c r="O78">
        <f t="shared" si="10"/>
        <v>0</v>
      </c>
      <c r="P78">
        <f t="shared" si="10"/>
        <v>0</v>
      </c>
      <c r="Q78">
        <f t="shared" si="10"/>
        <v>0</v>
      </c>
      <c r="R78">
        <f t="shared" si="10"/>
        <v>0</v>
      </c>
      <c r="S78">
        <f t="shared" si="10"/>
        <v>0</v>
      </c>
      <c r="T78">
        <f t="shared" si="10"/>
        <v>0</v>
      </c>
      <c r="U78">
        <f t="shared" si="10"/>
        <v>0</v>
      </c>
      <c r="V78">
        <f t="shared" si="10"/>
        <v>0</v>
      </c>
      <c r="W78">
        <f t="shared" si="10"/>
        <v>0</v>
      </c>
      <c r="X78">
        <f t="shared" si="10"/>
        <v>0</v>
      </c>
      <c r="Y78">
        <f t="shared" si="11"/>
        <v>0</v>
      </c>
      <c r="Z78">
        <f t="shared" si="11"/>
        <v>0</v>
      </c>
      <c r="AA78">
        <f t="shared" si="11"/>
        <v>0</v>
      </c>
      <c r="AB78">
        <f t="shared" si="11"/>
        <v>0</v>
      </c>
      <c r="AC78">
        <f t="shared" si="11"/>
        <v>0</v>
      </c>
      <c r="AD78">
        <f t="shared" si="11"/>
        <v>0</v>
      </c>
      <c r="AE78">
        <f t="shared" si="11"/>
        <v>0</v>
      </c>
      <c r="AF78">
        <f t="shared" si="11"/>
        <v>0</v>
      </c>
      <c r="AG78">
        <f t="shared" si="11"/>
        <v>0</v>
      </c>
      <c r="AH78">
        <f t="shared" si="11"/>
        <v>0</v>
      </c>
      <c r="AI78">
        <f t="shared" si="12"/>
        <v>0</v>
      </c>
      <c r="AJ78">
        <f t="shared" si="12"/>
        <v>0</v>
      </c>
      <c r="AK78">
        <f t="shared" si="12"/>
        <v>0</v>
      </c>
      <c r="AL78">
        <f t="shared" si="12"/>
        <v>0</v>
      </c>
      <c r="AM78">
        <f t="shared" si="12"/>
        <v>0</v>
      </c>
      <c r="AN78">
        <f t="shared" si="12"/>
        <v>0</v>
      </c>
      <c r="AO78">
        <f t="shared" si="12"/>
        <v>0</v>
      </c>
      <c r="AP78" s="72">
        <f t="shared" si="12"/>
        <v>0</v>
      </c>
      <c r="AQ78" s="143"/>
      <c r="AR78" s="555"/>
    </row>
    <row r="79" spans="2:44" outlineLevel="1">
      <c r="B79" s="532">
        <v>13</v>
      </c>
      <c r="C79" s="35">
        <f t="shared" si="7"/>
        <v>2</v>
      </c>
      <c r="D79" s="392">
        <f t="shared" si="8"/>
        <v>4.4943820224719105E-3</v>
      </c>
      <c r="E79">
        <f t="shared" si="9"/>
        <v>0</v>
      </c>
      <c r="F79">
        <f t="shared" si="9"/>
        <v>0</v>
      </c>
      <c r="G79">
        <f t="shared" si="9"/>
        <v>0</v>
      </c>
      <c r="H79">
        <f t="shared" si="9"/>
        <v>0</v>
      </c>
      <c r="I79">
        <f t="shared" si="9"/>
        <v>0</v>
      </c>
      <c r="J79">
        <f t="shared" si="9"/>
        <v>1</v>
      </c>
      <c r="K79">
        <f t="shared" si="9"/>
        <v>0</v>
      </c>
      <c r="L79">
        <f t="shared" si="9"/>
        <v>0</v>
      </c>
      <c r="M79">
        <f t="shared" si="9"/>
        <v>0</v>
      </c>
      <c r="N79">
        <f t="shared" si="9"/>
        <v>1</v>
      </c>
      <c r="O79">
        <f t="shared" si="10"/>
        <v>0</v>
      </c>
      <c r="P79">
        <f t="shared" si="10"/>
        <v>0</v>
      </c>
      <c r="Q79">
        <f t="shared" si="10"/>
        <v>0</v>
      </c>
      <c r="R79">
        <f t="shared" si="10"/>
        <v>0</v>
      </c>
      <c r="S79">
        <f t="shared" si="10"/>
        <v>0</v>
      </c>
      <c r="T79">
        <f t="shared" si="10"/>
        <v>0</v>
      </c>
      <c r="U79">
        <f t="shared" si="10"/>
        <v>0</v>
      </c>
      <c r="V79">
        <f t="shared" si="10"/>
        <v>0</v>
      </c>
      <c r="W79">
        <f t="shared" si="10"/>
        <v>0</v>
      </c>
      <c r="X79">
        <f t="shared" si="10"/>
        <v>0</v>
      </c>
      <c r="Y79">
        <f t="shared" si="11"/>
        <v>0</v>
      </c>
      <c r="Z79">
        <f t="shared" si="11"/>
        <v>0</v>
      </c>
      <c r="AA79">
        <f t="shared" si="11"/>
        <v>0</v>
      </c>
      <c r="AB79">
        <f t="shared" si="11"/>
        <v>0</v>
      </c>
      <c r="AC79">
        <f t="shared" si="11"/>
        <v>0</v>
      </c>
      <c r="AD79">
        <f t="shared" si="11"/>
        <v>0</v>
      </c>
      <c r="AE79">
        <f t="shared" si="11"/>
        <v>0</v>
      </c>
      <c r="AF79">
        <f t="shared" si="11"/>
        <v>0</v>
      </c>
      <c r="AG79">
        <f t="shared" si="11"/>
        <v>0</v>
      </c>
      <c r="AH79">
        <f t="shared" si="11"/>
        <v>0</v>
      </c>
      <c r="AI79">
        <f t="shared" si="12"/>
        <v>0</v>
      </c>
      <c r="AJ79">
        <f t="shared" si="12"/>
        <v>0</v>
      </c>
      <c r="AK79">
        <f t="shared" si="12"/>
        <v>0</v>
      </c>
      <c r="AL79">
        <f t="shared" si="12"/>
        <v>0</v>
      </c>
      <c r="AM79">
        <f t="shared" si="12"/>
        <v>0</v>
      </c>
      <c r="AN79">
        <f t="shared" si="12"/>
        <v>0</v>
      </c>
      <c r="AO79">
        <f t="shared" si="12"/>
        <v>0</v>
      </c>
      <c r="AP79" s="72">
        <f t="shared" si="12"/>
        <v>0</v>
      </c>
      <c r="AQ79" s="143"/>
      <c r="AR79" s="555"/>
    </row>
    <row r="80" spans="2:44" outlineLevel="1">
      <c r="B80" s="555"/>
      <c r="C80" s="35"/>
      <c r="AO80" s="143"/>
      <c r="AP80" s="555"/>
    </row>
    <row r="81" spans="2:40" ht="18.75" outlineLevel="1">
      <c r="B81" s="68" t="s">
        <v>1989</v>
      </c>
      <c r="D81" s="144"/>
      <c r="AN81" s="35"/>
    </row>
    <row r="82" spans="2:40" outlineLevel="1">
      <c r="B82" s="457" t="s">
        <v>1982</v>
      </c>
      <c r="C82" s="563" t="s">
        <v>1990</v>
      </c>
      <c r="D82" s="355" t="s">
        <v>1991</v>
      </c>
      <c r="E82" s="355" t="s">
        <v>1992</v>
      </c>
      <c r="F82" s="355" t="s">
        <v>1993</v>
      </c>
      <c r="G82" s="355" t="s">
        <v>1994</v>
      </c>
      <c r="H82" s="355" t="s">
        <v>1995</v>
      </c>
      <c r="I82" s="355" t="s">
        <v>1996</v>
      </c>
      <c r="J82" s="355" t="s">
        <v>1997</v>
      </c>
      <c r="K82" s="355" t="s">
        <v>1998</v>
      </c>
      <c r="L82" s="355" t="s">
        <v>1999</v>
      </c>
      <c r="M82" s="355" t="s">
        <v>2000</v>
      </c>
      <c r="N82" s="355" t="s">
        <v>2001</v>
      </c>
      <c r="O82" s="355" t="s">
        <v>2002</v>
      </c>
    </row>
    <row r="83" spans="2:40" outlineLevel="1">
      <c r="B83" s="532" t="s">
        <v>1</v>
      </c>
      <c r="C83" s="392">
        <f>COUNTIF($E50:$AP50, C$82)/COUNTA($E50:$AP50)</f>
        <v>0</v>
      </c>
      <c r="D83" s="392">
        <f>COUNTIF($E50:$AP50, D$82)/COUNTA($E50:$AP50)</f>
        <v>0</v>
      </c>
      <c r="E83" s="392">
        <f>COUNTIF($E50:$AP50, E$82)/COUNTA($E50:$AP50)</f>
        <v>2.6315789473684209E-2</v>
      </c>
      <c r="F83" s="392">
        <f>COUNTIF($E50:$AP50, F$82)/COUNTA($E50:$AP50)</f>
        <v>2.6315789473684209E-2</v>
      </c>
      <c r="G83" s="392">
        <f t="shared" ref="G83:O83" si="13">COUNTIF($E50:$AP50, G$82)/COUNTA($E50:$AP50)</f>
        <v>0.31578947368421051</v>
      </c>
      <c r="H83" s="392">
        <f t="shared" si="13"/>
        <v>0.36842105263157893</v>
      </c>
      <c r="I83" s="392">
        <f t="shared" si="13"/>
        <v>7.8947368421052627E-2</v>
      </c>
      <c r="J83" s="392">
        <f t="shared" si="13"/>
        <v>0.15789473684210525</v>
      </c>
      <c r="K83" s="392">
        <f t="shared" si="13"/>
        <v>0</v>
      </c>
      <c r="L83" s="392">
        <f t="shared" si="13"/>
        <v>2.6315789473684209E-2</v>
      </c>
      <c r="M83" s="392">
        <f t="shared" si="13"/>
        <v>0</v>
      </c>
      <c r="N83" s="392">
        <f t="shared" si="13"/>
        <v>0</v>
      </c>
      <c r="O83" s="392">
        <f t="shared" si="13"/>
        <v>0</v>
      </c>
      <c r="P83" s="560"/>
    </row>
    <row r="84" spans="2:40" outlineLevel="1">
      <c r="B84" s="532" t="s">
        <v>2</v>
      </c>
      <c r="C84" s="392">
        <f t="shared" ref="C84:C95" si="14">COUNTIF($E51:$AP51, C$82)/COUNTA($E51:$AP51)</f>
        <v>0</v>
      </c>
      <c r="D84" s="392">
        <f t="shared" ref="D84:D95" si="15">COUNTIF($E51:$AP51, D$82)/COUNTA($E51:$AP51)</f>
        <v>0</v>
      </c>
      <c r="E84" s="392">
        <f t="shared" ref="E84:O95" si="16">COUNTIF($E51:$AP51, E$82)/COUNTA($E51:$AP51)</f>
        <v>0</v>
      </c>
      <c r="F84" s="392">
        <f t="shared" si="16"/>
        <v>5.2631578947368418E-2</v>
      </c>
      <c r="G84" s="392">
        <f t="shared" si="16"/>
        <v>0.39473684210526316</v>
      </c>
      <c r="H84" s="392">
        <f t="shared" si="16"/>
        <v>0.34210526315789475</v>
      </c>
      <c r="I84" s="392">
        <f t="shared" si="16"/>
        <v>0.15789473684210525</v>
      </c>
      <c r="J84" s="392">
        <f t="shared" si="16"/>
        <v>5.2631578947368418E-2</v>
      </c>
      <c r="K84" s="392">
        <f t="shared" si="16"/>
        <v>0</v>
      </c>
      <c r="L84" s="392">
        <f t="shared" si="16"/>
        <v>0</v>
      </c>
      <c r="M84" s="392">
        <f t="shared" si="16"/>
        <v>0</v>
      </c>
      <c r="N84" s="392">
        <f t="shared" si="16"/>
        <v>0</v>
      </c>
      <c r="O84" s="392">
        <f t="shared" si="16"/>
        <v>0</v>
      </c>
      <c r="P84" s="560"/>
    </row>
    <row r="85" spans="2:40">
      <c r="B85" s="532" t="s">
        <v>3</v>
      </c>
      <c r="C85" s="392">
        <f t="shared" si="14"/>
        <v>0</v>
      </c>
      <c r="D85" s="392">
        <f t="shared" si="15"/>
        <v>0</v>
      </c>
      <c r="E85" s="392">
        <f t="shared" si="16"/>
        <v>0</v>
      </c>
      <c r="F85" s="392">
        <f t="shared" si="16"/>
        <v>2.6315789473684209E-2</v>
      </c>
      <c r="G85" s="392">
        <f t="shared" si="16"/>
        <v>0.23684210526315788</v>
      </c>
      <c r="H85" s="392">
        <f t="shared" si="16"/>
        <v>0.55263157894736847</v>
      </c>
      <c r="I85" s="392">
        <f t="shared" si="16"/>
        <v>0.15789473684210525</v>
      </c>
      <c r="J85" s="392">
        <f t="shared" si="16"/>
        <v>2.6315789473684209E-2</v>
      </c>
      <c r="K85" s="392">
        <f t="shared" si="16"/>
        <v>0</v>
      </c>
      <c r="L85" s="392">
        <f t="shared" si="16"/>
        <v>0</v>
      </c>
      <c r="M85" s="392">
        <f t="shared" si="16"/>
        <v>0</v>
      </c>
      <c r="N85" s="392">
        <f t="shared" si="16"/>
        <v>0</v>
      </c>
      <c r="O85" s="392">
        <f t="shared" si="16"/>
        <v>0</v>
      </c>
      <c r="P85" s="560"/>
    </row>
    <row r="86" spans="2:40">
      <c r="B86" s="532" t="s">
        <v>4</v>
      </c>
      <c r="C86" s="392">
        <f t="shared" si="14"/>
        <v>0</v>
      </c>
      <c r="D86" s="392">
        <f t="shared" si="15"/>
        <v>0</v>
      </c>
      <c r="E86" s="392">
        <f t="shared" si="16"/>
        <v>0</v>
      </c>
      <c r="F86" s="392">
        <f t="shared" si="16"/>
        <v>2.6315789473684209E-2</v>
      </c>
      <c r="G86" s="392">
        <f t="shared" si="16"/>
        <v>0.23684210526315788</v>
      </c>
      <c r="H86" s="392">
        <f t="shared" si="16"/>
        <v>0.31578947368421051</v>
      </c>
      <c r="I86" s="392">
        <f t="shared" si="16"/>
        <v>0.26315789473684209</v>
      </c>
      <c r="J86" s="392">
        <f t="shared" si="16"/>
        <v>5.2631578947368418E-2</v>
      </c>
      <c r="K86" s="392">
        <f t="shared" si="16"/>
        <v>5.2631578947368418E-2</v>
      </c>
      <c r="L86" s="392">
        <f t="shared" si="16"/>
        <v>5.2631578947368418E-2</v>
      </c>
      <c r="M86" s="392">
        <f t="shared" si="16"/>
        <v>0</v>
      </c>
      <c r="N86" s="392">
        <f t="shared" si="16"/>
        <v>0</v>
      </c>
      <c r="O86" s="392">
        <f t="shared" si="16"/>
        <v>0</v>
      </c>
      <c r="P86" s="560"/>
    </row>
    <row r="87" spans="2:40">
      <c r="B87" s="532" t="s">
        <v>5</v>
      </c>
      <c r="C87" s="392">
        <f t="shared" si="14"/>
        <v>0</v>
      </c>
      <c r="D87" s="392">
        <f t="shared" si="15"/>
        <v>0</v>
      </c>
      <c r="E87" s="392">
        <f t="shared" si="16"/>
        <v>0</v>
      </c>
      <c r="F87" s="392">
        <f t="shared" si="16"/>
        <v>7.8947368421052627E-2</v>
      </c>
      <c r="G87" s="392">
        <f t="shared" si="16"/>
        <v>0.15789473684210525</v>
      </c>
      <c r="H87" s="392">
        <f t="shared" si="16"/>
        <v>0.34210526315789475</v>
      </c>
      <c r="I87" s="392">
        <f t="shared" si="16"/>
        <v>0.36842105263157893</v>
      </c>
      <c r="J87" s="392">
        <f t="shared" si="16"/>
        <v>2.6315789473684209E-2</v>
      </c>
      <c r="K87" s="392">
        <f t="shared" si="16"/>
        <v>2.6315789473684209E-2</v>
      </c>
      <c r="L87" s="392">
        <f t="shared" si="16"/>
        <v>0</v>
      </c>
      <c r="M87" s="392">
        <f t="shared" si="16"/>
        <v>0</v>
      </c>
      <c r="N87" s="392">
        <f t="shared" si="16"/>
        <v>0</v>
      </c>
      <c r="O87" s="392">
        <f t="shared" si="16"/>
        <v>0</v>
      </c>
      <c r="P87" s="560"/>
    </row>
    <row r="88" spans="2:40">
      <c r="B88" s="532" t="s">
        <v>6</v>
      </c>
      <c r="C88" s="392">
        <f t="shared" si="14"/>
        <v>0</v>
      </c>
      <c r="D88" s="392">
        <f t="shared" si="15"/>
        <v>0</v>
      </c>
      <c r="E88" s="392">
        <f t="shared" si="16"/>
        <v>0</v>
      </c>
      <c r="F88" s="392">
        <f t="shared" si="16"/>
        <v>0</v>
      </c>
      <c r="G88" s="392">
        <f t="shared" si="16"/>
        <v>0.21052631578947367</v>
      </c>
      <c r="H88" s="392">
        <f t="shared" si="16"/>
        <v>0.42105263157894735</v>
      </c>
      <c r="I88" s="392">
        <f t="shared" si="16"/>
        <v>0.23684210526315788</v>
      </c>
      <c r="J88" s="392">
        <f t="shared" si="16"/>
        <v>7.8947368421052627E-2</v>
      </c>
      <c r="K88" s="392">
        <f t="shared" si="16"/>
        <v>2.6315789473684209E-2</v>
      </c>
      <c r="L88" s="392">
        <f t="shared" si="16"/>
        <v>0</v>
      </c>
      <c r="M88" s="392">
        <f t="shared" si="16"/>
        <v>0</v>
      </c>
      <c r="N88" s="392">
        <f t="shared" si="16"/>
        <v>0</v>
      </c>
      <c r="O88" s="392">
        <f t="shared" si="16"/>
        <v>2.6315789473684209E-2</v>
      </c>
      <c r="P88" s="560"/>
    </row>
    <row r="89" spans="2:40" outlineLevel="2">
      <c r="B89" s="532" t="s">
        <v>7</v>
      </c>
      <c r="C89" s="392">
        <f t="shared" si="14"/>
        <v>0</v>
      </c>
      <c r="D89" s="392">
        <f t="shared" si="15"/>
        <v>0</v>
      </c>
      <c r="E89" s="392">
        <f t="shared" si="16"/>
        <v>0</v>
      </c>
      <c r="F89" s="392">
        <f t="shared" si="16"/>
        <v>0</v>
      </c>
      <c r="G89" s="392">
        <f t="shared" si="16"/>
        <v>0.31578947368421051</v>
      </c>
      <c r="H89" s="392">
        <f t="shared" si="16"/>
        <v>0.34210526315789475</v>
      </c>
      <c r="I89" s="392">
        <f t="shared" si="16"/>
        <v>0.21052631578947367</v>
      </c>
      <c r="J89" s="392">
        <f t="shared" si="16"/>
        <v>0.10526315789473684</v>
      </c>
      <c r="K89" s="392">
        <f t="shared" si="16"/>
        <v>2.6315789473684209E-2</v>
      </c>
      <c r="L89" s="392">
        <f t="shared" si="16"/>
        <v>0</v>
      </c>
      <c r="M89" s="392">
        <f t="shared" si="16"/>
        <v>0</v>
      </c>
      <c r="N89" s="392">
        <f t="shared" si="16"/>
        <v>0</v>
      </c>
      <c r="O89" s="392">
        <f t="shared" si="16"/>
        <v>0</v>
      </c>
      <c r="P89" s="560"/>
    </row>
    <row r="90" spans="2:40" outlineLevel="2">
      <c r="B90" s="532" t="s">
        <v>8</v>
      </c>
      <c r="C90" s="392">
        <f t="shared" si="14"/>
        <v>0</v>
      </c>
      <c r="D90" s="392">
        <f t="shared" si="15"/>
        <v>0</v>
      </c>
      <c r="E90" s="392">
        <f t="shared" si="16"/>
        <v>0</v>
      </c>
      <c r="F90" s="392">
        <f t="shared" si="16"/>
        <v>0</v>
      </c>
      <c r="G90" s="392">
        <f t="shared" si="16"/>
        <v>0.10526315789473684</v>
      </c>
      <c r="H90" s="392">
        <f t="shared" si="16"/>
        <v>0.39473684210526316</v>
      </c>
      <c r="I90" s="392">
        <f t="shared" si="16"/>
        <v>0.26315789473684209</v>
      </c>
      <c r="J90" s="392">
        <f t="shared" si="16"/>
        <v>0.15789473684210525</v>
      </c>
      <c r="K90" s="392">
        <f t="shared" si="16"/>
        <v>2.6315789473684209E-2</v>
      </c>
      <c r="L90" s="392">
        <f t="shared" si="16"/>
        <v>2.6315789473684209E-2</v>
      </c>
      <c r="M90" s="392">
        <f t="shared" si="16"/>
        <v>2.6315789473684209E-2</v>
      </c>
      <c r="N90" s="392">
        <f t="shared" si="16"/>
        <v>0</v>
      </c>
      <c r="O90" s="392">
        <f t="shared" si="16"/>
        <v>0</v>
      </c>
      <c r="P90" s="560"/>
    </row>
    <row r="91" spans="2:40" outlineLevel="2">
      <c r="B91" s="532" t="s">
        <v>9</v>
      </c>
      <c r="C91" s="392">
        <f t="shared" si="14"/>
        <v>0</v>
      </c>
      <c r="D91" s="392">
        <f t="shared" si="15"/>
        <v>0</v>
      </c>
      <c r="E91" s="392">
        <f t="shared" si="16"/>
        <v>0</v>
      </c>
      <c r="F91" s="392">
        <f t="shared" si="16"/>
        <v>0</v>
      </c>
      <c r="G91" s="392">
        <f t="shared" si="16"/>
        <v>0.10526315789473684</v>
      </c>
      <c r="H91" s="392">
        <f t="shared" si="16"/>
        <v>0.23684210526315788</v>
      </c>
      <c r="I91" s="392">
        <f t="shared" si="16"/>
        <v>0.28947368421052633</v>
      </c>
      <c r="J91" s="392">
        <f t="shared" si="16"/>
        <v>0.21052631578947367</v>
      </c>
      <c r="K91" s="392">
        <f t="shared" si="16"/>
        <v>0.13157894736842105</v>
      </c>
      <c r="L91" s="392">
        <f t="shared" si="16"/>
        <v>0</v>
      </c>
      <c r="M91" s="392">
        <f t="shared" si="16"/>
        <v>0</v>
      </c>
      <c r="N91" s="392">
        <f t="shared" si="16"/>
        <v>0</v>
      </c>
      <c r="O91" s="392">
        <f t="shared" si="16"/>
        <v>2.6315789473684209E-2</v>
      </c>
      <c r="P91" s="560"/>
    </row>
    <row r="92" spans="2:40" outlineLevel="2">
      <c r="B92" s="532" t="s">
        <v>10</v>
      </c>
      <c r="C92" s="392">
        <f t="shared" si="14"/>
        <v>0</v>
      </c>
      <c r="D92" s="392">
        <f t="shared" si="15"/>
        <v>0</v>
      </c>
      <c r="E92" s="392">
        <f t="shared" si="16"/>
        <v>0</v>
      </c>
      <c r="F92" s="392">
        <f t="shared" si="16"/>
        <v>2.7027027027027029E-2</v>
      </c>
      <c r="G92" s="392">
        <f t="shared" si="16"/>
        <v>0.1891891891891892</v>
      </c>
      <c r="H92" s="392">
        <f t="shared" si="16"/>
        <v>0.1891891891891892</v>
      </c>
      <c r="I92" s="392">
        <f t="shared" si="16"/>
        <v>0.27027027027027029</v>
      </c>
      <c r="J92" s="392">
        <f t="shared" si="16"/>
        <v>0.1891891891891892</v>
      </c>
      <c r="K92" s="392">
        <f t="shared" si="16"/>
        <v>8.1081081081081086E-2</v>
      </c>
      <c r="L92" s="392">
        <f t="shared" si="16"/>
        <v>5.4054054054054057E-2</v>
      </c>
      <c r="M92" s="392">
        <f t="shared" si="16"/>
        <v>0</v>
      </c>
      <c r="N92" s="392">
        <f t="shared" si="16"/>
        <v>0</v>
      </c>
      <c r="O92" s="392">
        <f t="shared" si="16"/>
        <v>0</v>
      </c>
      <c r="P92" s="560"/>
    </row>
    <row r="93" spans="2:40" outlineLevel="2">
      <c r="B93" s="532" t="s">
        <v>36</v>
      </c>
      <c r="C93" s="392">
        <f t="shared" si="14"/>
        <v>0</v>
      </c>
      <c r="D93" s="392">
        <f t="shared" si="15"/>
        <v>0</v>
      </c>
      <c r="E93" s="392">
        <f t="shared" si="16"/>
        <v>0</v>
      </c>
      <c r="F93" s="392">
        <f t="shared" si="16"/>
        <v>0</v>
      </c>
      <c r="G93" s="392">
        <f t="shared" si="16"/>
        <v>0.1875</v>
      </c>
      <c r="H93" s="392">
        <f t="shared" si="16"/>
        <v>0.25</v>
      </c>
      <c r="I93" s="392">
        <f t="shared" si="16"/>
        <v>0.34375</v>
      </c>
      <c r="J93" s="392">
        <f t="shared" si="16"/>
        <v>0.1875</v>
      </c>
      <c r="K93" s="392">
        <f t="shared" si="16"/>
        <v>3.125E-2</v>
      </c>
      <c r="L93" s="392">
        <f t="shared" si="16"/>
        <v>0</v>
      </c>
      <c r="M93" s="392">
        <f t="shared" si="16"/>
        <v>0</v>
      </c>
      <c r="N93" s="392">
        <f t="shared" si="16"/>
        <v>0</v>
      </c>
      <c r="O93" s="392">
        <f t="shared" si="16"/>
        <v>0</v>
      </c>
      <c r="P93" s="560"/>
    </row>
    <row r="94" spans="2:40" outlineLevel="2">
      <c r="B94" s="532" t="s">
        <v>37</v>
      </c>
      <c r="C94" s="392">
        <f t="shared" si="14"/>
        <v>0</v>
      </c>
      <c r="D94" s="392">
        <f t="shared" si="15"/>
        <v>0</v>
      </c>
      <c r="E94" s="392">
        <f t="shared" si="16"/>
        <v>0</v>
      </c>
      <c r="F94" s="392">
        <f t="shared" si="16"/>
        <v>0</v>
      </c>
      <c r="G94" s="392">
        <f t="shared" si="16"/>
        <v>0.25</v>
      </c>
      <c r="H94" s="392">
        <f t="shared" si="16"/>
        <v>0.125</v>
      </c>
      <c r="I94" s="392">
        <f t="shared" si="16"/>
        <v>0.25</v>
      </c>
      <c r="J94" s="392">
        <f t="shared" si="16"/>
        <v>0.375</v>
      </c>
      <c r="K94" s="392">
        <f t="shared" si="16"/>
        <v>0</v>
      </c>
      <c r="L94" s="392">
        <f t="shared" si="16"/>
        <v>0</v>
      </c>
      <c r="M94" s="392">
        <f t="shared" si="16"/>
        <v>0</v>
      </c>
      <c r="N94" s="392">
        <f t="shared" si="16"/>
        <v>0</v>
      </c>
      <c r="O94" s="392">
        <f t="shared" si="16"/>
        <v>0</v>
      </c>
      <c r="P94" s="560"/>
    </row>
    <row r="95" spans="2:40" outlineLevel="2">
      <c r="B95" s="779" t="s">
        <v>59</v>
      </c>
      <c r="C95" s="392">
        <f t="shared" si="14"/>
        <v>0</v>
      </c>
      <c r="D95" s="392">
        <f t="shared" si="15"/>
        <v>0</v>
      </c>
      <c r="E95" s="392">
        <f t="shared" si="16"/>
        <v>0</v>
      </c>
      <c r="F95" s="392">
        <f t="shared" si="16"/>
        <v>0</v>
      </c>
      <c r="G95" s="392">
        <f t="shared" si="16"/>
        <v>5.2631578947368418E-2</v>
      </c>
      <c r="H95" s="392">
        <f t="shared" si="16"/>
        <v>2.6315789473684209E-2</v>
      </c>
      <c r="I95" s="392">
        <f t="shared" si="16"/>
        <v>0.23684210526315788</v>
      </c>
      <c r="J95" s="392">
        <f t="shared" si="16"/>
        <v>0.31578947368421051</v>
      </c>
      <c r="K95" s="392">
        <f t="shared" si="16"/>
        <v>0.26315789473684209</v>
      </c>
      <c r="L95" s="392">
        <f t="shared" si="16"/>
        <v>7.8947368421052627E-2</v>
      </c>
      <c r="M95" s="392">
        <f t="shared" si="16"/>
        <v>0</v>
      </c>
      <c r="N95" s="392">
        <f t="shared" si="16"/>
        <v>2.6315789473684209E-2</v>
      </c>
      <c r="O95" s="392">
        <f t="shared" si="16"/>
        <v>0</v>
      </c>
      <c r="P95" s="560"/>
    </row>
    <row r="96" spans="2:40" outlineLevel="2">
      <c r="B96" s="779"/>
      <c r="C96" s="392"/>
      <c r="D96" s="392"/>
      <c r="E96" s="392"/>
      <c r="F96" s="392"/>
      <c r="G96" s="392"/>
      <c r="H96" s="392"/>
      <c r="I96" s="392"/>
      <c r="J96" s="392"/>
      <c r="K96" s="392"/>
      <c r="L96" s="392"/>
      <c r="M96" s="392"/>
      <c r="N96" s="392"/>
      <c r="O96" s="392"/>
      <c r="P96" s="560"/>
    </row>
    <row r="97" spans="2:50" ht="18.75" outlineLevel="2">
      <c r="B97" s="68" t="s">
        <v>2604</v>
      </c>
      <c r="C97" s="392"/>
      <c r="D97" s="392"/>
      <c r="E97" s="392"/>
      <c r="F97" s="392"/>
      <c r="G97" s="392"/>
      <c r="H97" s="392"/>
      <c r="I97" s="392"/>
      <c r="J97" s="392"/>
      <c r="K97" s="392"/>
      <c r="L97" s="392"/>
      <c r="M97" s="392"/>
      <c r="N97" s="392"/>
      <c r="O97" s="392"/>
      <c r="P97" s="560"/>
    </row>
    <row r="98" spans="2:50" ht="18" customHeight="1" outlineLevel="2">
      <c r="B98" s="881" t="s">
        <v>183</v>
      </c>
      <c r="C98" s="871" t="s">
        <v>1110</v>
      </c>
      <c r="D98" s="873" t="s">
        <v>1635</v>
      </c>
      <c r="E98" s="879"/>
      <c r="F98" s="392"/>
      <c r="G98" s="392"/>
      <c r="H98" s="392"/>
      <c r="I98" s="392"/>
      <c r="J98" s="392"/>
      <c r="K98" s="392"/>
      <c r="L98" s="392"/>
      <c r="M98" s="392"/>
      <c r="N98" s="392"/>
      <c r="O98" s="392"/>
      <c r="P98" s="392"/>
      <c r="Q98" s="392"/>
      <c r="R98" s="392"/>
      <c r="S98" s="392"/>
      <c r="T98" s="392"/>
      <c r="U98" s="392"/>
      <c r="V98" s="392"/>
      <c r="W98" s="392"/>
      <c r="X98" s="392"/>
      <c r="Y98" s="392"/>
      <c r="Z98" s="392"/>
      <c r="AA98" s="392"/>
      <c r="AB98" s="392"/>
      <c r="AC98" s="392"/>
      <c r="AD98" s="392"/>
      <c r="AE98" s="392"/>
      <c r="AF98" s="392"/>
      <c r="AG98" s="392"/>
      <c r="AH98" s="392"/>
      <c r="AI98" s="392"/>
      <c r="AJ98" s="392"/>
      <c r="AK98" s="392"/>
      <c r="AL98" s="392"/>
      <c r="AM98" s="392"/>
      <c r="AN98" s="392"/>
      <c r="AO98" s="392"/>
      <c r="AP98" s="392"/>
      <c r="AQ98" s="392"/>
    </row>
    <row r="99" spans="2:50" ht="18.75" outlineLevel="2">
      <c r="B99" s="882" t="s">
        <v>126</v>
      </c>
      <c r="C99" s="883" t="s">
        <v>37</v>
      </c>
      <c r="D99" s="884">
        <v>8</v>
      </c>
      <c r="E99" s="867"/>
      <c r="F99" s="68" t="s">
        <v>2606</v>
      </c>
      <c r="G99" s="867"/>
      <c r="H99" s="867"/>
      <c r="I99" s="867"/>
      <c r="J99" s="867"/>
      <c r="K99" s="867"/>
      <c r="L99" s="867"/>
      <c r="M99" s="867"/>
      <c r="N99" s="867"/>
      <c r="O99" s="867"/>
      <c r="P99" s="867"/>
      <c r="Q99" s="867"/>
      <c r="R99" s="867"/>
      <c r="S99" s="867"/>
      <c r="T99" s="867"/>
      <c r="U99" s="867"/>
      <c r="V99" s="867"/>
      <c r="W99" s="867"/>
      <c r="X99" s="867"/>
      <c r="Y99" s="867"/>
      <c r="Z99" s="867"/>
      <c r="AA99" s="867"/>
      <c r="AB99" s="867"/>
      <c r="AC99" s="867"/>
      <c r="AD99" s="867"/>
      <c r="AE99" s="867"/>
      <c r="AF99" s="867"/>
      <c r="AG99" s="867"/>
      <c r="AH99" s="867"/>
      <c r="AI99" s="867"/>
      <c r="AJ99" s="867"/>
      <c r="AK99" s="867"/>
      <c r="AL99" s="867"/>
      <c r="AM99" s="867"/>
      <c r="AN99" s="867"/>
      <c r="AO99" s="867"/>
      <c r="AP99" s="867"/>
      <c r="AQ99" s="867"/>
      <c r="AR99" s="867"/>
      <c r="AS99" s="867"/>
      <c r="AT99" s="867"/>
      <c r="AU99" s="867"/>
      <c r="AV99" s="867"/>
      <c r="AW99" s="867"/>
      <c r="AX99" s="867"/>
    </row>
    <row r="100" spans="2:50" outlineLevel="2">
      <c r="B100" s="882" t="s">
        <v>127</v>
      </c>
      <c r="C100" s="885" t="s">
        <v>4</v>
      </c>
      <c r="D100" s="884">
        <v>10</v>
      </c>
      <c r="E100" s="392"/>
      <c r="F100" s="867" t="s">
        <v>1110</v>
      </c>
      <c r="G100" s="892" t="s">
        <v>2608</v>
      </c>
      <c r="H100" s="867"/>
      <c r="I100" s="867"/>
      <c r="J100" s="867"/>
      <c r="K100" s="867"/>
      <c r="L100" s="867"/>
      <c r="M100" s="867"/>
      <c r="N100" s="867"/>
      <c r="O100" s="867"/>
      <c r="P100" s="867"/>
      <c r="Q100" s="867"/>
      <c r="R100" s="867"/>
      <c r="S100" s="867"/>
      <c r="T100" s="867"/>
      <c r="U100" s="867"/>
      <c r="V100" s="867"/>
      <c r="W100" s="867"/>
      <c r="X100" s="867"/>
      <c r="Y100" s="867"/>
      <c r="Z100" s="867"/>
      <c r="AA100" s="867"/>
      <c r="AB100" s="867"/>
      <c r="AC100" s="867"/>
      <c r="AD100" s="867"/>
      <c r="AE100" s="867"/>
      <c r="AF100" s="867"/>
      <c r="AG100" s="867"/>
      <c r="AH100" s="867"/>
      <c r="AI100" s="867"/>
      <c r="AJ100" s="867"/>
      <c r="AK100" s="867"/>
      <c r="AL100" s="867"/>
      <c r="AM100" s="867"/>
      <c r="AN100" s="867"/>
      <c r="AO100" s="867"/>
      <c r="AP100" s="867"/>
      <c r="AQ100" s="867"/>
      <c r="AR100" s="867"/>
      <c r="AS100" s="867"/>
      <c r="AT100" s="867"/>
      <c r="AU100" s="867"/>
      <c r="AV100" s="867"/>
      <c r="AW100" s="867"/>
      <c r="AX100" s="867"/>
    </row>
    <row r="101" spans="2:50" outlineLevel="2">
      <c r="B101" s="882" t="s">
        <v>128</v>
      </c>
      <c r="C101" s="886" t="s">
        <v>59</v>
      </c>
      <c r="D101" s="884">
        <v>9</v>
      </c>
      <c r="E101" s="392"/>
      <c r="F101" s="870" t="s">
        <v>1</v>
      </c>
      <c r="G101" s="867">
        <f>COUNTIF($C$99:$C$147, F101)</f>
        <v>3</v>
      </c>
      <c r="H101" s="867"/>
      <c r="I101" s="867"/>
      <c r="J101" s="867"/>
      <c r="K101" s="867"/>
      <c r="L101" s="867"/>
      <c r="M101" s="867"/>
      <c r="N101" s="867"/>
      <c r="O101" s="867"/>
      <c r="P101" s="867"/>
      <c r="Q101" s="867"/>
      <c r="R101" s="867"/>
      <c r="S101" s="867"/>
      <c r="T101" s="867"/>
      <c r="U101" s="867"/>
      <c r="V101" s="867"/>
      <c r="W101" s="867"/>
      <c r="X101" s="867"/>
      <c r="Y101" s="867"/>
      <c r="Z101" s="867"/>
      <c r="AA101" s="867"/>
      <c r="AB101" s="867"/>
      <c r="AC101" s="867"/>
      <c r="AD101" s="867"/>
      <c r="AE101" s="867"/>
      <c r="AF101" s="867"/>
      <c r="AG101" s="867"/>
      <c r="AH101" s="867"/>
      <c r="AI101" s="867"/>
      <c r="AJ101" s="867"/>
      <c r="AK101" s="867"/>
      <c r="AL101" s="867"/>
      <c r="AM101" s="867"/>
      <c r="AN101" s="867"/>
      <c r="AO101" s="867"/>
      <c r="AP101" s="867"/>
      <c r="AQ101" s="867"/>
      <c r="AR101" s="867"/>
      <c r="AS101" s="867"/>
      <c r="AT101" s="867"/>
      <c r="AU101" s="867"/>
      <c r="AV101" s="867"/>
      <c r="AW101" s="867"/>
      <c r="AX101" s="867"/>
    </row>
    <row r="102" spans="2:50" outlineLevel="2">
      <c r="B102" s="882" t="s">
        <v>129</v>
      </c>
      <c r="C102" s="886" t="s">
        <v>59</v>
      </c>
      <c r="D102" s="884">
        <v>10</v>
      </c>
      <c r="E102" s="392"/>
      <c r="F102" s="870" t="s">
        <v>2</v>
      </c>
      <c r="G102" s="867">
        <f t="shared" ref="G102:G112" si="17">COUNTIF($C$99:$C$147, F102)</f>
        <v>0</v>
      </c>
      <c r="H102" s="867"/>
      <c r="I102" s="867"/>
      <c r="J102" s="867"/>
      <c r="K102" s="867"/>
      <c r="L102" s="867"/>
      <c r="M102" s="867"/>
      <c r="N102" s="867"/>
      <c r="O102" s="867"/>
      <c r="P102" s="867"/>
      <c r="Q102" s="867"/>
      <c r="R102" s="867"/>
      <c r="S102" s="867"/>
      <c r="T102" s="867"/>
      <c r="U102" s="867"/>
      <c r="V102" s="867"/>
      <c r="W102" s="867"/>
      <c r="X102" s="867"/>
      <c r="Y102" s="867"/>
      <c r="Z102" s="867"/>
      <c r="AA102" s="867"/>
      <c r="AB102" s="867"/>
      <c r="AC102" s="867"/>
      <c r="AD102" s="867"/>
      <c r="AE102" s="867"/>
      <c r="AF102" s="867"/>
      <c r="AG102" s="867"/>
      <c r="AH102" s="867"/>
      <c r="AI102" s="867"/>
      <c r="AJ102" s="867"/>
      <c r="AK102" s="867"/>
      <c r="AL102" s="867"/>
      <c r="AM102" s="867"/>
      <c r="AN102" s="867"/>
      <c r="AO102" s="867"/>
      <c r="AP102" s="867"/>
      <c r="AQ102" s="867"/>
      <c r="AR102" s="867"/>
      <c r="AS102" s="867"/>
      <c r="AT102" s="867"/>
      <c r="AU102" s="867"/>
      <c r="AV102" s="867"/>
      <c r="AW102" s="867"/>
      <c r="AX102" s="867"/>
    </row>
    <row r="103" spans="2:50" outlineLevel="2">
      <c r="B103" s="882" t="s">
        <v>130</v>
      </c>
      <c r="C103" s="886" t="s">
        <v>9</v>
      </c>
      <c r="D103" s="884">
        <v>9</v>
      </c>
      <c r="E103" s="392"/>
      <c r="F103" s="870" t="s">
        <v>3</v>
      </c>
      <c r="G103" s="867">
        <f t="shared" si="17"/>
        <v>0</v>
      </c>
      <c r="H103" s="867"/>
      <c r="I103" s="867"/>
      <c r="J103" s="867"/>
      <c r="K103" s="867"/>
      <c r="L103" s="867"/>
      <c r="M103" s="867"/>
      <c r="N103" s="867"/>
      <c r="O103" s="867"/>
      <c r="P103" s="867"/>
      <c r="Q103" s="867"/>
      <c r="R103" s="867"/>
      <c r="S103" s="867"/>
      <c r="T103" s="867"/>
      <c r="U103" s="867"/>
      <c r="V103" s="867"/>
      <c r="W103" s="867"/>
      <c r="X103" s="867"/>
      <c r="Y103" s="867"/>
      <c r="Z103" s="867"/>
      <c r="AA103" s="867"/>
      <c r="AB103" s="867"/>
      <c r="AC103" s="867"/>
      <c r="AD103" s="867"/>
      <c r="AE103" s="867"/>
      <c r="AF103" s="867"/>
      <c r="AG103" s="867"/>
      <c r="AH103" s="867"/>
      <c r="AI103" s="867"/>
      <c r="AJ103" s="867"/>
      <c r="AK103" s="867"/>
      <c r="AL103" s="867"/>
      <c r="AM103" s="867"/>
      <c r="AN103" s="867"/>
      <c r="AO103" s="867"/>
      <c r="AP103" s="867"/>
      <c r="AQ103" s="867"/>
      <c r="AR103" s="867"/>
      <c r="AS103" s="867"/>
      <c r="AT103" s="867"/>
      <c r="AU103" s="867"/>
      <c r="AV103" s="867"/>
      <c r="AW103" s="867"/>
      <c r="AX103" s="867"/>
    </row>
    <row r="104" spans="2:50" outlineLevel="2">
      <c r="B104" s="882" t="s">
        <v>131</v>
      </c>
      <c r="C104" s="886" t="s">
        <v>6</v>
      </c>
      <c r="D104" s="884">
        <v>13</v>
      </c>
      <c r="E104" s="392"/>
      <c r="F104" s="870" t="s">
        <v>4</v>
      </c>
      <c r="G104" s="867">
        <f t="shared" si="17"/>
        <v>2</v>
      </c>
      <c r="H104" s="867"/>
      <c r="I104" s="867"/>
      <c r="J104" s="867"/>
      <c r="K104" s="867"/>
      <c r="L104" s="867"/>
      <c r="M104" s="867"/>
      <c r="N104" s="867"/>
      <c r="O104" s="867"/>
      <c r="P104" s="867"/>
      <c r="Q104" s="867"/>
      <c r="R104" s="867"/>
      <c r="S104" s="867"/>
      <c r="T104" s="867"/>
      <c r="U104" s="867"/>
      <c r="V104" s="867"/>
      <c r="W104" s="867"/>
      <c r="X104" s="867"/>
      <c r="Y104" s="867"/>
      <c r="Z104" s="867"/>
      <c r="AA104" s="867"/>
      <c r="AB104" s="867"/>
      <c r="AC104" s="867"/>
      <c r="AD104" s="867"/>
      <c r="AE104" s="867"/>
      <c r="AF104" s="867"/>
      <c r="AG104" s="867"/>
      <c r="AH104" s="867"/>
      <c r="AI104" s="867"/>
      <c r="AJ104" s="867"/>
      <c r="AK104" s="867"/>
      <c r="AL104" s="867"/>
      <c r="AM104" s="867"/>
      <c r="AN104" s="867"/>
      <c r="AO104" s="867"/>
      <c r="AP104" s="867"/>
      <c r="AQ104" s="867"/>
      <c r="AR104" s="867"/>
      <c r="AS104" s="867"/>
      <c r="AT104" s="867"/>
      <c r="AU104" s="867"/>
      <c r="AV104" s="867"/>
      <c r="AW104" s="867"/>
      <c r="AX104" s="867"/>
    </row>
    <row r="105" spans="2:50" outlineLevel="2">
      <c r="B105" s="882" t="s">
        <v>132</v>
      </c>
      <c r="C105" s="886" t="s">
        <v>59</v>
      </c>
      <c r="D105" s="884">
        <v>9</v>
      </c>
      <c r="E105" s="392"/>
      <c r="F105" s="870" t="s">
        <v>5</v>
      </c>
      <c r="G105" s="867">
        <f t="shared" si="17"/>
        <v>1</v>
      </c>
      <c r="H105" s="867"/>
      <c r="I105" s="867"/>
      <c r="J105" s="867"/>
      <c r="K105" s="867"/>
      <c r="L105" s="867"/>
      <c r="M105" s="867"/>
      <c r="N105" s="867"/>
      <c r="O105" s="867"/>
      <c r="P105" s="867"/>
      <c r="Q105" s="867"/>
      <c r="R105" s="867"/>
      <c r="S105" s="867"/>
      <c r="T105" s="867"/>
      <c r="U105" s="867"/>
      <c r="V105" s="867"/>
      <c r="W105" s="867"/>
      <c r="X105" s="867"/>
      <c r="Y105" s="867"/>
      <c r="Z105" s="867"/>
      <c r="AA105" s="867"/>
      <c r="AB105" s="867"/>
      <c r="AC105" s="867"/>
      <c r="AD105" s="867"/>
      <c r="AE105" s="867"/>
      <c r="AF105" s="867"/>
      <c r="AG105" s="867"/>
      <c r="AH105" s="867"/>
      <c r="AI105" s="867"/>
      <c r="AJ105" s="867"/>
      <c r="AK105" s="867"/>
      <c r="AL105" s="867"/>
      <c r="AM105" s="867"/>
      <c r="AN105" s="867"/>
      <c r="AO105" s="867"/>
      <c r="AP105" s="867"/>
      <c r="AQ105" s="867"/>
      <c r="AR105" s="867"/>
      <c r="AS105" s="867"/>
      <c r="AT105" s="867"/>
      <c r="AU105" s="867"/>
      <c r="AV105" s="867"/>
      <c r="AW105" s="867"/>
      <c r="AX105" s="867"/>
    </row>
    <row r="106" spans="2:50" outlineLevel="2">
      <c r="B106" s="882" t="s">
        <v>133</v>
      </c>
      <c r="C106" s="886" t="s">
        <v>59</v>
      </c>
      <c r="D106" s="884">
        <v>12</v>
      </c>
      <c r="E106" s="392"/>
      <c r="F106" s="870" t="s">
        <v>6</v>
      </c>
      <c r="G106" s="867">
        <f t="shared" si="17"/>
        <v>3</v>
      </c>
      <c r="H106" s="867"/>
      <c r="I106" s="867"/>
      <c r="J106" s="867"/>
      <c r="K106" s="867"/>
      <c r="L106" s="867"/>
      <c r="M106" s="867"/>
      <c r="N106" s="867"/>
      <c r="O106" s="867"/>
      <c r="P106" s="867"/>
      <c r="Q106" s="867"/>
      <c r="R106" s="867"/>
      <c r="S106" s="867"/>
      <c r="T106" s="867"/>
      <c r="U106" s="867"/>
      <c r="V106" s="867"/>
      <c r="W106" s="867"/>
      <c r="X106" s="867"/>
      <c r="Y106" s="867"/>
      <c r="Z106" s="867"/>
      <c r="AA106" s="867"/>
      <c r="AB106" s="867"/>
      <c r="AC106" s="867"/>
      <c r="AD106" s="867"/>
      <c r="AE106" s="867"/>
      <c r="AF106" s="867"/>
      <c r="AG106" s="867"/>
      <c r="AH106" s="867"/>
      <c r="AI106" s="867"/>
      <c r="AJ106" s="867"/>
      <c r="AK106" s="867"/>
      <c r="AL106" s="867"/>
      <c r="AM106" s="867"/>
      <c r="AN106" s="867"/>
      <c r="AO106" s="867"/>
      <c r="AP106" s="867"/>
      <c r="AQ106" s="867"/>
      <c r="AR106" s="867"/>
      <c r="AS106" s="867"/>
      <c r="AT106" s="867"/>
      <c r="AU106" s="867"/>
      <c r="AV106" s="867"/>
      <c r="AW106" s="867"/>
      <c r="AX106" s="867"/>
    </row>
    <row r="107" spans="2:50" outlineLevel="2">
      <c r="B107" s="571" t="s">
        <v>134</v>
      </c>
      <c r="C107" s="872" t="s">
        <v>2605</v>
      </c>
      <c r="D107" s="880">
        <v>8</v>
      </c>
      <c r="E107" s="392"/>
      <c r="F107" s="870" t="s">
        <v>7</v>
      </c>
      <c r="G107" s="867">
        <f t="shared" si="17"/>
        <v>0</v>
      </c>
      <c r="H107" s="867"/>
      <c r="I107" s="867"/>
      <c r="J107" s="867"/>
      <c r="K107" s="867"/>
      <c r="L107" s="867"/>
      <c r="M107" s="867"/>
      <c r="N107" s="867"/>
      <c r="O107" s="867"/>
      <c r="P107" s="867"/>
      <c r="Q107" s="867"/>
      <c r="R107" s="867"/>
      <c r="S107" s="867"/>
      <c r="T107" s="867"/>
      <c r="U107" s="867"/>
      <c r="V107" s="867"/>
      <c r="W107" s="867"/>
      <c r="X107" s="867"/>
      <c r="Y107" s="867"/>
      <c r="Z107" s="867"/>
      <c r="AA107" s="867"/>
      <c r="AB107" s="867"/>
      <c r="AC107" s="867"/>
      <c r="AD107" s="867"/>
      <c r="AE107" s="867"/>
      <c r="AF107" s="867"/>
      <c r="AG107" s="867"/>
      <c r="AH107" s="867"/>
      <c r="AI107" s="867"/>
      <c r="AJ107" s="867"/>
      <c r="AK107" s="867"/>
      <c r="AL107" s="867"/>
      <c r="AM107" s="867"/>
      <c r="AN107" s="867"/>
      <c r="AO107" s="867"/>
      <c r="AP107" s="867"/>
      <c r="AQ107" s="867"/>
      <c r="AR107" s="867"/>
      <c r="AS107" s="867"/>
      <c r="AT107" s="867"/>
      <c r="AU107" s="867"/>
      <c r="AV107" s="867"/>
      <c r="AW107" s="867"/>
      <c r="AX107" s="867"/>
    </row>
    <row r="108" spans="2:50" outlineLevel="2">
      <c r="B108" s="887"/>
      <c r="C108" s="871" t="s">
        <v>37</v>
      </c>
      <c r="D108" s="888"/>
      <c r="E108" s="392"/>
      <c r="F108" s="870" t="s">
        <v>8</v>
      </c>
      <c r="G108" s="867">
        <f t="shared" si="17"/>
        <v>4</v>
      </c>
      <c r="H108" s="867"/>
      <c r="I108" s="867"/>
      <c r="J108" s="867"/>
      <c r="K108" s="867"/>
      <c r="L108" s="867"/>
      <c r="M108" s="867"/>
      <c r="N108" s="867"/>
      <c r="O108" s="867"/>
      <c r="P108" s="867"/>
      <c r="Q108" s="867"/>
      <c r="R108" s="867"/>
      <c r="S108" s="867"/>
      <c r="T108" s="867"/>
      <c r="U108" s="867"/>
      <c r="V108" s="867"/>
      <c r="W108" s="867"/>
      <c r="X108" s="867"/>
      <c r="Y108" s="867"/>
      <c r="Z108" s="867"/>
      <c r="AA108" s="867"/>
      <c r="AB108" s="867"/>
      <c r="AC108" s="867"/>
      <c r="AD108" s="867"/>
      <c r="AE108" s="867"/>
      <c r="AF108" s="867"/>
      <c r="AG108" s="867"/>
      <c r="AH108" s="867"/>
      <c r="AI108" s="867"/>
      <c r="AJ108" s="867"/>
      <c r="AK108" s="867"/>
      <c r="AL108" s="867"/>
      <c r="AM108" s="867"/>
      <c r="AN108" s="867"/>
      <c r="AO108" s="867"/>
      <c r="AP108" s="867"/>
      <c r="AQ108" s="867"/>
      <c r="AR108" s="867"/>
      <c r="AS108" s="867"/>
      <c r="AT108" s="867"/>
      <c r="AU108" s="867"/>
      <c r="AV108" s="867"/>
      <c r="AW108" s="867"/>
      <c r="AX108" s="867"/>
    </row>
    <row r="109" spans="2:50" outlineLevel="2">
      <c r="B109" s="882" t="s">
        <v>135</v>
      </c>
      <c r="C109" s="886" t="s">
        <v>9</v>
      </c>
      <c r="D109" s="884">
        <v>13</v>
      </c>
      <c r="E109" s="392"/>
      <c r="F109" s="870" t="s">
        <v>9</v>
      </c>
      <c r="G109" s="867">
        <f t="shared" si="17"/>
        <v>8</v>
      </c>
      <c r="H109" s="867"/>
      <c r="I109" s="867"/>
      <c r="J109" s="867"/>
      <c r="K109" s="867"/>
      <c r="L109" s="867"/>
      <c r="M109" s="867"/>
      <c r="N109" s="867"/>
      <c r="O109" s="867"/>
      <c r="P109" s="867"/>
      <c r="Q109" s="867"/>
      <c r="R109" s="867"/>
      <c r="S109" s="867"/>
      <c r="T109" s="867"/>
      <c r="U109" s="867"/>
      <c r="V109" s="867"/>
      <c r="W109" s="867"/>
      <c r="X109" s="867"/>
      <c r="Y109" s="867"/>
      <c r="Z109" s="867"/>
      <c r="AA109" s="867"/>
      <c r="AB109" s="867"/>
      <c r="AC109" s="867"/>
      <c r="AD109" s="867"/>
      <c r="AE109" s="867"/>
      <c r="AF109" s="867"/>
      <c r="AG109" s="867"/>
      <c r="AH109" s="867"/>
      <c r="AI109" s="867"/>
      <c r="AJ109" s="867"/>
      <c r="AK109" s="867"/>
      <c r="AL109" s="867"/>
      <c r="AM109" s="867"/>
      <c r="AN109" s="867"/>
      <c r="AO109" s="867"/>
      <c r="AP109" s="867"/>
      <c r="AQ109" s="867"/>
      <c r="AR109" s="867"/>
      <c r="AS109" s="867"/>
      <c r="AT109" s="867"/>
      <c r="AU109" s="867"/>
      <c r="AV109" s="867"/>
      <c r="AW109" s="867"/>
      <c r="AX109" s="867"/>
    </row>
    <row r="110" spans="2:50" outlineLevel="2">
      <c r="B110" s="882" t="s">
        <v>136</v>
      </c>
      <c r="C110" s="886" t="s">
        <v>59</v>
      </c>
      <c r="D110" s="884">
        <v>8</v>
      </c>
      <c r="E110" s="392"/>
      <c r="F110" s="870" t="s">
        <v>10</v>
      </c>
      <c r="G110" s="867">
        <f t="shared" si="17"/>
        <v>5</v>
      </c>
      <c r="H110" s="867"/>
      <c r="I110" s="867"/>
      <c r="J110" s="867"/>
      <c r="K110" s="867"/>
      <c r="L110" s="867"/>
      <c r="M110" s="867"/>
      <c r="N110" s="867"/>
      <c r="O110" s="867"/>
      <c r="P110" s="867"/>
      <c r="Q110" s="867"/>
      <c r="R110" s="867"/>
      <c r="S110" s="867"/>
      <c r="T110" s="867"/>
      <c r="U110" s="867"/>
      <c r="V110" s="867"/>
      <c r="W110" s="867"/>
      <c r="X110" s="867"/>
      <c r="Y110" s="867"/>
      <c r="Z110" s="867"/>
      <c r="AA110" s="867"/>
      <c r="AB110" s="867"/>
      <c r="AC110" s="867"/>
      <c r="AD110" s="867"/>
      <c r="AE110" s="867"/>
      <c r="AF110" s="867"/>
      <c r="AG110" s="867"/>
      <c r="AH110" s="867"/>
      <c r="AI110" s="867"/>
      <c r="AJ110" s="867"/>
      <c r="AK110" s="867"/>
      <c r="AL110" s="867"/>
      <c r="AM110" s="867"/>
      <c r="AN110" s="867"/>
      <c r="AO110" s="867"/>
      <c r="AP110" s="867"/>
      <c r="AQ110" s="867"/>
      <c r="AR110" s="867"/>
      <c r="AS110" s="867"/>
      <c r="AT110" s="867"/>
      <c r="AU110" s="867"/>
      <c r="AV110" s="867"/>
      <c r="AW110" s="867"/>
      <c r="AX110" s="867"/>
    </row>
    <row r="111" spans="2:50" outlineLevel="2">
      <c r="B111" s="571" t="s">
        <v>137</v>
      </c>
      <c r="C111" s="872" t="s">
        <v>10</v>
      </c>
      <c r="D111" s="880">
        <v>9</v>
      </c>
      <c r="E111" s="392"/>
      <c r="F111" s="870" t="s">
        <v>36</v>
      </c>
      <c r="G111" s="867">
        <f t="shared" si="17"/>
        <v>4</v>
      </c>
      <c r="H111" s="867"/>
      <c r="I111" s="867"/>
      <c r="J111" s="867"/>
      <c r="K111" s="867"/>
      <c r="L111" s="867"/>
      <c r="M111" s="867"/>
      <c r="N111" s="867"/>
      <c r="O111" s="867"/>
      <c r="P111" s="867"/>
      <c r="Q111" s="867"/>
      <c r="R111" s="867"/>
      <c r="S111" s="867"/>
      <c r="T111" s="867"/>
      <c r="U111" s="867"/>
      <c r="V111" s="867"/>
      <c r="W111" s="867"/>
      <c r="X111" s="867"/>
      <c r="Y111" s="867"/>
      <c r="Z111" s="867"/>
      <c r="AA111" s="867"/>
      <c r="AB111" s="867"/>
      <c r="AC111" s="867"/>
      <c r="AD111" s="867"/>
      <c r="AE111" s="867"/>
      <c r="AF111" s="867"/>
      <c r="AG111" s="867"/>
      <c r="AH111" s="867"/>
      <c r="AI111" s="867"/>
      <c r="AJ111" s="867"/>
      <c r="AK111" s="867"/>
      <c r="AL111" s="867"/>
      <c r="AM111" s="867"/>
      <c r="AN111" s="867"/>
      <c r="AO111" s="867"/>
      <c r="AP111" s="867"/>
      <c r="AQ111" s="867"/>
      <c r="AR111" s="867"/>
      <c r="AS111" s="867"/>
      <c r="AT111" s="867"/>
      <c r="AU111" s="867"/>
      <c r="AV111" s="867"/>
      <c r="AW111" s="867"/>
      <c r="AX111" s="867"/>
    </row>
    <row r="112" spans="2:50" outlineLevel="2">
      <c r="B112" s="887"/>
      <c r="C112" s="871" t="s">
        <v>59</v>
      </c>
      <c r="D112" s="888"/>
      <c r="E112" s="392"/>
      <c r="F112" s="870" t="s">
        <v>37</v>
      </c>
      <c r="G112" s="867">
        <f t="shared" si="17"/>
        <v>2</v>
      </c>
      <c r="H112" s="867"/>
      <c r="I112" s="867"/>
      <c r="J112" s="867"/>
      <c r="K112" s="867"/>
      <c r="L112" s="867"/>
      <c r="M112" s="867"/>
      <c r="N112" s="867"/>
      <c r="O112" s="867"/>
      <c r="P112" s="867"/>
      <c r="Q112" s="867"/>
      <c r="R112" s="867"/>
      <c r="S112" s="867"/>
      <c r="T112" s="867"/>
      <c r="U112" s="867"/>
      <c r="V112" s="867"/>
      <c r="W112" s="867"/>
      <c r="X112" s="867"/>
      <c r="Y112" s="867"/>
      <c r="Z112" s="867"/>
      <c r="AA112" s="867"/>
      <c r="AB112" s="867"/>
      <c r="AC112" s="867"/>
      <c r="AD112" s="867"/>
      <c r="AE112" s="867"/>
      <c r="AF112" s="867"/>
      <c r="AG112" s="867"/>
      <c r="AH112" s="867"/>
      <c r="AI112" s="867"/>
      <c r="AJ112" s="867"/>
      <c r="AK112" s="867"/>
      <c r="AL112" s="867"/>
      <c r="AM112" s="867"/>
      <c r="AN112" s="867"/>
      <c r="AO112" s="867"/>
      <c r="AP112" s="867"/>
      <c r="AQ112" s="867"/>
      <c r="AR112" s="867"/>
      <c r="AS112" s="867"/>
      <c r="AT112" s="867"/>
      <c r="AU112" s="867"/>
      <c r="AV112" s="867"/>
      <c r="AW112" s="867"/>
      <c r="AX112" s="867"/>
    </row>
    <row r="113" spans="2:50" outlineLevel="2">
      <c r="B113" s="882" t="s">
        <v>138</v>
      </c>
      <c r="C113" s="886" t="s">
        <v>4</v>
      </c>
      <c r="D113" s="884">
        <v>9</v>
      </c>
      <c r="E113" s="392"/>
      <c r="F113" s="891" t="s">
        <v>59</v>
      </c>
      <c r="G113" s="867">
        <f>COUNTIF($C$99:$C$147, F113)</f>
        <v>16</v>
      </c>
      <c r="H113" s="867"/>
      <c r="I113" s="867"/>
      <c r="J113" s="867"/>
      <c r="K113" s="867"/>
      <c r="L113" s="867"/>
      <c r="M113" s="867"/>
      <c r="N113" s="867"/>
      <c r="O113" s="867"/>
      <c r="P113" s="867"/>
      <c r="Q113" s="867"/>
      <c r="R113" s="867"/>
      <c r="S113" s="867"/>
      <c r="T113" s="867"/>
      <c r="U113" s="867"/>
      <c r="V113" s="867"/>
      <c r="W113" s="867"/>
      <c r="X113" s="867"/>
      <c r="Y113" s="867"/>
      <c r="Z113" s="867"/>
      <c r="AA113" s="867"/>
      <c r="AB113" s="867"/>
      <c r="AC113" s="867"/>
      <c r="AD113" s="867"/>
      <c r="AE113" s="867"/>
      <c r="AF113" s="867"/>
      <c r="AG113" s="867"/>
      <c r="AH113" s="867"/>
      <c r="AI113" s="867"/>
      <c r="AJ113" s="867"/>
      <c r="AK113" s="867"/>
      <c r="AL113" s="867"/>
      <c r="AM113" s="867"/>
      <c r="AN113" s="867"/>
      <c r="AO113" s="867"/>
      <c r="AP113" s="867"/>
      <c r="AQ113" s="867"/>
      <c r="AR113" s="867"/>
      <c r="AS113" s="867"/>
      <c r="AT113" s="867"/>
      <c r="AU113" s="867"/>
      <c r="AV113" s="867"/>
      <c r="AW113" s="867"/>
      <c r="AX113" s="867"/>
    </row>
    <row r="114" spans="2:50" outlineLevel="2">
      <c r="B114" s="882" t="s">
        <v>139</v>
      </c>
      <c r="C114" s="886" t="s">
        <v>36</v>
      </c>
      <c r="D114" s="884">
        <v>8</v>
      </c>
      <c r="E114" s="392"/>
      <c r="F114" s="867"/>
      <c r="G114" s="867"/>
      <c r="H114" s="867"/>
      <c r="I114" s="867"/>
      <c r="J114" s="867"/>
      <c r="K114" s="867"/>
      <c r="L114" s="867"/>
      <c r="M114" s="867"/>
      <c r="N114" s="867"/>
      <c r="O114" s="867"/>
      <c r="P114" s="867"/>
      <c r="Q114" s="867"/>
      <c r="R114" s="867"/>
      <c r="S114" s="867"/>
      <c r="T114" s="867"/>
      <c r="U114" s="867"/>
      <c r="V114" s="867"/>
      <c r="W114" s="867"/>
      <c r="X114" s="867"/>
      <c r="Y114" s="867"/>
      <c r="Z114" s="867"/>
      <c r="AA114" s="867"/>
      <c r="AB114" s="867"/>
      <c r="AC114" s="867"/>
      <c r="AD114" s="867"/>
      <c r="AE114" s="867"/>
      <c r="AF114" s="867"/>
      <c r="AG114" s="867"/>
      <c r="AH114" s="867"/>
      <c r="AI114" s="867"/>
      <c r="AJ114" s="867"/>
      <c r="AK114" s="867"/>
      <c r="AL114" s="867"/>
      <c r="AM114" s="867"/>
      <c r="AN114" s="867"/>
      <c r="AO114" s="867"/>
      <c r="AP114" s="867"/>
      <c r="AQ114" s="867"/>
      <c r="AR114" s="867"/>
      <c r="AS114" s="867"/>
      <c r="AT114" s="867"/>
      <c r="AU114" s="867"/>
      <c r="AV114" s="867"/>
      <c r="AW114" s="867"/>
      <c r="AX114" s="867"/>
    </row>
    <row r="115" spans="2:50" ht="18.75" outlineLevel="2">
      <c r="B115" s="571" t="s">
        <v>140</v>
      </c>
      <c r="C115" s="872" t="s">
        <v>36</v>
      </c>
      <c r="D115" s="880">
        <v>9</v>
      </c>
      <c r="E115" s="392"/>
      <c r="F115" s="68" t="s">
        <v>2607</v>
      </c>
      <c r="G115" s="867"/>
      <c r="H115" s="867"/>
      <c r="I115" s="867"/>
      <c r="J115" s="867"/>
      <c r="K115" s="867"/>
      <c r="L115" s="867"/>
      <c r="M115" s="867"/>
      <c r="N115" s="867"/>
      <c r="O115" s="867"/>
      <c r="P115" s="867"/>
      <c r="Q115" s="867"/>
      <c r="R115" s="867"/>
      <c r="S115" s="867"/>
      <c r="T115" s="867"/>
      <c r="U115" s="867"/>
      <c r="V115" s="867"/>
      <c r="W115" s="867"/>
      <c r="X115" s="867"/>
      <c r="Y115" s="867"/>
      <c r="Z115" s="867"/>
      <c r="AA115" s="867"/>
      <c r="AB115" s="867"/>
      <c r="AC115" s="867"/>
      <c r="AD115" s="867"/>
      <c r="AE115" s="867"/>
      <c r="AF115" s="867"/>
      <c r="AG115" s="867"/>
      <c r="AH115" s="867"/>
      <c r="AI115" s="867"/>
      <c r="AJ115" s="867"/>
      <c r="AK115" s="867"/>
      <c r="AL115" s="867"/>
      <c r="AM115" s="867"/>
      <c r="AN115" s="867"/>
      <c r="AO115" s="867"/>
      <c r="AP115" s="867"/>
      <c r="AQ115" s="867"/>
      <c r="AR115" s="867"/>
      <c r="AS115" s="867"/>
      <c r="AT115" s="867"/>
      <c r="AU115" s="867"/>
      <c r="AV115" s="867"/>
      <c r="AW115" s="867"/>
      <c r="AX115" s="867"/>
    </row>
    <row r="116" spans="2:50" outlineLevel="2">
      <c r="B116" s="887"/>
      <c r="C116" s="871" t="s">
        <v>59</v>
      </c>
      <c r="D116" s="888"/>
      <c r="E116" s="392"/>
      <c r="F116" s="867" t="s">
        <v>1635</v>
      </c>
      <c r="G116" s="892" t="s">
        <v>2608</v>
      </c>
      <c r="H116" s="867"/>
      <c r="I116" s="867"/>
      <c r="J116" s="867"/>
      <c r="K116" s="867"/>
      <c r="L116" s="867"/>
      <c r="M116" s="867"/>
      <c r="N116" s="867"/>
      <c r="O116" s="867"/>
      <c r="P116" s="867"/>
      <c r="Q116" s="867"/>
      <c r="R116" s="867"/>
      <c r="S116" s="867"/>
      <c r="T116" s="867"/>
      <c r="U116" s="867"/>
      <c r="V116" s="867"/>
      <c r="W116" s="867"/>
      <c r="X116" s="867"/>
      <c r="Y116" s="867"/>
      <c r="Z116" s="867"/>
      <c r="AA116" s="867"/>
      <c r="AB116" s="867"/>
      <c r="AC116" s="867"/>
      <c r="AD116" s="867"/>
      <c r="AE116" s="867"/>
      <c r="AF116" s="867"/>
      <c r="AG116" s="867"/>
      <c r="AH116" s="867"/>
      <c r="AI116" s="867"/>
      <c r="AJ116" s="867"/>
      <c r="AK116" s="867"/>
      <c r="AL116" s="867"/>
      <c r="AM116" s="867"/>
      <c r="AN116" s="867"/>
      <c r="AO116" s="867"/>
      <c r="AP116" s="867"/>
      <c r="AQ116" s="867"/>
      <c r="AR116" s="867"/>
      <c r="AS116" s="867"/>
      <c r="AT116" s="867"/>
      <c r="AU116" s="867"/>
      <c r="AV116" s="867"/>
      <c r="AW116" s="867"/>
      <c r="AX116" s="867"/>
    </row>
    <row r="117" spans="2:50" outlineLevel="2">
      <c r="B117" s="571" t="s">
        <v>141</v>
      </c>
      <c r="C117" s="872" t="s">
        <v>9</v>
      </c>
      <c r="D117" s="880">
        <v>9</v>
      </c>
      <c r="E117" s="392"/>
      <c r="F117" s="870">
        <v>1</v>
      </c>
      <c r="G117" s="867">
        <f>COUNTIF($D$99:$D$147, Table2931[[#This Row],[Challenge '#]])</f>
        <v>0</v>
      </c>
      <c r="H117" s="867"/>
      <c r="I117" s="867"/>
      <c r="J117" s="867"/>
      <c r="K117" s="867"/>
      <c r="L117" s="867"/>
      <c r="M117" s="867"/>
      <c r="N117" s="867"/>
      <c r="O117" s="867"/>
      <c r="P117" s="867"/>
      <c r="Q117" s="867"/>
      <c r="R117" s="867"/>
      <c r="S117" s="867"/>
      <c r="T117" s="867"/>
      <c r="U117" s="867"/>
      <c r="V117" s="867"/>
      <c r="W117" s="867"/>
      <c r="X117" s="867"/>
      <c r="Y117" s="867"/>
      <c r="Z117" s="867"/>
      <c r="AA117" s="867"/>
      <c r="AB117" s="867"/>
      <c r="AC117" s="867"/>
      <c r="AD117" s="867"/>
      <c r="AE117" s="867"/>
      <c r="AF117" s="867"/>
      <c r="AG117" s="867"/>
      <c r="AH117" s="867"/>
      <c r="AI117" s="867"/>
      <c r="AJ117" s="867"/>
      <c r="AK117" s="867"/>
      <c r="AL117" s="867"/>
      <c r="AM117" s="867"/>
      <c r="AN117" s="867"/>
      <c r="AO117" s="867"/>
      <c r="AP117" s="867"/>
      <c r="AQ117" s="867"/>
      <c r="AR117" s="867"/>
      <c r="AS117" s="867"/>
      <c r="AT117" s="867"/>
      <c r="AU117" s="867"/>
      <c r="AV117" s="867"/>
      <c r="AW117" s="867"/>
      <c r="AX117" s="867"/>
    </row>
    <row r="118" spans="2:50" outlineLevel="2">
      <c r="B118" s="887"/>
      <c r="C118" s="871" t="s">
        <v>59</v>
      </c>
      <c r="D118" s="888"/>
      <c r="E118" s="392"/>
      <c r="F118" s="870">
        <v>2</v>
      </c>
      <c r="G118" s="867">
        <f>COUNTIF($D$99:$D$147, Table2931[[#This Row],[Challenge '#]])</f>
        <v>0</v>
      </c>
      <c r="H118" s="867"/>
      <c r="I118" s="867"/>
      <c r="J118" s="867"/>
      <c r="K118" s="867"/>
      <c r="L118" s="867"/>
      <c r="M118" s="867"/>
      <c r="N118" s="867"/>
      <c r="O118" s="867"/>
      <c r="P118" s="867"/>
      <c r="Q118" s="867"/>
      <c r="R118" s="867"/>
      <c r="S118" s="867"/>
      <c r="T118" s="867"/>
      <c r="U118" s="867"/>
      <c r="V118" s="867"/>
      <c r="W118" s="867"/>
      <c r="X118" s="867"/>
      <c r="Y118" s="867"/>
      <c r="Z118" s="867"/>
      <c r="AA118" s="867"/>
      <c r="AB118" s="867"/>
      <c r="AC118" s="867"/>
      <c r="AD118" s="867"/>
      <c r="AE118" s="867"/>
      <c r="AF118" s="867"/>
      <c r="AG118" s="867"/>
      <c r="AH118" s="867"/>
      <c r="AI118" s="867"/>
      <c r="AJ118" s="867"/>
      <c r="AK118" s="867"/>
      <c r="AL118" s="867"/>
      <c r="AM118" s="867"/>
      <c r="AN118" s="867"/>
      <c r="AO118" s="867"/>
      <c r="AP118" s="867"/>
      <c r="AQ118" s="867"/>
      <c r="AR118" s="867"/>
      <c r="AS118" s="867"/>
      <c r="AT118" s="867"/>
      <c r="AU118" s="867"/>
      <c r="AV118" s="867"/>
      <c r="AW118" s="867"/>
      <c r="AX118" s="867"/>
    </row>
    <row r="119" spans="2:50" outlineLevel="2">
      <c r="B119" s="882" t="s">
        <v>142</v>
      </c>
      <c r="C119" s="886" t="s">
        <v>36</v>
      </c>
      <c r="D119" s="884">
        <v>8</v>
      </c>
      <c r="E119" s="392"/>
      <c r="F119" s="870">
        <v>3</v>
      </c>
      <c r="G119" s="867">
        <f>COUNTIF($D$99:$D$147, Table2931[[#This Row],[Challenge '#]])</f>
        <v>0</v>
      </c>
      <c r="H119" s="867"/>
      <c r="I119" s="867"/>
      <c r="J119" s="867"/>
      <c r="K119" s="867"/>
      <c r="L119" s="867"/>
      <c r="M119" s="867"/>
      <c r="N119" s="867"/>
      <c r="O119" s="867"/>
      <c r="P119" s="867"/>
      <c r="Q119" s="867"/>
      <c r="R119" s="867"/>
      <c r="S119" s="867"/>
      <c r="T119" s="867"/>
      <c r="U119" s="867"/>
      <c r="V119" s="867"/>
      <c r="W119" s="867"/>
      <c r="X119" s="867"/>
      <c r="Y119" s="867"/>
      <c r="Z119" s="867"/>
      <c r="AA119" s="867"/>
      <c r="AB119" s="867"/>
      <c r="AC119" s="867"/>
      <c r="AD119" s="867"/>
      <c r="AE119" s="867"/>
      <c r="AF119" s="867"/>
      <c r="AG119" s="867"/>
      <c r="AH119" s="867"/>
      <c r="AI119" s="867"/>
      <c r="AJ119" s="867"/>
      <c r="AK119" s="867"/>
      <c r="AL119" s="867"/>
      <c r="AM119" s="867"/>
      <c r="AN119" s="867"/>
      <c r="AO119" s="867"/>
      <c r="AP119" s="867"/>
      <c r="AQ119" s="867"/>
      <c r="AR119" s="867"/>
      <c r="AS119" s="867"/>
      <c r="AT119" s="867"/>
      <c r="AU119" s="867"/>
      <c r="AV119" s="867"/>
      <c r="AW119" s="867"/>
      <c r="AX119" s="867"/>
    </row>
    <row r="120" spans="2:50" outlineLevel="2">
      <c r="B120" s="882" t="s">
        <v>143</v>
      </c>
      <c r="C120" s="886" t="s">
        <v>59</v>
      </c>
      <c r="D120" s="884">
        <v>9</v>
      </c>
      <c r="E120" s="392"/>
      <c r="F120" s="870">
        <v>4</v>
      </c>
      <c r="G120" s="867">
        <f>COUNTIF($D$99:$D$147, Table2931[[#This Row],[Challenge '#]])</f>
        <v>0</v>
      </c>
      <c r="H120" s="867"/>
      <c r="I120" s="867"/>
      <c r="J120" s="867"/>
      <c r="K120" s="867"/>
      <c r="L120" s="867"/>
      <c r="M120" s="867"/>
      <c r="N120" s="867"/>
      <c r="O120" s="867"/>
      <c r="P120" s="867"/>
      <c r="Q120" s="867"/>
      <c r="R120" s="867"/>
      <c r="S120" s="867"/>
      <c r="T120" s="867"/>
      <c r="U120" s="867"/>
      <c r="V120" s="867"/>
      <c r="W120" s="867"/>
      <c r="X120" s="867"/>
      <c r="Y120" s="867"/>
      <c r="Z120" s="867"/>
      <c r="AA120" s="867"/>
      <c r="AB120" s="867"/>
      <c r="AC120" s="867"/>
      <c r="AD120" s="867"/>
      <c r="AE120" s="867"/>
      <c r="AF120" s="867"/>
      <c r="AG120" s="867"/>
      <c r="AH120" s="867"/>
      <c r="AI120" s="867"/>
      <c r="AJ120" s="867"/>
      <c r="AK120" s="867"/>
      <c r="AL120" s="867"/>
      <c r="AM120" s="867"/>
      <c r="AN120" s="867"/>
      <c r="AO120" s="867"/>
      <c r="AP120" s="867"/>
      <c r="AQ120" s="867"/>
      <c r="AR120" s="867"/>
      <c r="AS120" s="867"/>
      <c r="AT120" s="867"/>
      <c r="AU120" s="867"/>
      <c r="AV120" s="867"/>
      <c r="AW120" s="867"/>
      <c r="AX120" s="867"/>
    </row>
    <row r="121" spans="2:50" outlineLevel="2">
      <c r="B121" s="571" t="s">
        <v>144</v>
      </c>
      <c r="C121" s="872" t="s">
        <v>1</v>
      </c>
      <c r="D121" s="880">
        <v>8</v>
      </c>
      <c r="E121" s="392"/>
      <c r="F121" s="870">
        <v>5</v>
      </c>
      <c r="G121" s="867">
        <f>COUNTIF($D$99:$D$147, Table2931[[#This Row],[Challenge '#]])</f>
        <v>0</v>
      </c>
      <c r="H121" s="867"/>
      <c r="I121" s="867"/>
      <c r="J121" s="867"/>
      <c r="K121" s="867"/>
      <c r="L121" s="867"/>
      <c r="M121" s="867"/>
      <c r="N121" s="867"/>
      <c r="O121" s="867"/>
      <c r="P121" s="867"/>
      <c r="Q121" s="867"/>
      <c r="R121" s="867"/>
      <c r="S121" s="867"/>
      <c r="T121" s="867"/>
      <c r="U121" s="867"/>
      <c r="V121" s="867"/>
      <c r="W121" s="867"/>
      <c r="X121" s="867"/>
      <c r="Y121" s="867"/>
      <c r="Z121" s="867"/>
      <c r="AA121" s="867"/>
      <c r="AB121" s="867"/>
      <c r="AC121" s="867"/>
      <c r="AD121" s="867"/>
      <c r="AE121" s="867"/>
      <c r="AF121" s="867"/>
      <c r="AG121" s="867"/>
      <c r="AH121" s="867"/>
      <c r="AI121" s="867"/>
      <c r="AJ121" s="867"/>
      <c r="AK121" s="867"/>
      <c r="AL121" s="867"/>
      <c r="AM121" s="867"/>
      <c r="AN121" s="867"/>
      <c r="AO121" s="867"/>
      <c r="AP121" s="867"/>
      <c r="AQ121" s="867"/>
      <c r="AR121" s="867"/>
      <c r="AS121" s="867"/>
      <c r="AT121" s="867"/>
      <c r="AU121" s="867"/>
      <c r="AV121" s="867"/>
      <c r="AW121" s="867"/>
      <c r="AX121" s="867"/>
    </row>
    <row r="122" spans="2:50" outlineLevel="2">
      <c r="B122" s="887"/>
      <c r="C122" s="871" t="s">
        <v>9</v>
      </c>
      <c r="D122" s="888"/>
      <c r="E122" s="392"/>
      <c r="F122" s="870">
        <v>6</v>
      </c>
      <c r="G122" s="867">
        <f>COUNTIF($D$99:$D$147, Table2931[[#This Row],[Challenge '#]])</f>
        <v>0</v>
      </c>
      <c r="H122" s="867"/>
      <c r="I122" s="867"/>
      <c r="J122" s="867"/>
      <c r="K122" s="867"/>
      <c r="L122" s="867"/>
      <c r="M122" s="867"/>
      <c r="N122" s="867"/>
      <c r="O122" s="867"/>
      <c r="P122" s="867"/>
      <c r="Q122" s="867"/>
      <c r="R122" s="867"/>
      <c r="S122" s="867"/>
      <c r="T122" s="867"/>
      <c r="U122" s="867"/>
      <c r="V122" s="867"/>
      <c r="W122" s="867"/>
      <c r="X122" s="867"/>
      <c r="Y122" s="867"/>
      <c r="Z122" s="867"/>
      <c r="AA122" s="867"/>
      <c r="AB122" s="867"/>
      <c r="AC122" s="867"/>
      <c r="AD122" s="867"/>
      <c r="AE122" s="867"/>
      <c r="AF122" s="867"/>
      <c r="AG122" s="867"/>
      <c r="AH122" s="867"/>
      <c r="AI122" s="867"/>
      <c r="AJ122" s="867"/>
      <c r="AK122" s="867"/>
      <c r="AL122" s="867"/>
      <c r="AM122" s="867"/>
      <c r="AN122" s="867"/>
      <c r="AO122" s="867"/>
      <c r="AP122" s="867"/>
      <c r="AQ122" s="867"/>
      <c r="AR122" s="867"/>
      <c r="AS122" s="867"/>
      <c r="AT122" s="867"/>
      <c r="AU122" s="867"/>
      <c r="AV122" s="867"/>
      <c r="AW122" s="867"/>
      <c r="AX122" s="867"/>
    </row>
    <row r="123" spans="2:50" outlineLevel="2">
      <c r="B123" s="571" t="s">
        <v>145</v>
      </c>
      <c r="C123" s="872" t="s">
        <v>10</v>
      </c>
      <c r="D123" s="880">
        <v>8</v>
      </c>
      <c r="E123" s="392"/>
      <c r="F123" s="870">
        <v>7</v>
      </c>
      <c r="G123" s="867">
        <f>COUNTIF($D$99:$D$147, Table2931[[#This Row],[Challenge '#]])</f>
        <v>0</v>
      </c>
      <c r="H123" s="867"/>
      <c r="I123" s="867"/>
      <c r="J123" s="867"/>
      <c r="K123" s="867"/>
      <c r="L123" s="867"/>
      <c r="M123" s="867"/>
      <c r="N123" s="867"/>
      <c r="O123" s="867"/>
      <c r="P123" s="867"/>
      <c r="Q123" s="867"/>
      <c r="R123" s="867"/>
      <c r="S123" s="867"/>
      <c r="T123" s="867"/>
      <c r="U123" s="867"/>
      <c r="V123" s="867"/>
      <c r="W123" s="867"/>
      <c r="X123" s="867"/>
      <c r="Y123" s="867"/>
      <c r="Z123" s="867"/>
      <c r="AA123" s="867"/>
      <c r="AB123" s="867"/>
      <c r="AC123" s="867"/>
      <c r="AD123" s="867"/>
      <c r="AE123" s="867"/>
      <c r="AF123" s="867"/>
      <c r="AG123" s="867"/>
      <c r="AH123" s="867"/>
      <c r="AI123" s="867"/>
      <c r="AJ123" s="867"/>
      <c r="AK123" s="867"/>
      <c r="AL123" s="867"/>
      <c r="AM123" s="867"/>
      <c r="AN123" s="867"/>
      <c r="AO123" s="867"/>
      <c r="AP123" s="867"/>
      <c r="AQ123" s="867"/>
      <c r="AR123" s="867"/>
    </row>
    <row r="124" spans="2:50" outlineLevel="2">
      <c r="B124" s="887"/>
      <c r="C124" s="871" t="s">
        <v>59</v>
      </c>
      <c r="D124" s="888"/>
      <c r="E124" s="392"/>
      <c r="F124" s="870">
        <v>8</v>
      </c>
      <c r="G124" s="867">
        <f>COUNTIF($D$99:$D$147, Table2931[[#This Row],[Challenge '#]])</f>
        <v>13</v>
      </c>
      <c r="H124" s="867"/>
      <c r="I124" s="867"/>
      <c r="J124" s="867"/>
      <c r="K124" s="867"/>
      <c r="L124" s="867"/>
      <c r="M124" s="867"/>
      <c r="N124" s="867"/>
      <c r="O124" s="867"/>
      <c r="P124" s="867"/>
      <c r="Q124" s="867"/>
      <c r="R124" s="867"/>
      <c r="S124" s="867"/>
      <c r="T124" s="867"/>
      <c r="U124" s="867"/>
      <c r="V124" s="867"/>
      <c r="W124" s="867"/>
      <c r="X124" s="867"/>
      <c r="Y124" s="867"/>
      <c r="Z124" s="867"/>
      <c r="AA124" s="867"/>
      <c r="AB124" s="867"/>
      <c r="AC124" s="867"/>
      <c r="AD124" s="867"/>
      <c r="AE124" s="867"/>
      <c r="AF124" s="867"/>
      <c r="AG124" s="867"/>
      <c r="AH124" s="867"/>
      <c r="AI124" s="867"/>
      <c r="AJ124" s="867"/>
      <c r="AK124" s="867"/>
      <c r="AL124" s="867"/>
      <c r="AM124" s="867"/>
      <c r="AN124" s="867"/>
      <c r="AO124" s="867"/>
      <c r="AP124" s="867"/>
      <c r="AQ124" s="867"/>
      <c r="AR124" s="867"/>
    </row>
    <row r="125" spans="2:50" outlineLevel="2">
      <c r="B125" s="571" t="s">
        <v>146</v>
      </c>
      <c r="C125" s="872" t="s">
        <v>6</v>
      </c>
      <c r="D125" s="880">
        <v>8</v>
      </c>
      <c r="E125" s="392"/>
      <c r="F125" s="870">
        <v>9</v>
      </c>
      <c r="G125" s="867">
        <f>COUNTIF($D$99:$D$147, Table2931[[#This Row],[Challenge '#]])</f>
        <v>15</v>
      </c>
      <c r="H125" s="867"/>
      <c r="I125" s="867"/>
      <c r="J125" s="867"/>
      <c r="K125" s="867"/>
      <c r="L125" s="867"/>
      <c r="M125" s="867"/>
      <c r="N125" s="867"/>
      <c r="O125" s="867"/>
      <c r="P125" s="867"/>
      <c r="Q125" s="867"/>
      <c r="R125" s="867"/>
      <c r="S125" s="867"/>
      <c r="T125" s="867"/>
      <c r="U125" s="867"/>
      <c r="V125" s="867"/>
      <c r="W125" s="867"/>
      <c r="X125" s="867"/>
      <c r="Y125" s="867"/>
      <c r="Z125" s="867"/>
      <c r="AA125" s="867"/>
      <c r="AB125" s="867"/>
      <c r="AC125" s="867"/>
      <c r="AD125" s="867"/>
      <c r="AE125" s="867"/>
      <c r="AF125" s="867"/>
      <c r="AG125" s="867"/>
      <c r="AH125" s="867"/>
      <c r="AI125" s="867"/>
      <c r="AJ125" s="867"/>
      <c r="AK125" s="867"/>
      <c r="AL125" s="867"/>
      <c r="AM125" s="867"/>
      <c r="AN125" s="867"/>
      <c r="AO125" s="867"/>
      <c r="AP125" s="867"/>
      <c r="AQ125" s="867"/>
      <c r="AR125" s="867"/>
    </row>
    <row r="126" spans="2:50" outlineLevel="2">
      <c r="B126" s="571"/>
      <c r="C126" s="872" t="s">
        <v>9</v>
      </c>
      <c r="D126" s="880"/>
      <c r="E126" s="392"/>
      <c r="F126" s="870">
        <v>10</v>
      </c>
      <c r="G126" s="867">
        <f>COUNTIF($D$99:$D$147, Table2931[[#This Row],[Challenge '#]])</f>
        <v>6</v>
      </c>
      <c r="H126" s="867"/>
      <c r="I126" s="867"/>
      <c r="J126" s="867"/>
      <c r="K126" s="867"/>
      <c r="L126" s="867"/>
      <c r="M126" s="867"/>
      <c r="N126" s="867"/>
      <c r="O126" s="867"/>
      <c r="P126" s="867"/>
      <c r="Q126" s="867"/>
      <c r="R126" s="867"/>
      <c r="S126" s="867"/>
      <c r="T126" s="867"/>
      <c r="U126" s="867"/>
      <c r="V126" s="867"/>
      <c r="W126" s="867"/>
      <c r="X126" s="867"/>
      <c r="Y126" s="867"/>
      <c r="Z126" s="867"/>
      <c r="AA126" s="867"/>
      <c r="AB126" s="867"/>
      <c r="AC126" s="867"/>
      <c r="AD126" s="867"/>
      <c r="AE126" s="867"/>
      <c r="AF126" s="867"/>
      <c r="AG126" s="867"/>
      <c r="AH126" s="867"/>
      <c r="AI126" s="867"/>
      <c r="AJ126" s="867"/>
      <c r="AK126" s="867"/>
      <c r="AL126" s="867"/>
      <c r="AM126" s="867"/>
      <c r="AN126" s="867"/>
      <c r="AO126" s="867"/>
      <c r="AP126" s="867"/>
      <c r="AQ126" s="867"/>
      <c r="AR126" s="867"/>
    </row>
    <row r="127" spans="2:50" outlineLevel="2">
      <c r="B127" s="887"/>
      <c r="C127" s="871" t="s">
        <v>36</v>
      </c>
      <c r="D127" s="888"/>
      <c r="E127" s="392"/>
      <c r="F127" s="870">
        <v>11</v>
      </c>
      <c r="G127" s="867">
        <f>COUNTIF($D$99:$D$147, Table2931[[#This Row],[Challenge '#]])</f>
        <v>1</v>
      </c>
      <c r="H127" s="867"/>
      <c r="I127" s="867"/>
      <c r="J127" s="867"/>
      <c r="K127" s="867"/>
      <c r="L127" s="867"/>
      <c r="M127" s="867"/>
      <c r="N127" s="867"/>
      <c r="O127" s="867"/>
      <c r="P127" s="867"/>
      <c r="Q127" s="867"/>
      <c r="R127" s="867"/>
      <c r="S127" s="867"/>
      <c r="T127" s="867"/>
      <c r="U127" s="867"/>
      <c r="V127" s="867"/>
      <c r="W127" s="867"/>
      <c r="X127" s="867"/>
      <c r="Y127" s="867"/>
      <c r="Z127" s="867"/>
      <c r="AA127" s="867"/>
      <c r="AB127" s="867"/>
      <c r="AC127" s="867"/>
      <c r="AD127" s="867"/>
      <c r="AE127" s="867"/>
      <c r="AF127" s="867"/>
      <c r="AG127" s="867"/>
      <c r="AH127" s="867"/>
      <c r="AI127" s="867"/>
      <c r="AJ127" s="867"/>
      <c r="AK127" s="867"/>
      <c r="AL127" s="867"/>
      <c r="AM127" s="867"/>
      <c r="AN127" s="867"/>
      <c r="AO127" s="867"/>
      <c r="AP127" s="867"/>
      <c r="AQ127" s="867"/>
      <c r="AR127" s="867"/>
    </row>
    <row r="128" spans="2:50" outlineLevel="2">
      <c r="B128" s="882" t="s">
        <v>147</v>
      </c>
      <c r="C128" s="886" t="s">
        <v>59</v>
      </c>
      <c r="D128" s="884">
        <v>10</v>
      </c>
      <c r="E128" s="392"/>
      <c r="F128" s="870">
        <v>12</v>
      </c>
      <c r="G128" s="867">
        <f>COUNTIF($D$99:$D$147, Table2931[[#This Row],[Challenge '#]])</f>
        <v>1</v>
      </c>
      <c r="H128" s="867"/>
      <c r="I128" s="867"/>
      <c r="J128" s="867"/>
      <c r="K128" s="867"/>
      <c r="L128" s="867"/>
      <c r="M128" s="867"/>
      <c r="N128" s="867"/>
      <c r="O128" s="867"/>
      <c r="P128" s="867"/>
      <c r="Q128" s="867"/>
      <c r="R128" s="867"/>
      <c r="S128" s="867"/>
      <c r="T128" s="867"/>
      <c r="U128" s="867"/>
      <c r="V128" s="867"/>
      <c r="W128" s="867"/>
      <c r="X128" s="867"/>
      <c r="Y128" s="867"/>
      <c r="Z128" s="867"/>
      <c r="AA128" s="867"/>
      <c r="AB128" s="867"/>
      <c r="AC128" s="867"/>
      <c r="AD128" s="867"/>
      <c r="AE128" s="867"/>
      <c r="AF128" s="867"/>
      <c r="AG128" s="867"/>
      <c r="AH128" s="867"/>
      <c r="AI128" s="867"/>
      <c r="AJ128" s="867"/>
      <c r="AK128" s="867"/>
      <c r="AL128" s="867"/>
      <c r="AM128" s="867"/>
      <c r="AN128" s="867"/>
      <c r="AO128" s="867"/>
      <c r="AP128" s="867"/>
      <c r="AQ128" s="867"/>
      <c r="AR128" s="867"/>
    </row>
    <row r="129" spans="2:16" outlineLevel="2">
      <c r="B129" s="882" t="s">
        <v>148</v>
      </c>
      <c r="C129" s="886" t="s">
        <v>8</v>
      </c>
      <c r="D129" s="884">
        <v>8</v>
      </c>
      <c r="E129" s="392"/>
      <c r="F129" s="870">
        <v>13</v>
      </c>
      <c r="G129" s="867">
        <f>COUNTIF($D$99:$D$147, Table2931[[#This Row],[Challenge '#]])</f>
        <v>2</v>
      </c>
      <c r="H129" s="867"/>
      <c r="I129" s="867"/>
      <c r="J129" s="867"/>
      <c r="K129" s="867"/>
      <c r="L129" s="867"/>
      <c r="M129" s="867"/>
      <c r="N129" s="867"/>
      <c r="O129" s="867"/>
      <c r="P129" s="869"/>
    </row>
    <row r="130" spans="2:16" outlineLevel="2">
      <c r="B130" s="571" t="s">
        <v>125</v>
      </c>
      <c r="C130" s="872" t="s">
        <v>9</v>
      </c>
      <c r="D130" s="880">
        <v>8</v>
      </c>
      <c r="E130" s="392"/>
      <c r="F130" s="866"/>
      <c r="G130" s="866"/>
      <c r="H130" s="866"/>
      <c r="I130" s="866"/>
      <c r="J130" s="866"/>
      <c r="K130" s="866"/>
      <c r="L130" s="866"/>
      <c r="M130" s="866"/>
      <c r="N130" s="866"/>
      <c r="O130" s="866"/>
      <c r="P130" s="868"/>
    </row>
    <row r="131" spans="2:16" outlineLevel="2">
      <c r="B131" s="887"/>
      <c r="C131" s="871" t="s">
        <v>10</v>
      </c>
      <c r="D131" s="888"/>
      <c r="E131" s="392"/>
      <c r="F131" s="866"/>
      <c r="G131" s="866"/>
      <c r="H131" s="866"/>
      <c r="I131" s="866"/>
      <c r="J131" s="866"/>
      <c r="K131" s="866"/>
      <c r="L131" s="866"/>
      <c r="M131" s="866"/>
      <c r="N131" s="866"/>
      <c r="O131" s="866"/>
      <c r="P131" s="868"/>
    </row>
    <row r="132" spans="2:16" outlineLevel="2">
      <c r="B132" s="571" t="s">
        <v>116</v>
      </c>
      <c r="C132" s="872" t="s">
        <v>5</v>
      </c>
      <c r="D132" s="880">
        <v>9</v>
      </c>
      <c r="E132" s="392"/>
      <c r="F132" s="866"/>
      <c r="G132" s="866"/>
      <c r="H132" s="866"/>
      <c r="I132" s="866"/>
      <c r="J132" s="866"/>
      <c r="K132" s="866"/>
      <c r="L132" s="866"/>
      <c r="M132" s="866"/>
      <c r="N132" s="866"/>
      <c r="O132" s="866"/>
      <c r="P132" s="868"/>
    </row>
    <row r="133" spans="2:16" outlineLevel="2">
      <c r="B133" s="887"/>
      <c r="C133" s="871" t="s">
        <v>59</v>
      </c>
      <c r="D133" s="888"/>
      <c r="E133" s="392"/>
      <c r="F133" s="866"/>
      <c r="G133" s="866"/>
      <c r="H133" s="866"/>
      <c r="I133" s="866"/>
      <c r="J133" s="866"/>
      <c r="K133" s="866"/>
      <c r="L133" s="866"/>
      <c r="M133" s="866"/>
      <c r="N133" s="866"/>
      <c r="O133" s="866"/>
      <c r="P133" s="868"/>
    </row>
    <row r="134" spans="2:16" outlineLevel="2">
      <c r="B134" s="882" t="s">
        <v>104</v>
      </c>
      <c r="C134" s="886" t="s">
        <v>10</v>
      </c>
      <c r="D134" s="884">
        <v>9</v>
      </c>
      <c r="E134" s="392"/>
      <c r="F134" s="866"/>
      <c r="G134" s="866"/>
      <c r="H134" s="866"/>
      <c r="I134" s="866"/>
      <c r="J134" s="866"/>
      <c r="K134" s="866"/>
      <c r="L134" s="866"/>
      <c r="M134" s="866"/>
      <c r="N134" s="866"/>
      <c r="O134" s="866"/>
      <c r="P134" s="868"/>
    </row>
    <row r="135" spans="2:16" outlineLevel="2">
      <c r="B135" s="882" t="s">
        <v>95</v>
      </c>
      <c r="C135" s="886" t="s">
        <v>59</v>
      </c>
      <c r="D135" s="884">
        <v>8</v>
      </c>
      <c r="E135" s="392"/>
      <c r="F135" s="866"/>
      <c r="G135" s="866"/>
      <c r="H135" s="866"/>
      <c r="I135" s="866"/>
      <c r="J135" s="866"/>
      <c r="K135" s="866"/>
      <c r="L135" s="866"/>
      <c r="M135" s="866"/>
      <c r="N135" s="866"/>
      <c r="O135" s="866"/>
      <c r="P135" s="868"/>
    </row>
    <row r="136" spans="2:16" outlineLevel="2">
      <c r="B136" s="882" t="s">
        <v>85</v>
      </c>
      <c r="C136" s="886" t="s">
        <v>9</v>
      </c>
      <c r="D136" s="884">
        <v>9</v>
      </c>
      <c r="E136" s="392"/>
      <c r="F136" s="866"/>
      <c r="G136" s="866"/>
      <c r="H136" s="866"/>
      <c r="I136" s="866"/>
      <c r="J136" s="866"/>
      <c r="K136" s="866"/>
      <c r="L136" s="866"/>
      <c r="M136" s="866"/>
      <c r="N136" s="866"/>
      <c r="O136" s="866"/>
      <c r="P136" s="868"/>
    </row>
    <row r="137" spans="2:16" outlineLevel="2">
      <c r="B137" s="53" t="s">
        <v>66</v>
      </c>
      <c r="C137" s="872" t="s">
        <v>59</v>
      </c>
      <c r="D137" s="867">
        <v>9</v>
      </c>
      <c r="E137" s="392"/>
      <c r="F137" s="866"/>
      <c r="G137" s="866"/>
      <c r="H137" s="866"/>
      <c r="I137" s="866"/>
      <c r="J137" s="866"/>
      <c r="K137" s="866"/>
      <c r="L137" s="866"/>
      <c r="M137" s="866"/>
      <c r="N137" s="866"/>
      <c r="O137" s="866"/>
      <c r="P137" s="868"/>
    </row>
    <row r="138" spans="2:16" outlineLevel="2">
      <c r="B138" s="889" t="s">
        <v>65</v>
      </c>
      <c r="C138" s="871" t="s">
        <v>9</v>
      </c>
      <c r="D138" s="890">
        <v>9</v>
      </c>
      <c r="E138" s="392"/>
      <c r="F138" s="866"/>
      <c r="G138" s="866"/>
      <c r="H138" s="866"/>
      <c r="I138" s="866"/>
      <c r="J138" s="866"/>
      <c r="K138" s="866"/>
      <c r="L138" s="866"/>
      <c r="M138" s="866"/>
      <c r="N138" s="866"/>
      <c r="O138" s="866"/>
      <c r="P138" s="868"/>
    </row>
    <row r="139" spans="2:16" outlineLevel="2">
      <c r="B139" s="571" t="s">
        <v>60</v>
      </c>
      <c r="C139" s="872" t="s">
        <v>1</v>
      </c>
      <c r="D139" s="880">
        <v>8</v>
      </c>
      <c r="E139" s="392"/>
      <c r="F139" s="866"/>
      <c r="G139" s="866"/>
      <c r="H139" s="866"/>
      <c r="I139" s="866"/>
      <c r="J139" s="866"/>
      <c r="K139" s="866"/>
      <c r="L139" s="866"/>
      <c r="M139" s="866"/>
      <c r="N139" s="866"/>
      <c r="O139" s="866"/>
      <c r="P139" s="868"/>
    </row>
    <row r="140" spans="2:16" outlineLevel="2">
      <c r="B140" s="887"/>
      <c r="C140" s="871" t="s">
        <v>6</v>
      </c>
      <c r="D140" s="888"/>
      <c r="E140" s="392"/>
      <c r="F140" s="866"/>
      <c r="G140" s="866"/>
      <c r="H140" s="866"/>
      <c r="I140" s="866"/>
      <c r="J140" s="866"/>
      <c r="K140" s="866"/>
      <c r="L140" s="866"/>
      <c r="M140" s="866"/>
      <c r="N140" s="866"/>
      <c r="O140" s="866"/>
      <c r="P140" s="868"/>
    </row>
    <row r="141" spans="2:16" outlineLevel="2">
      <c r="B141" s="882" t="s">
        <v>35</v>
      </c>
      <c r="C141" s="886" t="s">
        <v>8</v>
      </c>
      <c r="D141" s="884">
        <v>11</v>
      </c>
      <c r="E141" s="392"/>
      <c r="F141" s="866"/>
      <c r="G141" s="866"/>
      <c r="H141" s="866"/>
      <c r="I141" s="866"/>
      <c r="J141" s="866"/>
      <c r="K141" s="866"/>
      <c r="L141" s="866"/>
      <c r="M141" s="866"/>
      <c r="N141" s="866"/>
      <c r="O141" s="866"/>
      <c r="P141" s="868"/>
    </row>
    <row r="142" spans="2:16" outlineLevel="2">
      <c r="B142" s="882" t="s">
        <v>11</v>
      </c>
      <c r="C142" s="886" t="s">
        <v>59</v>
      </c>
      <c r="D142" s="884">
        <v>8</v>
      </c>
      <c r="E142" s="392"/>
      <c r="F142" s="866"/>
      <c r="G142" s="866"/>
      <c r="H142" s="866"/>
      <c r="I142" s="866"/>
      <c r="J142" s="866"/>
      <c r="K142" s="866"/>
      <c r="L142" s="866"/>
      <c r="M142" s="866"/>
      <c r="N142" s="866"/>
      <c r="O142" s="866"/>
      <c r="P142" s="868"/>
    </row>
    <row r="143" spans="2:16" outlineLevel="2">
      <c r="B143" s="882" t="s">
        <v>198</v>
      </c>
      <c r="C143" s="886" t="s">
        <v>8</v>
      </c>
      <c r="D143" s="884">
        <v>9</v>
      </c>
      <c r="E143" s="392"/>
      <c r="F143" s="866"/>
      <c r="G143" s="866"/>
      <c r="H143" s="866"/>
      <c r="I143" s="866"/>
      <c r="J143" s="866"/>
      <c r="K143" s="866"/>
      <c r="L143" s="866"/>
      <c r="M143" s="866"/>
      <c r="N143" s="866"/>
      <c r="O143" s="866"/>
      <c r="P143" s="868"/>
    </row>
    <row r="144" spans="2:16" outlineLevel="2">
      <c r="B144" s="882" t="s">
        <v>184</v>
      </c>
      <c r="C144" s="886" t="s">
        <v>10</v>
      </c>
      <c r="D144" s="884">
        <v>9</v>
      </c>
      <c r="E144" s="392"/>
      <c r="F144" s="866"/>
      <c r="G144" s="866"/>
      <c r="H144" s="866"/>
      <c r="I144" s="866"/>
      <c r="J144" s="866"/>
      <c r="K144" s="866"/>
      <c r="L144" s="866"/>
      <c r="M144" s="866"/>
      <c r="N144" s="866"/>
      <c r="O144" s="866"/>
      <c r="P144" s="868"/>
    </row>
    <row r="145" spans="2:29" outlineLevel="2">
      <c r="B145" s="882" t="s">
        <v>563</v>
      </c>
      <c r="C145" s="886" t="s">
        <v>59</v>
      </c>
      <c r="D145" s="884">
        <v>10</v>
      </c>
      <c r="E145" s="392"/>
      <c r="F145" s="866"/>
      <c r="G145" s="866"/>
      <c r="H145" s="866"/>
      <c r="I145" s="866"/>
      <c r="J145" s="866"/>
      <c r="K145" s="866"/>
      <c r="L145" s="866"/>
      <c r="M145" s="866"/>
      <c r="N145" s="866"/>
      <c r="O145" s="866"/>
      <c r="P145" s="868"/>
    </row>
    <row r="146" spans="2:29" outlineLevel="2">
      <c r="B146" s="882" t="s">
        <v>1742</v>
      </c>
      <c r="C146" s="886" t="s">
        <v>8</v>
      </c>
      <c r="D146" s="884">
        <v>10</v>
      </c>
      <c r="E146" s="392"/>
      <c r="F146" s="866"/>
      <c r="G146" s="866"/>
      <c r="H146" s="866"/>
      <c r="I146" s="866"/>
      <c r="J146" s="866"/>
      <c r="K146" s="866"/>
      <c r="L146" s="866"/>
      <c r="M146" s="866"/>
      <c r="N146" s="866"/>
      <c r="O146" s="866"/>
      <c r="P146" s="868"/>
    </row>
    <row r="147" spans="2:29" outlineLevel="2">
      <c r="B147" s="53" t="s">
        <v>2056</v>
      </c>
      <c r="C147" s="872" t="s">
        <v>1</v>
      </c>
      <c r="D147" s="867">
        <v>10</v>
      </c>
      <c r="E147" s="392"/>
      <c r="F147" s="866"/>
      <c r="G147" s="866"/>
      <c r="H147" s="866"/>
      <c r="I147" s="866"/>
      <c r="J147" s="866"/>
      <c r="K147" s="866"/>
      <c r="L147" s="866"/>
      <c r="M147" s="866"/>
      <c r="N147" s="866"/>
      <c r="O147" s="866"/>
      <c r="P147" s="868"/>
    </row>
    <row r="148" spans="2:29" outlineLevel="2">
      <c r="B148" s="860"/>
      <c r="C148" s="864" t="s">
        <v>333</v>
      </c>
      <c r="D148" s="874">
        <f>AVERAGE(D99:D147)</f>
        <v>9.1578947368421044</v>
      </c>
      <c r="E148" s="392"/>
      <c r="F148" s="866"/>
      <c r="G148" s="866"/>
      <c r="H148" s="866"/>
      <c r="I148" s="866"/>
      <c r="J148" s="866"/>
      <c r="K148" s="866"/>
      <c r="L148" s="866"/>
      <c r="M148" s="866"/>
      <c r="N148" s="866"/>
      <c r="O148" s="866"/>
      <c r="P148" s="868"/>
    </row>
    <row r="149" spans="2:29" outlineLevel="2">
      <c r="B149" s="779"/>
      <c r="C149" s="875" t="s">
        <v>1276</v>
      </c>
      <c r="D149" s="877">
        <f>MAX(D99:D147)</f>
        <v>13</v>
      </c>
      <c r="E149" s="392"/>
      <c r="F149" s="866"/>
      <c r="G149" s="866"/>
      <c r="H149" s="866"/>
      <c r="I149" s="866"/>
      <c r="J149" s="866"/>
      <c r="K149" s="866"/>
      <c r="L149" s="866"/>
      <c r="M149" s="866"/>
      <c r="N149" s="866"/>
      <c r="O149" s="866"/>
      <c r="P149" s="868"/>
    </row>
    <row r="150" spans="2:29" outlineLevel="2">
      <c r="B150" s="779"/>
      <c r="C150" s="875" t="s">
        <v>1530</v>
      </c>
      <c r="D150" s="877">
        <f>MIN(D99:D147)</f>
        <v>8</v>
      </c>
      <c r="E150" s="392"/>
      <c r="F150" s="866"/>
      <c r="G150" s="866"/>
      <c r="H150" s="866"/>
      <c r="I150" s="866"/>
      <c r="J150" s="866"/>
      <c r="K150" s="866"/>
      <c r="L150" s="866"/>
      <c r="M150" s="866"/>
      <c r="N150" s="866"/>
      <c r="O150" s="866"/>
      <c r="P150" s="868"/>
    </row>
    <row r="151" spans="2:29" outlineLevel="2">
      <c r="B151" s="287"/>
      <c r="C151" s="876" t="s">
        <v>1277</v>
      </c>
      <c r="D151" s="878">
        <f>MODE(D99:D147)</f>
        <v>9</v>
      </c>
      <c r="E151" s="144"/>
      <c r="F151" s="144"/>
      <c r="G151" s="144"/>
      <c r="H151" s="144"/>
      <c r="I151" s="144"/>
      <c r="J151" s="144"/>
      <c r="K151" s="144"/>
      <c r="L151" s="144"/>
      <c r="M151" s="144"/>
      <c r="N151" s="144"/>
      <c r="O151" s="144"/>
      <c r="AC151" s="35"/>
    </row>
    <row r="152" spans="2:29" outlineLevel="2">
      <c r="B152" s="287"/>
      <c r="C152" s="144"/>
      <c r="D152" s="144"/>
      <c r="E152" s="144"/>
      <c r="F152" s="144"/>
      <c r="G152" s="144"/>
      <c r="H152" s="144"/>
      <c r="I152" s="144"/>
      <c r="J152" s="144"/>
      <c r="K152" s="144"/>
      <c r="L152" s="144"/>
      <c r="M152" s="144"/>
      <c r="N152" s="144"/>
      <c r="O152" s="144"/>
      <c r="AC152" s="35"/>
    </row>
    <row r="153" spans="2:29" outlineLevel="2"/>
    <row r="154" spans="2:29" ht="18.75" outlineLevel="2">
      <c r="B154" s="68" t="s">
        <v>2003</v>
      </c>
      <c r="D154" t="s">
        <v>2609</v>
      </c>
    </row>
    <row r="155" spans="2:29" outlineLevel="2">
      <c r="B155" t="s">
        <v>183</v>
      </c>
      <c r="C155" s="564" t="s">
        <v>1</v>
      </c>
      <c r="D155" s="564" t="s">
        <v>2</v>
      </c>
      <c r="E155" s="564" t="s">
        <v>3</v>
      </c>
      <c r="F155" s="564" t="s">
        <v>4</v>
      </c>
      <c r="G155" s="564" t="s">
        <v>5</v>
      </c>
      <c r="H155" s="564" t="s">
        <v>6</v>
      </c>
      <c r="I155" s="564" t="s">
        <v>7</v>
      </c>
      <c r="J155" s="564" t="s">
        <v>8</v>
      </c>
      <c r="K155" s="564" t="s">
        <v>9</v>
      </c>
      <c r="L155" s="564" t="s">
        <v>10</v>
      </c>
      <c r="M155" s="564" t="s">
        <v>36</v>
      </c>
      <c r="N155" s="564" t="s">
        <v>37</v>
      </c>
      <c r="O155" s="564" t="s">
        <v>344</v>
      </c>
    </row>
    <row r="156" spans="2:29">
      <c r="B156" s="90" t="s">
        <v>131</v>
      </c>
      <c r="C156" t="str">
        <f>IF(AND(COUNTIF(Logs!C$100:C$112, "Road Block")&gt;1,COUNTIF(Logs!C$100:C$112, "Detour")&gt;1), 1, "")</f>
        <v/>
      </c>
      <c r="D156" t="str">
        <f>IF(AND(COUNTIF(Logs!D$100:D$112, "Road Block")&gt;1,COUNTIF(Logs!D$100:D$112, "Detour")&gt;1), 1, "")</f>
        <v/>
      </c>
      <c r="E156" t="str">
        <f>IF(AND(COUNTIF(Logs!E$100:E$112, "Road Block")&gt;1,COUNTIF(Logs!E$100:E$112, "Detour")&gt;1), 1, "")</f>
        <v/>
      </c>
      <c r="F156" t="str">
        <f>IF(AND(COUNTIF(Logs!F$100:F$112, "Road Block")&gt;1,COUNTIF(Logs!F$100:F$112, "Detour")&gt;1), 1, "")</f>
        <v/>
      </c>
      <c r="G156" t="str">
        <f>IF(AND(COUNTIF(Logs!G$100:G$112, "Road Block")&gt;1,COUNTIF(Logs!G$100:G$112, "Detour")&gt;1), 1, "")</f>
        <v/>
      </c>
      <c r="H156">
        <f>IF(AND(COUNTIF(Logs!H$100:H$112, "Road Block")&gt;1,COUNTIF(Logs!H$100:H$112, "Detour")&gt;1), 1, "")</f>
        <v>1</v>
      </c>
      <c r="I156" t="str">
        <f>IF(AND(COUNTIF(Logs!I$100:I$112, "Road Block")&gt;1,COUNTIF(Logs!I$100:I$112, "Detour")&gt;1), 1, "")</f>
        <v/>
      </c>
      <c r="J156" t="str">
        <f>IF(AND(COUNTIF(Logs!J$100:J$112, "Road Block")&gt;1,COUNTIF(Logs!J$100:J$112, "Detour")&gt;1), 1, "")</f>
        <v/>
      </c>
      <c r="K156" t="str">
        <f>IF(AND(COUNTIF(Logs!K$100:K$112, "Road Block")&gt;1,COUNTIF(Logs!K$100:K$112, "Detour")&gt;1), 1, "")</f>
        <v/>
      </c>
      <c r="L156" t="str">
        <f>IF(AND(COUNTIF(Logs!L$100:L$112, "Road Block")&gt;1,COUNTIF(Logs!L$100:L$112, "Detour")&gt;1), 1, "")</f>
        <v/>
      </c>
      <c r="M156" t="str">
        <f>IF(AND(COUNTIF(Logs!M$100:M$112, "Road Block")&gt;1,COUNTIF(Logs!M$100:M$112, "Detour")&gt;1), 1, "")</f>
        <v/>
      </c>
      <c r="N156" t="str">
        <f>IF(AND(COUNTIF(Logs!N$100:N$112, "Road Block")&gt;1,COUNTIF(Logs!N$100:N$112, "Detour")&gt;1), 1, "")</f>
        <v/>
      </c>
      <c r="O156" t="str">
        <f>IF(AND(COUNTIF(Logs!O$100:O$112, "Road Block")&gt;1,COUNTIF(Logs!O$100:O$112, "Detour")&gt;1), 1, "")</f>
        <v/>
      </c>
    </row>
    <row r="157" spans="2:29" outlineLevel="1">
      <c r="B157" s="90" t="s">
        <v>133</v>
      </c>
      <c r="C157" t="str">
        <f>IF(AND(COUNTIF(Logs!C$139:C$150, "Road Block")&gt;1,COUNTIF(Logs!C$139:C$150, "Detour")&gt;1), 1, "")</f>
        <v/>
      </c>
      <c r="D157" t="str">
        <f>IF(AND(COUNTIF(Logs!D$139:D$150, "Road Block")&gt;1,COUNTIF(Logs!D$139:D$150, "Detour")&gt;1), 1, "")</f>
        <v/>
      </c>
      <c r="E157" t="str">
        <f>IF(AND(COUNTIF(Logs!E$139:E$150, "Road Block")&gt;1,COUNTIF(Logs!E$139:E$150, "Detour")&gt;1), 1, "")</f>
        <v/>
      </c>
      <c r="F157" t="str">
        <f>IF(AND(COUNTIF(Logs!F$139:F$150, "Road Block")&gt;1,COUNTIF(Logs!F$139:F$150, "Detour")&gt;1), 1, "")</f>
        <v/>
      </c>
      <c r="G157" t="str">
        <f>IF(AND(COUNTIF(Logs!G$139:G$150, "Road Block")&gt;1,COUNTIF(Logs!G$139:G$150, "Detour")&gt;1), 1, "")</f>
        <v/>
      </c>
      <c r="H157" t="str">
        <f>IF(AND(COUNTIF(Logs!H$139:H$150, "Road Block")&gt;1,COUNTIF(Logs!H$139:H$150, "Detour")&gt;1), 1, "")</f>
        <v/>
      </c>
      <c r="I157" t="str">
        <f>IF(AND(COUNTIF(Logs!I$139:I$150, "Road Block")&gt;1,COUNTIF(Logs!I$139:I$150, "Detour")&gt;1), 1, "")</f>
        <v/>
      </c>
      <c r="J157" t="str">
        <f>IF(AND(COUNTIF(Logs!J$139:J$150, "Road Block")&gt;1,COUNTIF(Logs!J$139:J$150, "Detour")&gt;1), 1, "")</f>
        <v/>
      </c>
      <c r="K157" t="str">
        <f>IF(AND(COUNTIF(Logs!K$139:K$150, "Road Block")&gt;1,COUNTIF(Logs!K$139:K$150, "Detour")&gt;1), 1, "")</f>
        <v/>
      </c>
      <c r="L157" t="str">
        <f>IF(AND(COUNTIF(Logs!L$139:L$150, "Road Block")&gt;1,COUNTIF(Logs!L$139:L$150, "Detour")&gt;1), 1, "")</f>
        <v/>
      </c>
      <c r="M157" t="str">
        <f>IF(AND(COUNTIF(Logs!M$139:M$150, "Road Block")&gt;1,COUNTIF(Logs!M$139:M$150, "Detour")&gt;1), 1, "")</f>
        <v/>
      </c>
      <c r="N157">
        <f>IF(AND(COUNTIF(Logs!N$139:N$150, "Road Block")&gt;1,COUNTIF(Logs!N$139:N$150, "Detour")&gt;1), 1, "")</f>
        <v>1</v>
      </c>
      <c r="O157" t="str">
        <f>IF(AND(COUNTIF(Logs!O$139:O$150, "Road Block")&gt;1,COUNTIF(Logs!O$139:O$150, "Detour")&gt;1), 1, "")</f>
        <v/>
      </c>
    </row>
    <row r="158" spans="2:29" outlineLevel="1">
      <c r="B158" s="90" t="s">
        <v>135</v>
      </c>
      <c r="C158" t="str">
        <f>IF(AND(COUNTIF(Logs!C$177:C$189, "Road Block")&gt;1,COUNTIF(Logs!C$177:C$189, "Detour")&gt;1), 1,"")</f>
        <v/>
      </c>
      <c r="D158" t="str">
        <f>IF(AND(COUNTIF(Logs!D$177:D$189, "Road Block")&gt;1,COUNTIF(Logs!D$177:D$189, "Detour")&gt;1), 1,"")</f>
        <v/>
      </c>
      <c r="E158" t="str">
        <f>IF(AND(COUNTIF(Logs!E$177:E$189, "Road Block")&gt;1,COUNTIF(Logs!E$177:E$189, "Detour")&gt;1), 1,"")</f>
        <v/>
      </c>
      <c r="F158" t="str">
        <f>IF(AND(COUNTIF(Logs!F$177:F$189, "Road Block")&gt;1,COUNTIF(Logs!F$177:F$189, "Detour")&gt;1), 1,"")</f>
        <v/>
      </c>
      <c r="G158" t="str">
        <f>IF(AND(COUNTIF(Logs!G$177:G$189, "Road Block")&gt;1,COUNTIF(Logs!G$177:G$189, "Detour")&gt;1), 1,"")</f>
        <v/>
      </c>
      <c r="H158" t="str">
        <f>IF(AND(COUNTIF(Logs!H$177:H$189, "Road Block")&gt;1,COUNTIF(Logs!H$177:H$189, "Detour")&gt;1), 1,"")</f>
        <v/>
      </c>
      <c r="I158" t="str">
        <f>IF(AND(COUNTIF(Logs!I$177:I$189, "Road Block")&gt;1,COUNTIF(Logs!I$177:I$189, "Detour")&gt;1), 1,"")</f>
        <v/>
      </c>
      <c r="J158" t="str">
        <f>IF(AND(COUNTIF(Logs!J$177:J$189, "Road Block")&gt;1,COUNTIF(Logs!J$177:J$189, "Detour")&gt;1), 1,"")</f>
        <v/>
      </c>
      <c r="K158">
        <f>IF(AND(COUNTIF(Logs!K$177:K$189, "Road Block")&gt;1,COUNTIF(Logs!K$177:K$189, "Detour")&gt;1), 1,"")</f>
        <v>1</v>
      </c>
      <c r="L158" t="str">
        <f>IF(AND(COUNTIF(Logs!L$177:L$189, "Road Block")&gt;1,COUNTIF(Logs!L$177:L$189, "Detour")&gt;1), 1,"")</f>
        <v/>
      </c>
      <c r="M158" t="str">
        <f>IF(AND(COUNTIF(Logs!M$177:M$189, "Road Block")&gt;1,COUNTIF(Logs!M$177:M$189, "Detour")&gt;1), 1,"")</f>
        <v/>
      </c>
      <c r="N158" t="str">
        <f>IF(AND(COUNTIF(Logs!N$177:N$189, "Road Block")&gt;1,COUNTIF(Logs!N$177:N$189, "Detour")&gt;1), 1,"")</f>
        <v/>
      </c>
      <c r="O158" t="str">
        <f>IF(AND(COUNTIF(Logs!O$177:O$189, "Road Block")&gt;1,COUNTIF(Logs!O$177:O$189, "Detour")&gt;1), 1,"")</f>
        <v/>
      </c>
    </row>
    <row r="159" spans="2:29" outlineLevel="1">
      <c r="B159" s="90" t="s">
        <v>35</v>
      </c>
      <c r="C159" t="str">
        <f>IF(AND(COUNTIF(Logs!C$572:C$583, "Road Block")&gt;1,COUNTIF(Logs!C$572:C$583, "Detour")&gt;1), 1, "")</f>
        <v/>
      </c>
      <c r="D159" t="str">
        <f>IF(AND(COUNTIF(Logs!D$572:D$583, "Road Block")&gt;1,COUNTIF(Logs!D$572:D$583, "Detour")&gt;1), 1, "")</f>
        <v/>
      </c>
      <c r="E159" t="str">
        <f>IF(AND(COUNTIF(Logs!E$572:E$583, "Road Block")&gt;1,COUNTIF(Logs!E$572:E$583, "Detour")&gt;1), 1, "")</f>
        <v/>
      </c>
      <c r="F159" t="str">
        <f>IF(AND(COUNTIF(Logs!F$574:F$583, "Road Block")&gt;1,COUNTIF(Logs!F$574:F$583, "Detour")&gt;1), 1, "")</f>
        <v/>
      </c>
      <c r="G159" t="str">
        <f>IF(AND(COUNTIF(Logs!G$574:G$583, "Road Block")&gt;1,COUNTIF(Logs!G$574:G$583, "Detour")&gt;1), 1, "")</f>
        <v/>
      </c>
      <c r="H159" t="str">
        <f>IF(AND(COUNTIF(Logs!H$572:H$583, "Road Block")&gt;1,COUNTIF(Logs!H$572:H$583, "Detour")&gt;1), 1, "")</f>
        <v/>
      </c>
      <c r="I159" t="str">
        <f>IF(AND(COUNTIF(Logs!I$572:I$583, "Road Block")&gt;1,COUNTIF(Logs!I$572:I$583, "Detour")&gt;1), 1, "")</f>
        <v/>
      </c>
      <c r="J159">
        <f>IF(AND(COUNTIF(Logs!J$572:J$583, "Road Block")&gt;1,COUNTIF(Logs!J$572:J$583, "Detour")&gt;1), 1, "")</f>
        <v>1</v>
      </c>
      <c r="K159" t="str">
        <f>IF(AND(COUNTIF(Logs!K$572:K$583, "Road Block")&gt;1,COUNTIF(Logs!K$572:K$583, "Detour")&gt;1), 1, "")</f>
        <v/>
      </c>
      <c r="L159" t="str">
        <f>IF(AND(COUNTIF(Logs!L$572:L$583, "Road Block")&gt;1,COUNTIF(Logs!L$572:L$583, "Detour")&gt;1), 1, "")</f>
        <v/>
      </c>
      <c r="M159" t="str">
        <f>IF(AND(COUNTIF(Logs!M$572:M$583, "Road Block")&gt;1,COUNTIF(Logs!M$572:M$583, "Detour")&gt;1), 1, "")</f>
        <v/>
      </c>
      <c r="N159" t="str">
        <f>IF(AND(COUNTIF(Logs!N$572:N$583, "Road Block")&gt;1,COUNTIF(Logs!N$572:N$583, "Detour")&gt;1), 1, "")</f>
        <v/>
      </c>
      <c r="O159" t="str">
        <f>IF(AND(COUNTIF(Logs!O$572:O$583, "Road Block")&gt;1,COUNTIF(Logs!O$572:O$583, "Detour")&gt;1), 1, "")</f>
        <v/>
      </c>
    </row>
    <row r="160" spans="2:29" outlineLevel="1">
      <c r="B160" s="90" t="s">
        <v>198</v>
      </c>
      <c r="C160" t="str">
        <f>IF(AND(COUNTIF(Logs!C$607:C$616, "Road Block")&gt;1,COUNTIF(Logs!C$607:C$616, "Detour")&gt;1), 1, "")</f>
        <v/>
      </c>
      <c r="D160" t="str">
        <f>IF(AND(COUNTIF(Logs!D$607:D$616, "Road Block")&gt;1,COUNTIF(Logs!D$607:D$616, "Detour")&gt;1), 1, "")</f>
        <v/>
      </c>
      <c r="E160">
        <f>IF(AND(COUNTIF(Logs!E$607:E$616, "Road Block")&gt;1,COUNTIF(Logs!E$607:E$616, "Detour")&gt;1), 1, "")</f>
        <v>1</v>
      </c>
      <c r="F160" t="str">
        <f>IF(AND(COUNTIF(Logs!F$607:F$616, "Road Block")&gt;1,COUNTIF(Logs!F$607:F$616, "Detour")&gt;1), 1, "")</f>
        <v/>
      </c>
      <c r="G160" t="str">
        <f>IF(AND(COUNTIF(Logs!G$607:G$616, "Road Block")&gt;1,COUNTIF(Logs!G$607:G$616, "Detour")&gt;1), 1, "")</f>
        <v/>
      </c>
      <c r="H160" t="str">
        <f>IF(AND(COUNTIF(Logs!H$607:H$616, "Road Block")&gt;1,COUNTIF(Logs!H$607:H$616, "Detour")&gt;1), 1, "")</f>
        <v/>
      </c>
      <c r="I160" t="str">
        <f>IF(AND(COUNTIF(Logs!I$607:I$616, "Road Block")&gt;1,COUNTIF(Logs!I$607:I$616, "Detour")&gt;1), 1, "")</f>
        <v/>
      </c>
      <c r="J160">
        <f>IF(AND(COUNTIF(Logs!J$607:J$616, "Road Block")&gt;1,COUNTIF(Logs!J$607:J$616, "Detour")&gt;1), 1, "")</f>
        <v>1</v>
      </c>
      <c r="K160" t="str">
        <f>IF(AND(COUNTIF(Logs!K$607:K$616, "Road Block")&gt;1,COUNTIF(Logs!K$607:K$616, "Detour")&gt;1), 1, "")</f>
        <v/>
      </c>
      <c r="L160" t="str">
        <f>IF(AND(COUNTIF(Logs!L$607:L$616, "Road Block")&gt;1,COUNTIF(Logs!L$607:L$616, "Detour")&gt;1), 1, "")</f>
        <v/>
      </c>
      <c r="M160" t="str">
        <f>IF(AND(COUNTIF(Logs!M$607:M$616, "Road Block")&gt;1,COUNTIF(Logs!M$607:M$616, "Detour")&gt;1), 1, "")</f>
        <v/>
      </c>
      <c r="N160" t="str">
        <f>IF(AND(COUNTIF(Logs!N$607:N$616, "Road Block")&gt;1,COUNTIF(Logs!N$607:N$616, "Detour")&gt;1), 1, "")</f>
        <v/>
      </c>
      <c r="O160" t="str">
        <f>IF(AND(COUNTIF(Logs!O$607:O$616, "Road Block")&gt;1,COUNTIF(Logs!O$607:O$616, "Detour")&gt;1), 1, "")</f>
        <v/>
      </c>
    </row>
    <row r="161" spans="2:15">
      <c r="B161" s="90" t="s">
        <v>563</v>
      </c>
      <c r="C161" t="str">
        <f>IF(AND(COUNTIF(Logs!C$640:C$649, "Road Block")&gt;1,COUNTIF(Logs!C$640:C$649, "Detour")&gt;1), 1, "")</f>
        <v/>
      </c>
      <c r="D161" t="str">
        <f>IF(AND(COUNTIF(Logs!D$640:D$649, "Road Block")&gt;1,COUNTIF(Logs!D$640:D$649, "Detour")&gt;1), 1, "")</f>
        <v/>
      </c>
      <c r="E161" t="str">
        <f>IF(AND(COUNTIF(Logs!E$640:E$649, "Road Block")&gt;1,COUNTIF(Logs!E$640:E$649, "Detour")&gt;1), 1, "")</f>
        <v/>
      </c>
      <c r="F161" t="str">
        <f>IF(AND(COUNTIF(Logs!F$640:F$649, "Road Block")&gt;1,COUNTIF(Logs!F$640:F$649, "Detour")&gt;1), 1, "")</f>
        <v/>
      </c>
      <c r="G161" t="str">
        <f>IF(AND(COUNTIF(Logs!G$640:G$649, "Road Block")&gt;1,COUNTIF(Logs!G$640:G$649, "Detour")&gt;1), 1, "")</f>
        <v/>
      </c>
      <c r="H161">
        <f>IF(AND(COUNTIF(Logs!H$640:H$649, "Road Block")&gt;1,COUNTIF(Logs!H$640:H$649, "Detour")&gt;1), 1, "")</f>
        <v>1</v>
      </c>
      <c r="I161" t="str">
        <f>IF(AND(COUNTIF(Logs!I$640:I$649, "Road Block")&gt;1,COUNTIF(Logs!I$640:I$649, "Detour")&gt;1), 1, "")</f>
        <v/>
      </c>
      <c r="J161" t="str">
        <f>IF(AND(COUNTIF(Logs!J$640:J$649, "Road Block")&gt;1,COUNTIF(Logs!J$640:J$649, "Detour")&gt;1), 1, "")</f>
        <v/>
      </c>
      <c r="K161" t="str">
        <f>IF(AND(COUNTIF(Logs!K$640:K$649, "Road Block")&gt;1,COUNTIF(Logs!K$640:K$649, "Detour")&gt;1), 1, "")</f>
        <v/>
      </c>
      <c r="L161" t="str">
        <f>IF(AND(COUNTIF(Logs!L$641:L$649, "Road Block")&gt;1,COUNTIF(Logs!L$641:L$649, "Detour")&gt;1), 1, "")</f>
        <v/>
      </c>
      <c r="M161" t="str">
        <f>IF(AND(COUNTIF(Logs!M$640:M$649, "Road Block")&gt;1,COUNTIF(Logs!M$640:M$649, "Detour")&gt;1), 1, "")</f>
        <v/>
      </c>
      <c r="N161" t="str">
        <f>IF(AND(COUNTIF(Logs!N$640:N$649, "Road Block")&gt;1,COUNTIF(Logs!N$640:N$649, "Detour")&gt;1), 1, "")</f>
        <v/>
      </c>
      <c r="O161" t="str">
        <f>IF(AND(COUNTIF(Logs!O$640:O$649, "Road Block")&gt;1,COUNTIF(Logs!O$640:O$649, "Detour")&gt;1), 1, "")</f>
        <v/>
      </c>
    </row>
    <row r="162" spans="2:15">
      <c r="B162" s="287" t="s">
        <v>200</v>
      </c>
      <c r="C162" s="35">
        <f t="shared" ref="C162:O162" si="18">IF(SUM(C156:C161)&gt;0, SUM(C156:C161), 0)</f>
        <v>0</v>
      </c>
      <c r="D162" s="35">
        <f t="shared" si="18"/>
        <v>0</v>
      </c>
      <c r="E162" s="35">
        <f t="shared" si="18"/>
        <v>1</v>
      </c>
      <c r="F162" s="35">
        <f t="shared" si="18"/>
        <v>0</v>
      </c>
      <c r="G162" s="35">
        <f t="shared" si="18"/>
        <v>0</v>
      </c>
      <c r="H162" s="35">
        <f t="shared" si="18"/>
        <v>2</v>
      </c>
      <c r="I162" s="35">
        <f t="shared" si="18"/>
        <v>0</v>
      </c>
      <c r="J162" s="35">
        <f t="shared" si="18"/>
        <v>2</v>
      </c>
      <c r="K162" s="35">
        <f t="shared" si="18"/>
        <v>1</v>
      </c>
      <c r="L162" s="35">
        <f t="shared" si="18"/>
        <v>0</v>
      </c>
      <c r="M162" s="35">
        <f t="shared" si="18"/>
        <v>0</v>
      </c>
      <c r="N162" s="35">
        <f t="shared" si="18"/>
        <v>1</v>
      </c>
      <c r="O162" s="35">
        <f t="shared" si="18"/>
        <v>0</v>
      </c>
    </row>
    <row r="163" spans="2:15" outlineLevel="1">
      <c r="B163" s="287" t="s">
        <v>195</v>
      </c>
      <c r="C163" s="392">
        <f>C162/SUM($C$156:$O$161)</f>
        <v>0</v>
      </c>
      <c r="D163" s="392">
        <f t="shared" ref="D163:O163" si="19">D162/SUM($C$156:$O$161)</f>
        <v>0</v>
      </c>
      <c r="E163" s="392">
        <f t="shared" si="19"/>
        <v>0.14285714285714285</v>
      </c>
      <c r="F163" s="392">
        <f t="shared" si="19"/>
        <v>0</v>
      </c>
      <c r="G163" s="392">
        <f t="shared" si="19"/>
        <v>0</v>
      </c>
      <c r="H163" s="392">
        <f t="shared" si="19"/>
        <v>0.2857142857142857</v>
      </c>
      <c r="I163" s="392">
        <f t="shared" si="19"/>
        <v>0</v>
      </c>
      <c r="J163" s="392">
        <f t="shared" si="19"/>
        <v>0.2857142857142857</v>
      </c>
      <c r="K163" s="392">
        <f t="shared" si="19"/>
        <v>0.14285714285714285</v>
      </c>
      <c r="L163" s="392">
        <f t="shared" si="19"/>
        <v>0</v>
      </c>
      <c r="M163" s="392">
        <f t="shared" si="19"/>
        <v>0</v>
      </c>
      <c r="N163" s="392">
        <f t="shared" si="19"/>
        <v>0.14285714285714285</v>
      </c>
      <c r="O163" s="392">
        <f t="shared" si="19"/>
        <v>0</v>
      </c>
    </row>
    <row r="164" spans="2:15" outlineLevel="1"/>
    <row r="165" spans="2:15" ht="18.75" outlineLevel="1">
      <c r="B165" s="68" t="s">
        <v>2005</v>
      </c>
    </row>
    <row r="166" spans="2:15" outlineLevel="1">
      <c r="B166" s="35" t="s">
        <v>183</v>
      </c>
      <c r="C166" s="37" t="s">
        <v>1</v>
      </c>
      <c r="D166" s="37" t="s">
        <v>2</v>
      </c>
      <c r="E166" s="37" t="s">
        <v>3</v>
      </c>
      <c r="F166" s="37" t="s">
        <v>4</v>
      </c>
      <c r="G166" s="37" t="s">
        <v>5</v>
      </c>
      <c r="H166" s="37" t="s">
        <v>6</v>
      </c>
      <c r="I166" s="37" t="s">
        <v>7</v>
      </c>
      <c r="J166" s="37" t="s">
        <v>8</v>
      </c>
      <c r="K166" s="37" t="s">
        <v>9</v>
      </c>
      <c r="L166" s="37" t="s">
        <v>10</v>
      </c>
      <c r="M166" s="37" t="s">
        <v>36</v>
      </c>
      <c r="N166" s="37" t="s">
        <v>37</v>
      </c>
      <c r="O166" s="37" t="s">
        <v>344</v>
      </c>
    </row>
    <row r="167" spans="2:15" outlineLevel="1">
      <c r="B167" s="90" t="s">
        <v>126</v>
      </c>
      <c r="C167" s="8" t="str">
        <f>IF(AND(COUNTIF(Logs!C$9:C$18, "Road Block")&gt;0,COUNTIF(Logs!C$9:C$18, "Detour")=0), COUNTIF(Logs!C$9:C$18, "Road Block"), "")</f>
        <v/>
      </c>
      <c r="D167" s="8" t="str">
        <f>IF(AND(COUNTIF(Logs!D$9:D$18, "Road Block")&gt;0,COUNTIF(Logs!D$9:D$18, "Detour")=0), COUNTIF(Logs!D$9:D$18, "Road Block"), "")</f>
        <v/>
      </c>
      <c r="E167" s="8" t="str">
        <f>IF(AND(COUNTIF(Logs!E$9:E$18, "Road Block")&gt;0,COUNTIF(Logs!E$9:E$18, "Detour")=0), COUNTIF(Logs!E$9:E$18, "Road Block"), "")</f>
        <v/>
      </c>
      <c r="F167" s="8" t="str">
        <f>IF(AND(COUNTIF(Logs!F$9:F$18, "Road Block")&gt;0,COUNTIF(Logs!F$9:F$18, "Detour")=0), COUNTIF(Logs!F$9:F$18, "Road Block"), "")</f>
        <v/>
      </c>
      <c r="G167" s="8" t="str">
        <f>IF(AND(COUNTIF(Logs!G$9:G$18, "Road Block")&gt;0,COUNTIF(Logs!G$9:G$18, "Detour")=0), COUNTIF(Logs!G$9:G$18, "Road Block"), "")</f>
        <v/>
      </c>
      <c r="H167" s="8" t="str">
        <f>IF(AND(COUNTIF(Logs!H$9:H$18, "Road Block")&gt;0,COUNTIF(Logs!H$9:H$18, "Detour")=0), COUNTIF(Logs!H$9:H$18, "Road Block"), "")</f>
        <v/>
      </c>
      <c r="I167" s="8" t="str">
        <f>IF(AND(COUNTIF(Logs!I$9:I$18, "Road Block")&gt;0,COUNTIF(Logs!I$9:I$18, "Detour")=0), COUNTIF(Logs!I$9:I$18, "Road Block"), "")</f>
        <v/>
      </c>
      <c r="J167" s="8" t="str">
        <f>IF(AND(COUNTIF(Logs!J$9:J$18, "Road Block")&gt;0,COUNTIF(Logs!J$9:J$18, "Detour")=0), COUNTIF(Logs!J$9:J$18, "Road Block"), "")</f>
        <v/>
      </c>
      <c r="K167" s="8" t="str">
        <f>IF(AND(COUNTIF(Logs!K$9:K$18, "Road Block")&gt;0,COUNTIF(Logs!K$9:K$18, "Detour")=0), COUNTIF(Logs!K$9:K$18, "Road Block"), "")</f>
        <v/>
      </c>
      <c r="L167" s="8" t="str">
        <f>IF(AND(COUNTIF(Logs!L$9:L$18, "Road Block")&gt;0,COUNTIF(Logs!L$9:L$18, "Detour")=0), COUNTIF(Logs!L$9:L$18, "Road Block"), "")</f>
        <v/>
      </c>
      <c r="M167" s="8" t="str">
        <f>IF(AND(COUNTIF(Logs!M$10:M$18, "Road Block")&gt;0,COUNTIF(Logs!M$10:M$18, "Detour")=0), COUNTIF(Logs!M$10:M$18, "Road Block"), "")</f>
        <v/>
      </c>
      <c r="N167" s="8" t="str">
        <f>IF(AND(COUNTIF(Logs!N$9:N$18, "Road Block")&gt;0,COUNTIF(Logs!N$9:N$18, "Detour")=0), COUNTIF(Logs!N$9:N$18, "Road Block"), "")</f>
        <v/>
      </c>
      <c r="O167" s="8" t="str">
        <f>IF(AND(COUNTIF(Logs!O$9:O$18, "Road Block")&gt;0,COUNTIF(Logs!O$9:O$18, "Detour")=0), COUNTIF(Logs!O$9:O$18, "Road Block"), "")</f>
        <v/>
      </c>
    </row>
    <row r="168" spans="2:15" outlineLevel="1">
      <c r="B168" s="90" t="s">
        <v>127</v>
      </c>
      <c r="C168" s="8" t="str">
        <f>IF(AND(COUNTIF(Logs!C$27:C$36, "Road Block")&gt;0,COUNTIF(Logs!C$27:C$36, "Detour")=0), COUNTIF(Logs!C$27:C$36, "Road Block"), "")</f>
        <v/>
      </c>
      <c r="D168" s="8" t="str">
        <f>IF(AND(COUNTIF(Logs!D$27:D$36, "Road Block")&gt;0,COUNTIF(Logs!D$27:D$36, "Detour")=0), COUNTIF(Logs!D$27:D$36, "Road Block"), "")</f>
        <v/>
      </c>
      <c r="E168" s="8" t="str">
        <f>IF(AND(COUNTIF(Logs!E$27:E$36, "Road Block")&gt;0,COUNTIF(Logs!E$27:E$36, "Detour")=0), COUNTIF(Logs!E$27:E$36, "Road Block"), "")</f>
        <v/>
      </c>
      <c r="F168" s="8" t="str">
        <f>IF(AND(COUNTIF(Logs!F$27:F$36, "Road Block")&gt;0,COUNTIF(Logs!F$27:F$36, "Detour")=0), COUNTIF(Logs!F$27:F$36, "Road Block"), "")</f>
        <v/>
      </c>
      <c r="G168" s="8" t="str">
        <f>IF(AND(COUNTIF(Logs!G$27:G$36, "Road Block")&gt;0,COUNTIF(Logs!G$27:G$36, "Detour")=0), COUNTIF(Logs!G$27:G$36, "Road Block"), "")</f>
        <v/>
      </c>
      <c r="H168" s="8" t="str">
        <f>IF(AND(COUNTIF(Logs!H$27:H$36, "Road Block")&gt;0,COUNTIF(Logs!H$27:H$36, "Detour")=0), COUNTIF(Logs!H$27:H$36, "Road Block"), "")</f>
        <v/>
      </c>
      <c r="I168" s="8" t="str">
        <f>IF(AND(COUNTIF(Logs!I$27:I$36, "Road Block")&gt;0,COUNTIF(Logs!I$27:I$36, "Detour")=0), COUNTIF(Logs!I$27:I$36, "Road Block"), "")</f>
        <v/>
      </c>
      <c r="J168" s="8" t="str">
        <f>IF(AND(COUNTIF(Logs!J$27:J$36, "Road Block")&gt;0,COUNTIF(Logs!J$27:J$36, "Detour")=0), COUNTIF(Logs!J$27:J$36, "Road Block"), "")</f>
        <v/>
      </c>
      <c r="K168" s="8" t="str">
        <f>IF(AND(COUNTIF(Logs!K$27:K$36, "Road Block")&gt;0,COUNTIF(Logs!K$27:K$36, "Detour")=0), COUNTIF(Logs!K$27:K$36, "Road Block"), "")</f>
        <v/>
      </c>
      <c r="L168" s="8" t="str">
        <f>IF(AND(COUNTIF(Logs!L$27:L$36, "Road Block")&gt;0,COUNTIF(Logs!L$27:L$36, "Detour")=0), COUNTIF(Logs!L$27:L$36, "Road Block"), "")</f>
        <v/>
      </c>
      <c r="M168" s="8" t="str">
        <f>IF(AND(COUNTIF(Logs!M$27:M$36, "Road Block")&gt;0,COUNTIF(Logs!M$27:M$36, "Detour")=0), COUNTIF(Logs!M$27:M$36, "Road Block"), "")</f>
        <v/>
      </c>
      <c r="N168" s="8" t="str">
        <f>IF(AND(COUNTIF(Logs!N$27:N$36, "Road Block")&gt;0,COUNTIF(Logs!N$27:N$36, "Detour")=0), COUNTIF(Logs!N$27:N$36, "Road Block"), "")</f>
        <v/>
      </c>
      <c r="O168" s="8">
        <f>IF(AND(COUNTIF(Logs!O$27:O$36, "Road Block")&gt;0,COUNTIF(Logs!O$27:O$36, "Detour")=0), COUNTIF(Logs!O$27:O$36, "Road Block"), "")</f>
        <v>1</v>
      </c>
    </row>
    <row r="169" spans="2:15" outlineLevel="1">
      <c r="B169" s="90" t="s">
        <v>128</v>
      </c>
      <c r="C169" s="8" t="str">
        <f>IF(AND(COUNTIF(Logs!C$45:C$54, "Road Block")&gt;0,COUNTIF(Logs!C$45:C$54, "Detour")=0), COUNTIF(Logs!C$45:C$54, "Road Block"), "")</f>
        <v/>
      </c>
      <c r="D169" s="8" t="str">
        <f>IF(AND(COUNTIF(Logs!D$45:D$54, "Road Block")&gt;0,COUNTIF(Logs!D$45:D$54, "Detour")=0), COUNTIF(Logs!D$45:D$54, "Road Block"), "")</f>
        <v/>
      </c>
      <c r="E169" s="8" t="str">
        <f>IF(AND(COUNTIF(Logs!E$45:E$54, "Road Block")&gt;0,COUNTIF(Logs!E$45:E$54, "Detour")=0), COUNTIF(Logs!E$45:E$54, "Road Block"), "")</f>
        <v/>
      </c>
      <c r="F169" s="8" t="str">
        <f>IF(AND(COUNTIF(Logs!F$45:F$54, "Road Block")&gt;0,COUNTIF(Logs!F$45:F$54, "Detour")=0), COUNTIF(Logs!F$45:F$54, "Road Block"), "")</f>
        <v/>
      </c>
      <c r="G169" s="8" t="str">
        <f>IF(AND(COUNTIF(Logs!G$45:G$54, "Road Block")&gt;0,COUNTIF(Logs!G$45:G$54, "Detour")=0), COUNTIF(Logs!G$45:G$54, "Road Block"), "")</f>
        <v/>
      </c>
      <c r="H169" s="8" t="str">
        <f>IF(AND(COUNTIF(Logs!H$45:H$54, "Road Block")&gt;0,COUNTIF(Logs!H$45:H$54, "Detour")=0), COUNTIF(Logs!H$45:H$54, "Road Block"), "")</f>
        <v/>
      </c>
      <c r="I169" s="8" t="str">
        <f>IF(AND(COUNTIF(Logs!I$45:I$54, "Road Block")&gt;0,COUNTIF(Logs!I$45:I$54, "Detour")=0), COUNTIF(Logs!I$45:I$54, "Road Block"), "")</f>
        <v/>
      </c>
      <c r="J169" s="8" t="str">
        <f>IF(AND(COUNTIF(Logs!J$45:J$54, "Road Block")&gt;0,COUNTIF(Logs!J$45:J$54, "Detour")=0), COUNTIF(Logs!J$45:J$54, "Road Block"), "")</f>
        <v/>
      </c>
      <c r="K169" s="8" t="str">
        <f>IF(AND(COUNTIF(Logs!K$45:K$54, "Road Block")&gt;0,COUNTIF(Logs!K$45:K$54, "Detour")=0), COUNTIF(Logs!K$45:K$54, "Road Block"), "")</f>
        <v/>
      </c>
      <c r="L169" s="8" t="str">
        <f>IF(AND(COUNTIF(Logs!L$45:L$54, "Road Block")&gt;0,COUNTIF(Logs!L$45:L$54, "Detour")=0), COUNTIF(Logs!L$45:L$54, "Road Block"), "")</f>
        <v/>
      </c>
      <c r="M169" s="8" t="str">
        <f>IF(AND(COUNTIF(Logs!M$45:M$54, "Road Block")&gt;0,COUNTIF(Logs!M$45:M$54, "Detour")=0), COUNTIF(Logs!M$45:M$54, "Road Block"), "")</f>
        <v/>
      </c>
      <c r="N169" s="8" t="str">
        <f>IF(AND(COUNTIF(Logs!N$45:N$54, "Road Block")&gt;0,COUNTIF(Logs!N$45:N$54, "Detour")=0), COUNTIF(Logs!N$45:N$54, "Road Block"), "")</f>
        <v/>
      </c>
      <c r="O169" s="8" t="str">
        <f>IF(AND(COUNTIF(Logs!O$45:O$54, "Road Block")&gt;0,COUNTIF(Logs!O$45:O$54, "Detour")=0), COUNTIF(Logs!O$45:O$54, "Road Block"), "")</f>
        <v/>
      </c>
    </row>
    <row r="170" spans="2:15" outlineLevel="1">
      <c r="B170" s="90" t="s">
        <v>129</v>
      </c>
      <c r="C170" s="8" t="str">
        <f>IF(AND(COUNTIF(Logs!C$63:C$72, "Road Block")&gt;0,COUNTIF(Logs!C$63:C$72, "Detour")=0), COUNTIF(Logs!C$63:C$72, "Road Block"), "")</f>
        <v/>
      </c>
      <c r="D170" s="8" t="str">
        <f>IF(AND(COUNTIF(Logs!D$63:D$72, "Road Block")&gt;0,COUNTIF(Logs!D$63:D$72, "Detour")=0), COUNTIF(Logs!D$63:D$72, "Road Block"), "")</f>
        <v/>
      </c>
      <c r="E170" s="8" t="str">
        <f>IF(AND(COUNTIF(Logs!E$63:E$72, "Road Block")&gt;0,COUNTIF(Logs!E$63:E$72, "Detour")=0), COUNTIF(Logs!E$63:E$72, "Road Block"), "")</f>
        <v/>
      </c>
      <c r="F170" s="8" t="str">
        <f>IF(AND(COUNTIF(Logs!F$63:F$72, "Road Block")&gt;0,COUNTIF(Logs!F$63:F$72, "Detour")=0), COUNTIF(Logs!F$63:F$72, "Road Block"), "")</f>
        <v/>
      </c>
      <c r="G170" s="8" t="str">
        <f>IF(AND(COUNTIF(Logs!G$63:G$72, "Road Block")&gt;0,COUNTIF(Logs!G$63:G$72, "Detour")=0), COUNTIF(Logs!G$63:G$72, "Road Block"), "")</f>
        <v/>
      </c>
      <c r="H170" s="8" t="str">
        <f>IF(AND(COUNTIF(Logs!H$63:H$72, "Road Block")&gt;0,COUNTIF(Logs!H$63:H$72, "Detour")=0), COUNTIF(Logs!H$63:H$72, "Road Block"), "")</f>
        <v/>
      </c>
      <c r="I170" s="8" t="str">
        <f>IF(AND(COUNTIF(Logs!I$63:I$72, "Road Block")&gt;0,COUNTIF(Logs!I$63:I$72, "Detour")=0), COUNTIF(Logs!I$63:I$72, "Road Block"), "")</f>
        <v/>
      </c>
      <c r="J170" s="8" t="str">
        <f>IF(AND(COUNTIF(Logs!J$63:J$72, "Road Block")&gt;0,COUNTIF(Logs!J$63:J$72, "Detour")=0), COUNTIF(Logs!J$63:J$72, "Road Block"), "")</f>
        <v/>
      </c>
      <c r="K170" s="8" t="str">
        <f>IF(AND(COUNTIF(Logs!K$63:K$72, "Road Block")&gt;0,COUNTIF(Logs!K$63:K$72, "Detour")=0), COUNTIF(Logs!K$63:K$72, "Road Block"), "")</f>
        <v/>
      </c>
      <c r="L170" s="8" t="str">
        <f>IF(AND(COUNTIF(Logs!L$63:L$72, "Road Block")&gt;0,COUNTIF(Logs!L$63:L$72, "Detour")=0), COUNTIF(Logs!L$63:L$72, "Road Block"), "")</f>
        <v/>
      </c>
      <c r="M170" s="8" t="str">
        <f>IF(AND(COUNTIF(Logs!M$63:M$72, "Road Block")&gt;0,COUNTIF(Logs!M$63:M$72, "Detour")=0), COUNTIF(Logs!M$63:M$72, "Road Block"), "")</f>
        <v/>
      </c>
      <c r="N170" s="8" t="str">
        <f>IF(AND(COUNTIF(Logs!N$63:N$72, "Road Block")&gt;0,COUNTIF(Logs!N$63:N$72, "Detour")=0), COUNTIF(Logs!N$63:N$72, "Road Block"), "")</f>
        <v/>
      </c>
      <c r="O170" s="8" t="str">
        <f>IF(AND(COUNTIF(Logs!O$63:O$72, "Road Block")&gt;0,COUNTIF(Logs!O$63:O$72, "Detour")=0), COUNTIF(Logs!O$63:O$72, "Road Block"), "")</f>
        <v/>
      </c>
    </row>
    <row r="171" spans="2:15" outlineLevel="1">
      <c r="B171" s="90" t="s">
        <v>130</v>
      </c>
      <c r="C171" s="8" t="str">
        <f>IF(AND(COUNTIF(Logs!C$81:C$90, "Road Block")&gt;0,COUNTIF(Logs!C$81:C$90, "Detour")=0), COUNTIF(Logs!C$81:C$90, "Road Block"), "")</f>
        <v/>
      </c>
      <c r="D171" s="8" t="str">
        <f>IF(AND(COUNTIF(Logs!D$81:D$90, "Road Block")&gt;0,COUNTIF(Logs!D$81:D$90, "Detour")=0), COUNTIF(Logs!D$81:D$90, "Road Block"), "")</f>
        <v/>
      </c>
      <c r="E171" s="8" t="str">
        <f>IF(AND(COUNTIF(Logs!E$81:E$90, "Road Block")&gt;0,COUNTIF(Logs!E$81:E$90, "Detour")=0), COUNTIF(Logs!E$81:E$90, "Road Block"), "")</f>
        <v/>
      </c>
      <c r="F171" s="8" t="str">
        <f>IF(AND(COUNTIF(Logs!F$81:F$90, "Road Block")&gt;0,COUNTIF(Logs!F$81:F$90, "Detour")=0), COUNTIF(Logs!F$81:F$90, "Road Block"), "")</f>
        <v/>
      </c>
      <c r="G171" s="8" t="str">
        <f>IF(AND(COUNTIF(Logs!G$81:G$90, "Road Block")&gt;0,COUNTIF(Logs!G$81:G$90, "Detour")=0), COUNTIF(Logs!G$81:G$90, "Road Block"), "")</f>
        <v/>
      </c>
      <c r="H171" s="8" t="str">
        <f>IF(AND(COUNTIF(Logs!H$81:H$90, "Road Block")&gt;0,COUNTIF(Logs!H$81:H$90, "Detour")=0), COUNTIF(Logs!H$81:H$90, "Road Block"), "")</f>
        <v/>
      </c>
      <c r="I171" s="8" t="str">
        <f>IF(AND(COUNTIF(Logs!I$81:I$90, "Road Block")&gt;0,COUNTIF(Logs!I$81:I$90, "Detour")=0), COUNTIF(Logs!I$81:I$90, "Road Block"), "")</f>
        <v/>
      </c>
      <c r="J171" s="8" t="str">
        <f>IF(AND(COUNTIF(Logs!J$81:J$90, "Road Block")&gt;0,COUNTIF(Logs!J$81:J$90, "Detour")=0), COUNTIF(Logs!J$81:J$90, "Road Block"), "")</f>
        <v/>
      </c>
      <c r="K171" s="8" t="str">
        <f>IF(AND(COUNTIF(Logs!K$81:K$90, "Road Block")&gt;0,COUNTIF(Logs!K$81:K$90, "Detour")=0), COUNTIF(Logs!K$81:K$90, "Road Block"), "")</f>
        <v/>
      </c>
      <c r="L171" s="8" t="str">
        <f>IF(AND(COUNTIF(Logs!L$81:L$90, "Road Block")&gt;0,COUNTIF(Logs!L$81:L$90, "Detour")=0), COUNTIF(Logs!L$81:L$90, "Road Block"), "")</f>
        <v/>
      </c>
      <c r="M171" s="8" t="str">
        <f>IF(AND(COUNTIF(Logs!M$81:M$90, "Road Block")&gt;0,COUNTIF(Logs!M$81:M$90, "Detour")=0), COUNTIF(Logs!M$81:M$90, "Road Block"), "")</f>
        <v/>
      </c>
      <c r="N171" s="8">
        <f>IF(AND(COUNTIF(Logs!N$81:N$90, "Road Block")&gt;0,COUNTIF(Logs!N$81:N$90, "Detour")=0), COUNTIF(Logs!N$81:N$90, "Road Block"), "")</f>
        <v>1</v>
      </c>
      <c r="O171" s="8" t="str">
        <f>IF(AND(COUNTIF(Logs!O$81:O$90, "Road Block")&gt;0,COUNTIF(Logs!O$81:O$90, "Detour")=0), COUNTIF(Logs!O$81:O$90, "Road Block"), "")</f>
        <v/>
      </c>
    </row>
    <row r="172" spans="2:15" outlineLevel="1">
      <c r="B172" s="90" t="s">
        <v>131</v>
      </c>
      <c r="C172" s="8" t="str">
        <f>IF(AND(COUNTIF(Logs!C$100:C$112, "Road Block")&gt;0,COUNTIF(Logs!C$100:C$112, "Detour")=0), COUNTIF(Logs!C$100:C$112, "Road Block"), "")</f>
        <v/>
      </c>
      <c r="D172" s="8" t="str">
        <f>IF(AND(COUNTIF(Logs!D$100:D$112, "Road Block")&gt;0,COUNTIF(Logs!D$100:D$112, "Detour")=0), COUNTIF(Logs!D$100:D$112, "Road Block"), "")</f>
        <v/>
      </c>
      <c r="E172" s="8" t="str">
        <f>IF(AND(COUNTIF(Logs!E$100:E$112, "Road Block")&gt;0,COUNTIF(Logs!E$100:E$112, "Detour")=0), COUNTIF(Logs!E$100:E$112, "Road Block"), "")</f>
        <v/>
      </c>
      <c r="F172" s="8" t="str">
        <f>IF(AND(COUNTIF(Logs!F$100:F$112, "Road Block")&gt;0,COUNTIF(Logs!F$100:F$112, "Detour")=0), COUNTIF(Logs!F$100:F$112, "Road Block"), "")</f>
        <v/>
      </c>
      <c r="G172" s="8" t="str">
        <f>IF(AND(COUNTIF(Logs!G$100:G$112, "Road Block")&gt;0,COUNTIF(Logs!G$100:G$112, "Detour")=0), COUNTIF(Logs!G$100:G$112, "Road Block"), "")</f>
        <v/>
      </c>
      <c r="H172" s="8" t="str">
        <f>IF(AND(COUNTIF(Logs!H$100:H$112, "Road Block")&gt;0,COUNTIF(Logs!H$100:H$112, "Detour")=0), COUNTIF(Logs!H$100:H$112, "Road Block"), "")</f>
        <v/>
      </c>
      <c r="I172" s="8" t="str">
        <f>IF(AND(COUNTIF(Logs!I$100:I$112, "Road Block")&gt;0,COUNTIF(Logs!I$100:I$112, "Detour")=0), COUNTIF(Logs!I$100:I$112, "Road Block"), "")</f>
        <v/>
      </c>
      <c r="J172" s="8" t="str">
        <f>IF(AND(COUNTIF(Logs!J$100:J$112, "Road Block")&gt;0,COUNTIF(Logs!J$100:J$112, "Detour")=0), COUNTIF(Logs!J$100:J$112, "Road Block"), "")</f>
        <v/>
      </c>
      <c r="K172" s="8" t="str">
        <f>IF(AND(COUNTIF(Logs!K$100:K$112, "Road Block")&gt;0,COUNTIF(Logs!K$100:K$112, "Detour")=0), COUNTIF(Logs!K$100:K$112, "Road Block"), "")</f>
        <v/>
      </c>
      <c r="L172" s="8" t="str">
        <f>IF(AND(COUNTIF(Logs!L$100:L$112, "Road Block")&gt;0,COUNTIF(Logs!L$100:L$112, "Detour")=0), COUNTIF(Logs!L$100:L$112, "Road Block"), "")</f>
        <v/>
      </c>
      <c r="M172" s="8" t="str">
        <f>IF(AND(COUNTIF(Logs!M$100:M$112, "Road Block")&gt;0,COUNTIF(Logs!M$100:M$112, "Detour")=0), COUNTIF(Logs!M$100:M$112, "Road Block"), "")</f>
        <v/>
      </c>
      <c r="N172" s="8" t="str">
        <f>IF(AND(COUNTIF(Logs!N$100:N$112, "Road Block")&gt;0,COUNTIF(Logs!N$100:N$112, "Detour")=0), COUNTIF(Logs!N$100:N$112, "Road Block"), "")</f>
        <v/>
      </c>
      <c r="O172" s="8" t="str">
        <f>IF(AND(COUNTIF(Logs!O$100:O$112, "Road Block")&gt;0,COUNTIF(Logs!O$100:O$112, "Detour")=0), COUNTIF(Logs!O$100:O$112, "Road Block"), "")</f>
        <v/>
      </c>
    </row>
    <row r="173" spans="2:15" outlineLevel="1">
      <c r="B173" s="90" t="s">
        <v>132</v>
      </c>
      <c r="C173" s="8" t="str">
        <f>IF(AND(COUNTIF(Logs!C$120:C$129, "Road Block")&gt;0,COUNTIF(Logs!C$120:C$129, "Detour")=0), COUNTIF(Logs!C$120:C$129, "Road Block"), "")</f>
        <v/>
      </c>
      <c r="D173" s="8" t="str">
        <f>IF(AND(COUNTIF(Logs!D$120:D$129, "Road Block")&gt;0,COUNTIF(Logs!D$120:D$129, "Detour")=0), COUNTIF(Logs!D$120:D$129, "Road Block"), "")</f>
        <v/>
      </c>
      <c r="E173" s="8" t="str">
        <f>IF(AND(COUNTIF(Logs!E$120:E$129, "Road Block")&gt;0,COUNTIF(Logs!E$120:E$129, "Detour")=0), COUNTIF(Logs!E$120:E$129, "Road Block"), "")</f>
        <v/>
      </c>
      <c r="F173" s="8" t="str">
        <f>IF(AND(COUNTIF(Logs!F$120:F$129, "Road Block")&gt;0,COUNTIF(Logs!F$120:F$129, "Detour")=0), COUNTIF(Logs!F$120:F$129, "Road Block"), "")</f>
        <v/>
      </c>
      <c r="G173" s="8" t="str">
        <f>IF(AND(COUNTIF(Logs!G$120:G$129, "Road Block")&gt;0,COUNTIF(Logs!G$120:G$129, "Detour")=0), COUNTIF(Logs!G$120:G$129, "Road Block"), "")</f>
        <v/>
      </c>
      <c r="H173" s="8" t="str">
        <f>IF(AND(COUNTIF(Logs!H$120:H$129, "Road Block")&gt;0,COUNTIF(Logs!H$120:H$129, "Detour")=0), COUNTIF(Logs!H$120:H$129, "Road Block"), "")</f>
        <v/>
      </c>
      <c r="I173" s="8" t="str">
        <f>IF(AND(COUNTIF(Logs!I$120:I$129, "Road Block")&gt;0,COUNTIF(Logs!I$120:I$129, "Detour")=0), COUNTIF(Logs!I$120:I$129, "Road Block"), "")</f>
        <v/>
      </c>
      <c r="J173" s="8" t="str">
        <f>IF(AND(COUNTIF(Logs!J$120:J$129, "Road Block")&gt;0,COUNTIF(Logs!J$120:J$129, "Detour")=0), COUNTIF(Logs!J$120:J$129, "Road Block"), "")</f>
        <v/>
      </c>
      <c r="K173" s="8" t="str">
        <f>IF(AND(COUNTIF(Logs!K$120:K$129, "Road Block")&gt;0,COUNTIF(Logs!K$120:K$129, "Detour")=0), COUNTIF(Logs!K$120:K$129, "Road Block"), "")</f>
        <v/>
      </c>
      <c r="L173" s="8" t="str">
        <f>IF(AND(COUNTIF(Logs!L$120:L$129, "Road Block")&gt;0,COUNTIF(Logs!L$120:L$129, "Detour")=0), COUNTIF(Logs!L$120:L$129, "Road Block"), "")</f>
        <v/>
      </c>
      <c r="M173" s="8" t="str">
        <f>IF(AND(COUNTIF(Logs!M$120:M$129, "Road Block")&gt;0,COUNTIF(Logs!M$120:M$129, "Detour")=0), COUNTIF(Logs!M$120:M$129, "Road Block"), "")</f>
        <v/>
      </c>
      <c r="N173" s="8" t="str">
        <f>IF(AND(COUNTIF(Logs!N$120:N$129, "Road Block")&gt;0,COUNTIF(Logs!N$120:N$129, "Detour")=0), COUNTIF(Logs!N$120:N$129, "Road Block"), "")</f>
        <v/>
      </c>
      <c r="O173" s="8" t="str">
        <f>IF(AND(COUNTIF(Logs!O$120:O$129, "Road Block")&gt;0,COUNTIF(Logs!O$120:O$129, "Detour")=0), COUNTIF(Logs!O$120:O$129, "Road Block"), "")</f>
        <v/>
      </c>
    </row>
    <row r="174" spans="2:15" outlineLevel="1">
      <c r="B174" s="90" t="s">
        <v>133</v>
      </c>
      <c r="C174" s="8" t="str">
        <f>IF(AND(COUNTIF(Logs!C$139:C$150, "Road Block")&gt;0,COUNTIF(Logs!C$139:C$150, "Detour")=0), COUNTIF(Logs!C$139:C$150, "Road Block"), "")</f>
        <v/>
      </c>
      <c r="D174" s="8" t="str">
        <f>IF(AND(COUNTIF(Logs!D$139:D$150, "Road Block")&gt;0,COUNTIF(Logs!D$139:D$150, "Detour")=0), COUNTIF(Logs!D$139:D$150, "Road Block"), "")</f>
        <v/>
      </c>
      <c r="E174" s="8" t="str">
        <f>IF(AND(COUNTIF(Logs!E$139:E$150, "Road Block")&gt;0,COUNTIF(Logs!E$139:E$150, "Detour")=0), COUNTIF(Logs!E$139:E$150, "Road Block"), "")</f>
        <v/>
      </c>
      <c r="F174" s="8" t="str">
        <f>IF(AND(COUNTIF(Logs!F$139:F$150, "Road Block")&gt;0,COUNTIF(Logs!F$139:F$150, "Detour")=0), COUNTIF(Logs!F$139:F$150, "Road Block"), "")</f>
        <v/>
      </c>
      <c r="G174" s="8" t="str">
        <f>IF(AND(COUNTIF(Logs!G$139:G$150, "Road Block")&gt;0,COUNTIF(Logs!G$139:G$150, "Detour")=0), COUNTIF(Logs!G$139:G$150, "Road Block"), "")</f>
        <v/>
      </c>
      <c r="H174" s="8" t="str">
        <f>IF(AND(COUNTIF(Logs!H$139:H$150, "Road Block")&gt;0,COUNTIF(Logs!H$139:H$150, "Detour")=0), COUNTIF(Logs!H$139:H$150, "Road Block"), "")</f>
        <v/>
      </c>
      <c r="I174" s="8" t="str">
        <f>IF(AND(COUNTIF(Logs!I$139:I$150, "Road Block")&gt;0,COUNTIF(Logs!I$139:I$150, "Detour")=0), COUNTIF(Logs!I$139:I$150, "Road Block"), "")</f>
        <v/>
      </c>
      <c r="J174" s="8" t="str">
        <f>IF(AND(COUNTIF(Logs!J$139:J$150, "Road Block")&gt;0,COUNTIF(Logs!J$139:J$150, "Detour")=0), COUNTIF(Logs!J$139:J$150, "Road Block"), "")</f>
        <v/>
      </c>
      <c r="K174" s="8" t="str">
        <f>IF(AND(COUNTIF(Logs!K$139:K$150, "Road Block")&gt;0,COUNTIF(Logs!K$139:K$150, "Detour")=0), COUNTIF(Logs!K$139:K$150, "Road Block"), "")</f>
        <v/>
      </c>
      <c r="L174" s="8" t="str">
        <f>IF(AND(COUNTIF(Logs!L$139:L$150, "Road Block")&gt;0,COUNTIF(Logs!L$139:L$150, "Detour")=0), COUNTIF(Logs!L$139:L$150, "Road Block"), "")</f>
        <v/>
      </c>
      <c r="M174" s="8" t="str">
        <f>IF(AND(COUNTIF(Logs!M$139:M$150, "Road Block")&gt;0,COUNTIF(Logs!M$139:M$150, "Detour")=0), COUNTIF(Logs!M$139:M$150, "Road Block"), "")</f>
        <v/>
      </c>
      <c r="N174" s="8" t="str">
        <f>IF(AND(COUNTIF(Logs!N$139:N$150, "Road Block")&gt;0,COUNTIF(Logs!N$139:N$150, "Detour")=0), COUNTIF(Logs!N$139:N$150, "Road Block"), "")</f>
        <v/>
      </c>
      <c r="O174" s="8" t="str">
        <f>IF(AND(COUNTIF(Logs!O$139:O$150, "Road Block")&gt;0,COUNTIF(Logs!O$139:O$150, "Detour")=0), COUNTIF(Logs!O$139:O$150, "Road Block"), "")</f>
        <v/>
      </c>
    </row>
    <row r="175" spans="2:15">
      <c r="B175" s="90" t="s">
        <v>134</v>
      </c>
      <c r="C175" s="8" t="str">
        <f>IF(AND(COUNTIF(Logs!C$159:C$168, "Road Block")&gt;0,COUNTIF(Logs!C$159:C$168, "Detour")=0), COUNTIF(Logs!C$159:C$168, "Road Block"), "")</f>
        <v/>
      </c>
      <c r="D175" s="8" t="str">
        <f>IF(AND(COUNTIF(Logs!D$159:D$168, "Road Block")&gt;0,COUNTIF(Logs!D$159:D$168, "Detour")=0), COUNTIF(Logs!D$159:D$168, "Road Block"), "")</f>
        <v/>
      </c>
      <c r="E175" s="8" t="str">
        <f>IF(AND(COUNTIF(Logs!E$159:E$168, "Road Block")&gt;0,COUNTIF(Logs!E$159:E$168, "Detour")=0), COUNTIF(Logs!E$159:E$168, "Road Block"), "")</f>
        <v/>
      </c>
      <c r="F175" s="8" t="str">
        <f>IF(AND(COUNTIF(Logs!F$159:F$168, "Road Block")&gt;0,COUNTIF(Logs!F$159:F$168, "Detour")=0), COUNTIF(Logs!F$159:F$168, "Road Block"), "")</f>
        <v/>
      </c>
      <c r="G175" s="8" t="str">
        <f>IF(AND(COUNTIF(Logs!G$159:G$168, "Road Block")&gt;0,COUNTIF(Logs!G$159:G$168, "Detour")=0), COUNTIF(Logs!G$159:G$168, "Road Block"), "")</f>
        <v/>
      </c>
      <c r="H175" s="8" t="str">
        <f>IF(AND(COUNTIF(Logs!H$159:H$168, "Road Block")&gt;0,COUNTIF(Logs!H$159:H$168, "Detour")=0), COUNTIF(Logs!H$159:H$168, "Road Block"), "")</f>
        <v/>
      </c>
      <c r="I175" s="8" t="str">
        <f>IF(AND(COUNTIF(Logs!I$159:I$168, "Road Block")&gt;0,COUNTIF(Logs!I$159:I$168, "Detour")=0), COUNTIF(Logs!I$159:I$168, "Road Block"), "")</f>
        <v/>
      </c>
      <c r="J175" s="8" t="str">
        <f>IF(AND(COUNTIF(Logs!J$159:J$168, "Road Block")&gt;0,COUNTIF(Logs!J$159:J$168, "Detour")=0), COUNTIF(Logs!J$159:J$168, "Road Block"), "")</f>
        <v/>
      </c>
      <c r="K175" s="8" t="str">
        <f>IF(AND(COUNTIF(Logs!K$159:K$168, "Road Block")&gt;0,COUNTIF(Logs!K$159:K$168, "Detour")=0), COUNTIF(Logs!K$159:K$168, "Road Block"), "")</f>
        <v/>
      </c>
      <c r="L175" s="8" t="str">
        <f>IF(AND(COUNTIF(Logs!L$159:L$168, "Road Block")&gt;0,COUNTIF(Logs!L$159:L$168, "Detour")=0), COUNTIF(Logs!L$159:L$168, "Road Block"), "")</f>
        <v/>
      </c>
      <c r="M175" s="8" t="str">
        <f>IF(AND(COUNTIF(Logs!M$159:M$168, "Road Block")&gt;0,COUNTIF(Logs!M$159:M$168, "Detour")=0), COUNTIF(Logs!M$159:M$168, "Road Block"), "")</f>
        <v/>
      </c>
      <c r="N175" s="8" t="str">
        <f>IF(AND(COUNTIF(Logs!N$159:N$168, "Road Block")&gt;0,COUNTIF(Logs!N$159:N$168, "Detour")=0), COUNTIF(Logs!N$159:N$168, "Road Block"), "")</f>
        <v/>
      </c>
      <c r="O175" s="8" t="str">
        <f>IF(AND(COUNTIF(Logs!O$159:O$168, "Road Block")&gt;0,COUNTIF(Logs!O$159:O$168, "Detour")=0), COUNTIF(Logs!O$159:O$168, "Road Block"), "")</f>
        <v/>
      </c>
    </row>
    <row r="176" spans="2:15">
      <c r="B176" s="90" t="s">
        <v>135</v>
      </c>
      <c r="C176" s="8" t="str">
        <f>IF(AND(COUNTIF(Logs!C$177:C$189, "Road Block")&gt;0,COUNTIF(Logs!C$177:C$189, "Detour")=0), COUNTIF(Logs!C$177:C$189, "Road Block"), "")</f>
        <v/>
      </c>
      <c r="D176" s="8" t="str">
        <f>IF(AND(COUNTIF(Logs!D$177:D$189, "Road Block")&gt;0,COUNTIF(Logs!D$177:D$189, "Detour")=0), COUNTIF(Logs!D$177:D$189, "Road Block"), "")</f>
        <v/>
      </c>
      <c r="E176" s="8" t="str">
        <f>IF(AND(COUNTIF(Logs!E$177:E$189, "Road Block")&gt;0,COUNTIF(Logs!E$177:E$189, "Detour")=0), COUNTIF(Logs!E$177:E$189, "Road Block"), "")</f>
        <v/>
      </c>
      <c r="F176" s="8" t="str">
        <f>IF(AND(COUNTIF(Logs!F$177:F$189, "Road Block")&gt;0,COUNTIF(Logs!F$177:F$189, "Detour")=0), COUNTIF(Logs!F$177:F$189, "Road Block"), "")</f>
        <v/>
      </c>
      <c r="G176" s="8" t="str">
        <f>IF(AND(COUNTIF(Logs!G$177:G$189, "Road Block")&gt;0,COUNTIF(Logs!G$177:G$189, "Detour")=0), COUNTIF(Logs!G$177:G$189, "Road Block"), "")</f>
        <v/>
      </c>
      <c r="H176" s="8" t="str">
        <f>IF(AND(COUNTIF(Logs!H$177:H$189, "Road Block")&gt;0,COUNTIF(Logs!H$177:H$189, "Detour")=0), COUNTIF(Logs!H$177:H$189, "Road Block"), "")</f>
        <v/>
      </c>
      <c r="I176" s="8" t="str">
        <f>IF(AND(COUNTIF(Logs!I$177:I$189, "Road Block")&gt;0,COUNTIF(Logs!I$177:I$189, "Detour")=0), COUNTIF(Logs!I$177:I$189, "Road Block"), "")</f>
        <v/>
      </c>
      <c r="J176" s="8" t="str">
        <f>IF(AND(COUNTIF(Logs!J$177:J$189, "Road Block")&gt;0,COUNTIF(Logs!J$177:J$189, "Detour")=0), COUNTIF(Logs!J$177:J$189, "Road Block"), "")</f>
        <v/>
      </c>
      <c r="K176" s="8" t="str">
        <f>IF(AND(COUNTIF(Logs!K$177:K$189, "Road Block")&gt;0,COUNTIF(Logs!K$177:K$189, "Detour")=0), COUNTIF(Logs!K$177:K$189, "Road Block"), "")</f>
        <v/>
      </c>
      <c r="L176" s="8" t="str">
        <f>IF(AND(COUNTIF(Logs!L$177:L$189, "Road Block")&gt;0,COUNTIF(Logs!L$177:L$189, "Detour")=0), COUNTIF(Logs!L$177:L$189, "Road Block"), "")</f>
        <v/>
      </c>
      <c r="M176" s="8" t="str">
        <f>IF(AND(COUNTIF(Logs!M$177:M$189, "Road Block")&gt;0,COUNTIF(Logs!M$177:M$189, "Detour")=0), COUNTIF(Logs!M$177:M$189, "Road Block"), "")</f>
        <v/>
      </c>
      <c r="N176" s="8" t="str">
        <f>IF(AND(COUNTIF(Logs!N$177:N$189, "Road Block")&gt;0,COUNTIF(Logs!N$177:N$189, "Detour")=0), COUNTIF(Logs!N$177:N$189, "Road Block"), "")</f>
        <v/>
      </c>
      <c r="O176" s="8" t="str">
        <f>IF(AND(COUNTIF(Logs!O$177:O$189, "Road Block")&gt;0,COUNTIF(Logs!O$177:O$189, "Detour")=0), COUNTIF(Logs!O$177:O$189, "Road Block"), "")</f>
        <v/>
      </c>
    </row>
    <row r="177" spans="2:15">
      <c r="B177" s="90" t="s">
        <v>136</v>
      </c>
      <c r="C177" s="8" t="str">
        <f>IF(AND(COUNTIF(Logs!C$198:C$207, "Road Block")&gt;0,COUNTIF(Logs!C$198:C$207, "Detour")=0), COUNTIF(Logs!C$198:C$207, "Road Block"), "")</f>
        <v/>
      </c>
      <c r="D177" s="8" t="str">
        <f>IF(AND(COUNTIF(Logs!D$198:D$207, "Road Block")&gt;0,COUNTIF(Logs!D$198:D$207, "Detour")=0), COUNTIF(Logs!D$198:D$207, "Road Block"), "")</f>
        <v/>
      </c>
      <c r="E177" s="8" t="str">
        <f>IF(AND(COUNTIF(Logs!E$198:E$207, "Road Block")&gt;0,COUNTIF(Logs!E$198:E$207, "Detour")=0), COUNTIF(Logs!E$198:E$207, "Road Block"), "")</f>
        <v/>
      </c>
      <c r="F177" s="8" t="str">
        <f>IF(AND(COUNTIF(Logs!F$198:F$207, "Road Block")&gt;0,COUNTIF(Logs!F$198:F$207, "Detour")=0), COUNTIF(Logs!F$198:F$207, "Road Block"), "")</f>
        <v/>
      </c>
      <c r="G177" s="8" t="str">
        <f>IF(AND(COUNTIF(Logs!G$198:G$207, "Road Block")&gt;0,COUNTIF(Logs!G$198:G$207, "Detour")=0), COUNTIF(Logs!G$198:G$207, "Road Block"), "")</f>
        <v/>
      </c>
      <c r="H177" s="8" t="str">
        <f>IF(AND(COUNTIF(Logs!H$198:H$207, "Road Block")&gt;0,COUNTIF(Logs!H$198:H$207, "Detour")=0), COUNTIF(Logs!H$198:H$207, "Road Block"), "")</f>
        <v/>
      </c>
      <c r="I177" s="8" t="str">
        <f>IF(AND(COUNTIF(Logs!I$198:I$207, "Road Block")&gt;0,COUNTIF(Logs!I$198:I$207, "Detour")=0), COUNTIF(Logs!I$198:I$207, "Road Block"), "")</f>
        <v/>
      </c>
      <c r="J177" s="8" t="str">
        <f>IF(AND(COUNTIF(Logs!J$198:J$207, "Road Block")&gt;0,COUNTIF(Logs!J$198:J$207, "Detour")=0), COUNTIF(Logs!J$198:J$207, "Road Block"), "")</f>
        <v/>
      </c>
      <c r="K177" s="8" t="str">
        <f>IF(AND(COUNTIF(Logs!K$198:K$207, "Road Block")&gt;0,COUNTIF(Logs!K$198:K$207, "Detour")=0), COUNTIF(Logs!K$198:K$207, "Road Block"), "")</f>
        <v/>
      </c>
      <c r="L177" s="8" t="str">
        <f>IF(AND(COUNTIF(Logs!L$198:L$207, "Road Block")&gt;0,COUNTIF(Logs!L$198:L$207, "Detour")=0), COUNTIF(Logs!L$198:L$207, "Road Block"), "")</f>
        <v/>
      </c>
      <c r="M177" s="8" t="str">
        <f>IF(AND(COUNTIF(Logs!M$198:M$207, "Road Block")&gt;0,COUNTIF(Logs!M$198:M$207, "Detour")=0), COUNTIF(Logs!M$198:M$207, "Road Block"), "")</f>
        <v/>
      </c>
      <c r="N177" s="8" t="str">
        <f>IF(AND(COUNTIF(Logs!N$198:N$207, "Road Block")&gt;0,COUNTIF(Logs!N$198:N$207, "Detour")=0), COUNTIF(Logs!N$198:N$207, "Road Block"), "")</f>
        <v/>
      </c>
      <c r="O177" s="8" t="str">
        <f>IF(AND(COUNTIF(Logs!O$198:O$207, "Road Block")&gt;0,COUNTIF(Logs!O$198:O$207, "Detour")=0), COUNTIF(Logs!O$198:O$207, "Road Block"), "")</f>
        <v/>
      </c>
    </row>
    <row r="178" spans="2:15">
      <c r="B178" s="90" t="s">
        <v>137</v>
      </c>
      <c r="C178" s="8">
        <f>IF(AND(COUNTIF(Logs!C$215:C$224, "Road Block")&gt;0,COUNTIF(Logs!C$215:C$224, "Detour")=0), COUNTIF(Logs!C$215:C$224, "Road Block"), "")</f>
        <v>1</v>
      </c>
      <c r="D178" s="8" t="str">
        <f>IF(AND(COUNTIF(Logs!D$215:D$224, "Road Block")&gt;0,COUNTIF(Logs!D$215:D$224, "Detour")=0), COUNTIF(Logs!D$215:D$224, "Road Block"), "")</f>
        <v/>
      </c>
      <c r="E178" s="8" t="str">
        <f>IF(AND(COUNTIF(Logs!E$215:E$224, "Road Block")&gt;0,COUNTIF(Logs!E$215:E$224, "Detour")=0), COUNTIF(Logs!E$215:E$224, "Road Block"), "")</f>
        <v/>
      </c>
      <c r="F178" s="8" t="str">
        <f>IF(AND(COUNTIF(Logs!F$215:F$224, "Road Block")&gt;0,COUNTIF(Logs!F$215:F$224, "Detour")=0), COUNTIF(Logs!F$215:F$224, "Road Block"), "")</f>
        <v/>
      </c>
      <c r="G178" s="8" t="str">
        <f>IF(AND(COUNTIF(Logs!G$215:G$224, "Road Block")&gt;0,COUNTIF(Logs!G$215:G$224, "Detour")=0), COUNTIF(Logs!G$215:G$224, "Road Block"), "")</f>
        <v/>
      </c>
      <c r="H178" s="8" t="str">
        <f>IF(AND(COUNTIF(Logs!H$215:H$224, "Road Block")&gt;0,COUNTIF(Logs!H$215:H$224, "Detour")=0), COUNTIF(Logs!H$215:H$224, "Road Block"), "")</f>
        <v/>
      </c>
      <c r="I178" s="8" t="str">
        <f>IF(AND(COUNTIF(Logs!I$215:I$224, "Road Block")&gt;0,COUNTIF(Logs!I$215:I$224, "Detour")=0), COUNTIF(Logs!I$215:I$224, "Road Block"), "")</f>
        <v/>
      </c>
      <c r="J178" s="8" t="str">
        <f>IF(AND(COUNTIF(Logs!J$215:J$224, "Road Block")&gt;0,COUNTIF(Logs!J$215:J$224, "Detour")=0), COUNTIF(Logs!J$215:J$224, "Road Block"), "")</f>
        <v/>
      </c>
      <c r="K178" s="8" t="str">
        <f>IF(AND(COUNTIF(Logs!K$215:K$224, "Road Block")&gt;0,COUNTIF(Logs!K$215:K$224, "Detour")=0), COUNTIF(Logs!K$215:K$224, "Road Block"), "")</f>
        <v/>
      </c>
      <c r="L178" s="8" t="str">
        <f>IF(AND(COUNTIF(Logs!L$215:L$224, "Road Block")&gt;0,COUNTIF(Logs!L$215:L$224, "Detour")=0), COUNTIF(Logs!L$215:L$224, "Road Block"), "")</f>
        <v/>
      </c>
      <c r="M178" s="8" t="str">
        <f>IF(AND(COUNTIF(Logs!M$215:M$224, "Road Block")&gt;0,COUNTIF(Logs!M$215:M$224, "Detour")=0), COUNTIF(Logs!M$215:M$224, "Road Block"), "")</f>
        <v/>
      </c>
      <c r="N178" s="8" t="str">
        <f>IF(AND(COUNTIF(Logs!N$215:N$224, "Road Block")&gt;0,COUNTIF(Logs!N$215:N$224, "Detour")=0), COUNTIF(Logs!N$215:N$224, "Road Block"), "")</f>
        <v/>
      </c>
      <c r="O178" s="8" t="str">
        <f>IF(AND(COUNTIF(Logs!O$215:O$224, "Road Block")&gt;0,COUNTIF(Logs!O$215:O$224, "Detour")=0), COUNTIF(Logs!O$215:O$224, "Road Block"), "")</f>
        <v/>
      </c>
    </row>
    <row r="179" spans="2:15" outlineLevel="1">
      <c r="B179" s="90" t="s">
        <v>138</v>
      </c>
      <c r="C179" s="8" t="str">
        <f>IF(AND(COUNTIF(Logs!C$233:C$242, "Road Block")&gt;0,COUNTIF(Logs!C$233:C$242, "Detour")=0), COUNTIF(Logs!C$233:C$242, "Road Block"),"")</f>
        <v/>
      </c>
      <c r="D179" s="8" t="str">
        <f>IF(AND(COUNTIF(Logs!D$233:D$242, "Road Block")&gt;0,COUNTIF(Logs!D$233:D$242, "Detour")=0), COUNTIF(Logs!D$233:D$242, "Road Block"),"")</f>
        <v/>
      </c>
      <c r="E179" s="8" t="str">
        <f>IF(AND(COUNTIF(Logs!E$233:E$242, "Road Block")&gt;0,COUNTIF(Logs!E$233:E$242, "Detour")=0), COUNTIF(Logs!E$233:E$242, "Road Block"),"")</f>
        <v/>
      </c>
      <c r="F179" s="8" t="str">
        <f>IF(AND(COUNTIF(Logs!F$233:F$242, "Road Block")&gt;0,COUNTIF(Logs!F$233:F$242, "Detour")=0), COUNTIF(Logs!F$233:F$242, "Road Block"),"")</f>
        <v/>
      </c>
      <c r="G179" s="8" t="str">
        <f>IF(AND(COUNTIF(Logs!G$233:G$242, "Road Block")&gt;0,COUNTIF(Logs!G$233:G$242, "Detour")=0), COUNTIF(Logs!G$233:G$242, "Road Block"),"")</f>
        <v/>
      </c>
      <c r="H179" s="8" t="str">
        <f>IF(AND(COUNTIF(Logs!H$233:H$242, "Road Block")&gt;0,COUNTIF(Logs!H$233:H$242, "Detour")=0), COUNTIF(Logs!H$233:H$242, "Road Block"),"")</f>
        <v/>
      </c>
      <c r="I179" s="8" t="str">
        <f>IF(AND(COUNTIF(Logs!I$233:I$242, "Road Block")&gt;0,COUNTIF(Logs!I$233:I$242, "Detour")=0), COUNTIF(Logs!I$233:I$242, "Road Block"),"")</f>
        <v/>
      </c>
      <c r="J179" s="8" t="str">
        <f>IF(AND(COUNTIF(Logs!J$233:J$242, "Road Block")&gt;0,COUNTIF(Logs!J$233:J$242, "Detour")=0), COUNTIF(Logs!J$233:J$242, "Road Block"),"")</f>
        <v/>
      </c>
      <c r="K179" s="8" t="str">
        <f>IF(AND(COUNTIF(Logs!K$233:K$242, "Road Block")&gt;0,COUNTIF(Logs!K$233:K$242, "Detour")=0), COUNTIF(Logs!K$233:K$242, "Road Block"),"")</f>
        <v/>
      </c>
      <c r="L179" s="8" t="str">
        <f>IF(AND(COUNTIF(Logs!L$233:L$242, "Road Block")&gt;0,COUNTIF(Logs!L$233:L$242, "Detour")=0), COUNTIF(Logs!L$233:L$242, "Road Block"),"")</f>
        <v/>
      </c>
      <c r="M179" s="8" t="str">
        <f>IF(AND(COUNTIF(Logs!M$233:M$242, "Road Block")&gt;0,COUNTIF(Logs!M$233:M$242, "Detour")=0), COUNTIF(Logs!M$233:M$242, "Road Block"),"")</f>
        <v/>
      </c>
      <c r="N179" s="8" t="str">
        <f>IF(AND(COUNTIF(Logs!N$233:N$242, "Road Block")&gt;0,COUNTIF(Logs!N$233:N$242, "Detour")=0), COUNTIF(Logs!N$233:N$242, "Road Block"),"")</f>
        <v/>
      </c>
      <c r="O179" s="8" t="str">
        <f>IF(AND(COUNTIF(Logs!O$233:O$242, "Road Block")&gt;0,COUNTIF(Logs!O$233:O$242, "Detour")=0), COUNTIF(Logs!O$233:O$242, "Road Block"),"")</f>
        <v/>
      </c>
    </row>
    <row r="180" spans="2:15" outlineLevel="1">
      <c r="B180" s="90" t="s">
        <v>139</v>
      </c>
      <c r="C180" s="8">
        <f>IF(AND(COUNTIF(Logs!C$250:C$259, "Road Block")&gt;0,COUNTIF(Logs!C$250:C$259, "Detour")=0), COUNTIF(Logs!C$250:C$259,"Road Block"), "")</f>
        <v>1</v>
      </c>
      <c r="D180" s="8" t="str">
        <f>IF(AND(COUNTIF(Logs!D$250:D$259, "Road Block")&gt;0,COUNTIF(Logs!D$250:D$259, "Detour")=0), COUNTIF(Logs!D$250:D$259,"Road Block"), "")</f>
        <v/>
      </c>
      <c r="E180" s="8" t="str">
        <f>IF(AND(COUNTIF(Logs!E$250:E$259, "Road Block")&gt;0,COUNTIF(Logs!E$250:E$259, "Detour")=0), COUNTIF(Logs!E$250:E$259,"Road Block"), "")</f>
        <v/>
      </c>
      <c r="F180" s="8" t="str">
        <f>IF(AND(COUNTIF(Logs!F$250:F$259, "Road Block")&gt;0,COUNTIF(Logs!F$250:F$259, "Detour")=0), COUNTIF(Logs!F$250:F$259,"Road Block"), "")</f>
        <v/>
      </c>
      <c r="G180" s="8" t="str">
        <f>IF(AND(COUNTIF(Logs!G$250:G$259, "Road Block")&gt;0,COUNTIF(Logs!G$250:G$259, "Detour")=0), COUNTIF(Logs!G$250:G$259,"Road Block"), "")</f>
        <v/>
      </c>
      <c r="H180" s="8" t="str">
        <f>IF(AND(COUNTIF(Logs!H$250:H$259, "Road Block")&gt;0,COUNTIF(Logs!H$250:H$259, "Detour")=0), COUNTIF(Logs!H$250:H$259,"Road Block"), "")</f>
        <v/>
      </c>
      <c r="I180" s="8" t="str">
        <f>IF(AND(COUNTIF(Logs!I$250:I$259, "Road Block")&gt;0,COUNTIF(Logs!I$250:I$259, "Detour")=0), COUNTIF(Logs!I$250:I$259,"Road Block"), "")</f>
        <v/>
      </c>
      <c r="J180" s="8" t="str">
        <f>IF(AND(COUNTIF(Logs!J$250:J$259, "Road Block")&gt;0,COUNTIF(Logs!J$250:J$259, "Detour")=0), COUNTIF(Logs!J$250:J$259,"Road Block"), "")</f>
        <v/>
      </c>
      <c r="K180" s="8" t="str">
        <f>IF(AND(COUNTIF(Logs!K$250:K$259, "Road Block")&gt;0,COUNTIF(Logs!K$250:K$259, "Detour")=0), COUNTIF(Logs!K$250:K$259,"Road Block"), "")</f>
        <v/>
      </c>
      <c r="L180" s="8" t="str">
        <f>IF(AND(COUNTIF(Logs!L$250:L$259, "Road Block")&gt;0,COUNTIF(Logs!L$250:L$259, "Detour")=0), COUNTIF(Logs!L$250:L$259,"Road Block"), "")</f>
        <v/>
      </c>
      <c r="M180" s="8" t="str">
        <f>IF(AND(COUNTIF(Logs!M$250:M$259, "Road Block")&gt;0,COUNTIF(Logs!M$250:M$259, "Detour")=0), COUNTIF(Logs!M$250:M$259,"Road Block"), "")</f>
        <v/>
      </c>
      <c r="N180" s="8">
        <f>IF(AND(COUNTIF(Logs!N$250:N$259, "Road Block")&gt;0,COUNTIF(Logs!N$250:N$259, "Detour")=0), COUNTIF(Logs!N$250:N$259,"Road Block"), "")</f>
        <v>1</v>
      </c>
      <c r="O180" s="8" t="str">
        <f>IF(AND(COUNTIF(Logs!O$250:O$259, "Road Block")&gt;0,COUNTIF(Logs!O$250:O$259, "Detour")=0), COUNTIF(Logs!O$250:O$259,"Road Block"), "")</f>
        <v/>
      </c>
    </row>
    <row r="181" spans="2:15" outlineLevel="1">
      <c r="B181" s="90" t="s">
        <v>140</v>
      </c>
      <c r="C181" s="8">
        <f>IF(AND(COUNTIF(Logs!C$267:C$276, "Road Block")&gt;0,COUNTIF(Logs!C$267:C$276, "Detour")=0), COUNTIF(Logs!C$267:C$276, "Road Block"), "")</f>
        <v>1</v>
      </c>
      <c r="D181" s="8">
        <f>IF(AND(COUNTIF(Logs!D$267:D$276, "Road Block")&gt;0,COUNTIF(Logs!D$267:D$276, "Detour")=0), COUNTIF(Logs!D$267:D$276, "Road Block"), "")</f>
        <v>1</v>
      </c>
      <c r="E181" s="8" t="str">
        <f>IF(AND(COUNTIF(Logs!E$267:E$276, "Road Block")&gt;0,COUNTIF(Logs!E$267:E$276, "Detour")=0), COUNTIF(Logs!E$267:E$276, "Road Block"), "")</f>
        <v/>
      </c>
      <c r="F181" s="8" t="str">
        <f>IF(AND(COUNTIF(Logs!F$267:F$276, "Road Block")&gt;0,COUNTIF(Logs!F$267:F$276, "Detour")=0), COUNTIF(Logs!F$267:F$276, "Road Block"), "")</f>
        <v/>
      </c>
      <c r="G181" s="8" t="str">
        <f>IF(AND(COUNTIF(Logs!G$267:G$276, "Road Block")&gt;0,COUNTIF(Logs!G$267:G$276, "Detour")=0), COUNTIF(Logs!G$267:G$276, "Road Block"), "")</f>
        <v/>
      </c>
      <c r="H181" s="8" t="str">
        <f>IF(AND(COUNTIF(Logs!H$267:H$276, "Road Block")&gt;0,COUNTIF(Logs!H$267:H$276, "Detour")=0), COUNTIF(Logs!H$267:H$276, "Road Block"), "")</f>
        <v/>
      </c>
      <c r="I181" s="8" t="str">
        <f>IF(AND(COUNTIF(Logs!I$267:I$276, "Road Block")&gt;0,COUNTIF(Logs!I$267:I$276, "Detour")=0), COUNTIF(Logs!I$267:I$276, "Road Block"), "")</f>
        <v/>
      </c>
      <c r="J181" s="8" t="str">
        <f>IF(AND(COUNTIF(Logs!J$267:J$276, "Road Block")&gt;0,COUNTIF(Logs!J$267:J$276, "Detour")=0), COUNTIF(Logs!J$267:J$276, "Road Block"), "")</f>
        <v/>
      </c>
      <c r="K181" s="8" t="str">
        <f>IF(AND(COUNTIF(Logs!K$267:K$276, "Road Block")&gt;0,COUNTIF(Logs!K$267:K$276, "Detour")=0), COUNTIF(Logs!K$267:K$276, "Road Block"), "")</f>
        <v/>
      </c>
      <c r="L181" s="8" t="str">
        <f>IF(AND(COUNTIF(Logs!L$267:L$276, "Road Block")&gt;0,COUNTIF(Logs!L$267:L$276, "Detour")=0), COUNTIF(Logs!L$267:L$276, "Road Block"), "")</f>
        <v/>
      </c>
      <c r="M181" s="8" t="str">
        <f>IF(AND(COUNTIF(Logs!M$267:M$276, "Road Block")&gt;0,COUNTIF(Logs!M$267:M$276, "Detour")=0), COUNTIF(Logs!M$267:M$276, "Road Block"), "")</f>
        <v/>
      </c>
      <c r="N181" s="8">
        <f>IF(AND(COUNTIF(Logs!N$267:N$276, "Road Block")&gt;0,COUNTIF(Logs!N$267:N$276, "Detour")=0), COUNTIF(Logs!N$267:N$276, "Road Block"), "")</f>
        <v>1</v>
      </c>
      <c r="O181" s="8" t="str">
        <f>IF(AND(COUNTIF(Logs!O$267:O$276, "Road Block")&gt;0,COUNTIF(Logs!O$267:O$276, "Detour")=0), COUNTIF(Logs!O$267:O$276, "Road Block"), "")</f>
        <v/>
      </c>
    </row>
    <row r="182" spans="2:15" outlineLevel="1">
      <c r="B182" s="90" t="s">
        <v>141</v>
      </c>
      <c r="C182" s="8">
        <f>IF(AND(COUNTIF(Logs!C$285:C$294, "Road Block")&gt;0,COUNTIF(Logs!C$285:C$294, "Detour")=0), COUNTIF(Logs!C$285:C$294, "Road Block"), "")</f>
        <v>1</v>
      </c>
      <c r="D182" s="8" t="str">
        <f>IF(AND(COUNTIF(Logs!D$285:D$294, "Road Block")&gt;0,COUNTIF(Logs!D$285:D$294, "Detour")=0), COUNTIF(Logs!D$285:D$294, "Road Block"), "")</f>
        <v/>
      </c>
      <c r="E182" s="8" t="str">
        <f>IF(AND(COUNTIF(Logs!E$285:E$294, "Road Block")&gt;0,COUNTIF(Logs!E$285:E$294, "Detour")=0), COUNTIF(Logs!E$285:E$294, "Road Block"), "")</f>
        <v/>
      </c>
      <c r="F182" s="8" t="str">
        <f>IF(AND(COUNTIF(Logs!F$285:F$294, "Road Block")&gt;0,COUNTIF(Logs!F$285:F$294, "Detour")=0), COUNTIF(Logs!F$285:F$294, "Road Block"), "")</f>
        <v/>
      </c>
      <c r="G182" s="8" t="str">
        <f>IF(AND(COUNTIF(Logs!G$285:G$294, "Road Block")&gt;0,COUNTIF(Logs!G$285:G$294, "Detour")=0), COUNTIF(Logs!G$285:G$294, "Road Block"), "")</f>
        <v/>
      </c>
      <c r="H182" s="8" t="str">
        <f>IF(AND(COUNTIF(Logs!H$285:H$294, "Road Block")&gt;0,COUNTIF(Logs!H$285:H$294, "Detour")=0), COUNTIF(Logs!H$285:H$294, "Road Block"), "")</f>
        <v/>
      </c>
      <c r="I182" s="8" t="str">
        <f>IF(AND(COUNTIF(Logs!I$285:I$294, "Road Block")&gt;0,COUNTIF(Logs!I$285:I$294, "Detour")=0), COUNTIF(Logs!I$285:I$294, "Road Block"), "")</f>
        <v/>
      </c>
      <c r="J182" s="8" t="str">
        <f>IF(AND(COUNTIF(Logs!J$285:J$294, "Road Block")&gt;0,COUNTIF(Logs!J$285:J$294, "Detour")=0), COUNTIF(Logs!J$285:J$294, "Road Block"), "")</f>
        <v/>
      </c>
      <c r="K182" s="8" t="str">
        <f>IF(AND(COUNTIF(Logs!K$285:K$294, "Road Block")&gt;0,COUNTIF(Logs!K$285:K$294, "Detour")=0), COUNTIF(Logs!K$285:K$294, "Road Block"), "")</f>
        <v/>
      </c>
      <c r="L182" s="8">
        <f>IF(AND(COUNTIF(Logs!L$285:L$294, "Road Block")&gt;0,COUNTIF(Logs!L$285:L$294, "Detour")=0), COUNTIF(Logs!L$285:L$294, "Road Block"), "")</f>
        <v>2</v>
      </c>
      <c r="M182" s="8" t="str">
        <f>IF(AND(COUNTIF(Logs!M$285:M$294, "Road Block")&gt;0,COUNTIF(Logs!M$285:M$294, "Detour")=0), COUNTIF(Logs!M$285:M$294, "Road Block"), "")</f>
        <v/>
      </c>
      <c r="N182" s="8">
        <f>IF(AND(COUNTIF(Logs!N$285:N$294, "Road Block")&gt;0,COUNTIF(Logs!N$285:N$294, "Detour")=0), COUNTIF(Logs!N$285:N$294, "Road Block"), "")</f>
        <v>1</v>
      </c>
      <c r="O182" s="8" t="str">
        <f>IF(AND(COUNTIF(Logs!O$285:O$294, "Road Block")&gt;0,COUNTIF(Logs!O$285:O$294, "Detour")=0), COUNTIF(Logs!O$285:O$294, "Road Block"), "")</f>
        <v/>
      </c>
    </row>
    <row r="183" spans="2:15" outlineLevel="1">
      <c r="B183" s="90" t="s">
        <v>142</v>
      </c>
      <c r="C183" s="8">
        <f>IF(AND(COUNTIF(Logs!C$302:C$311, "Road Block")&gt;0,COUNTIF(Logs!C$302:C$311, "Detour")=0), COUNTIF(Logs!C$302:C$311, "Road Block"), "")</f>
        <v>1</v>
      </c>
      <c r="D183" s="8" t="str">
        <f>IF(AND(COUNTIF(Logs!D$302:D$311, "Road Block")&gt;0,COUNTIF(Logs!D$302:D$311, "Detour")=0), COUNTIF(Logs!D$302:D$311, "Road Block"), "")</f>
        <v/>
      </c>
      <c r="E183" s="8" t="str">
        <f>IF(AND(COUNTIF(Logs!E$302:E$311, "Road Block")&gt;0,COUNTIF(Logs!E$302:E$311, "Detour")=0), COUNTIF(Logs!E$302:E$311, "Road Block"), "")</f>
        <v/>
      </c>
      <c r="F183" s="8" t="str">
        <f>IF(AND(COUNTIF(Logs!F$302:F$311, "Road Block")&gt;0,COUNTIF(Logs!F$302:F$311, "Detour")=0), COUNTIF(Logs!F$302:F$311, "Road Block"), "")</f>
        <v/>
      </c>
      <c r="G183" s="8" t="str">
        <f>IF(AND(COUNTIF(Logs!G$302:G$311, "Road Block")&gt;0,COUNTIF(Logs!G$302:G$311, "Detour")=0), COUNTIF(Logs!G$302:G$311, "Road Block"), "")</f>
        <v/>
      </c>
      <c r="H183" s="8" t="str">
        <f>IF(AND(COUNTIF(Logs!H$302:H$311, "Road Block")&gt;0,COUNTIF(Logs!H$302:H$311, "Detour")=0), COUNTIF(Logs!H$302:H$311, "Road Block"), "")</f>
        <v/>
      </c>
      <c r="I183" s="8" t="str">
        <f>IF(AND(COUNTIF(Logs!I$302:I$311, "Road Block")&gt;0,COUNTIF(Logs!I$302:I$311, "Detour")=0), COUNTIF(Logs!I$302:I$311, "Road Block"), "")</f>
        <v/>
      </c>
      <c r="J183" s="8" t="str">
        <f>IF(AND(COUNTIF(Logs!J$302:J$311, "Road Block")&gt;0,COUNTIF(Logs!J$302:J$311, "Detour")=0), COUNTIF(Logs!J$302:J$311, "Road Block"), "")</f>
        <v/>
      </c>
      <c r="K183" s="8" t="str">
        <f>IF(AND(COUNTIF(Logs!K$302:K$311, "Road Block")&gt;0,COUNTIF(Logs!K$302:K$311, "Detour")=0), COUNTIF(Logs!K$302:K$311, "Road Block"), "")</f>
        <v/>
      </c>
      <c r="L183" s="8" t="str">
        <f>IF(AND(COUNTIF(Logs!L$302:L$311, "Road Block")&gt;0,COUNTIF(Logs!L$302:L$311, "Detour")=0), COUNTIF(Logs!L$302:L$311, "Road Block"), "")</f>
        <v/>
      </c>
      <c r="M183" s="8" t="str">
        <f>IF(AND(COUNTIF(Logs!M$302:M$311, "Road Block")&gt;0,COUNTIF(Logs!M$302:M$311, "Detour")=0), COUNTIF(Logs!M$302:M$311, "Road Block"), "")</f>
        <v/>
      </c>
      <c r="N183" s="8">
        <f>IF(AND(COUNTIF(Logs!N$302:N$311, "Road Block")&gt;0,COUNTIF(Logs!N$302:N$311, "Detour")=0), COUNTIF(Logs!N$302:N$311, "Road Block"), "")</f>
        <v>1</v>
      </c>
      <c r="O183" s="8"/>
    </row>
    <row r="184" spans="2:15" outlineLevel="1">
      <c r="B184" s="90" t="s">
        <v>143</v>
      </c>
      <c r="C184" s="8">
        <f>IF(AND(COUNTIF(Logs!C$320:C$329, "Road Block")&gt;0,COUNTIF(Logs!C$320:C$329, "Detour")=0), COUNTIF(Logs!C$320:C$329, "Road Block"), "")</f>
        <v>1</v>
      </c>
      <c r="D184" s="8" t="str">
        <f>IF(AND(COUNTIF(Logs!D$320:D$329, "Road Block")&gt;0,COUNTIF(Logs!D$320:D$329, "Detour")=0), COUNTIF(Logs!D$320:D$329, "Road Block"), "")</f>
        <v/>
      </c>
      <c r="E184" s="8" t="str">
        <f>IF(AND(COUNTIF(Logs!E$320:E$329, "Road Block")&gt;0,COUNTIF(Logs!E$320:E$329, "Detour")=0), COUNTIF(Logs!E$320:E$329, "Road Block"), "")</f>
        <v/>
      </c>
      <c r="F184" s="8" t="str">
        <f>IF(AND(COUNTIF(Logs!F$320:F$329, "Road Block")&gt;0,COUNTIF(Logs!F$320:F$329, "Detour")=0), COUNTIF(Logs!F$320:F$329, "Road Block"), "")</f>
        <v/>
      </c>
      <c r="G184" s="8" t="str">
        <f>IF(AND(COUNTIF(Logs!G$320:G$329, "Road Block")&gt;0,COUNTIF(Logs!G$320:G$329, "Detour")=0), COUNTIF(Logs!G$320:G$329, "Road Block"), "")</f>
        <v/>
      </c>
      <c r="H184" s="8" t="str">
        <f>IF(AND(COUNTIF(Logs!H$320:H$329, "Road Block")&gt;0,COUNTIF(Logs!H$320:H$329, "Detour")=0), COUNTIF(Logs!H$320:H$329, "Road Block"), "")</f>
        <v/>
      </c>
      <c r="I184" s="8" t="str">
        <f>IF(AND(COUNTIF(Logs!I$320:I$329, "Road Block")&gt;0,COUNTIF(Logs!I$320:I$329, "Detour")=0), COUNTIF(Logs!I$320:I$329, "Road Block"), "")</f>
        <v/>
      </c>
      <c r="J184" s="8" t="str">
        <f>IF(AND(COUNTIF(Logs!J$320:J$329, "Road Block")&gt;0,COUNTIF(Logs!J$320:J$329, "Detour")=0), COUNTIF(Logs!J$320:J$329, "Road Block"), "")</f>
        <v/>
      </c>
      <c r="K184" s="8" t="str">
        <f>IF(AND(COUNTIF(Logs!K$320:K$329, "Road Block")&gt;0,COUNTIF(Logs!K$320:K$329, "Detour")=0), COUNTIF(Logs!K$320:K$329, "Road Block"), "")</f>
        <v/>
      </c>
      <c r="L184" s="8" t="str">
        <f>IF(AND(COUNTIF(Logs!L$320:L$329, "Road Block")&gt;0,COUNTIF(Logs!L$320:L$329, "Detour")=0), COUNTIF(Logs!L$320:L$329, "Road Block"), "")</f>
        <v/>
      </c>
      <c r="M184" s="8" t="str">
        <f>IF(AND(COUNTIF(Logs!M$320:M$329, "Road Block")&gt;0,COUNTIF(Logs!M$320:M$329, "Detour")=0), COUNTIF(Logs!M$320:M$329, "Road Block"), "")</f>
        <v/>
      </c>
      <c r="N184" s="8">
        <f>IF(AND(COUNTIF(Logs!N$320:N$329, "Road Block")&gt;0,COUNTIF(Logs!N$320:N$329, "Detour")=0), COUNTIF(Logs!N$320:N$329, "Road Block"), "")</f>
        <v>2</v>
      </c>
      <c r="O184" s="8" t="str">
        <f>IF(AND(COUNTIF(Logs!O$320:O$329, "Road Block")&gt;0,COUNTIF(Logs!O$320:O$329, "Detour")=0), COUNTIF(Logs!O$320:O$329, "Road Block"), "")</f>
        <v/>
      </c>
    </row>
    <row r="185" spans="2:15" outlineLevel="1">
      <c r="B185" s="90" t="s">
        <v>144</v>
      </c>
      <c r="C185" s="8">
        <f>IF(AND(COUNTIF(Logs!C$338:C$347, "Road Block")&gt;0,COUNTIF(Logs!C$338:C$347, "Detour")=0), COUNTIF(Logs!C$338:C$347, "Road Block"), "")</f>
        <v>1</v>
      </c>
      <c r="D185" s="8" t="str">
        <f>IF(AND(COUNTIF(Logs!D$338:D$347, "Road Block")&gt;0,COUNTIF(Logs!D$338:D$347, "Detour")=0), COUNTIF(Logs!D$338:D$347, "Road Block"), "")</f>
        <v/>
      </c>
      <c r="E185" s="8" t="str">
        <f>IF(AND(COUNTIF(Logs!E$338:E$347, "Road Block")&gt;0,COUNTIF(Logs!E$338:E$347, "Detour")=0), COUNTIF(Logs!E$338:E$347, "Road Block"), "")</f>
        <v/>
      </c>
      <c r="F185" s="8" t="str">
        <f>IF(AND(COUNTIF(Logs!F$338:F$347, "Road Block")&gt;0,COUNTIF(Logs!F$338:F$347, "Detour")=0), COUNTIF(Logs!F$338:F$347, "Road Block"), "")</f>
        <v/>
      </c>
      <c r="G185" s="8">
        <f>IF(AND(COUNTIF(Logs!G$338:G$347, "Road Block")&gt;0,COUNTIF(Logs!G$338:G$347, "Detour")=0), COUNTIF(Logs!G$338:G$347, "Road Block"), "")</f>
        <v>2</v>
      </c>
      <c r="H185" s="8" t="str">
        <f>IF(AND(COUNTIF(Logs!H$338:H$347, "Road Block")&gt;0,COUNTIF(Logs!H$338:H$347, "Detour")=0), COUNTIF(Logs!H$338:H$347, "Road Block"), "")</f>
        <v/>
      </c>
      <c r="I185" s="8" t="str">
        <f>IF(AND(COUNTIF(Logs!I$338:I$347, "Road Block")&gt;0,COUNTIF(Logs!I$338:I$347, "Detour")=0), COUNTIF(Logs!I$338:I$347, "Road Block"), "")</f>
        <v/>
      </c>
      <c r="J185" s="8" t="str">
        <f>IF(AND(COUNTIF(Logs!J$338:J$347, "Road Block")&gt;0,COUNTIF(Logs!J$338:J$347, "Detour")=0), COUNTIF(Logs!J$338:J$347, "Road Block"), "")</f>
        <v/>
      </c>
      <c r="K185" s="8">
        <f>IF(AND(COUNTIF(Logs!K$338:K$347, "Road Block")&gt;0,COUNTIF(Logs!K$338:K$347, "Detour")=0), COUNTIF(Logs!K$338:K$347, "Road Block"), "")</f>
        <v>1</v>
      </c>
      <c r="L185" s="8" t="str">
        <f>IF(AND(COUNTIF(Logs!L$338:L$347, "Road Block")&gt;0,COUNTIF(Logs!L$338:L$347, "Detour")=0), COUNTIF(Logs!L$338:L$347, "Road Block"), "")</f>
        <v/>
      </c>
      <c r="M185" s="8" t="str">
        <f>IF(AND(COUNTIF(Logs!M$338:M$347, "Road Block")&gt;0,COUNTIF(Logs!M$338:M$347, "Detour")=0), COUNTIF(Logs!M$338:M$347, "Road Block"), "")</f>
        <v/>
      </c>
      <c r="N185" s="8">
        <f>IF(AND(COUNTIF(Logs!N$338:N$347, "Road Block")&gt;0,COUNTIF(Logs!N$338:N$347, "Detour")=0), COUNTIF(Logs!N$338:N$347, "Road Block"), "")</f>
        <v>1</v>
      </c>
      <c r="O185" s="8"/>
    </row>
    <row r="186" spans="2:15" outlineLevel="1">
      <c r="B186" s="90" t="s">
        <v>145</v>
      </c>
      <c r="C186" s="8">
        <f>IF(AND(COUNTIF(Logs!C$356:C$365, "Road Block")&gt;0,COUNTIF(Logs!C$356:C$365, "Detour")=0), COUNTIF(Logs!C$356:C$365, "Road Block"), "")</f>
        <v>1</v>
      </c>
      <c r="D186" s="8" t="str">
        <f>IF(AND(COUNTIF(Logs!D$356:D$365, "Road Block")&gt;0,COUNTIF(Logs!D$356:D$365, "Detour")=0), COUNTIF(Logs!D$356:D$365, "Road Block"), "")</f>
        <v/>
      </c>
      <c r="E186" s="8" t="str">
        <f>IF(AND(COUNTIF(Logs!E$356:E$365, "Road Block")&gt;0,COUNTIF(Logs!E$356:E$365, "Detour")=0), COUNTIF(Logs!E$356:E$365, "Road Block"), "")</f>
        <v/>
      </c>
      <c r="F186" s="8" t="str">
        <f>IF(AND(COUNTIF(Logs!F$356:F$365, "Road Block")&gt;0,COUNTIF(Logs!F$356:F$365, "Detour")=0), COUNTIF(Logs!F$356:F$365, "Road Block"), "")</f>
        <v/>
      </c>
      <c r="G186" s="8" t="str">
        <f>IF(AND(COUNTIF(Logs!G$356:G$365, "Road Block")&gt;0,COUNTIF(Logs!G$356:G$365, "Detour")=0), COUNTIF(Logs!G$356:G$365, "Road Block"), "")</f>
        <v/>
      </c>
      <c r="H186" s="8" t="str">
        <f>IF(AND(COUNTIF(Logs!H$356:H$365, "Road Block")&gt;0,COUNTIF(Logs!H$356:H$365, "Detour")=0), COUNTIF(Logs!H$356:H$365, "Road Block"), "")</f>
        <v/>
      </c>
      <c r="I186" s="8" t="str">
        <f>IF(AND(COUNTIF(Logs!I$356:I$365, "Road Block")&gt;0,COUNTIF(Logs!I$356:I$365, "Detour")=0), COUNTIF(Logs!I$356:I$365, "Road Block"), "")</f>
        <v/>
      </c>
      <c r="J186" s="8" t="str">
        <f>IF(AND(COUNTIF(Logs!J$356:J$365, "Road Block")&gt;0,COUNTIF(Logs!J$356:J$365, "Detour")=0), COUNTIF(Logs!J$356:J$365, "Road Block"), "")</f>
        <v/>
      </c>
      <c r="K186" s="8" t="str">
        <f>IF(AND(COUNTIF(Logs!K$356:K$365, "Road Block")&gt;0,COUNTIF(Logs!K$356:K$365, "Detour")=0), COUNTIF(Logs!K$356:K$365, "Road Block"), "")</f>
        <v/>
      </c>
      <c r="L186" s="8" t="str">
        <f>IF(AND(COUNTIF(Logs!L$356:L$365, "Road Block")&gt;0,COUNTIF(Logs!L$356:L$365, "Detour")=0), COUNTIF(Logs!L$356:L$365, "Road Block"), "")</f>
        <v/>
      </c>
      <c r="M186" s="8" t="str">
        <f>IF(AND(COUNTIF(Logs!M$356:M$365, "Road Block")&gt;0,COUNTIF(Logs!M$356:M$365, "Detour")=0), COUNTIF(Logs!M$356:M$365, "Road Block"), "")</f>
        <v/>
      </c>
      <c r="N186" s="8">
        <f>IF(AND(COUNTIF(Logs!N$356:N$365, "Road Block")&gt;0,COUNTIF(Logs!N$356:N$365, "Detour")=0), COUNTIF(Logs!N$356:N$365, "Road Block"), "")</f>
        <v>2</v>
      </c>
      <c r="O186" s="8"/>
    </row>
    <row r="187" spans="2:15" outlineLevel="1">
      <c r="B187" s="90" t="s">
        <v>146</v>
      </c>
      <c r="C187" s="8">
        <f>IF(AND(COUNTIF(Logs!C$374:C$383, "Road Block")&gt;0,COUNTIF(Logs!C$374:C$383, "Detour")=0), COUNTIF(Logs!C$374:C$383, "Road Block"), "")</f>
        <v>2</v>
      </c>
      <c r="D187" s="8" t="str">
        <f>IF(AND(COUNTIF(Logs!D$374:D$383, "Road Block")&gt;0,COUNTIF(Logs!D$374:D$383, "Detour")=0), COUNTIF(Logs!D$374:D$383, "Road Block"), "")</f>
        <v/>
      </c>
      <c r="E187" s="8" t="str">
        <f>IF(AND(COUNTIF(Logs!E$374:E$383, "Road Block")&gt;0,COUNTIF(Logs!E$374:E$383, "Detour")=0), COUNTIF(Logs!E$374:E$383, "Road Block"), "")</f>
        <v/>
      </c>
      <c r="F187" s="8" t="str">
        <f>IF(AND(COUNTIF(Logs!F$374:F$383, "Road Block")&gt;0,COUNTIF(Logs!F$374:F$383, "Detour")=0), COUNTIF(Logs!F$374:F$383, "Road Block"), "")</f>
        <v/>
      </c>
      <c r="G187" s="8" t="str">
        <f>IF(AND(COUNTIF(Logs!G$374:G$383, "Road Block")&gt;0,COUNTIF(Logs!G$374:G$383, "Detour")=0), COUNTIF(Logs!G$374:G$383, "Road Block"), "")</f>
        <v/>
      </c>
      <c r="H187" s="8" t="str">
        <f>IF(AND(COUNTIF(Logs!H$374:H$383, "Road Block")&gt;0,COUNTIF(Logs!H$374:H$383, "Detour")=0), COUNTIF(Logs!H$374:H$383, "Road Block"), "")</f>
        <v/>
      </c>
      <c r="I187" s="8" t="str">
        <f>IF(AND(COUNTIF(Logs!I$374:I$383, "Road Block")&gt;0,COUNTIF(Logs!I$374:I$383, "Detour")=0), COUNTIF(Logs!I$374:I$383, "Road Block"), "")</f>
        <v/>
      </c>
      <c r="J187" s="8" t="str">
        <f>IF(AND(COUNTIF(Logs!J$374:J$383, "Road Block")&gt;0,COUNTIF(Logs!J$374:J$383, "Detour")=0), COUNTIF(Logs!J$374:J$383, "Road Block"), "")</f>
        <v/>
      </c>
      <c r="K187" s="8" t="str">
        <f>IF(AND(COUNTIF(Logs!K$374:K$383, "Road Block")&gt;0,COUNTIF(Logs!K$374:K$383, "Detour")=0), COUNTIF(Logs!K$374:K$383, "Road Block"), "")</f>
        <v/>
      </c>
      <c r="L187" s="8" t="str">
        <f>IF(AND(COUNTIF(Logs!L$374:L$383, "Road Block")&gt;0,COUNTIF(Logs!L$374:L$383, "Detour")=0), COUNTIF(Logs!L$374:L$383, "Road Block"), "")</f>
        <v/>
      </c>
      <c r="M187" s="8" t="str">
        <f>IF(AND(COUNTIF(Logs!M$374:M$383, "Road Block")&gt;0,COUNTIF(Logs!M$374:M$383, "Detour")=0), COUNTIF(Logs!M$374:M$383, "Road Block"), "")</f>
        <v/>
      </c>
      <c r="N187" s="8">
        <f>IF(AND(COUNTIF(Logs!N$374:N$383, "Road Block")&gt;0,COUNTIF(Logs!N$374:N$383, "Detour")=0), COUNTIF(Logs!N$374:N$383, "Road Block"), "")</f>
        <v>2</v>
      </c>
      <c r="O187" s="8"/>
    </row>
    <row r="188" spans="2:15" outlineLevel="1">
      <c r="B188" s="90" t="s">
        <v>147</v>
      </c>
      <c r="C188" s="8">
        <f>IF(AND(COUNTIF(Logs!C$393:C$402, "Road Block")&gt;0,COUNTIF(Logs!C$393:C$402, "Detour")=0), COUNTIF(Logs!C$393:C$402, "Road Block"), "")</f>
        <v>2</v>
      </c>
      <c r="D188" s="8" t="str">
        <f>IF(AND(COUNTIF(Logs!D$393:D$402, "Road Block")&gt;0,COUNTIF(Logs!D$393:D$402, "Detour")=0), COUNTIF(Logs!D$393:D$402, "Road Block"), "")</f>
        <v/>
      </c>
      <c r="E188" s="8" t="str">
        <f>IF(AND(COUNTIF(Logs!E$393:E$402, "Road Block")&gt;0,COUNTIF(Logs!E$393:E$402, "Detour")=0), COUNTIF(Logs!E$393:E$402, "Road Block"), "")</f>
        <v/>
      </c>
      <c r="F188" s="8" t="str">
        <f>IF(AND(COUNTIF(Logs!F$393:F$402, "Road Block")&gt;0,COUNTIF(Logs!F$393:F$402, "Detour")=0), COUNTIF(Logs!F$393:F$402, "Road Block"), "")</f>
        <v/>
      </c>
      <c r="G188" s="8" t="str">
        <f>IF(AND(COUNTIF(Logs!G$393:G$402, "Road Block")&gt;0,COUNTIF(Logs!G$393:G$402, "Detour")=0), COUNTIF(Logs!G$393:G$402, "Road Block"), "")</f>
        <v/>
      </c>
      <c r="H188" s="8" t="str">
        <f>IF(AND(COUNTIF(Logs!H$393:H$402, "Road Block")&gt;0,COUNTIF(Logs!H$393:H$402, "Detour")=0), COUNTIF(Logs!H$393:H$402, "Road Block"), "")</f>
        <v/>
      </c>
      <c r="I188" s="8" t="str">
        <f>IF(AND(COUNTIF(Logs!I$393:I$402, "Road Block")&gt;0,COUNTIF(Logs!I$393:I$402, "Detour")=0), COUNTIF(Logs!I$393:I$402, "Road Block"), "")</f>
        <v/>
      </c>
      <c r="J188" s="8">
        <f>IF(AND(COUNTIF(Logs!J$393:J$402, "Road Block")&gt;0,COUNTIF(Logs!J$393:J$402, "Detour")=0), COUNTIF(Logs!J$393:J$402, "Road Block"), "")</f>
        <v>1</v>
      </c>
      <c r="K188" s="8" t="str">
        <f>IF(AND(COUNTIF(Logs!K$393:K$402, "Road Block")&gt;0,COUNTIF(Logs!K$393:K$402, "Detour")=0), COUNTIF(Logs!K$393:K$402, "Road Block"), "")</f>
        <v/>
      </c>
      <c r="L188" s="8" t="str">
        <f>IF(AND(COUNTIF(Logs!L$393:L$402, "Road Block")&gt;0,COUNTIF(Logs!L$393:L$402, "Detour")=0), COUNTIF(Logs!L$393:L$402, "Road Block"), "")</f>
        <v/>
      </c>
      <c r="M188" s="8" t="str">
        <f>IF(AND(COUNTIF(Logs!M$393:M$402, "Road Block")&gt;0,COUNTIF(Logs!M$393:M$402, "Detour")=0), COUNTIF(Logs!M$393:M$402, "Road Block"), "")</f>
        <v/>
      </c>
      <c r="N188" s="8">
        <f>IF(AND(COUNTIF(Logs!N$393:N$402, "Road Block")&gt;0,COUNTIF(Logs!N$393:N$402, "Detour")=0), COUNTIF(Logs!N$393:N$402, "Road Block"), "")</f>
        <v>1</v>
      </c>
      <c r="O188" s="8"/>
    </row>
    <row r="189" spans="2:15" outlineLevel="1">
      <c r="B189" s="90" t="s">
        <v>148</v>
      </c>
      <c r="C189" s="8">
        <f>IF(AND(COUNTIF(Logs!C$411:C$420, "Road Block")&gt;0,COUNTIF(Logs!C$411:C$420, "Detour")=0), COUNTIF(Logs!C$411:C$420, "Road Block"), "")</f>
        <v>2</v>
      </c>
      <c r="D189" s="8" t="str">
        <f>IF(AND(COUNTIF(Logs!D$411:D$420, "Road Block")&gt;0,COUNTIF(Logs!D$411:D$420, "Detour")=0), COUNTIF(Logs!D$411:D$420, "Road Block"), "")</f>
        <v/>
      </c>
      <c r="E189" s="8" t="str">
        <f>IF(AND(COUNTIF(Logs!E$411:E$420, "Road Block")&gt;0,COUNTIF(Logs!E$411:E$420, "Detour")=0), COUNTIF(Logs!E$411:E$420, "Road Block"), "")</f>
        <v/>
      </c>
      <c r="F189" s="8" t="str">
        <f>IF(AND(COUNTIF(Logs!F$411:F$420, "Road Block")&gt;0,COUNTIF(Logs!F$411:F$420, "Detour")=0), COUNTIF(Logs!F$411:F$420, "Road Block"), "")</f>
        <v/>
      </c>
      <c r="G189" s="8" t="str">
        <f>IF(AND(COUNTIF(Logs!G$411:G$420, "Road Block")&gt;0,COUNTIF(Logs!G$411:G$420, "Detour")=0), COUNTIF(Logs!G$411:G$420, "Road Block"), "")</f>
        <v/>
      </c>
      <c r="H189" s="8" t="str">
        <f>IF(AND(COUNTIF(Logs!H$411:H$420, "Road Block")&gt;0,COUNTIF(Logs!H$411:H$420, "Detour")=0), COUNTIF(Logs!H$411:H$420, "Road Block"), "")</f>
        <v/>
      </c>
      <c r="I189" s="8" t="str">
        <f>IF(AND(COUNTIF(Logs!I$411:I$420, "Road Block")&gt;0,COUNTIF(Logs!I$411:I$420, "Detour")=0), COUNTIF(Logs!I$411:I$420, "Road Block"), "")</f>
        <v/>
      </c>
      <c r="J189" s="8" t="str">
        <f>IF(AND(COUNTIF(Logs!J$411:J$420, "Road Block")&gt;0,COUNTIF(Logs!J$411:J$420, "Detour")=0), COUNTIF(Logs!J$411:J$420, "Road Block"), "")</f>
        <v/>
      </c>
      <c r="K189" s="8" t="str">
        <f>IF(AND(COUNTIF(Logs!K$411:K$420, "Road Block")&gt;0,COUNTIF(Logs!K$411:K$420, "Detour")=0), COUNTIF(Logs!K$411:K$420, "Road Block"), "")</f>
        <v/>
      </c>
      <c r="L189" s="8" t="str">
        <f>IF(AND(COUNTIF(Logs!L$411:L$420, "Road Block")&gt;0,COUNTIF(Logs!L$411:L$420, "Detour")=0), COUNTIF(Logs!L$411:L$420, "Road Block"), "")</f>
        <v/>
      </c>
      <c r="M189" s="8" t="str">
        <f>IF(AND(COUNTIF(Logs!M$411:M$420, "Road Block")&gt;0,COUNTIF(Logs!M$411:M$420, "Detour")=0), COUNTIF(Logs!M$411:M$420, "Road Block"), "")</f>
        <v/>
      </c>
      <c r="N189" s="8">
        <f>IF(AND(COUNTIF(Logs!N$411:N$420, "Road Block")&gt;0,COUNTIF(Logs!N$411:N$420, "Detour")=0), COUNTIF(Logs!N$411:N$420, "Road Block"), "")</f>
        <v>1</v>
      </c>
      <c r="O189" s="8"/>
    </row>
    <row r="190" spans="2:15" outlineLevel="1">
      <c r="B190" s="90" t="s">
        <v>125</v>
      </c>
      <c r="C190" s="8">
        <f>IF(AND(COUNTIF(Logs!C$429:C$438, "Road Block")&gt;0,COUNTIF(Logs!C$429:C$438, "Detour")=0), COUNTIF(Logs!C$429:C$438, "Road Block"), "")</f>
        <v>1</v>
      </c>
      <c r="D190" s="8" t="str">
        <f>IF(AND(COUNTIF(Logs!D$429:D$438, "Road Block")&gt;0,COUNTIF(Logs!D$429:D$438, "Detour")=0), COUNTIF(Logs!D$429:D$438, "Road Block"), "")</f>
        <v/>
      </c>
      <c r="E190" s="8" t="str">
        <f>IF(AND(COUNTIF(Logs!E$429:E$438, "Road Block")&gt;0,COUNTIF(Logs!E$429:E$438, "Detour")=0), COUNTIF(Logs!E$429:E$438, "Road Block"), "")</f>
        <v/>
      </c>
      <c r="F190" s="8" t="str">
        <f>IF(AND(COUNTIF(Logs!F$429:F$438, "Road Block")&gt;0,COUNTIF(Logs!F$429:F$438, "Detour")=0), COUNTIF(Logs!F$429:F$438, "Road Block"), "")</f>
        <v/>
      </c>
      <c r="G190" s="8" t="str">
        <f>IF(AND(COUNTIF(Logs!G$429:G$438, "Road Block")&gt;0,COUNTIF(Logs!G$429:G$438, "Detour")=0), COUNTIF(Logs!G$429:G$438, "Road Block"), "")</f>
        <v/>
      </c>
      <c r="H190" s="8" t="str">
        <f>IF(AND(COUNTIF(Logs!H$429:H$438, "Road Block")&gt;0,COUNTIF(Logs!H$429:H$438, "Detour")=0), COUNTIF(Logs!H$429:H$438, "Road Block"), "")</f>
        <v/>
      </c>
      <c r="I190" s="8" t="str">
        <f>IF(AND(COUNTIF(Logs!I$429:I$438, "Road Block")&gt;0,COUNTIF(Logs!I$429:I$438, "Detour")=0), COUNTIF(Logs!I$429:I$438, "Road Block"), "")</f>
        <v/>
      </c>
      <c r="J190" s="8" t="str">
        <f>IF(AND(COUNTIF(Logs!J$429:J$438, "Road Block")&gt;0,COUNTIF(Logs!J$429:J$438, "Detour")=0), COUNTIF(Logs!J$429:J$438, "Road Block"), "")</f>
        <v/>
      </c>
      <c r="K190" s="8">
        <f>IF(AND(COUNTIF(Logs!K$429:K$438, "Road Block")&gt;0,COUNTIF(Logs!K$429:K$438, "Detour")=0), COUNTIF(Logs!K$429:K$438, "Road Block"), "")</f>
        <v>1</v>
      </c>
      <c r="L190" s="8" t="str">
        <f>IF(AND(COUNTIF(Logs!L$429:L$438, "Road Block")&gt;0,COUNTIF(Logs!L$429:L$438, "Detour")=0), COUNTIF(Logs!L$429:L$438, "Road Block"), "")</f>
        <v/>
      </c>
      <c r="M190" s="8" t="str">
        <f>IF(AND(COUNTIF(Logs!M$429:M$438, "Road Block")&gt;0,COUNTIF(Logs!M$429:M$438, "Detour")=0), COUNTIF(Logs!M$429:M$438, "Road Block"), "")</f>
        <v/>
      </c>
      <c r="N190" s="8">
        <f>IF(AND(COUNTIF(Logs!N$429:N$438, "Road Block")&gt;0,COUNTIF(Logs!N$429:N$438, "Detour")=0), COUNTIF(Logs!N$429:N$438, "Road Block"), "")</f>
        <v>1</v>
      </c>
      <c r="O190" s="8"/>
    </row>
    <row r="191" spans="2:15">
      <c r="B191" s="90" t="s">
        <v>116</v>
      </c>
      <c r="C191" s="8">
        <f>IF(AND(COUNTIF(Logs!C$447:C$456, "Road Block")&gt;0,COUNTIF(Logs!C$447:C$456, "Detour")=0), COUNTIF(Logs!C$447:C$456, "Road Block"), "")</f>
        <v>1</v>
      </c>
      <c r="D191" s="8" t="str">
        <f>IF(AND(COUNTIF(Logs!D$447:D$456, "Road Block")&gt;0,COUNTIF(Logs!D$447:D$456, "Detour")=0), COUNTIF(Logs!D$447:D$456, "Road Block"), "")</f>
        <v/>
      </c>
      <c r="E191" s="8" t="str">
        <f>IF(AND(COUNTIF(Logs!E$447:E$456, "Road Block")&gt;0,COUNTIF(Logs!E$447:E$456, "Detour")=0), COUNTIF(Logs!E$447:E$456, "Road Block"), "")</f>
        <v/>
      </c>
      <c r="F191" s="8" t="str">
        <f>IF(AND(COUNTIF(Logs!F$447:F$456, "Road Block")&gt;0,COUNTIF(Logs!F$447:F$456, "Detour")=0), COUNTIF(Logs!F$447:F$456, "Road Block"), "")</f>
        <v/>
      </c>
      <c r="G191" s="8" t="str">
        <f>IF(AND(COUNTIF(Logs!G$447:G$456, "Road Block")&gt;0,COUNTIF(Logs!G$447:G$456, "Detour")=0), COUNTIF(Logs!G$447:G$456, "Road Block"), "")</f>
        <v/>
      </c>
      <c r="H191" s="8" t="str">
        <f>IF(AND(COUNTIF(Logs!H$447:H$456, "Road Block")&gt;0,COUNTIF(Logs!H$447:H$456, "Detour")=0), COUNTIF(Logs!H$447:H$456, "Road Block"), "")</f>
        <v/>
      </c>
      <c r="I191" s="8" t="str">
        <f>IF(AND(COUNTIF(Logs!I$447:I$456, "Road Block")&gt;0,COUNTIF(Logs!I$447:I$456, "Detour")=0), COUNTIF(Logs!I$447:I$456, "Road Block"), "")</f>
        <v/>
      </c>
      <c r="J191" s="8" t="str">
        <f>IF(AND(COUNTIF(Logs!J$447:J$456, "Road Block")&gt;0,COUNTIF(Logs!J$447:J$456, "Detour")=0), COUNTIF(Logs!J$447:J$456, "Road Block"), "")</f>
        <v/>
      </c>
      <c r="K191" s="8" t="str">
        <f>IF(AND(COUNTIF(Logs!K$447:K$456, "Road Block")&gt;0,COUNTIF(Logs!K$447:K$456, "Detour")=0), COUNTIF(Logs!K$447:K$456, "Road Block"), "")</f>
        <v/>
      </c>
      <c r="L191" s="8" t="str">
        <f>IF(AND(COUNTIF(Logs!L$447:L$456, "Road Block")&gt;0,COUNTIF(Logs!L$447:L$456, "Detour")=0), COUNTIF(Logs!L$447:L$456, "Road Block"), "")</f>
        <v/>
      </c>
      <c r="M191" s="8" t="str">
        <f>IF(AND(COUNTIF(Logs!M$447:M$456, "Road Block")&gt;0,COUNTIF(Logs!M$447:M$456, "Detour")=0), COUNTIF(Logs!M$447:M$456, "Road Block"), "")</f>
        <v/>
      </c>
      <c r="N191" s="8">
        <f>IF(AND(COUNTIF(Logs!N$447:N$456, "Road Block")&gt;0,COUNTIF(Logs!N$447:N$456, "Detour")=0), COUNTIF(Logs!N$447:N$456, "Road Block"), "")</f>
        <v>2</v>
      </c>
      <c r="O191" s="8" t="str">
        <f>IF(AND(COUNTIF(Logs!O$447:O$456, "Road Block")&gt;0,COUNTIF(Logs!O$447:O$456, "Detour")=0), COUNTIF(Logs!O$447:O$456, "Road Block"), "")</f>
        <v/>
      </c>
    </row>
    <row r="192" spans="2:15">
      <c r="B192" s="90" t="s">
        <v>104</v>
      </c>
      <c r="C192" s="8" t="str">
        <f>IF(AND(COUNTIF(Logs!C$465:C$474, "Road Block")&gt;0,COUNTIF(Logs!C$465:C$474, "Detour")=0), COUNTIF(Logs!C$465:C$474, "Road Block"), "")</f>
        <v/>
      </c>
      <c r="D192" s="8" t="str">
        <f>IF(AND(COUNTIF(Logs!D$465:D$474, "Road Block")&gt;0,COUNTIF(Logs!D$465:D$474, "Detour")=0), COUNTIF(Logs!D$465:D$474, "Road Block"), "")</f>
        <v/>
      </c>
      <c r="E192" s="8" t="str">
        <f>IF(AND(COUNTIF(Logs!E$465:E$474, "Road Block")&gt;0,COUNTIF(Logs!E$465:E$474, "Detour")=0), COUNTIF(Logs!E$465:E$474, "Road Block"), "")</f>
        <v/>
      </c>
      <c r="F192" s="8" t="str">
        <f>IF(AND(COUNTIF(Logs!F$465:F$474, "Road Block")&gt;0,COUNTIF(Logs!F$465:F$474, "Detour")=0), COUNTIF(Logs!F$465:F$474, "Road Block"), "")</f>
        <v/>
      </c>
      <c r="G192" s="8" t="str">
        <f>IF(AND(COUNTIF(Logs!G$465:G$474, "Road Block")&gt;0,COUNTIF(Logs!G$465:G$474, "Detour")=0), COUNTIF(Logs!G$465:G$474, "Road Block"), "")</f>
        <v/>
      </c>
      <c r="H192" s="8" t="str">
        <f>IF(AND(COUNTIF(Logs!H$465:H$474, "Road Block")&gt;0,COUNTIF(Logs!H$465:H$474, "Detour")=0), COUNTIF(Logs!H$465:H$474, "Road Block"), "")</f>
        <v/>
      </c>
      <c r="I192" s="8" t="str">
        <f>IF(AND(COUNTIF(Logs!I$465:I$474, "Road Block")&gt;0,COUNTIF(Logs!I$465:I$474, "Detour")=0), COUNTIF(Logs!I$465:I$474, "Road Block"), "")</f>
        <v/>
      </c>
      <c r="J192" s="8" t="str">
        <f>IF(AND(COUNTIF(Logs!J$465:J$474, "Road Block")&gt;0,COUNTIF(Logs!J$465:J$474, "Detour")=0), COUNTIF(Logs!J$465:J$474, "Road Block"), "")</f>
        <v/>
      </c>
      <c r="K192" s="8" t="str">
        <f>IF(AND(COUNTIF(Logs!K$465:K$474, "Road Block")&gt;0,COUNTIF(Logs!K$465:K$474, "Detour")=0), COUNTIF(Logs!K$465:K$474, "Road Block"), "")</f>
        <v/>
      </c>
      <c r="L192" s="8" t="str">
        <f>IF(AND(COUNTIF(Logs!L$465:L$474, "Road Block")&gt;0,COUNTIF(Logs!L$465:L$474, "Detour")=0), COUNTIF(Logs!L$465:L$474, "Road Block"), "")</f>
        <v/>
      </c>
      <c r="M192" s="8" t="str">
        <f>IF(AND(COUNTIF(Logs!M$465:M$474, "Road Block")&gt;0,COUNTIF(Logs!M$465:M$474, "Detour")=0), COUNTIF(Logs!M$465:M$474, "Road Block"), "")</f>
        <v/>
      </c>
      <c r="N192" s="8">
        <f>IF(AND(COUNTIF(Logs!N$465:N$474, "Road Block")&gt;0,COUNTIF(Logs!N$465:N$474, "Detour")=0), COUNTIF(Logs!N$465:N$474, "Road Block"), "")</f>
        <v>2</v>
      </c>
      <c r="O192" s="8"/>
    </row>
    <row r="193" spans="2:15">
      <c r="B193" s="90" t="s">
        <v>95</v>
      </c>
      <c r="C193" s="8" t="str">
        <f>IF(AND(COUNTIF(Logs!C$483:C$492, "Road Block")&gt;0,COUNTIF(Logs!C$483:C$492, "Detour")=0), COUNTIF(Logs!C$483:C$492, "Road Block"), "")</f>
        <v/>
      </c>
      <c r="D193" s="8" t="str">
        <f>IF(AND(COUNTIF(Logs!D$483:D$492, "Road Block")&gt;0,COUNTIF(Logs!D$483:D$492, "Detour")=0), COUNTIF(Logs!D$483:D$492, "Road Block"), "")</f>
        <v/>
      </c>
      <c r="E193" s="8" t="str">
        <f>IF(AND(COUNTIF(Logs!E$483:E$492, "Road Block")&gt;0,COUNTIF(Logs!E$483:E$492, "Detour")=0), COUNTIF(Logs!E$483:E$492, "Road Block"), "")</f>
        <v/>
      </c>
      <c r="F193" s="8" t="str">
        <f>IF(AND(COUNTIF(Logs!F$483:F$492, "Road Block")&gt;0,COUNTIF(Logs!F$483:F$492, "Detour")=0), COUNTIF(Logs!F$483:F$492, "Road Block"), "")</f>
        <v/>
      </c>
      <c r="G193" s="8" t="str">
        <f>IF(AND(COUNTIF(Logs!G$483:G$492, "Road Block")&gt;0,COUNTIF(Logs!G$483:G$492, "Detour")=0), COUNTIF(Logs!G$483:G$492, "Road Block"), "")</f>
        <v/>
      </c>
      <c r="H193" s="8" t="str">
        <f>IF(AND(COUNTIF(Logs!H$483:H$492, "Road Block")&gt;0,COUNTIF(Logs!H$483:H$492, "Detour")=0), COUNTIF(Logs!H$483:H$492, "Road Block"), "")</f>
        <v/>
      </c>
      <c r="I193" s="8" t="str">
        <f>IF(AND(COUNTIF(Logs!I$483:I$492, "Road Block")&gt;0,COUNTIF(Logs!I$483:I$492, "Detour")=0), COUNTIF(Logs!I$483:I$492, "Road Block"), "")</f>
        <v/>
      </c>
      <c r="J193" s="8" t="str">
        <f>IF(AND(COUNTIF(Logs!J$483:J$492, "Road Block")&gt;0,COUNTIF(Logs!J$483:J$492, "Detour")=0), COUNTIF(Logs!J$483:J$492, "Road Block"), "")</f>
        <v/>
      </c>
      <c r="K193" s="8" t="str">
        <f>IF(AND(COUNTIF(Logs!K$483:K$492, "Road Block")&gt;0,COUNTIF(Logs!K$483:K$492, "Detour")=0), COUNTIF(Logs!K$483:K$492, "Road Block"), "")</f>
        <v/>
      </c>
      <c r="L193" s="8" t="str">
        <f>IF(AND(COUNTIF(Logs!L$483:L$492, "Road Block")&gt;0,COUNTIF(Logs!L$483:L$492, "Detour")=0), COUNTIF(Logs!L$483:L$492, "Road Block"), "")</f>
        <v/>
      </c>
      <c r="M193" s="8" t="str">
        <f>IF(AND(COUNTIF(Logs!M$483:M$492, "Road Block")&gt;0,COUNTIF(Logs!M$483:M$492, "Detour")=0), COUNTIF(Logs!M$483:M$492, "Road Block"), "")</f>
        <v/>
      </c>
      <c r="N193" s="8">
        <f>IF(AND(COUNTIF(Logs!N$483:N$492, "Road Block")&gt;0,COUNTIF(Logs!N$483:N$492, "Detour")=0), COUNTIF(Logs!N$483:N$492, "Road Block"), "")</f>
        <v>1</v>
      </c>
      <c r="O193" s="8"/>
    </row>
    <row r="194" spans="2:15">
      <c r="B194" s="90" t="s">
        <v>85</v>
      </c>
      <c r="C194" s="8" t="str">
        <f>IF(AND(COUNTIF(Logs!C$501:C$510, "Road Block")&gt;0,COUNTIF(Logs!C$501:C$510, "Detour")=0), COUNTIF(Logs!C$501:C$510, "Road Block"), "")</f>
        <v/>
      </c>
      <c r="D194" s="8" t="str">
        <f>IF(AND(COUNTIF(Logs!D$501:D$510, "Road Block")&gt;0,COUNTIF(Logs!D$501:D$510, "Detour")=0), COUNTIF(Logs!D$501:D$510, "Road Block"), "")</f>
        <v/>
      </c>
      <c r="E194" s="8" t="str">
        <f>IF(AND(COUNTIF(Logs!E$501:E$510, "Road Block")&gt;0,COUNTIF(Logs!E$501:E$510, "Detour")=0), COUNTIF(Logs!E$501:E$510, "Road Block"), "")</f>
        <v/>
      </c>
      <c r="F194" s="8" t="str">
        <f>IF(AND(COUNTIF(Logs!F$501:F$510, "Road Block")&gt;0,COUNTIF(Logs!F$501:F$510, "Detour")=0), COUNTIF(Logs!F$501:F$510, "Road Block"), "")</f>
        <v/>
      </c>
      <c r="G194" s="8" t="str">
        <f>IF(AND(COUNTIF(Logs!G$501:G$510, "Road Block")&gt;0,COUNTIF(Logs!G$501:G$510, "Detour")=0), COUNTIF(Logs!G$501:G$510, "Road Block"), "")</f>
        <v/>
      </c>
      <c r="H194" s="8" t="str">
        <f>IF(AND(COUNTIF(Logs!H$501:H$510, "Road Block")&gt;0,COUNTIF(Logs!H$501:H$510, "Detour")=0), COUNTIF(Logs!H$501:H$510, "Road Block"), "")</f>
        <v/>
      </c>
      <c r="I194" s="8" t="str">
        <f>IF(AND(COUNTIF(Logs!I$501:I$510, "Road Block")&gt;0,COUNTIF(Logs!I$501:I$510, "Detour")=0), COUNTIF(Logs!I$501:I$510, "Road Block"), "")</f>
        <v/>
      </c>
      <c r="J194" s="8" t="str">
        <f>IF(AND(COUNTIF(Logs!J$501:J$510, "Road Block")&gt;0,COUNTIF(Logs!J$501:J$510, "Detour")=0), COUNTIF(Logs!J$501:J$510, "Road Block"), "")</f>
        <v/>
      </c>
      <c r="K194" s="8">
        <f>IF(AND(COUNTIF(Logs!K$501:K$510, "Road Block")&gt;0,COUNTIF(Logs!K$501:K$510, "Detour")=0), COUNTIF(Logs!K$501:K$510, "Road Block"), "")</f>
        <v>2</v>
      </c>
      <c r="L194" s="8" t="str">
        <f>IF(AND(COUNTIF(Logs!L$501:L$510, "Road Block")&gt;0,COUNTIF(Logs!L$501:L$510, "Detour")=0), COUNTIF(Logs!L$501:L$510, "Road Block"), "")</f>
        <v/>
      </c>
      <c r="M194" s="8" t="str">
        <f>IF(AND(COUNTIF(Logs!M$501:M$510, "Road Block")&gt;0,COUNTIF(Logs!M$501:M$510, "Detour")=0), COUNTIF(Logs!M$501:M$510, "Road Block"), "")</f>
        <v/>
      </c>
      <c r="N194" s="8">
        <f>IF(AND(COUNTIF(Logs!N$501:N$510, "Road Block")&gt;0,COUNTIF(Logs!N$501:N$510, "Detour")=0), COUNTIF(Logs!N$501:N$510, "Road Block"), "")</f>
        <v>2</v>
      </c>
      <c r="O194" s="8"/>
    </row>
    <row r="195" spans="2:15" outlineLevel="2">
      <c r="B195" s="90" t="s">
        <v>66</v>
      </c>
      <c r="C195" s="8" t="str">
        <f>IF(AND(COUNTIF(Logs!C$519:C$528, "Road Block")&gt;0,COUNTIF(Logs!C$519:C$528, "Detour")=0), COUNTIF(Logs!C$519:C$528, "Road Block"), "")</f>
        <v/>
      </c>
      <c r="D195" s="8" t="str">
        <f>IF(AND(COUNTIF(Logs!D$519:D$528, "Road Block")&gt;0,COUNTIF(Logs!D$519:D$528, "Detour")=0), COUNTIF(Logs!D$519:D$528, "Road Block"), "")</f>
        <v/>
      </c>
      <c r="E195" s="8" t="str">
        <f>IF(AND(COUNTIF(Logs!E$519:E$528, "Road Block")&gt;0,COUNTIF(Logs!E$519:E$528, "Detour")=0), COUNTIF(Logs!E$519:E$528, "Road Block"), "")</f>
        <v/>
      </c>
      <c r="F195" s="8" t="str">
        <f>IF(AND(COUNTIF(Logs!F$519:F$528, "Road Block")&gt;0,COUNTIF(Logs!F$519:F$528, "Detour")=0), COUNTIF(Logs!F$519:F$528, "Road Block"), "")</f>
        <v/>
      </c>
      <c r="G195" s="8" t="str">
        <f>IF(AND(COUNTIF(Logs!G$519:G$528, "Road Block")&gt;0,COUNTIF(Logs!G$519:G$528, "Detour")=0), COUNTIF(Logs!G$519:G$528, "Road Block"), "")</f>
        <v/>
      </c>
      <c r="H195" s="8" t="str">
        <f>IF(AND(COUNTIF(Logs!H$519:H$528, "Road Block")&gt;0,COUNTIF(Logs!H$519:H$528, "Detour")=0), COUNTIF(Logs!H$519:H$528, "Road Block"), "")</f>
        <v/>
      </c>
      <c r="I195" s="8" t="str">
        <f>IF(AND(COUNTIF(Logs!I$519:I$528, "Road Block")&gt;0,COUNTIF(Logs!I$519:I$528, "Detour")=0), COUNTIF(Logs!I$519:I$528, "Road Block"), "")</f>
        <v/>
      </c>
      <c r="J195" s="8" t="str">
        <f>IF(AND(COUNTIF(Logs!J$519:J$528, "Road Block")&gt;0,COUNTIF(Logs!J$519:J$528, "Detour")=0), COUNTIF(Logs!J$519:J$528, "Road Block"), "")</f>
        <v/>
      </c>
      <c r="K195" s="8" t="str">
        <f>IF(AND(COUNTIF(Logs!K$519:K$528, "Road Block")&gt;0,COUNTIF(Logs!K$519:K$528, "Detour")=0), COUNTIF(Logs!K$519:K$528, "Road Block"), "")</f>
        <v/>
      </c>
      <c r="L195" s="8">
        <f>IF(AND(COUNTIF(Logs!L$519:L$528, "Road Block")&gt;0,COUNTIF(Logs!L$519:L$528, "Detour")=0), COUNTIF(Logs!L$519:L$528, "Road Block"), "")</f>
        <v>1</v>
      </c>
      <c r="M195" s="8">
        <f>IF(AND(COUNTIF(Logs!M$519:M$528, "Road Block")&gt;0,COUNTIF(Logs!M$519:M$528, "Detour")=0), COUNTIF(Logs!M$519:M$528, "Road Block"), "")</f>
        <v>2</v>
      </c>
      <c r="N195" s="8" t="str">
        <f>IF(AND(COUNTIF(Logs!N$519:N$528, "Road Block")&gt;0,COUNTIF(Logs!N$519:N$528, "Detour")=0), COUNTIF(Logs!N$519:N$528, "Road Block"), "")</f>
        <v/>
      </c>
      <c r="O195" s="8"/>
    </row>
    <row r="196" spans="2:15" outlineLevel="2">
      <c r="B196" s="90" t="s">
        <v>65</v>
      </c>
      <c r="C196" s="8">
        <f>IF(AND(COUNTIF(Logs!C$537:C$546, "Road Block")&gt;0,COUNTIF(Logs!C$537:C$546, "Detour")=0), COUNTIF(Logs!C$537:C$546, "Road Block"), "")</f>
        <v>1</v>
      </c>
      <c r="D196" s="8" t="str">
        <f>IF(AND(COUNTIF(Logs!D$537:D$546, "Road Block")&gt;0,COUNTIF(Logs!D$537:D$546, "Detour")=0), COUNTIF(Logs!D$537:D$546, "Road Block"), "")</f>
        <v/>
      </c>
      <c r="E196" s="8" t="str">
        <f>IF(AND(COUNTIF(Logs!E$537:E$546, "Road Block")&gt;0,COUNTIF(Logs!E$537:E$546, "Detour")=0), COUNTIF(Logs!E$537:E$546, "Road Block"), "")</f>
        <v/>
      </c>
      <c r="F196" s="8" t="str">
        <f>IF(AND(COUNTIF(Logs!F$537:F$546, "Road Block")&gt;0,COUNTIF(Logs!F$537:F$546, "Detour")=0), COUNTIF(Logs!F$537:F$546, "Road Block"), "")</f>
        <v/>
      </c>
      <c r="G196" s="8" t="str">
        <f>IF(AND(COUNTIF(Logs!G$537:G$546, "Road Block")&gt;0,COUNTIF(Logs!G$537:G$546, "Detour")=0), COUNTIF(Logs!G$537:G$546, "Road Block"), "")</f>
        <v/>
      </c>
      <c r="H196" s="8" t="str">
        <f>IF(AND(COUNTIF(Logs!H$537:H$546, "Road Block")&gt;0,COUNTIF(Logs!H$537:H$546, "Detour")=0), COUNTIF(Logs!H$537:H$546, "Road Block"), "")</f>
        <v/>
      </c>
      <c r="I196" s="8" t="str">
        <f>IF(AND(COUNTIF(Logs!I$537:I$546, "Road Block")&gt;0,COUNTIF(Logs!I$537:I$546, "Detour")=0), COUNTIF(Logs!I$537:I$546, "Road Block"), "")</f>
        <v/>
      </c>
      <c r="J196" s="8" t="str">
        <f>IF(AND(COUNTIF(Logs!J$537:J$546, "Road Block")&gt;0,COUNTIF(Logs!J$537:J$546, "Detour")=0), COUNTIF(Logs!J$537:J$546, "Road Block"), "")</f>
        <v/>
      </c>
      <c r="K196" s="8" t="str">
        <f>IF(AND(COUNTIF(Logs!K$537:K$546, "Road Block")&gt;0,COUNTIF(Logs!K$537:K$546, "Detour")=0), COUNTIF(Logs!K$537:K$546, "Road Block"), "")</f>
        <v/>
      </c>
      <c r="L196" s="8" t="str">
        <f>IF(AND(COUNTIF(Logs!L$537:L$546, "Road Block")&gt;0,COUNTIF(Logs!L$537:L$546, "Detour")=0), COUNTIF(Logs!L$537:L$546, "Road Block"), "")</f>
        <v/>
      </c>
      <c r="M196" s="8" t="str">
        <f>IF(AND(COUNTIF(Logs!M$537:M$546, "Road Block")&gt;0,COUNTIF(Logs!M$537:M$546, "Detour")=0), COUNTIF(Logs!M$537:M$546, "Road Block"), "")</f>
        <v/>
      </c>
      <c r="N196" s="8">
        <f>IF(AND(COUNTIF(Logs!N$537:N$546, "Road Block")&gt;0,COUNTIF(Logs!N$537:N$546, "Detour")=0), COUNTIF(Logs!N$537:N$546, "Road Block"), "")</f>
        <v>1</v>
      </c>
      <c r="O196" s="8"/>
    </row>
    <row r="197" spans="2:15" outlineLevel="2">
      <c r="B197" s="90" t="s">
        <v>60</v>
      </c>
      <c r="C197" s="8">
        <f>IF(AND(COUNTIF(Logs!C$555:C$564, "Road Block")&gt;0,COUNTIF(Logs!C$555:C$564, "Detour")=0), COUNTIF(Logs!C$555:C$564, "Road Block"), "")</f>
        <v>2</v>
      </c>
      <c r="D197" s="8" t="str">
        <f>IF(AND(COUNTIF(Logs!D$555:D$564, "Road Block")&gt;0,COUNTIF(Logs!D$555:D$564, "Detour")=0), COUNTIF(Logs!D$555:D$564, "Road Block"), "")</f>
        <v/>
      </c>
      <c r="E197" s="8" t="str">
        <f>IF(AND(COUNTIF(Logs!E$555:E$564, "Road Block")&gt;0,COUNTIF(Logs!E$555:E$564, "Detour")=0), COUNTIF(Logs!E$555:E$564, "Road Block"), "")</f>
        <v/>
      </c>
      <c r="F197" s="8" t="str">
        <f>IF(AND(COUNTIF(Logs!F$555:F$564, "Road Block")&gt;0,COUNTIF(Logs!F$555:F$564, "Detour")=0), COUNTIF(Logs!F$555:F$564, "Road Block"), "")</f>
        <v/>
      </c>
      <c r="G197" s="8" t="str">
        <f>IF(AND(COUNTIF(Logs!G$555:G$564, "Road Block")&gt;0,COUNTIF(Logs!G$555:G$564, "Detour")=0), COUNTIF(Logs!G$555:G$564, "Road Block"), "")</f>
        <v/>
      </c>
      <c r="H197" s="8" t="str">
        <f>IF(AND(COUNTIF(Logs!H$555:H$564, "Road Block")&gt;0,COUNTIF(Logs!H$555:H$564, "Detour")=0), COUNTIF(Logs!H$555:H$564, "Road Block"), "")</f>
        <v/>
      </c>
      <c r="I197" s="8" t="str">
        <f>IF(AND(COUNTIF(Logs!I$555:I$564, "Road Block")&gt;0,COUNTIF(Logs!I$555:I$564, "Detour")=0), COUNTIF(Logs!I$555:I$564, "Road Block"), "")</f>
        <v/>
      </c>
      <c r="J197" s="8" t="str">
        <f>IF(AND(COUNTIF(Logs!J$555:J$564, "Road Block")&gt;0,COUNTIF(Logs!J$555:J$564, "Detour")=0), COUNTIF(Logs!J$555:J$564, "Road Block"), "")</f>
        <v/>
      </c>
      <c r="K197" s="8" t="str">
        <f>IF(AND(COUNTIF(Logs!K$555:K$564, "Road Block")&gt;0,COUNTIF(Logs!K$555:K$564, "Detour")=0), COUNTIF(Logs!K$555:K$564, "Road Block"), "")</f>
        <v/>
      </c>
      <c r="L197" s="8" t="str">
        <f>IF(AND(COUNTIF(Logs!L$555:L$564, "Road Block")&gt;0,COUNTIF(Logs!L$555:L$564, "Detour")=0), COUNTIF(Logs!L$555:L$564, "Road Block"), "")</f>
        <v/>
      </c>
      <c r="M197" s="8" t="str">
        <f>IF(AND(COUNTIF(Logs!M$555:M$564, "Road Block")&gt;0,COUNTIF(Logs!M$555:M$564, "Detour")=0), COUNTIF(Logs!M$555:M$564, "Road Block"), "")</f>
        <v/>
      </c>
      <c r="N197" s="8">
        <f>IF(AND(COUNTIF(Logs!N$555:N$564, "Road Block")&gt;0,COUNTIF(Logs!N$555:N$564, "Detour")=0), COUNTIF(Logs!N$555:N$564, "Road Block"), "")</f>
        <v>1</v>
      </c>
      <c r="O197" s="8"/>
    </row>
    <row r="198" spans="2:15" outlineLevel="2">
      <c r="B198" s="90" t="s">
        <v>35</v>
      </c>
      <c r="C198" s="8">
        <f>IF(AND(COUNTIF(Logs!C$572:C$583, "Road Block")&gt;0,COUNTIF(Logs!C$572:C$583, "Detour")=0), COUNTIF(Logs!C$572:C$583, "Road Block"), "")</f>
        <v>1</v>
      </c>
      <c r="D198" s="8">
        <f>IF(AND(COUNTIF(Logs!D$572:D$583, "Road Block")&gt;0,COUNTIF(Logs!D$572:D$583, "Detour")=0), COUNTIF(Logs!D$572:D$583, "Road Block"), "")</f>
        <v>1</v>
      </c>
      <c r="E198" s="8" t="str">
        <f>IF(AND(COUNTIF(Logs!E$572:E$583, "Road Block")&gt;0,COUNTIF(Logs!E$572:E$583, "Detour")=0), COUNTIF(Logs!E$572:E$583, "Road Block"), "")</f>
        <v/>
      </c>
      <c r="F198" s="8" t="str">
        <f>IF(AND(COUNTIF(Logs!F$574:F$583, "Road Block")&gt;0,COUNTIF(Logs!F$574:F$583, "Detour")=0), COUNTIF(Logs!F$574:F$583, "Road Block"), "")</f>
        <v/>
      </c>
      <c r="G198" s="8">
        <f>IF(AND(COUNTIF(Logs!G$574:G$583, "Road Block")&gt;0,COUNTIF(Logs!G$574:G$583, "Detour")=0), COUNTIF(Logs!G$574:G$583, "Road Block"), "")</f>
        <v>2</v>
      </c>
      <c r="H198" s="8" t="str">
        <f>IF(AND(COUNTIF(Logs!H$572:H$583, "Road Block")&gt;0,COUNTIF(Logs!H$572:H$583, "Detour")=0), COUNTIF(Logs!H$572:H$583, "Road Block"), "")</f>
        <v/>
      </c>
      <c r="I198" s="8" t="str">
        <f>IF(AND(COUNTIF(Logs!I$572:I$583, "Road Block")&gt;0,COUNTIF(Logs!I$572:I$583, "Detour")=0), COUNTIF(Logs!I$572:I$583, "Road Block"), "")</f>
        <v/>
      </c>
      <c r="J198" s="8" t="str">
        <f>IF(AND(COUNTIF(Logs!J$572:J$583, "Road Block")&gt;0,COUNTIF(Logs!J$572:J$583, "Detour")=0), COUNTIF(Logs!J$572:J$583, "Road Block"), "")</f>
        <v/>
      </c>
      <c r="K198" s="8" t="str">
        <f>IF(AND(COUNTIF(Logs!K$572:K$583, "Road Block")&gt;0,COUNTIF(Logs!K$572:K$583, "Detour")=0), COUNTIF(Logs!K$572:K$583, "Road Block"), "")</f>
        <v/>
      </c>
      <c r="L198" s="8" t="str">
        <f>IF(AND(COUNTIF(Logs!L$572:L$583, "Road Block")&gt;0,COUNTIF(Logs!L$572:L$583, "Detour")=0), COUNTIF(Logs!L$572:L$583, "Road Block"), "")</f>
        <v/>
      </c>
      <c r="M198" s="8">
        <f>IF(AND(COUNTIF(Logs!M$572:M$583, "Road Block")&gt;0,COUNTIF(Logs!M$572:M$583, "Detour")=0), COUNTIF(Logs!M$572:M$583, "Road Block"), "")</f>
        <v>2</v>
      </c>
      <c r="N198" s="8" t="str">
        <f>IF(AND(COUNTIF(Logs!N$572:N$583, "Road Block")&gt;0,COUNTIF(Logs!N$572:N$583, "Detour")=0), COUNTIF(Logs!N$572:N$583, "Road Block"), "")</f>
        <v/>
      </c>
      <c r="O198" s="8"/>
    </row>
    <row r="199" spans="2:15" outlineLevel="2">
      <c r="B199" s="90" t="s">
        <v>11</v>
      </c>
      <c r="C199" s="8" t="str">
        <f>IF(AND(COUNTIF(Logs!C$591:C$600, "Road Block")&gt;0,COUNTIF(Logs!C$591:C$600, "Detour")=0), COUNTIF(Logs!C$591:C$600, "Road Block"), "")</f>
        <v/>
      </c>
      <c r="D199" s="8" t="str">
        <f>IF(AND(COUNTIF(Logs!D$591:D$600, "Road Block")&gt;0,COUNTIF(Logs!D$591:D$600, "Detour")=0), COUNTIF(Logs!D$591:D$600, "Road Block"), "")</f>
        <v/>
      </c>
      <c r="E199" s="8" t="str">
        <f>IF(AND(COUNTIF(Logs!E$591:E$600, "Road Block")&gt;0,COUNTIF(Logs!E$591:E$600, "Detour")=0), COUNTIF(Logs!E$591:E$600, "Road Block"), "")</f>
        <v/>
      </c>
      <c r="F199" s="8" t="str">
        <f>IF(AND(COUNTIF(Logs!F$591:F$600, "Road Block")&gt;0,COUNTIF(Logs!F$591:F$600, "Detour")=0), COUNTIF(Logs!F$591:F$600, "Road Block"), "")</f>
        <v/>
      </c>
      <c r="G199" s="8" t="str">
        <f>IF(AND(COUNTIF(Logs!G$591:G$600, "Road Block")&gt;0,COUNTIF(Logs!G$591:G$600, "Detour")=0), COUNTIF(Logs!G$591:G$600, "Road Block"), "")</f>
        <v/>
      </c>
      <c r="H199" s="8" t="str">
        <f>IF(AND(COUNTIF(Logs!H$591:H$600, "Road Block")&gt;0,COUNTIF(Logs!H$591:H$600, "Detour")=0), COUNTIF(Logs!H$591:H$600, "Road Block"), "")</f>
        <v/>
      </c>
      <c r="I199" s="8" t="str">
        <f>IF(AND(COUNTIF(Logs!I$591:I$600, "Road Block")&gt;0,COUNTIF(Logs!I$591:I$600, "Detour")=0), COUNTIF(Logs!I$591:I$600, "Road Block"), "")</f>
        <v/>
      </c>
      <c r="J199" s="8">
        <f>IF(AND(COUNTIF(Logs!J$591:J$600, "Road Block")&gt;0,COUNTIF(Logs!J$591:J$600, "Detour")=0), COUNTIF(Logs!J$591:J$600, "Road Block"), "")</f>
        <v>2</v>
      </c>
      <c r="K199" s="8" t="str">
        <f>IF(AND(COUNTIF(Logs!K$591:K$600, "Road Block")&gt;0,COUNTIF(Logs!K$591:K$600, "Detour")=0), COUNTIF(Logs!K$591:K$600, "Road Block"), "")</f>
        <v/>
      </c>
      <c r="L199" s="8">
        <f>IF(AND(COUNTIF(Logs!L$591:L$600, "Road Block")&gt;0,COUNTIF(Logs!L$591:L$600, "Detour")=0), COUNTIF(Logs!L$591:L$600, "Road Block"), "")</f>
        <v>2</v>
      </c>
      <c r="M199" s="8" t="str">
        <f>IF(AND(COUNTIF(Logs!M$591:M$600, "Road Block")&gt;0,COUNTIF(Logs!M$591:M$600, "Detour")=0), COUNTIF(Logs!M$591:M$600, "Road Block"), "")</f>
        <v/>
      </c>
      <c r="N199" s="8" t="str">
        <f>IF(AND(COUNTIF(Logs!N$591:N$600, "Road Block")&gt;0,COUNTIF(Logs!N$591:N$600, "Detour")=0), COUNTIF(Logs!N$591:N$600, "Road Block"), "")</f>
        <v/>
      </c>
      <c r="O199" s="8"/>
    </row>
    <row r="200" spans="2:15" outlineLevel="2">
      <c r="B200" s="90" t="s">
        <v>198</v>
      </c>
      <c r="C200" s="8">
        <f>IF(AND(COUNTIF(Logs!C$607:C$616, "Road Block")&gt;0,COUNTIF(Logs!C$607:C$616, "Detour")=0), COUNTIF(Logs!C$607:C$616, "Road Block"), "")</f>
        <v>1</v>
      </c>
      <c r="D200" s="8" t="str">
        <f>IF(AND(COUNTIF(Logs!D$607:D$616, "Road Block")&gt;0,COUNTIF(Logs!D$607:D$616, "Detour")=0), COUNTIF(Logs!D$607:D$616, "Road Block"), "")</f>
        <v/>
      </c>
      <c r="E200" s="8" t="str">
        <f>IF(AND(COUNTIF(Logs!E$607:E$616, "Road Block")&gt;0,COUNTIF(Logs!E$607:E$616, "Detour")=0), COUNTIF(Logs!E$607:E$616, "Road Block"), "")</f>
        <v/>
      </c>
      <c r="F200" s="8" t="str">
        <f>IF(AND(COUNTIF(Logs!F$607:F$616, "Road Block")&gt;0,COUNTIF(Logs!F$607:F$616, "Detour")=0), COUNTIF(Logs!F$607:F$616, "Road Block"), "")</f>
        <v/>
      </c>
      <c r="G200" s="8" t="str">
        <f>IF(AND(COUNTIF(Logs!G$607:G$616, "Road Block")&gt;0,COUNTIF(Logs!G$607:G$616, "Detour")=0), COUNTIF(Logs!G$607:G$616, "Road Block"), "")</f>
        <v/>
      </c>
      <c r="H200" s="8" t="str">
        <f>IF(AND(COUNTIF(Logs!H$607:H$616, "Road Block")&gt;0,COUNTIF(Logs!H$607:H$616, "Detour")=0), COUNTIF(Logs!H$607:H$616, "Road Block"), "")</f>
        <v/>
      </c>
      <c r="I200" s="8" t="str">
        <f>IF(AND(COUNTIF(Logs!I$607:I$616, "Road Block")&gt;0,COUNTIF(Logs!I$607:I$616, "Detour")=0), COUNTIF(Logs!I$607:I$616, "Road Block"), "")</f>
        <v/>
      </c>
      <c r="J200" s="8" t="str">
        <f>IF(AND(COUNTIF(Logs!J$607:J$616, "Road Block")&gt;0,COUNTIF(Logs!J$607:J$616, "Detour")=0), COUNTIF(Logs!J$607:J$616, "Road Block"), "")</f>
        <v/>
      </c>
      <c r="K200" s="8">
        <f>IF(AND(COUNTIF(Logs!K$607:K$616, "Road Block")&gt;0,COUNTIF(Logs!K$607:K$616, "Detour")=0), COUNTIF(Logs!K$607:K$616, "Road Block"), "")</f>
        <v>1</v>
      </c>
      <c r="L200" s="8">
        <f>IF(AND(COUNTIF(Logs!L$607:L$616, "Road Block")&gt;0,COUNTIF(Logs!L$607:L$616, "Detour")=0), COUNTIF(Logs!L$607:L$616, "Road Block"), "")</f>
        <v>1</v>
      </c>
      <c r="M200" s="8" t="str">
        <f>IF(AND(COUNTIF(Logs!M$607:M$616, "Road Block")&gt;0,COUNTIF(Logs!M$607:M$616, "Detour")=0), COUNTIF(Logs!M$607:M$616, "Road Block"), "")</f>
        <v/>
      </c>
      <c r="N200" s="8" t="str">
        <f>IF(AND(COUNTIF(Logs!N$607:N$616, "Road Block")&gt;0,COUNTIF(Logs!N$607:N$616, "Detour")=0), COUNTIF(Logs!N$607:N$616, "Road Block"), "")</f>
        <v/>
      </c>
      <c r="O200" s="8"/>
    </row>
    <row r="201" spans="2:15" outlineLevel="2">
      <c r="B201" s="90" t="s">
        <v>184</v>
      </c>
      <c r="C201" s="8" t="str">
        <f>IF(AND(COUNTIF(Logs!C$623:C$632, "Road Block")&gt;0,COUNTIF(Logs!C$623:C$632, "Detour")=0), COUNTIF(Logs!C$623:C$632, "Road Block"), "")</f>
        <v/>
      </c>
      <c r="D201" s="8" t="str">
        <f>IF(AND(COUNTIF(Logs!D$623:D$632, "Road Block")&gt;0,COUNTIF(Logs!D$623:D$632, "Detour")=0), COUNTIF(Logs!D$623:D$632, "Road Block"), "")</f>
        <v/>
      </c>
      <c r="E201" s="8" t="str">
        <f>IF(AND(COUNTIF(Logs!E$623:E$632, "Road Block")&gt;0,COUNTIF(Logs!E$623:E$632, "Detour")=0), COUNTIF(Logs!E$623:E$632, "Road Block"), "")</f>
        <v/>
      </c>
      <c r="F201" s="8" t="str">
        <f>IF(AND(COUNTIF(Logs!F$623:F$632, "Road Block")&gt;0,COUNTIF(Logs!F$623:F$632, "Detour")=0), COUNTIF(Logs!F$623:F$632, "Road Block"), "")</f>
        <v/>
      </c>
      <c r="G201" s="8" t="str">
        <f>IF(AND(COUNTIF(Logs!G$623:G$632, "Road Block")&gt;0,COUNTIF(Logs!G$623:G$632, "Detour")=0), COUNTIF(Logs!G$623:G$632, "Road Block"), "")</f>
        <v/>
      </c>
      <c r="H201" s="8" t="str">
        <f>IF(AND(COUNTIF(Logs!H$623:H$632, "Road Block")&gt;0,COUNTIF(Logs!H$623:H$632, "Detour")=0), COUNTIF(Logs!H$623:H$632, "Road Block"), "")</f>
        <v/>
      </c>
      <c r="I201" s="8" t="str">
        <f>IF(AND(COUNTIF(Logs!I$623:I$632, "Road Block")&gt;0,COUNTIF(Logs!I$623:I$632, "Detour")=0), COUNTIF(Logs!I$623:I$632, "Road Block"), "")</f>
        <v/>
      </c>
      <c r="J201" s="8" t="str">
        <f>IF(AND(COUNTIF(Logs!J$623:J$632, "Road Block")&gt;0,COUNTIF(Logs!J$623:J$632, "Detour")=0), COUNTIF(Logs!J$623:J$632, "Road Block"), "")</f>
        <v/>
      </c>
      <c r="K201" s="8" t="str">
        <f>IF(AND(COUNTIF(Logs!K$623:K$632, "Road Block")&gt;0,COUNTIF(Logs!K$623:K$632, "Detour")=0), COUNTIF(Logs!K$623:K$632, "Road Block"), "")</f>
        <v/>
      </c>
      <c r="L201" s="8" t="str">
        <f>IF(AND(COUNTIF(Logs!L$623:L$632, "Road Block")&gt;0,COUNTIF(Logs!L$623:L$632, "Detour")=0), COUNTIF(Logs!L$623:L$632, "Road Block"), "")</f>
        <v/>
      </c>
      <c r="M201" s="8">
        <f>IF(AND(COUNTIF(Logs!M$623:M$632, "Road Block")&gt;0,COUNTIF(Logs!M$623:M$632, "Detour")=0), COUNTIF(Logs!M$623:M$632, "Road Block"), "")</f>
        <v>2</v>
      </c>
      <c r="N201" s="8" t="str">
        <f>IF(AND(COUNTIF(Logs!N$623:N$632, "Road Block")&gt;0,COUNTIF(Logs!N$623:N$632, "Detour")=0), COUNTIF(Logs!N$623:N$632, "Road Block"), "")</f>
        <v/>
      </c>
      <c r="O201" s="8"/>
    </row>
    <row r="202" spans="2:15" outlineLevel="2">
      <c r="B202" s="90" t="s">
        <v>563</v>
      </c>
      <c r="C202" s="8" t="str">
        <f>IF(AND(COUNTIF(Logs!C$640:C$649, "Road Block")&gt;0,COUNTIF(Logs!C$640:C$649, "Detour")=0), COUNTIF(Logs!C$640:C$649, "Road Block"), "")</f>
        <v/>
      </c>
      <c r="D202" s="8" t="str">
        <f>IF(AND(COUNTIF(Logs!D$640:D$649, "Road Block")&gt;0,COUNTIF(Logs!D$640:D$649, "Detour")=0), COUNTIF(Logs!D$640:D$649, "Road Block"), "")</f>
        <v/>
      </c>
      <c r="E202" s="8" t="str">
        <f>IF(AND(COUNTIF(Logs!E$640:E$649, "Road Block")&gt;0,COUNTIF(Logs!E$640:E$649, "Detour")=0), COUNTIF(Logs!E$640:E$649, "Road Block"), "")</f>
        <v/>
      </c>
      <c r="F202" s="8" t="str">
        <f>IF(AND(COUNTIF(Logs!F$640:F$649, "Road Block")&gt;0,COUNTIF(Logs!F$640:F$649, "Detour")=0), COUNTIF(Logs!F$640:F$649, "Road Block"), "")</f>
        <v/>
      </c>
      <c r="G202" s="8" t="str">
        <f>IF(AND(COUNTIF(Logs!G$640:G$649, "Road Block")&gt;0,COUNTIF(Logs!G$640:G$649, "Detour")=0), COUNTIF(Logs!G$640:G$649, "Road Block"), "")</f>
        <v/>
      </c>
      <c r="H202" s="8" t="str">
        <f>IF(AND(COUNTIF(Logs!H$640:H$649, "Road Block")&gt;0,COUNTIF(Logs!H$640:H$649, "Detour")=0), COUNTIF(Logs!H$640:H$649, "Road Block"), "")</f>
        <v/>
      </c>
      <c r="I202" s="8" t="str">
        <f>IF(AND(COUNTIF(Logs!I$640:I$649, "Road Block")&gt;0,COUNTIF(Logs!I$640:I$649, "Detour")=0), COUNTIF(Logs!I$640:I$649, "Road Block"), "")</f>
        <v/>
      </c>
      <c r="J202" s="8" t="str">
        <f>IF(AND(COUNTIF(Logs!J$640:J$649, "Road Block")&gt;0,COUNTIF(Logs!J$640:J$649, "Detour")=0), COUNTIF(Logs!J$640:J$649, "Road Block"), "")</f>
        <v/>
      </c>
      <c r="K202" s="8">
        <f>IF(AND(COUNTIF(Logs!K$640:K$649, "Road Block")&gt;0,COUNTIF(Logs!K$640:K$649, "Detour")=0), COUNTIF(Logs!K$640:K$649, "Road Block"), "")</f>
        <v>2</v>
      </c>
      <c r="L202" s="8" t="str">
        <f>IF(AND(COUNTIF(Logs!L$641:L$649, "Road Block")&gt;0,COUNTIF(Logs!L$641:L$649, "Detour")=0), COUNTIF(Logs!L$641:L$649, "Road Block"), "")</f>
        <v/>
      </c>
      <c r="M202" s="8">
        <f>IF(AND(COUNTIF(Logs!M$640:M$649, "Road Block")&gt;0,COUNTIF(Logs!M$640:M$649, "Detour")=0), COUNTIF(Logs!M$640:M$649, "Road Block"), "")</f>
        <v>2</v>
      </c>
      <c r="N202" s="8" t="str">
        <f>IF(AND(COUNTIF(Logs!N$640:N$649, "Road Block")&gt;0,COUNTIF(Logs!N$640:N$649, "Detour")=0), COUNTIF(Logs!N$640:N$649, "Road Block"), "")</f>
        <v/>
      </c>
      <c r="O202" s="8"/>
    </row>
    <row r="203" spans="2:15" outlineLevel="2">
      <c r="B203" s="90" t="s">
        <v>1742</v>
      </c>
      <c r="C203" s="8">
        <f>IF(AND(COUNTIF(Logs!C$655:C$664, "Road Block")&gt;0,COUNTIF(Logs!C$655:C$664, "Detour")=0), COUNTIF(Logs!C$655:C$664, "Road Block"), "")</f>
        <v>1</v>
      </c>
      <c r="D203" s="8" t="str">
        <f>IF(AND(COUNTIF(Logs!D$655:D$664, "Road Block")&gt;0,COUNTIF(Logs!D$655:D$664, "Detour")=0), COUNTIF(Logs!D$655:D$664, "Road Block"), "")</f>
        <v/>
      </c>
      <c r="E203" s="8" t="str">
        <f>IF(AND(COUNTIF(Logs!E$655:E$664, "Road Block")&gt;0,COUNTIF(Logs!E$655:E$664, "Detour")=0), COUNTIF(Logs!E$655:E$664, "Road Block"), "")</f>
        <v/>
      </c>
      <c r="F203" s="8" t="str">
        <f>IF(AND(COUNTIF(Logs!F$655:F$664, "Road Block")&gt;0,COUNTIF(Logs!F$655:F$664, "Detour")=0), COUNTIF(Logs!F$655:F$664, "Road Block"), "")</f>
        <v/>
      </c>
      <c r="G203" s="8" t="str">
        <f>IF(AND(COUNTIF(Logs!G$655:G$664, "Road Block")&gt;0,COUNTIF(Logs!G$655:G$664, "Detour")=0), COUNTIF(Logs!G$655:G$664, "Road Block"), "")</f>
        <v/>
      </c>
      <c r="H203" s="8">
        <f>IF(AND(COUNTIF(Logs!H$655:H$664, "Road Block")&gt;0,COUNTIF(Logs!H$655:H$664, "Detour")=0), COUNTIF(Logs!H$655:H$664, "Road Block"), "")</f>
        <v>2</v>
      </c>
      <c r="I203" s="8" t="str">
        <f>IF(AND(COUNTIF(Logs!I$655:I$664, "Road Block")&gt;0,COUNTIF(Logs!I$655:I$664, "Detour")=0), COUNTIF(Logs!I$655:I$664, "Road Block"), "")</f>
        <v/>
      </c>
      <c r="J203" s="8">
        <f>IF(AND(COUNTIF(Logs!J$656:J$664, "Road Block")&gt;0,COUNTIF(Logs!J$656:J$664, "Detour")=0), COUNTIF(Logs!J$656:J$664, "Road Block"), "")</f>
        <v>1</v>
      </c>
      <c r="K203" s="8" t="str">
        <f>IF(AND(COUNTIF(Logs!K$655:K$664, "Road Block")&gt;0,COUNTIF(Logs!K$655:K$664, "Detour")=0), COUNTIF(Logs!K$655:K$664, "Road Block"), "")</f>
        <v/>
      </c>
      <c r="L203" s="8" t="str">
        <f>IF(AND(COUNTIF(Logs!L$663:L$664, "Road Block")&gt;0,COUNTIF(Logs!L$663:L$664, "Detour")=0), COUNTIF(Logs!L$663:L$664, "Road Block"), "")</f>
        <v/>
      </c>
      <c r="M203" s="8">
        <f>IF(AND(COUNTIF(Logs!M$655:M$664, "Road Block")&gt;0,COUNTIF(Logs!M$655:M$664, "Detour")=0), COUNTIF(Logs!M$655:M$664, "Road Block"), "")</f>
        <v>1</v>
      </c>
      <c r="N203" s="8">
        <f>IF(AND(COUNTIF(Logs!N$655:N$664, "Road Block")&gt;0,COUNTIF(Logs!N$655:N$664, "Detour")=0), COUNTIF(Logs!N$655:N$664, "Road Block"), "")</f>
        <v>1</v>
      </c>
      <c r="O203" s="8" t="str">
        <f>IF(AND(COUNTIF(Logs!O$655:O$664, "Road Block")&gt;0,COUNTIF(Logs!O$655:O$664, "Detour")=0), COUNTIF(Logs!O$655:O$664, "Road Block"), "")</f>
        <v/>
      </c>
    </row>
    <row r="204" spans="2:15" outlineLevel="2">
      <c r="B204" s="90" t="s">
        <v>2056</v>
      </c>
      <c r="C204" s="8">
        <f>IF(AND(COUNTIF(Logs!C$671:C$680, "Road Block")&gt;0,COUNTIF(Logs!C$671:C$680, "Detour")=0), COUNTIF(Logs!C$671:C$680, "Road Block"), "")</f>
        <v>1</v>
      </c>
      <c r="D204" s="8" t="str">
        <f>IF(AND(COUNTIF(Logs!D$671:D$681, "Road Block")&gt;0,COUNTIF(Logs!D$671:D$681, "Detour")=0), COUNTIF(Logs!D$671:D$681, "Road Block"), "")</f>
        <v/>
      </c>
      <c r="E204" s="8">
        <f>IF(AND(COUNTIF(Logs!E$671:E$681, "Road Block")&gt;0,COUNTIF(Logs!E$671:E$681, "Detour")=0), COUNTIF(Logs!E$671:E$681, "Road Block"), "")</f>
        <v>2</v>
      </c>
      <c r="F204" s="8" t="str">
        <f>IF(AND(COUNTIF(Logs!F$671:F$681, "Road Block")&gt;0,COUNTIF(Logs!F$671:F$681, "Detour")=0), COUNTIF(Logs!F$671:F$681, "Road Block"), "")</f>
        <v/>
      </c>
      <c r="G204" s="8" t="str">
        <f>IF(AND(COUNTIF(Logs!G$671:G$681, "Road Block")&gt;0,COUNTIF(Logs!G$671:G$681, "Detour")=0), COUNTIF(Logs!G$671:G$681, "Road Block"), "")</f>
        <v/>
      </c>
      <c r="H204" s="8" t="str">
        <f>IF(AND(COUNTIF(Logs!H$671:H$681, "Road Block")&gt;0,COUNTIF(Logs!H$671:H$681, "Detour")=0), COUNTIF(Logs!H$671:H$681, "Road Block"), "")</f>
        <v/>
      </c>
      <c r="I204" s="8" t="str">
        <f>IF(AND(COUNTIF(Logs!I$671:I$681, "Road Block")&gt;0,COUNTIF(Logs!I$671:I$681, "Detour")=0), COUNTIF(Logs!I$671:I$681, "Road Block"), "")</f>
        <v/>
      </c>
      <c r="J204" s="8" t="str">
        <f>IF(AND(COUNTIF(Logs!J$671:J$681, "Road Block")&gt;0,COUNTIF(Logs!J$671:J$681, "Detour")=0), COUNTIF(Logs!J$671:J$681, "Road Block"), "")</f>
        <v/>
      </c>
      <c r="K204" s="8" t="str">
        <f>IF(AND(COUNTIF(Logs!K$671:K$681, "Road Block")&gt;0,COUNTIF(Logs!K$671:K$681, "Detour")=0), COUNTIF(Logs!K$671:K$681, "Road Block"), "")</f>
        <v/>
      </c>
      <c r="L204" s="8">
        <f>IF(AND(COUNTIF(Logs!L$671:L$681, "Road Block")&gt;0,COUNTIF(Logs!L$671:L$681, "Detour")=0), COUNTIF(Logs!L$671:L$681, "Road Block"), "")</f>
        <v>2</v>
      </c>
      <c r="M204" s="8">
        <f>IF(AND(COUNTIF(Logs!M$671:M$681, "Road Block")&gt;0,COUNTIF(Logs!M$671:M$681, "Detour")=0), COUNTIF(Logs!M$671:M$681, "Road Block"), "")</f>
        <v>1</v>
      </c>
      <c r="N204" s="8" t="str">
        <f>IF(AND(COUNTIF(Logs!N$671:N$681, "Road Block")&gt;0,COUNTIF(Logs!N$671:N$681, "Detour")=0), COUNTIF(Logs!N$671:N$681, "Road Block"), "")</f>
        <v/>
      </c>
      <c r="O204" s="8" t="str">
        <f>IF(AND(COUNTIF(Logs!O$671:O$681, "Road Block")&gt;0,COUNTIF(Logs!O$671:O$681, "Detour")=0), COUNTIF(Logs!O$671:O$681, "Road Block"), "")</f>
        <v/>
      </c>
    </row>
    <row r="205" spans="2:15" outlineLevel="2">
      <c r="B205" s="287" t="s">
        <v>200</v>
      </c>
      <c r="C205" s="558">
        <f>IF(SUM(C167:C204)&gt;0, SUM(C167:C204), "")</f>
        <v>23</v>
      </c>
      <c r="D205" s="558">
        <f t="shared" ref="D205:O205" si="20">IF(SUM(D167:D204)&gt;0, SUM(D167:D204), "")</f>
        <v>2</v>
      </c>
      <c r="E205" s="558">
        <f t="shared" si="20"/>
        <v>2</v>
      </c>
      <c r="F205" s="558" t="str">
        <f t="shared" si="20"/>
        <v/>
      </c>
      <c r="G205" s="558">
        <f t="shared" si="20"/>
        <v>4</v>
      </c>
      <c r="H205" s="558">
        <f t="shared" si="20"/>
        <v>2</v>
      </c>
      <c r="I205" s="558" t="str">
        <f t="shared" si="20"/>
        <v/>
      </c>
      <c r="J205" s="558">
        <f t="shared" si="20"/>
        <v>4</v>
      </c>
      <c r="K205" s="558">
        <f t="shared" si="20"/>
        <v>7</v>
      </c>
      <c r="L205" s="558">
        <f t="shared" si="20"/>
        <v>8</v>
      </c>
      <c r="M205" s="558">
        <f t="shared" si="20"/>
        <v>10</v>
      </c>
      <c r="N205" s="558">
        <f t="shared" si="20"/>
        <v>25</v>
      </c>
      <c r="O205" s="558">
        <f t="shared" si="20"/>
        <v>1</v>
      </c>
    </row>
    <row r="206" spans="2:15" outlineLevel="2"/>
    <row r="207" spans="2:15" ht="18.75" outlineLevel="1">
      <c r="B207" s="68" t="s">
        <v>2004</v>
      </c>
    </row>
    <row r="208" spans="2:15" outlineLevel="1">
      <c r="B208" s="35" t="s">
        <v>183</v>
      </c>
      <c r="C208" s="37" t="s">
        <v>1</v>
      </c>
      <c r="D208" s="37" t="s">
        <v>2</v>
      </c>
      <c r="E208" s="37" t="s">
        <v>3</v>
      </c>
      <c r="F208" s="37" t="s">
        <v>4</v>
      </c>
      <c r="G208" s="37" t="s">
        <v>5</v>
      </c>
      <c r="H208" s="37" t="s">
        <v>6</v>
      </c>
      <c r="I208" s="37" t="s">
        <v>7</v>
      </c>
      <c r="J208" s="37" t="s">
        <v>8</v>
      </c>
      <c r="K208" s="37" t="s">
        <v>9</v>
      </c>
      <c r="L208" s="37" t="s">
        <v>10</v>
      </c>
      <c r="M208" s="37" t="s">
        <v>36</v>
      </c>
      <c r="N208" s="37" t="s">
        <v>37</v>
      </c>
      <c r="O208" s="37" t="s">
        <v>344</v>
      </c>
    </row>
    <row r="209" spans="2:15" outlineLevel="1">
      <c r="B209" s="90" t="s">
        <v>126</v>
      </c>
      <c r="C209" s="33">
        <f>IF(AND(COUNTIF(Logs!C$9:C$18, "Detour")&gt;0,COUNTIF(Logs!C$9:C$18, "Road Block")=0), COUNTIF(Logs!C$9:C$18, "Detour"), "")</f>
        <v>1</v>
      </c>
      <c r="D209" s="33" t="str">
        <f>IF(AND(COUNTIF(Logs!D$9:D$18, "Detour")&gt;0,COUNTIF(Logs!D$9:D$18, "Road Block")=0), COUNTIF(Logs!D$9:D$18, "Detour"), "")</f>
        <v/>
      </c>
      <c r="E209" s="33" t="str">
        <f>IF(AND(COUNTIF(Logs!E$9:E$18, "Detour")&gt;0,COUNTIF(Logs!E$9:E$18, "Road Block")=0), COUNTIF(Logs!E$9:E$18, "Detour"), "")</f>
        <v/>
      </c>
      <c r="F209" s="33" t="str">
        <f>IF(AND(COUNTIF(Logs!F$9:F$18, "Detour")&gt;0,COUNTIF(Logs!F$9:F$18, "Road Block")=0), COUNTIF(Logs!F$9:F$18, "Detour"), "")</f>
        <v/>
      </c>
      <c r="G209" s="33" t="str">
        <f>IF(AND(COUNTIF(Logs!G$9:G$18, "Detour")&gt;0,COUNTIF(Logs!G$9:G$18, "Road Block")=0), COUNTIF(Logs!G$9:G$18, "Detour"), "")</f>
        <v/>
      </c>
      <c r="H209" s="33" t="str">
        <f>IF(AND(COUNTIF(Logs!H$9:H$18, "Detour")&gt;0,COUNTIF(Logs!H$9:H$18, "Road Block")=0), COUNTIF(Logs!H$9:H$18, "Detour"), "")</f>
        <v/>
      </c>
      <c r="I209" s="33" t="str">
        <f>IF(AND(COUNTIF(Logs!I$9:I$18, "Detour")&gt;0,COUNTIF(Logs!I$9:I$18, "Road Block")=0), COUNTIF(Logs!I$9:I$18, "Detour"), "")</f>
        <v/>
      </c>
      <c r="J209" s="33" t="str">
        <f>IF(AND(COUNTIF(Logs!J$9:J$18, "Detour")&gt;0,COUNTIF(Logs!J$9:J$18, "Road Block")=0), COUNTIF(Logs!J$9:J$18, "Detour"), "")</f>
        <v/>
      </c>
      <c r="K209" s="33" t="str">
        <f>IF(AND(COUNTIF(Logs!K$9:K$18, "Detour")&gt;0,COUNTIF(Logs!K$9:K$18, "Road Block")=0), COUNTIF(Logs!K$9:K$18, "Detour"), "")</f>
        <v/>
      </c>
      <c r="L209" s="33" t="str">
        <f>IF(AND(COUNTIF(Logs!L$9:L$18, "Detour")&gt;0,COUNTIF(Logs!L$9:L$18, "Road Block")=0), COUNTIF(Logs!L$9:L$18, "Detour"), "")</f>
        <v/>
      </c>
      <c r="M209" s="33" t="str">
        <f>IF(AND(COUNTIF(Logs!M$10:M$18, "Detour")&gt;0,COUNTIF(Logs!M$10:M$18, "Road Block")=0), COUNTIF(Logs!M$10:M$18, "Detour"), "")</f>
        <v/>
      </c>
      <c r="N209" s="33" t="str">
        <f>IF(AND(COUNTIF(Logs!N$9:N$18, "Detour")&gt;0,COUNTIF(Logs!N$9:N$18, "Road Block")=0), COUNTIF(Logs!N$9:N$18, "Detour"), "")</f>
        <v/>
      </c>
      <c r="O209" s="33" t="str">
        <f>IF(AND(COUNTIF(Logs!O$9:O$18, "Detour")&gt;0,COUNTIF(Logs!O$9:O$18, "Road Block")=0), COUNTIF(Logs!O$9:O$18, "Detour"), "")</f>
        <v/>
      </c>
    </row>
    <row r="210" spans="2:15" outlineLevel="1">
      <c r="B210" s="90" t="s">
        <v>127</v>
      </c>
      <c r="C210" s="33">
        <f>IF(AND(COUNTIF(Logs!C$27:C$36, "Detour")&gt;0,COUNTIF(Logs!C$27:C$36, "Road Block")=0), COUNTIF(Logs!C$27:C$36, "Detour"), "")</f>
        <v>1</v>
      </c>
      <c r="D210" s="33" t="str">
        <f>IF(AND(COUNTIF(Logs!D$27:D$36, "Detour")&gt;0,COUNTIF(Logs!D$27:D$36, "Road Block")=0), COUNTIF(Logs!D$27:D$36, "Detour"), "")</f>
        <v/>
      </c>
      <c r="E210" s="33" t="str">
        <f>IF(AND(COUNTIF(Logs!E$27:E$36, "Detour")&gt;0,COUNTIF(Logs!E$27:E$36, "Road Block")=0), COUNTIF(Logs!E$27:E$36, "Detour"), "")</f>
        <v/>
      </c>
      <c r="F210" s="33" t="str">
        <f>IF(AND(COUNTIF(Logs!F$27:F$36, "Detour")&gt;0,COUNTIF(Logs!F$27:F$36, "Road Block")=0), COUNTIF(Logs!F$27:F$36, "Detour"), "")</f>
        <v/>
      </c>
      <c r="G210" s="33" t="str">
        <f>IF(AND(COUNTIF(Logs!G$27:G$36, "Detour")&gt;0,COUNTIF(Logs!G$27:G$36, "Road Block")=0), COUNTIF(Logs!G$27:G$36, "Detour"), "")</f>
        <v/>
      </c>
      <c r="H210" s="33" t="str">
        <f>IF(AND(COUNTIF(Logs!H$27:H$36, "Detour")&gt;0,COUNTIF(Logs!H$27:H$36, "Road Block")=0), COUNTIF(Logs!H$27:H$36, "Detour"), "")</f>
        <v/>
      </c>
      <c r="I210" s="33" t="str">
        <f>IF(AND(COUNTIF(Logs!I$27:I$36, "Detour")&gt;0,COUNTIF(Logs!I$27:I$36, "Road Block")=0), COUNTIF(Logs!I$27:I$36, "Detour"), "")</f>
        <v/>
      </c>
      <c r="J210" s="33" t="str">
        <f>IF(AND(COUNTIF(Logs!J$27:J$36, "Detour")&gt;0,COUNTIF(Logs!J$27:J$36, "Road Block")=0), COUNTIF(Logs!J$27:J$36, "Detour"), "")</f>
        <v/>
      </c>
      <c r="K210" s="33" t="str">
        <f>IF(AND(COUNTIF(Logs!K$27:K$36, "Detour")&gt;0,COUNTIF(Logs!K$27:K$36, "Road Block")=0), COUNTIF(Logs!K$27:K$36, "Detour"), "")</f>
        <v/>
      </c>
      <c r="L210" s="33" t="str">
        <f>IF(AND(COUNTIF(Logs!L$27:L$36, "Detour")&gt;0,COUNTIF(Logs!L$27:L$36, "Road Block")=0), COUNTIF(Logs!L$27:L$36, "Detour"), "")</f>
        <v/>
      </c>
      <c r="M210" s="33" t="str">
        <f>IF(AND(COUNTIF(Logs!M$27:M$36, "Detour")&gt;0,COUNTIF(Logs!M$27:M$36, "Road Block")=0), COUNTIF(Logs!M$27:M$36, "Detour"), "")</f>
        <v/>
      </c>
      <c r="N210" s="33" t="str">
        <f>IF(AND(COUNTIF(Logs!N$27:N$36, "Detour")&gt;0,COUNTIF(Logs!N$27:N$36, "Road Block")=0), COUNTIF(Logs!N$27:N$36, "Detour"), "")</f>
        <v/>
      </c>
      <c r="O210" s="33" t="str">
        <f>IF(AND(COUNTIF(Logs!O$27:O$36, "Detour")&gt;0,COUNTIF(Logs!O$27:O$36, "Road Block")=0), COUNTIF(Logs!O$27:O$36, "Detour"), "")</f>
        <v/>
      </c>
    </row>
    <row r="211" spans="2:15" outlineLevel="1">
      <c r="B211" s="90" t="s">
        <v>128</v>
      </c>
      <c r="C211" s="33">
        <f>IF(AND(COUNTIF(Logs!C$45:C$54, "Detour")&gt;0,COUNTIF(Logs!C$45:C$54, "Road Block")=0), COUNTIF(Logs!C$45:C$54, "Detour"), "")</f>
        <v>1</v>
      </c>
      <c r="D211" s="33" t="str">
        <f>IF(AND(COUNTIF(Logs!D$45:D$54, "Detour")&gt;0,COUNTIF(Logs!D$45:D$54, "Road Block")=0), COUNTIF(Logs!D$45:D$54, "Detour"), "")</f>
        <v/>
      </c>
      <c r="E211" s="33" t="str">
        <f>IF(AND(COUNTIF(Logs!E$45:E$54, "Detour")&gt;0,COUNTIF(Logs!E$45:E$54, "Road Block")=0), COUNTIF(Logs!E$45:E$54, "Detour"), "")</f>
        <v/>
      </c>
      <c r="F211" s="33" t="str">
        <f>IF(AND(COUNTIF(Logs!F$45:F$54, "Detour")&gt;0,COUNTIF(Logs!F$45:F$54, "Road Block")=0), COUNTIF(Logs!F$45:F$54, "Detour"), "")</f>
        <v/>
      </c>
      <c r="G211" s="33" t="str">
        <f>IF(AND(COUNTIF(Logs!G$45:G$54, "Detour")&gt;0,COUNTIF(Logs!G$45:G$54, "Road Block")=0), COUNTIF(Logs!G$45:G$54, "Detour"), "")</f>
        <v/>
      </c>
      <c r="H211" s="33" t="str">
        <f>IF(AND(COUNTIF(Logs!H$45:H$54, "Detour")&gt;0,COUNTIF(Logs!H$45:H$54, "Road Block")=0), COUNTIF(Logs!H$45:H$54, "Detour"), "")</f>
        <v/>
      </c>
      <c r="I211" s="33" t="str">
        <f>IF(AND(COUNTIF(Logs!I$45:I$54, "Detour")&gt;0,COUNTIF(Logs!I$45:I$54, "Road Block")=0), COUNTIF(Logs!I$45:I$54, "Detour"), "")</f>
        <v/>
      </c>
      <c r="J211" s="33" t="str">
        <f>IF(AND(COUNTIF(Logs!J$45:J$54, "Detour")&gt;0,COUNTIF(Logs!J$45:J$54, "Road Block")=0), COUNTIF(Logs!J$45:J$54, "Detour"), "")</f>
        <v/>
      </c>
      <c r="K211" s="33" t="str">
        <f>IF(AND(COUNTIF(Logs!K$45:K$54, "Detour")&gt;0,COUNTIF(Logs!K$45:K$54, "Road Block")=0), COUNTIF(Logs!K$45:K$54, "Detour"), "")</f>
        <v/>
      </c>
      <c r="L211" s="33" t="str">
        <f>IF(AND(COUNTIF(Logs!L$45:L$54, "Detour")&gt;0,COUNTIF(Logs!L$45:L$54, "Road Block")=0), COUNTIF(Logs!L$45:L$54, "Detour"), "")</f>
        <v/>
      </c>
      <c r="M211" s="33" t="str">
        <f>IF(AND(COUNTIF(Logs!M$45:M$54, "Detour")&gt;0,COUNTIF(Logs!M$45:M$54, "Road Block")=0), COUNTIF(Logs!M$45:M$54, "Detour"), "")</f>
        <v/>
      </c>
      <c r="N211" s="33" t="str">
        <f>IF(AND(COUNTIF(Logs!N$45:N$54, "Detour")&gt;0,COUNTIF(Logs!N$45:N$54, "Road Block")=0), COUNTIF(Logs!N$45:N$54, "Detour"), "")</f>
        <v/>
      </c>
      <c r="O211" s="33" t="str">
        <f>IF(AND(COUNTIF(Logs!O$45:O$54, "Detour")&gt;0,COUNTIF(Logs!O$45:O$54, "Road Block")=0), COUNTIF(Logs!O$45:O$54, "Detour"), "")</f>
        <v/>
      </c>
    </row>
    <row r="212" spans="2:15" outlineLevel="1">
      <c r="B212" s="90" t="s">
        <v>129</v>
      </c>
      <c r="C212" s="33">
        <f>IF(AND(COUNTIF(Logs!C$63:C$72, "Detour")&gt;0,COUNTIF(Logs!C$63:C$72, "Road Block")=0), COUNTIF(Logs!C$63:C$72, "Detour"), "")</f>
        <v>1</v>
      </c>
      <c r="D212" s="33" t="str">
        <f>IF(AND(COUNTIF(Logs!D$63:D$72, "Detour")&gt;0,COUNTIF(Logs!D$63:D$72, "Road Block")=0), COUNTIF(Logs!D$63:D$72, "Detour"), "")</f>
        <v/>
      </c>
      <c r="E212" s="33" t="str">
        <f>IF(AND(COUNTIF(Logs!E$63:E$72, "Detour")&gt;0,COUNTIF(Logs!E$63:E$72, "Road Block")=0), COUNTIF(Logs!E$63:E$72, "Detour"), "")</f>
        <v/>
      </c>
      <c r="F212" s="33" t="str">
        <f>IF(AND(COUNTIF(Logs!F$63:F$72, "Detour")&gt;0,COUNTIF(Logs!F$63:F$72, "Road Block")=0), COUNTIF(Logs!F$63:F$72, "Detour"), "")</f>
        <v/>
      </c>
      <c r="G212" s="33" t="str">
        <f>IF(AND(COUNTIF(Logs!G$63:G$72, "Detour")&gt;0,COUNTIF(Logs!G$63:G$72, "Road Block")=0), COUNTIF(Logs!G$63:G$72, "Detour"), "")</f>
        <v/>
      </c>
      <c r="H212" s="33" t="str">
        <f>IF(AND(COUNTIF(Logs!H$63:H$72, "Detour")&gt;0,COUNTIF(Logs!H$63:H$72, "Road Block")=0), COUNTIF(Logs!H$63:H$72, "Detour"), "")</f>
        <v/>
      </c>
      <c r="I212" s="33" t="str">
        <f>IF(AND(COUNTIF(Logs!I$63:I$72, "Detour")&gt;0,COUNTIF(Logs!I$63:I$72, "Road Block")=0), COUNTIF(Logs!I$63:I$72, "Detour"), "")</f>
        <v/>
      </c>
      <c r="J212" s="33" t="str">
        <f>IF(AND(COUNTIF(Logs!J$63:J$72, "Detour")&gt;0,COUNTIF(Logs!J$63:J$72, "Road Block")=0), COUNTIF(Logs!J$63:J$72, "Detour"), "")</f>
        <v/>
      </c>
      <c r="K212" s="33" t="str">
        <f>IF(AND(COUNTIF(Logs!K$63:K$72, "Detour")&gt;0,COUNTIF(Logs!K$63:K$72, "Road Block")=0), COUNTIF(Logs!K$63:K$72, "Detour"), "")</f>
        <v/>
      </c>
      <c r="L212" s="33" t="str">
        <f>IF(AND(COUNTIF(Logs!L$63:L$72, "Detour")&gt;0,COUNTIF(Logs!L$63:L$72, "Road Block")=0), COUNTIF(Logs!L$63:L$72, "Detour"), "")</f>
        <v/>
      </c>
      <c r="M212" s="33" t="str">
        <f>IF(AND(COUNTIF(Logs!M$63:M$72, "Detour")&gt;0,COUNTIF(Logs!M$63:M$72, "Road Block")=0), COUNTIF(Logs!M$63:M$72, "Detour"), "")</f>
        <v/>
      </c>
      <c r="N212" s="33" t="str">
        <f>IF(AND(COUNTIF(Logs!N$63:N$72, "Detour")&gt;0,COUNTIF(Logs!N$63:N$72, "Road Block")=0), COUNTIF(Logs!N$63:N$72, "Detour"), "")</f>
        <v/>
      </c>
      <c r="O212" s="33" t="str">
        <f>IF(AND(COUNTIF(Logs!O$63:O$72, "Detour")&gt;0,COUNTIF(Logs!O$63:O$72, "Road Block")=0), COUNTIF(Logs!O$63:O$72, "Detour"), "")</f>
        <v/>
      </c>
    </row>
    <row r="213" spans="2:15" outlineLevel="1">
      <c r="B213" s="90" t="s">
        <v>130</v>
      </c>
      <c r="C213" s="33">
        <f>IF(AND(COUNTIF(Logs!C$81:C$90, "Detour")&gt;0,COUNTIF(Logs!C$81:C$90, "Road Block")=0), COUNTIF(Logs!C$81:C$90, "Detour"), "")</f>
        <v>1</v>
      </c>
      <c r="D213" s="33" t="str">
        <f>IF(AND(COUNTIF(Logs!D$81:D$90, "Detour")&gt;0,COUNTIF(Logs!D$81:D$90, "Road Block")=0), COUNTIF(Logs!D$81:D$90, "Detour"), "")</f>
        <v/>
      </c>
      <c r="E213" s="33" t="str">
        <f>IF(AND(COUNTIF(Logs!E$81:E$90, "Detour")&gt;0,COUNTIF(Logs!E$81:E$90, "Road Block")=0), COUNTIF(Logs!E$81:E$90, "Detour"), "")</f>
        <v/>
      </c>
      <c r="F213" s="33" t="str">
        <f>IF(AND(COUNTIF(Logs!F$81:F$90, "Detour")&gt;0,COUNTIF(Logs!F$81:F$90, "Road Block")=0), COUNTIF(Logs!F$81:F$90, "Detour"), "")</f>
        <v/>
      </c>
      <c r="G213" s="33" t="str">
        <f>IF(AND(COUNTIF(Logs!G$81:G$90, "Detour")&gt;0,COUNTIF(Logs!G$81:G$90, "Road Block")=0), COUNTIF(Logs!G$81:G$90, "Detour"), "")</f>
        <v/>
      </c>
      <c r="H213" s="33" t="str">
        <f>IF(AND(COUNTIF(Logs!H$81:H$90, "Detour")&gt;0,COUNTIF(Logs!H$81:H$90, "Road Block")=0), COUNTIF(Logs!H$81:H$90, "Detour"), "")</f>
        <v/>
      </c>
      <c r="I213" s="33" t="str">
        <f>IF(AND(COUNTIF(Logs!I$81:I$90, "Detour")&gt;0,COUNTIF(Logs!I$81:I$90, "Road Block")=0), COUNTIF(Logs!I$81:I$90, "Detour"), "")</f>
        <v/>
      </c>
      <c r="J213" s="33" t="str">
        <f>IF(AND(COUNTIF(Logs!J$81:J$90, "Detour")&gt;0,COUNTIF(Logs!J$81:J$90, "Road Block")=0), COUNTIF(Logs!J$81:J$90, "Detour"), "")</f>
        <v/>
      </c>
      <c r="K213" s="33" t="str">
        <f>IF(AND(COUNTIF(Logs!K$81:K$90, "Detour")&gt;0,COUNTIF(Logs!K$81:K$90, "Road Block")=0), COUNTIF(Logs!K$81:K$90, "Detour"), "")</f>
        <v/>
      </c>
      <c r="L213" s="33" t="str">
        <f>IF(AND(COUNTIF(Logs!L$81:L$90, "Detour")&gt;0,COUNTIF(Logs!L$81:L$90, "Road Block")=0), COUNTIF(Logs!L$81:L$90, "Detour"), "")</f>
        <v/>
      </c>
      <c r="M213" s="33" t="str">
        <f>IF(AND(COUNTIF(Logs!M$81:M$90, "Detour")&gt;0,COUNTIF(Logs!M$81:M$90, "Road Block")=0), COUNTIF(Logs!M$81:M$90, "Detour"), "")</f>
        <v/>
      </c>
      <c r="N213" s="33" t="str">
        <f>IF(AND(COUNTIF(Logs!N$81:N$90, "Detour")&gt;0,COUNTIF(Logs!N$81:N$90, "Road Block")=0), COUNTIF(Logs!N$81:N$90, "Detour"), "")</f>
        <v/>
      </c>
      <c r="O213" s="33" t="str">
        <f>IF(AND(COUNTIF(Logs!O$81:O$90, "Detour")&gt;0,COUNTIF(Logs!O$81:O$90, "Road Block")=0), COUNTIF(Logs!O$81:O$90, "Detour"), "")</f>
        <v/>
      </c>
    </row>
    <row r="214" spans="2:15" outlineLevel="1">
      <c r="B214" s="90" t="s">
        <v>131</v>
      </c>
      <c r="C214" s="33">
        <f>IF(AND(COUNTIF(Logs!C$100:C$112, "Detour")&gt;0,COUNTIF(Logs!C$100:C$112, "Road Block")=0), COUNTIF(Logs!C$100:C$112, "Detour"), "")</f>
        <v>1</v>
      </c>
      <c r="D214" s="33" t="str">
        <f>IF(AND(COUNTIF(Logs!D$100:D$112, "Detour")&gt;0,COUNTIF(Logs!D$100:D$112, "Road Block")=0), COUNTIF(Logs!D$100:D$112, "Detour"), "")</f>
        <v/>
      </c>
      <c r="E214" s="33" t="str">
        <f>IF(AND(COUNTIF(Logs!E$100:E$112, "Detour")&gt;0,COUNTIF(Logs!E$100:E$112, "Road Block")=0), COUNTIF(Logs!E$100:E$112, "Detour"), "")</f>
        <v/>
      </c>
      <c r="F214" s="33" t="str">
        <f>IF(AND(COUNTIF(Logs!F$100:F$112, "Detour")&gt;0,COUNTIF(Logs!F$100:F$112, "Road Block")=0), COUNTIF(Logs!F$100:F$112, "Detour"), "")</f>
        <v/>
      </c>
      <c r="G214" s="33" t="str">
        <f>IF(AND(COUNTIF(Logs!G$100:G$112, "Detour")&gt;0,COUNTIF(Logs!G$100:G$112, "Road Block")=0), COUNTIF(Logs!G$100:G$112, "Detour"), "")</f>
        <v/>
      </c>
      <c r="H214" s="33" t="str">
        <f>IF(AND(COUNTIF(Logs!H$100:H$112, "Detour")&gt;0,COUNTIF(Logs!H$100:H$112, "Road Block")=0), COUNTIF(Logs!H$100:H$112, "Detour"), "")</f>
        <v/>
      </c>
      <c r="I214" s="33" t="str">
        <f>IF(AND(COUNTIF(Logs!I$100:I$112, "Detour")&gt;0,COUNTIF(Logs!I$100:I$112, "Road Block")=0), COUNTIF(Logs!I$100:I$112, "Detour"), "")</f>
        <v/>
      </c>
      <c r="J214" s="33" t="str">
        <f>IF(AND(COUNTIF(Logs!J$100:J$112, "Detour")&gt;0,COUNTIF(Logs!J$100:J$112, "Road Block")=0), COUNTIF(Logs!J$100:J$112, "Detour"), "")</f>
        <v/>
      </c>
      <c r="K214" s="33" t="str">
        <f>IF(AND(COUNTIF(Logs!K$100:K$112, "Detour")&gt;0,COUNTIF(Logs!K$100:K$112, "Road Block")=0), COUNTIF(Logs!K$100:K$112, "Detour"), "")</f>
        <v/>
      </c>
      <c r="L214" s="33" t="str">
        <f>IF(AND(COUNTIF(Logs!L$100:L$112, "Detour")&gt;0,COUNTIF(Logs!L$100:L$112, "Road Block")=0), COUNTIF(Logs!L$100:L$112, "Detour"), "")</f>
        <v/>
      </c>
      <c r="M214" s="33" t="str">
        <f>IF(AND(COUNTIF(Logs!M$100:M$112, "Detour")&gt;0,COUNTIF(Logs!M$100:M$112, "Road Block")=0), COUNTIF(Logs!M$100:M$112, "Detour"), "")</f>
        <v/>
      </c>
      <c r="N214" s="33" t="str">
        <f>IF(AND(COUNTIF(Logs!N$100:N$112, "Detour")&gt;0,COUNTIF(Logs!N$100:N$112, "Road Block")=0), COUNTIF(Logs!N$100:N$112, "Detour"), "")</f>
        <v/>
      </c>
      <c r="O214" s="33" t="str">
        <f>IF(AND(COUNTIF(Logs!O$100:O$112, "Detour")&gt;0,COUNTIF(Logs!O$100:O$112, "Road Block")=0), COUNTIF(Logs!O$100:O$112, "Detour"), "")</f>
        <v/>
      </c>
    </row>
    <row r="215" spans="2:15" outlineLevel="1">
      <c r="B215" s="90" t="s">
        <v>132</v>
      </c>
      <c r="C215" s="33">
        <f>IF(AND(COUNTIF(Logs!C$120:C$129, "Detour")&gt;0,COUNTIF(Logs!C$120:C$129, "Road Block")=0), COUNTIF(Logs!C$120:C$129, "Detour"), "")</f>
        <v>1</v>
      </c>
      <c r="D215" s="33" t="str">
        <f>IF(AND(COUNTIF(Logs!D$120:D$129, "Detour")&gt;0,COUNTIF(Logs!D$120:D$129, "Road Block")=0), COUNTIF(Logs!D$120:D$129, "Detour"), "")</f>
        <v/>
      </c>
      <c r="E215" s="33" t="str">
        <f>IF(AND(COUNTIF(Logs!E$120:E$129, "Detour")&gt;0,COUNTIF(Logs!E$120:E$129, "Road Block")=0), COUNTIF(Logs!E$120:E$129, "Detour"), "")</f>
        <v/>
      </c>
      <c r="F215" s="33" t="str">
        <f>IF(AND(COUNTIF(Logs!F$120:F$129, "Detour")&gt;0,COUNTIF(Logs!F$120:F$129, "Road Block")=0), COUNTIF(Logs!F$120:F$129, "Detour"), "")</f>
        <v/>
      </c>
      <c r="G215" s="33" t="str">
        <f>IF(AND(COUNTIF(Logs!G$120:G$129, "Detour")&gt;0,COUNTIF(Logs!G$120:G$129, "Road Block")=0), COUNTIF(Logs!G$120:G$129, "Detour"), "")</f>
        <v/>
      </c>
      <c r="H215" s="33" t="str">
        <f>IF(AND(COUNTIF(Logs!H$120:H$129, "Detour")&gt;0,COUNTIF(Logs!H$120:H$129, "Road Block")=0), COUNTIF(Logs!H$120:H$129, "Detour"), "")</f>
        <v/>
      </c>
      <c r="I215" s="33" t="str">
        <f>IF(AND(COUNTIF(Logs!I$120:I$129, "Detour")&gt;0,COUNTIF(Logs!I$120:I$129, "Road Block")=0), COUNTIF(Logs!I$120:I$129, "Detour"), "")</f>
        <v/>
      </c>
      <c r="J215" s="33" t="str">
        <f>IF(AND(COUNTIF(Logs!J$120:J$129, "Detour")&gt;0,COUNTIF(Logs!J$120:J$129, "Road Block")=0), COUNTIF(Logs!J$120:J$129, "Detour"), "")</f>
        <v/>
      </c>
      <c r="K215" s="33" t="str">
        <f>IF(AND(COUNTIF(Logs!K$120:K$129, "Detour")&gt;0,COUNTIF(Logs!K$120:K$129, "Road Block")=0), COUNTIF(Logs!K$120:K$129, "Detour"), "")</f>
        <v/>
      </c>
      <c r="L215" s="33" t="str">
        <f>IF(AND(COUNTIF(Logs!L$120:L$129, "Detour")&gt;0,COUNTIF(Logs!L$120:L$129, "Road Block")=0), COUNTIF(Logs!L$120:L$129, "Detour"), "")</f>
        <v/>
      </c>
      <c r="M215" s="33" t="str">
        <f>IF(AND(COUNTIF(Logs!M$120:M$129, "Detour")&gt;0,COUNTIF(Logs!M$120:M$129, "Road Block")=0), COUNTIF(Logs!M$120:M$129, "Detour"), "")</f>
        <v/>
      </c>
      <c r="N215" s="33" t="str">
        <f>IF(AND(COUNTIF(Logs!N$120:N$129, "Detour")&gt;0,COUNTIF(Logs!N$120:N$129, "Road Block")=0), COUNTIF(Logs!N$120:N$129, "Detour"), "")</f>
        <v/>
      </c>
      <c r="O215" s="33" t="str">
        <f>IF(AND(COUNTIF(Logs!O$120:O$129, "Detour")&gt;0,COUNTIF(Logs!O$120:O$129, "Road Block")=0), COUNTIF(Logs!O$120:O$129, "Detour"), "")</f>
        <v/>
      </c>
    </row>
    <row r="216" spans="2:15" outlineLevel="1">
      <c r="B216" s="90" t="s">
        <v>133</v>
      </c>
      <c r="C216" s="33">
        <f>IF(AND(COUNTIF(Logs!C$139:C$150, "Detour")&gt;0,COUNTIF(Logs!C$139:C$150, "Road Block")=0), COUNTIF(Logs!C$139:C$150, "Detour"), "")</f>
        <v>1</v>
      </c>
      <c r="D216" s="33" t="str">
        <f>IF(AND(COUNTIF(Logs!D$139:D$150, "Detour")&gt;0,COUNTIF(Logs!D$139:D$150, "Road Block")=0), COUNTIF(Logs!D$139:D$150, "Detour"), "")</f>
        <v/>
      </c>
      <c r="E216" s="33" t="str">
        <f>IF(AND(COUNTIF(Logs!E$139:E$150, "Detour")&gt;0,COUNTIF(Logs!E$139:E$150, "Road Block")=0), COUNTIF(Logs!E$139:E$150, "Detour"), "")</f>
        <v/>
      </c>
      <c r="F216" s="33" t="str">
        <f>IF(AND(COUNTIF(Logs!F$139:F$150, "Detour")&gt;0,COUNTIF(Logs!F$139:F$150, "Road Block")=0), COUNTIF(Logs!F$139:F$150, "Detour"), "")</f>
        <v/>
      </c>
      <c r="G216" s="33" t="str">
        <f>IF(AND(COUNTIF(Logs!G$139:G$150, "Detour")&gt;0,COUNTIF(Logs!G$139:G$150, "Road Block")=0), COUNTIF(Logs!G$139:G$150, "Detour"), "")</f>
        <v/>
      </c>
      <c r="H216" s="33" t="str">
        <f>IF(AND(COUNTIF(Logs!H$139:H$150, "Detour")&gt;0,COUNTIF(Logs!H$139:H$150, "Road Block")=0), COUNTIF(Logs!H$139:H$150, "Detour"), "")</f>
        <v/>
      </c>
      <c r="I216" s="33" t="str">
        <f>IF(AND(COUNTIF(Logs!I$139:I$150, "Detour")&gt;0,COUNTIF(Logs!I$139:I$150, "Road Block")=0), COUNTIF(Logs!I$139:I$150, "Detour"), "")</f>
        <v/>
      </c>
      <c r="J216" s="33" t="str">
        <f>IF(AND(COUNTIF(Logs!J$139:J$150, "Detour")&gt;0,COUNTIF(Logs!J$139:J$150, "Road Block")=0), COUNTIF(Logs!J$139:J$150, "Detour"), "")</f>
        <v/>
      </c>
      <c r="K216" s="33" t="str">
        <f>IF(AND(COUNTIF(Logs!K$139:K$150, "Detour")&gt;0,COUNTIF(Logs!K$139:K$150, "Road Block")=0), COUNTIF(Logs!K$139:K$150, "Detour"), "")</f>
        <v/>
      </c>
      <c r="L216" s="33" t="str">
        <f>IF(AND(COUNTIF(Logs!L$139:L$150, "Detour")&gt;0,COUNTIF(Logs!L$139:L$150, "Road Block")=0), COUNTIF(Logs!L$139:L$150, "Detour"), "")</f>
        <v/>
      </c>
      <c r="M216" s="33" t="str">
        <f>IF(AND(COUNTIF(Logs!M$139:M$150, "Detour")&gt;0,COUNTIF(Logs!M$139:M$150, "Road Block")=0), COUNTIF(Logs!M$139:M$150, "Detour"), "")</f>
        <v/>
      </c>
      <c r="N216" s="33" t="str">
        <f>IF(AND(COUNTIF(Logs!N$139:N$150, "Detour")&gt;0,COUNTIF(Logs!N$139:N$150, "Road Block")=0), COUNTIF(Logs!N$139:N$150, "Detour"), "")</f>
        <v/>
      </c>
      <c r="O216" s="33" t="str">
        <f>IF(AND(COUNTIF(Logs!O$139:O$150, "Detour")&gt;0,COUNTIF(Logs!O$139:O$150, "Road Block")=0), COUNTIF(Logs!O$139:O$150, "Detour"), "")</f>
        <v/>
      </c>
    </row>
    <row r="217" spans="2:15" outlineLevel="1">
      <c r="B217" s="90" t="s">
        <v>134</v>
      </c>
      <c r="C217" s="33">
        <f>IF(AND(COUNTIF(Logs!C$159:C$168, "Detour")&gt;0,COUNTIF(Logs!C$159:C$168, "Road Block")=0), COUNTIF(Logs!C$159:C$168, "Detour"), "")</f>
        <v>1</v>
      </c>
      <c r="D217" s="33" t="str">
        <f>IF(AND(COUNTIF(Logs!D$159:D$168, "Detour")&gt;0,COUNTIF(Logs!D$159:D$168, "Road Block")=0), COUNTIF(Logs!D$159:D$168, "Detour"), "")</f>
        <v/>
      </c>
      <c r="E217" s="33" t="str">
        <f>IF(AND(COUNTIF(Logs!E$159:E$168, "Detour")&gt;0,COUNTIF(Logs!E$159:E$168, "Road Block")=0), COUNTIF(Logs!E$159:E$168, "Detour"), "")</f>
        <v/>
      </c>
      <c r="F217" s="33" t="str">
        <f>IF(AND(COUNTIF(Logs!F$159:F$168, "Detour")&gt;0,COUNTIF(Logs!F$159:F$168, "Road Block")=0), COUNTIF(Logs!F$159:F$168, "Detour"), "")</f>
        <v/>
      </c>
      <c r="G217" s="33" t="str">
        <f>IF(AND(COUNTIF(Logs!G$159:G$168, "Detour")&gt;0,COUNTIF(Logs!G$159:G$168, "Road Block")=0), COUNTIF(Logs!G$159:G$168, "Detour"), "")</f>
        <v/>
      </c>
      <c r="H217" s="33" t="str">
        <f>IF(AND(COUNTIF(Logs!H$159:H$168, "Detour")&gt;0,COUNTIF(Logs!H$159:H$168, "Road Block")=0), COUNTIF(Logs!H$159:H$168, "Detour"), "")</f>
        <v/>
      </c>
      <c r="I217" s="33" t="str">
        <f>IF(AND(COUNTIF(Logs!I$159:I$168, "Detour")&gt;0,COUNTIF(Logs!I$159:I$168, "Road Block")=0), COUNTIF(Logs!I$159:I$168, "Detour"), "")</f>
        <v/>
      </c>
      <c r="J217" s="33" t="str">
        <f>IF(AND(COUNTIF(Logs!J$159:J$168, "Detour")&gt;0,COUNTIF(Logs!J$159:J$168, "Road Block")=0), COUNTIF(Logs!J$159:J$168, "Detour"), "")</f>
        <v/>
      </c>
      <c r="K217" s="33" t="str">
        <f>IF(AND(COUNTIF(Logs!K$159:K$168, "Detour")&gt;0,COUNTIF(Logs!K$159:K$168, "Road Block")=0), COUNTIF(Logs!K$159:K$168, "Detour"), "")</f>
        <v/>
      </c>
      <c r="L217" s="33" t="str">
        <f>IF(AND(COUNTIF(Logs!L$159:L$168, "Detour")&gt;0,COUNTIF(Logs!L$159:L$168, "Road Block")=0), COUNTIF(Logs!L$159:L$168, "Detour"), "")</f>
        <v/>
      </c>
      <c r="M217" s="33" t="str">
        <f>IF(AND(COUNTIF(Logs!M$159:M$168, "Detour")&gt;0,COUNTIF(Logs!M$159:M$168, "Road Block")=0), COUNTIF(Logs!M$159:M$168, "Detour"), "")</f>
        <v/>
      </c>
      <c r="N217" s="33" t="str">
        <f>IF(AND(COUNTIF(Logs!N$159:N$168, "Detour")&gt;0,COUNTIF(Logs!N$159:N$168, "Road Block")=0), COUNTIF(Logs!N$159:N$168, "Detour"), "")</f>
        <v/>
      </c>
      <c r="O217" s="33" t="str">
        <f>IF(AND(COUNTIF(Logs!O$159:O$168, "Detour")&gt;0,COUNTIF(Logs!O$159:O$168, "Road Block")=0), COUNTIF(Logs!O$159:O$168, "Detour"), "")</f>
        <v/>
      </c>
    </row>
    <row r="218" spans="2:15" outlineLevel="1">
      <c r="B218" s="90" t="s">
        <v>135</v>
      </c>
      <c r="C218" s="33" t="str">
        <f>IF(AND(COUNTIF(Logs!C$177:C$189, "Detour")&gt;0,COUNTIF(Logs!C$177:C$189, "Road Block")=0), COUNTIF(Logs!C$177:C$189, "Detour"), "")</f>
        <v/>
      </c>
      <c r="D218" s="33" t="str">
        <f>IF(AND(COUNTIF(Logs!D$177:D$189, "Detour")&gt;0,COUNTIF(Logs!D$177:D$189, "Road Block")=0), COUNTIF(Logs!D$177:D$189, "Detour"), "")</f>
        <v/>
      </c>
      <c r="E218" s="33" t="str">
        <f>IF(AND(COUNTIF(Logs!E$177:E$189, "Detour")&gt;0,COUNTIF(Logs!E$177:E$189, "Road Block")=0), COUNTIF(Logs!E$177:E$189, "Detour"), "")</f>
        <v/>
      </c>
      <c r="F218" s="33" t="str">
        <f>IF(AND(COUNTIF(Logs!F$177:F$189, "Detour")&gt;0,COUNTIF(Logs!F$177:F$189, "Road Block")=0), COUNTIF(Logs!F$177:F$189, "Detour"), "")</f>
        <v/>
      </c>
      <c r="G218" s="33" t="str">
        <f>IF(AND(COUNTIF(Logs!G$177:G$189, "Detour")&gt;0,COUNTIF(Logs!G$177:G$189, "Road Block")=0), COUNTIF(Logs!G$177:G$189, "Detour"), "")</f>
        <v/>
      </c>
      <c r="H218" s="33" t="str">
        <f>IF(AND(COUNTIF(Logs!H$177:H$189, "Detour")&gt;0,COUNTIF(Logs!H$177:H$189, "Road Block")=0), COUNTIF(Logs!H$177:H$189, "Detour"), "")</f>
        <v/>
      </c>
      <c r="I218" s="33" t="str">
        <f>IF(AND(COUNTIF(Logs!I$177:I$189, "Detour")&gt;0,COUNTIF(Logs!I$177:I$189, "Road Block")=0), COUNTIF(Logs!I$177:I$189, "Detour"), "")</f>
        <v/>
      </c>
      <c r="J218" s="33" t="str">
        <f>IF(AND(COUNTIF(Logs!J$177:J$189, "Detour")&gt;0,COUNTIF(Logs!J$177:J$189, "Road Block")=0), COUNTIF(Logs!J$177:J$189, "Detour"), "")</f>
        <v/>
      </c>
      <c r="K218" s="33" t="str">
        <f>IF(AND(COUNTIF(Logs!K$177:K$189, "Detour")&gt;0,COUNTIF(Logs!K$177:K$189, "Road Block")=0), COUNTIF(Logs!K$177:K$189, "Detour"), "")</f>
        <v/>
      </c>
      <c r="L218" s="33" t="str">
        <f>IF(AND(COUNTIF(Logs!L$177:L$189, "Detour")&gt;0,COUNTIF(Logs!L$177:L$189, "Road Block")=0), COUNTIF(Logs!L$177:L$189, "Detour"), "")</f>
        <v/>
      </c>
      <c r="M218" s="33" t="str">
        <f>IF(AND(COUNTIF(Logs!M$177:M$189, "Detour")&gt;0,COUNTIF(Logs!M$177:M$189, "Road Block")=0), COUNTIF(Logs!M$177:M$189, "Detour"), "")</f>
        <v/>
      </c>
      <c r="N218" s="33" t="str">
        <f>IF(AND(COUNTIF(Logs!N$177:N$189, "Detour")&gt;0,COUNTIF(Logs!N$177:N$189, "Road Block")=0), COUNTIF(Logs!N$177:N$189, "Detour"), "")</f>
        <v/>
      </c>
      <c r="O218" s="33" t="str">
        <f>IF(AND(COUNTIF(Logs!O$177:O$189, "Detour")&gt;0,COUNTIF(Logs!O$177:O$189, "Road Block")=0), COUNTIF(Logs!O$177:O$189, "Detour"), "")</f>
        <v/>
      </c>
    </row>
    <row r="219" spans="2:15" outlineLevel="1">
      <c r="B219" s="90" t="s">
        <v>136</v>
      </c>
      <c r="C219" s="33">
        <f>IF(AND(COUNTIF(Logs!C$198:C$207, "Detour")&gt;0,COUNTIF(Logs!C$198:C$207, "Road Block")=0), COUNTIF(Logs!C$198:C$207, "Detour"), "")</f>
        <v>1</v>
      </c>
      <c r="D219" s="33" t="str">
        <f>IF(AND(COUNTIF(Logs!D$198:D$207, "Detour")&gt;0,COUNTIF(Logs!D$198:D$207, "Road Block")=0), COUNTIF(Logs!D$198:D$207, "Detour"), "")</f>
        <v/>
      </c>
      <c r="E219" s="33" t="str">
        <f>IF(AND(COUNTIF(Logs!E$198:E$207, "Detour")&gt;0,COUNTIF(Logs!E$198:E$207, "Road Block")=0), COUNTIF(Logs!E$198:E$207, "Detour"), "")</f>
        <v/>
      </c>
      <c r="F219" s="33" t="str">
        <f>IF(AND(COUNTIF(Logs!F$198:F$207, "Detour")&gt;0,COUNTIF(Logs!F$198:F$207, "Road Block")=0), COUNTIF(Logs!F$198:F$207, "Detour"), "")</f>
        <v/>
      </c>
      <c r="G219" s="33" t="str">
        <f>IF(AND(COUNTIF(Logs!G$198:G$207, "Detour")&gt;0,COUNTIF(Logs!G$198:G$207, "Road Block")=0), COUNTIF(Logs!G$198:G$207, "Detour"), "")</f>
        <v/>
      </c>
      <c r="H219" s="33" t="str">
        <f>IF(AND(COUNTIF(Logs!H$198:H$207, "Detour")&gt;0,COUNTIF(Logs!H$198:H$207, "Road Block")=0), COUNTIF(Logs!H$198:H$207, "Detour"), "")</f>
        <v/>
      </c>
      <c r="I219" s="33" t="str">
        <f>IF(AND(COUNTIF(Logs!I$198:I$207, "Detour")&gt;0,COUNTIF(Logs!I$198:I$207, "Road Block")=0), COUNTIF(Logs!I$198:I$207, "Detour"), "")</f>
        <v/>
      </c>
      <c r="J219" s="33" t="str">
        <f>IF(AND(COUNTIF(Logs!J$198:J$207, "Detour")&gt;0,COUNTIF(Logs!J$198:J$207, "Road Block")=0), COUNTIF(Logs!J$198:J$207, "Detour"), "")</f>
        <v/>
      </c>
      <c r="K219" s="33" t="str">
        <f>IF(AND(COUNTIF(Logs!K$198:K$207, "Detour")&gt;0,COUNTIF(Logs!K$198:K$207, "Road Block")=0), COUNTIF(Logs!K$198:K$207, "Detour"), "")</f>
        <v/>
      </c>
      <c r="L219" s="33" t="str">
        <f>IF(AND(COUNTIF(Logs!L$198:L$207, "Detour")&gt;0,COUNTIF(Logs!L$198:L$207, "Road Block")=0), COUNTIF(Logs!L$198:L$207, "Detour"), "")</f>
        <v/>
      </c>
      <c r="M219" s="33" t="str">
        <f>IF(AND(COUNTIF(Logs!M$198:M$207, "Detour")&gt;0,COUNTIF(Logs!M$198:M$207, "Road Block")=0), COUNTIF(Logs!M$198:M$207, "Detour"), "")</f>
        <v/>
      </c>
      <c r="N219" s="33" t="str">
        <f>IF(AND(COUNTIF(Logs!N$198:N$207, "Detour")&gt;0,COUNTIF(Logs!N$198:N$207, "Road Block")=0), COUNTIF(Logs!N$198:N$207, "Detour"), "")</f>
        <v/>
      </c>
      <c r="O219" s="33" t="str">
        <f>IF(AND(COUNTIF(Logs!O$198:O$207, "Detour")&gt;0,COUNTIF(Logs!O$198:O$207, "Road Block")=0), COUNTIF(Logs!O$198:O$207, "Detour"), "")</f>
        <v/>
      </c>
    </row>
    <row r="220" spans="2:15" outlineLevel="1">
      <c r="B220" s="90" t="s">
        <v>137</v>
      </c>
      <c r="C220" s="33" t="str">
        <f>IF(AND(COUNTIF(Logs!C$215:C$224, "Detour")&gt;0,COUNTIF(Logs!C$215:C$224, "Road Block")=0), COUNTIF(Logs!C$215:C$224, "Detour"), "")</f>
        <v/>
      </c>
      <c r="D220" s="33" t="str">
        <f>IF(AND(COUNTIF(Logs!D$215:D$224, "Detour")&gt;0,COUNTIF(Logs!D$215:D$224, "Road Block")=0), COUNTIF(Logs!D$215:D$224, "Detour"), "")</f>
        <v/>
      </c>
      <c r="E220" s="33" t="str">
        <f>IF(AND(COUNTIF(Logs!E$215:E$224, "Detour")&gt;0,COUNTIF(Logs!E$215:E$224, "Road Block")=0), COUNTIF(Logs!E$215:E$224, "Detour"), "")</f>
        <v/>
      </c>
      <c r="F220" s="33" t="str">
        <f>IF(AND(COUNTIF(Logs!F$215:F$224, "Detour")&gt;0,COUNTIF(Logs!F$215:F$224, "Road Block")=0), COUNTIF(Logs!F$215:F$224, "Detour"), "")</f>
        <v/>
      </c>
      <c r="G220" s="33" t="str">
        <f>IF(AND(COUNTIF(Logs!G$215:G$224, "Detour")&gt;0,COUNTIF(Logs!G$215:G$224, "Road Block")=0), COUNTIF(Logs!G$215:G$224, "Detour"), "")</f>
        <v/>
      </c>
      <c r="H220" s="33" t="str">
        <f>IF(AND(COUNTIF(Logs!H$215:H$224, "Detour")&gt;0,COUNTIF(Logs!H$215:H$224, "Road Block")=0), COUNTIF(Logs!H$215:H$224, "Detour"), "")</f>
        <v/>
      </c>
      <c r="I220" s="33" t="str">
        <f>IF(AND(COUNTIF(Logs!I$215:I$224, "Detour")&gt;0,COUNTIF(Logs!I$215:I$224, "Road Block")=0), COUNTIF(Logs!I$215:I$224, "Detour"), "")</f>
        <v/>
      </c>
      <c r="J220" s="33" t="str">
        <f>IF(AND(COUNTIF(Logs!J$215:J$224, "Detour")&gt;0,COUNTIF(Logs!J$215:J$224, "Road Block")=0), COUNTIF(Logs!J$215:J$224, "Detour"), "")</f>
        <v/>
      </c>
      <c r="K220" s="33" t="str">
        <f>IF(AND(COUNTIF(Logs!K$215:K$224, "Detour")&gt;0,COUNTIF(Logs!K$215:K$224, "Road Block")=0), COUNTIF(Logs!K$215:K$224, "Detour"), "")</f>
        <v/>
      </c>
      <c r="L220" s="33" t="str">
        <f>IF(AND(COUNTIF(Logs!L$215:L$224, "Detour")&gt;0,COUNTIF(Logs!L$215:L$224, "Road Block")=0), COUNTIF(Logs!L$215:L$224, "Detour"), "")</f>
        <v/>
      </c>
      <c r="M220" s="33" t="str">
        <f>IF(AND(COUNTIF(Logs!M$215:M$224, "Detour")&gt;0,COUNTIF(Logs!M$215:M$224, "Road Block")=0), COUNTIF(Logs!M$215:M$224, "Detour"), "")</f>
        <v/>
      </c>
      <c r="N220" s="33" t="str">
        <f>IF(AND(COUNTIF(Logs!N$215:N$224, "Detour")&gt;0,COUNTIF(Logs!N$215:N$224, "Road Block")=0), COUNTIF(Logs!N$215:N$224, "Detour"), "")</f>
        <v/>
      </c>
      <c r="O220" s="33" t="str">
        <f>IF(AND(COUNTIF(Logs!O$215:O$224, "Detour")&gt;0,COUNTIF(Logs!O$215:O$224, "Road Block")=0), COUNTIF(Logs!O$215:O$224, "Detour"), "")</f>
        <v/>
      </c>
    </row>
    <row r="221" spans="2:15">
      <c r="B221" s="90" t="s">
        <v>138</v>
      </c>
      <c r="C221" s="33">
        <f>IF(AND(COUNTIF(Logs!C$233:C$242, "Detour")&gt;0,COUNTIF(Logs!C$233:C$242, "Road Block")=0), COUNTIF(Logs!C$233:C$242, "Detour"),"")</f>
        <v>1</v>
      </c>
      <c r="D221" s="33" t="str">
        <f>IF(AND(COUNTIF(Logs!D$233:D$242, "Detour")&gt;0,COUNTIF(Logs!D$233:D$242, "Road Block")=0), COUNTIF(Logs!D$233:D$242, "Detour"),"")</f>
        <v/>
      </c>
      <c r="E221" s="33" t="str">
        <f>IF(AND(COUNTIF(Logs!E$233:E$242, "Detour")&gt;0,COUNTIF(Logs!E$233:E$242, "Road Block")=0), COUNTIF(Logs!E$233:E$242, "Detour"),"")</f>
        <v/>
      </c>
      <c r="F221" s="33" t="str">
        <f>IF(AND(COUNTIF(Logs!F$233:F$242, "Detour")&gt;0,COUNTIF(Logs!F$233:F$242, "Road Block")=0), COUNTIF(Logs!F$233:F$242, "Detour"),"")</f>
        <v/>
      </c>
      <c r="G221" s="33" t="str">
        <f>IF(AND(COUNTIF(Logs!G$233:G$242, "Detour")&gt;0,COUNTIF(Logs!G$233:G$242, "Road Block")=0), COUNTIF(Logs!G$233:G$242, "Detour"),"")</f>
        <v/>
      </c>
      <c r="H221" s="33" t="str">
        <f>IF(AND(COUNTIF(Logs!H$233:H$242, "Detour")&gt;0,COUNTIF(Logs!H$233:H$242, "Road Block")=0), COUNTIF(Logs!H$233:H$242, "Detour"),"")</f>
        <v/>
      </c>
      <c r="I221" s="33" t="str">
        <f>IF(AND(COUNTIF(Logs!I$233:I$242, "Detour")&gt;0,COUNTIF(Logs!I$233:I$242, "Road Block")=0), COUNTIF(Logs!I$233:I$242, "Detour"),"")</f>
        <v/>
      </c>
      <c r="J221" s="33" t="str">
        <f>IF(AND(COUNTIF(Logs!J$233:J$242, "Detour")&gt;0,COUNTIF(Logs!J$233:J$242, "Road Block")=0), COUNTIF(Logs!J$233:J$242, "Detour"),"")</f>
        <v/>
      </c>
      <c r="K221" s="33" t="str">
        <f>IF(AND(COUNTIF(Logs!K$233:K$242, "Detour")&gt;0,COUNTIF(Logs!K$233:K$242, "Road Block")=0), COUNTIF(Logs!K$233:K$242, "Detour"),"")</f>
        <v/>
      </c>
      <c r="L221" s="33" t="str">
        <f>IF(AND(COUNTIF(Logs!L$233:L$242, "Detour")&gt;0,COUNTIF(Logs!L$233:L$242, "Road Block")=0), COUNTIF(Logs!L$233:L$242, "Detour"),"")</f>
        <v/>
      </c>
      <c r="M221" s="33">
        <f>IF(AND(COUNTIF(Logs!M$233:M$242, "Detour")&gt;0,COUNTIF(Logs!M$233:M$242, "Road Block")=0), COUNTIF(Logs!M$233:M$242, "Detour"),"")</f>
        <v>1</v>
      </c>
      <c r="N221" s="33" t="str">
        <f>IF(AND(COUNTIF(Logs!N$233:N$242, "Detour")&gt;0,COUNTIF(Logs!N$233:N$242, "Road Block")=0), COUNTIF(Logs!N$233:N$242, "Detour"),"")</f>
        <v/>
      </c>
      <c r="O221" s="33" t="str">
        <f>IF(AND(COUNTIF(Logs!O$233:O$242, "Detour")&gt;0,COUNTIF(Logs!O$233:O$242, "Road Block")=0), COUNTIF(Logs!O$233:O$242, "Detour"),"")</f>
        <v/>
      </c>
    </row>
    <row r="222" spans="2:15">
      <c r="B222" s="90" t="s">
        <v>139</v>
      </c>
      <c r="C222" s="33" t="str">
        <f>IF(AND(COUNTIF(Logs!C$250:C$259, "Detour")&gt;0,COUNTIF(Logs!C$250:C$259, "Road Block")=0), COUNTIF(Logs!C$250:C$259,"Detour"), "")</f>
        <v/>
      </c>
      <c r="D222" s="33" t="str">
        <f>IF(AND(COUNTIF(Logs!D$250:D$259, "Detour")&gt;0,COUNTIF(Logs!D$250:D$259, "Road Block")=0), COUNTIF(Logs!D$250:D$259,"Detour"), "")</f>
        <v/>
      </c>
      <c r="E222" s="33" t="str">
        <f>IF(AND(COUNTIF(Logs!E$250:E$259, "Detour")&gt;0,COUNTIF(Logs!E$250:E$259, "Road Block")=0), COUNTIF(Logs!E$250:E$259,"Detour"), "")</f>
        <v/>
      </c>
      <c r="F222" s="33" t="str">
        <f>IF(AND(COUNTIF(Logs!F$250:F$259, "Detour")&gt;0,COUNTIF(Logs!F$250:F$259, "Road Block")=0), COUNTIF(Logs!F$250:F$259,"Detour"), "")</f>
        <v/>
      </c>
      <c r="G222" s="33" t="str">
        <f>IF(AND(COUNTIF(Logs!G$250:G$259, "Detour")&gt;0,COUNTIF(Logs!G$250:G$259, "Road Block")=0), COUNTIF(Logs!G$250:G$259,"Detour"), "")</f>
        <v/>
      </c>
      <c r="H222" s="33" t="str">
        <f>IF(AND(COUNTIF(Logs!H$250:H$259, "Detour")&gt;0,COUNTIF(Logs!H$250:H$259, "Road Block")=0), COUNTIF(Logs!H$250:H$259,"Detour"), "")</f>
        <v/>
      </c>
      <c r="I222" s="33">
        <f>IF(AND(COUNTIF(Logs!I$250:I$259, "Detour")&gt;0,COUNTIF(Logs!I$250:I$259, "Road Block")=0), COUNTIF(Logs!I$250:I$259,"Detour"), "")</f>
        <v>1</v>
      </c>
      <c r="J222" s="33" t="str">
        <f>IF(AND(COUNTIF(Logs!J$250:J$259, "Detour")&gt;0,COUNTIF(Logs!J$250:J$259, "Road Block")=0), COUNTIF(Logs!J$250:J$259,"Detour"), "")</f>
        <v/>
      </c>
      <c r="K222" s="33" t="str">
        <f>IF(AND(COUNTIF(Logs!K$250:K$259, "Detour")&gt;0,COUNTIF(Logs!K$250:K$259, "Road Block")=0), COUNTIF(Logs!K$250:K$259,"Detour"), "")</f>
        <v/>
      </c>
      <c r="L222" s="33" t="str">
        <f>IF(AND(COUNTIF(Logs!L$250:L$259, "Detour")&gt;0,COUNTIF(Logs!L$250:L$259, "Road Block")=0), COUNTIF(Logs!L$250:L$259,"Detour"), "")</f>
        <v/>
      </c>
      <c r="M222" s="33" t="str">
        <f>IF(AND(COUNTIF(Logs!M$250:M$259, "Detour")&gt;0,COUNTIF(Logs!M$250:M$259, "Road Block")=0), COUNTIF(Logs!M$250:M$259,"Detour"), "")</f>
        <v/>
      </c>
      <c r="N222" s="33" t="str">
        <f>IF(AND(COUNTIF(Logs!N$250:N$259, "Detour")&gt;0,COUNTIF(Logs!N$250:N$259, "Road Block")=0), COUNTIF(Logs!N$250:N$259,"Detour"), "")</f>
        <v/>
      </c>
      <c r="O222" s="33" t="str">
        <f>IF(AND(COUNTIF(Logs!O$250:O$259, "Detour")&gt;0,COUNTIF(Logs!O$250:O$259, "Road Block")=0), COUNTIF(Logs!O$250:O$259,"Detour"), "")</f>
        <v/>
      </c>
    </row>
    <row r="223" spans="2:15">
      <c r="B223" s="90" t="s">
        <v>140</v>
      </c>
      <c r="C223" s="33" t="str">
        <f>IF(AND(COUNTIF(Logs!C$267:C$276, "Detour")&gt;0,COUNTIF(Logs!C$267:C$276, "Road Block")=0), COUNTIF(Logs!C$267:C$276, "Detour"), "")</f>
        <v/>
      </c>
      <c r="D223" s="33" t="str">
        <f>IF(AND(COUNTIF(Logs!D$267:D$276, "Detour")&gt;0,COUNTIF(Logs!D$267:D$276, "Road Block")=0), COUNTIF(Logs!D$267:D$276, "Detour"), "")</f>
        <v/>
      </c>
      <c r="E223" s="33" t="str">
        <f>IF(AND(COUNTIF(Logs!E$267:E$276, "Detour")&gt;0,COUNTIF(Logs!E$267:E$276, "Road Block")=0), COUNTIF(Logs!E$267:E$276, "Detour"), "")</f>
        <v/>
      </c>
      <c r="F223" s="33" t="str">
        <f>IF(AND(COUNTIF(Logs!F$267:F$276, "Detour")&gt;0,COUNTIF(Logs!F$267:F$276, "Road Block")=0), COUNTIF(Logs!F$267:F$276, "Detour"), "")</f>
        <v/>
      </c>
      <c r="G223" s="33" t="str">
        <f>IF(AND(COUNTIF(Logs!G$267:G$276, "Detour")&gt;0,COUNTIF(Logs!G$267:G$276, "Road Block")=0), COUNTIF(Logs!G$267:G$276, "Detour"), "")</f>
        <v/>
      </c>
      <c r="H223" s="33" t="str">
        <f>IF(AND(COUNTIF(Logs!H$267:H$276, "Detour")&gt;0,COUNTIF(Logs!H$267:H$276, "Road Block")=0), COUNTIF(Logs!H$267:H$276, "Detour"), "")</f>
        <v/>
      </c>
      <c r="I223" s="33" t="str">
        <f>IF(AND(COUNTIF(Logs!I$267:I$276, "Detour")&gt;0,COUNTIF(Logs!I$267:I$276, "Road Block")=0), COUNTIF(Logs!I$267:I$276, "Detour"), "")</f>
        <v/>
      </c>
      <c r="J223" s="33" t="str">
        <f>IF(AND(COUNTIF(Logs!J$267:J$276, "Detour")&gt;0,COUNTIF(Logs!J$267:J$276, "Road Block")=0), COUNTIF(Logs!J$267:J$276, "Detour"), "")</f>
        <v/>
      </c>
      <c r="K223" s="33" t="str">
        <f>IF(AND(COUNTIF(Logs!K$267:K$276, "Detour")&gt;0,COUNTIF(Logs!K$267:K$276, "Road Block")=0), COUNTIF(Logs!K$267:K$276, "Detour"), "")</f>
        <v/>
      </c>
      <c r="L223" s="33" t="str">
        <f>IF(AND(COUNTIF(Logs!L$267:L$276, "Detour")&gt;0,COUNTIF(Logs!L$267:L$276, "Road Block")=0), COUNTIF(Logs!L$267:L$276, "Detour"), "")</f>
        <v/>
      </c>
      <c r="M223" s="33" t="str">
        <f>IF(AND(COUNTIF(Logs!M$267:M$276, "Detour")&gt;0,COUNTIF(Logs!M$267:M$276, "Road Block")=0), COUNTIF(Logs!M$267:M$276, "Detour"), "")</f>
        <v/>
      </c>
      <c r="N223" s="33" t="str">
        <f>IF(AND(COUNTIF(Logs!N$267:N$276, "Detour")&gt;0,COUNTIF(Logs!N$267:N$276, "Road Block")=0), COUNTIF(Logs!N$267:N$276, "Detour"), "")</f>
        <v/>
      </c>
      <c r="O223" s="33" t="str">
        <f>IF(AND(COUNTIF(Logs!O$267:O$276, "Detour")&gt;0,COUNTIF(Logs!O$267:O$276, "Road Block")=0), COUNTIF(Logs!O$267:O$276, "Detour"), "")</f>
        <v/>
      </c>
    </row>
    <row r="224" spans="2:15">
      <c r="B224" s="90" t="s">
        <v>141</v>
      </c>
      <c r="C224" s="33" t="str">
        <f>IF(AND(COUNTIF(Logs!C$285:C$294, "Detour")&gt;0,COUNTIF(Logs!C$285:C$294, "Road Block")=0), COUNTIF(Logs!C$285:C$294, "Detour"), "")</f>
        <v/>
      </c>
      <c r="D224" s="33" t="str">
        <f>IF(AND(COUNTIF(Logs!D$285:D$294, "Detour")&gt;0,COUNTIF(Logs!D$285:D$294, "Road Block")=0), COUNTIF(Logs!D$285:D$294, "Detour"), "")</f>
        <v/>
      </c>
      <c r="E224" s="33" t="str">
        <f>IF(AND(COUNTIF(Logs!E$285:E$294, "Detour")&gt;0,COUNTIF(Logs!E$285:E$294, "Road Block")=0), COUNTIF(Logs!E$285:E$294, "Detour"), "")</f>
        <v/>
      </c>
      <c r="F224" s="33" t="str">
        <f>IF(AND(COUNTIF(Logs!F$285:F$294, "Detour")&gt;0,COUNTIF(Logs!F$285:F$294, "Road Block")=0), COUNTIF(Logs!F$285:F$294, "Detour"), "")</f>
        <v/>
      </c>
      <c r="G224" s="33">
        <f>IF(AND(COUNTIF(Logs!G$285:G$294, "Detour")&gt;0,COUNTIF(Logs!G$285:G$294, "Road Block")=0), COUNTIF(Logs!G$285:G$294, "Detour"), "")</f>
        <v>1</v>
      </c>
      <c r="H224" s="33" t="str">
        <f>IF(AND(COUNTIF(Logs!H$285:H$294, "Detour")&gt;0,COUNTIF(Logs!H$285:H$294, "Road Block")=0), COUNTIF(Logs!H$285:H$294, "Detour"), "")</f>
        <v/>
      </c>
      <c r="I224" s="33" t="str">
        <f>IF(AND(COUNTIF(Logs!I$285:I$294, "Detour")&gt;0,COUNTIF(Logs!I$285:I$294, "Road Block")=0), COUNTIF(Logs!I$285:I$294, "Detour"), "")</f>
        <v/>
      </c>
      <c r="J224" s="33" t="str">
        <f>IF(AND(COUNTIF(Logs!J$285:J$294, "Detour")&gt;0,COUNTIF(Logs!J$285:J$294, "Road Block")=0), COUNTIF(Logs!J$285:J$294, "Detour"), "")</f>
        <v/>
      </c>
      <c r="K224" s="33" t="str">
        <f>IF(AND(COUNTIF(Logs!K$285:K$294, "Detour")&gt;0,COUNTIF(Logs!K$285:K$294, "Road Block")=0), COUNTIF(Logs!K$285:K$294, "Detour"), "")</f>
        <v/>
      </c>
      <c r="L224" s="33" t="str">
        <f>IF(AND(COUNTIF(Logs!L$285:L$294, "Detour")&gt;0,COUNTIF(Logs!L$285:L$294, "Road Block")=0), COUNTIF(Logs!L$285:L$294, "Detour"), "")</f>
        <v/>
      </c>
      <c r="M224" s="33" t="str">
        <f>IF(AND(COUNTIF(Logs!M$285:M$294, "Detour")&gt;0,COUNTIF(Logs!M$285:M$294, "Road Block")=0), COUNTIF(Logs!M$285:M$294, "Detour"), "")</f>
        <v/>
      </c>
      <c r="N224" s="33" t="str">
        <f>IF(AND(COUNTIF(Logs!N$285:N$294, "Detour")&gt;0,COUNTIF(Logs!N$285:N$294, "Road Block")=0), COUNTIF(Logs!N$285:N$294, "Detour"), "")</f>
        <v/>
      </c>
      <c r="O224" s="33" t="str">
        <f>IF(AND(COUNTIF(Logs!O$285:O$294, "Detour")&gt;0,COUNTIF(Logs!O$285:O$294, "Road Block")=0), COUNTIF(Logs!O$285:O$294, "Detour"), "")</f>
        <v/>
      </c>
    </row>
    <row r="225" spans="2:15">
      <c r="B225" s="90" t="s">
        <v>142</v>
      </c>
      <c r="C225" s="33" t="str">
        <f>IF(AND(COUNTIF(Logs!C$302:C$311, "Detour")&gt;0,COUNTIF(Logs!C$302:C$311, "Road Block")=0), COUNTIF(Logs!C$302:C$311, "Detour"), "")</f>
        <v/>
      </c>
      <c r="D225" s="33" t="str">
        <f>IF(AND(COUNTIF(Logs!D$302:D$311, "Detour")&gt;0,COUNTIF(Logs!D$302:D$311, "Road Block")=0), COUNTIF(Logs!D$302:D$311, "Detour"), "")</f>
        <v/>
      </c>
      <c r="E225" s="33" t="str">
        <f>IF(AND(COUNTIF(Logs!E$302:E$311, "Detour")&gt;0,COUNTIF(Logs!E$302:E$311, "Road Block")=0), COUNTIF(Logs!E$302:E$311, "Detour"), "")</f>
        <v/>
      </c>
      <c r="F225" s="33" t="str">
        <f>IF(AND(COUNTIF(Logs!F$302:F$311, "Detour")&gt;0,COUNTIF(Logs!F$302:F$311, "Road Block")=0), COUNTIF(Logs!F$302:F$311, "Detour"), "")</f>
        <v/>
      </c>
      <c r="G225" s="33" t="str">
        <f>IF(AND(COUNTIF(Logs!G$302:G$311, "Detour")&gt;0,COUNTIF(Logs!G$302:G$311, "Road Block")=0), COUNTIF(Logs!G$302:G$311, "Detour"), "")</f>
        <v/>
      </c>
      <c r="H225" s="33" t="str">
        <f>IF(AND(COUNTIF(Logs!H$302:H$311, "Detour")&gt;0,COUNTIF(Logs!H$302:H$311, "Road Block")=0), COUNTIF(Logs!H$302:H$311, "Detour"), "")</f>
        <v/>
      </c>
      <c r="I225" s="33" t="str">
        <f>IF(AND(COUNTIF(Logs!I$302:I$311, "Detour")&gt;0,COUNTIF(Logs!I$302:I$311, "Road Block")=0), COUNTIF(Logs!I$302:I$311, "Detour"), "")</f>
        <v/>
      </c>
      <c r="J225" s="33" t="str">
        <f>IF(AND(COUNTIF(Logs!J$302:J$311, "Detour")&gt;0,COUNTIF(Logs!J$302:J$311, "Road Block")=0), COUNTIF(Logs!J$302:J$311, "Detour"), "")</f>
        <v/>
      </c>
      <c r="K225" s="33" t="str">
        <f>IF(AND(COUNTIF(Logs!K$302:K$311, "Detour")&gt;0,COUNTIF(Logs!K$302:K$311, "Road Block")=0), COUNTIF(Logs!K$302:K$311, "Detour"), "")</f>
        <v/>
      </c>
      <c r="L225" s="33" t="str">
        <f>IF(AND(COUNTIF(Logs!L$302:L$311, "Detour")&gt;0,COUNTIF(Logs!L$302:L$311, "Road Block")=0), COUNTIF(Logs!L$302:L$311, "Detour"), "")</f>
        <v/>
      </c>
      <c r="M225" s="33" t="str">
        <f>IF(AND(COUNTIF(Logs!M$302:M$311, "Detour")&gt;0,COUNTIF(Logs!M$302:M$311, "Road Block")=0), COUNTIF(Logs!M$302:M$311, "Detour"), "")</f>
        <v/>
      </c>
      <c r="N225" s="33" t="str">
        <f>IF(AND(COUNTIF(Logs!N$302:N$311, "Detour")&gt;0,COUNTIF(Logs!N$302:N$311, "Road Block")=0), COUNTIF(Logs!N$302:N$311, "Detour"), "")</f>
        <v/>
      </c>
      <c r="O225" s="33"/>
    </row>
    <row r="226" spans="2:15">
      <c r="B226" s="90" t="s">
        <v>143</v>
      </c>
      <c r="C226" s="33" t="str">
        <f>IF(AND(COUNTIF(Logs!C$320:C$329, "Detour")&gt;0,COUNTIF(Logs!C$320:C$329, "Road Block")=0), COUNTIF(Logs!C$320:C$329, "Detour"), "")</f>
        <v/>
      </c>
      <c r="D226" s="33">
        <f>IF(AND(COUNTIF(Logs!D$320:D$329, "Detour")&gt;0,COUNTIF(Logs!D$320:D$329, "Road Block")=0), COUNTIF(Logs!D$320:D$329, "Detour"), "")</f>
        <v>1</v>
      </c>
      <c r="E226" s="33" t="str">
        <f>IF(AND(COUNTIF(Logs!E$320:E$329, "Detour")&gt;0,COUNTIF(Logs!E$320:E$329, "Road Block")=0), COUNTIF(Logs!E$320:E$329, "Detour"), "")</f>
        <v/>
      </c>
      <c r="F226" s="33" t="str">
        <f>IF(AND(COUNTIF(Logs!F$320:F$329, "Detour")&gt;0,COUNTIF(Logs!F$320:F$329, "Road Block")=0), COUNTIF(Logs!F$320:F$329, "Detour"), "")</f>
        <v/>
      </c>
      <c r="G226" s="33" t="str">
        <f>IF(AND(COUNTIF(Logs!G$320:G$329, "Detour")&gt;0,COUNTIF(Logs!G$320:G$329, "Road Block")=0), COUNTIF(Logs!G$320:G$329, "Detour"), "")</f>
        <v/>
      </c>
      <c r="H226" s="33" t="str">
        <f>IF(AND(COUNTIF(Logs!H$320:H$329, "Detour")&gt;0,COUNTIF(Logs!H$320:H$329, "Road Block")=0), COUNTIF(Logs!H$320:H$329, "Detour"), "")</f>
        <v/>
      </c>
      <c r="I226" s="33" t="str">
        <f>IF(AND(COUNTIF(Logs!I$320:I$329, "Detour")&gt;0,COUNTIF(Logs!I$320:I$329, "Road Block")=0), COUNTIF(Logs!I$320:I$329, "Detour"), "")</f>
        <v/>
      </c>
      <c r="J226" s="33" t="str">
        <f>IF(AND(COUNTIF(Logs!J$320:J$329, "Detour")&gt;0,COUNTIF(Logs!J$320:J$329, "Road Block")=0), COUNTIF(Logs!J$320:J$329, "Detour"), "")</f>
        <v/>
      </c>
      <c r="K226" s="33" t="str">
        <f>IF(AND(COUNTIF(Logs!K$320:K$329, "Detour")&gt;0,COUNTIF(Logs!K$320:K$329, "Road Block")=0), COUNTIF(Logs!K$320:K$329, "Detour"), "")</f>
        <v/>
      </c>
      <c r="L226" s="33" t="str">
        <f>IF(AND(COUNTIF(Logs!L$320:L$329, "Detour")&gt;0,COUNTIF(Logs!L$320:L$329, "Road Block")=0), COUNTIF(Logs!L$320:L$329, "Detour"), "")</f>
        <v/>
      </c>
      <c r="M226" s="33" t="str">
        <f>IF(AND(COUNTIF(Logs!M$320:M$329, "Detour")&gt;0,COUNTIF(Logs!M$320:M$329, "Road Block")=0), COUNTIF(Logs!M$320:M$329, "Detour"), "")</f>
        <v/>
      </c>
      <c r="N226" s="33" t="str">
        <f>IF(AND(COUNTIF(Logs!N$320:N$329, "Detour")&gt;0,COUNTIF(Logs!N$320:N$329, "Road Block")=0), COUNTIF(Logs!N$320:N$329, "Detour"), "")</f>
        <v/>
      </c>
      <c r="O226" s="33" t="str">
        <f>IF(AND(COUNTIF(Logs!O$320:O$329, "Detour")&gt;0,COUNTIF(Logs!O$320:O$329, "Road Block")=0), COUNTIF(Logs!O$320:O$329, "Detour"), "")</f>
        <v/>
      </c>
    </row>
    <row r="227" spans="2:15">
      <c r="B227" s="90" t="s">
        <v>144</v>
      </c>
      <c r="C227" s="33" t="str">
        <f>IF(AND(COUNTIF(Logs!C$338:C$347, "Detour")&gt;0,COUNTIF(Logs!C$338:C$347, "Road Block")=0), COUNTIF(Logs!C$338:C$347, "Detour"), "")</f>
        <v/>
      </c>
      <c r="D227" s="33" t="str">
        <f>IF(AND(COUNTIF(Logs!D$338:D$347, "Detour")&gt;0,COUNTIF(Logs!D$338:D$347, "Road Block")=0), COUNTIF(Logs!D$338:D$347, "Detour"), "")</f>
        <v/>
      </c>
      <c r="E227" s="33" t="str">
        <f>IF(AND(COUNTIF(Logs!E$338:E$347, "Detour")&gt;0,COUNTIF(Logs!E$338:E$347, "Road Block")=0), COUNTIF(Logs!E$338:E$347, "Detour"), "")</f>
        <v/>
      </c>
      <c r="F227" s="33" t="str">
        <f>IF(AND(COUNTIF(Logs!F$338:F$347, "Detour")&gt;0,COUNTIF(Logs!F$338:F$347, "Road Block")=0), COUNTIF(Logs!F$338:F$347, "Detour"), "")</f>
        <v/>
      </c>
      <c r="G227" s="33" t="str">
        <f>IF(AND(COUNTIF(Logs!G$338:G$347, "Detour")&gt;0,COUNTIF(Logs!G$338:G$347, "Road Block")=0), COUNTIF(Logs!G$338:G$347, "Detour"), "")</f>
        <v/>
      </c>
      <c r="H227" s="33" t="str">
        <f>IF(AND(COUNTIF(Logs!H$338:H$347, "Detour")&gt;0,COUNTIF(Logs!H$338:H$347, "Road Block")=0), COUNTIF(Logs!H$338:H$347, "Detour"), "")</f>
        <v/>
      </c>
      <c r="I227" s="33" t="str">
        <f>IF(AND(COUNTIF(Logs!I$338:I$347, "Detour")&gt;0,COUNTIF(Logs!I$338:I$347, "Road Block")=0), COUNTIF(Logs!I$338:I$347, "Detour"), "")</f>
        <v/>
      </c>
      <c r="J227" s="33" t="str">
        <f>IF(AND(COUNTIF(Logs!J$338:J$347, "Detour")&gt;0,COUNTIF(Logs!J$338:J$347, "Road Block")=0), COUNTIF(Logs!J$338:J$347, "Detour"), "")</f>
        <v/>
      </c>
      <c r="K227" s="33" t="str">
        <f>IF(AND(COUNTIF(Logs!K$338:K$347, "Detour")&gt;0,COUNTIF(Logs!K$338:K$347, "Road Block")=0), COUNTIF(Logs!K$338:K$347, "Detour"), "")</f>
        <v/>
      </c>
      <c r="L227" s="33" t="str">
        <f>IF(AND(COUNTIF(Logs!L$338:L$347, "Detour")&gt;0,COUNTIF(Logs!L$338:L$347, "Road Block")=0), COUNTIF(Logs!L$338:L$347, "Detour"), "")</f>
        <v/>
      </c>
      <c r="M227" s="33" t="str">
        <f>IF(AND(COUNTIF(Logs!M$338:M$347, "Detour")&gt;0,COUNTIF(Logs!M$338:M$347, "Road Block")=0), COUNTIF(Logs!M$338:M$347, "Detour"), "")</f>
        <v/>
      </c>
      <c r="N227" s="33" t="str">
        <f>IF(AND(COUNTIF(Logs!N$338:N$347, "Detour")&gt;0,COUNTIF(Logs!N$338:N$347, "Road Block")=0), COUNTIF(Logs!N$338:N$347, "Detour"), "")</f>
        <v/>
      </c>
      <c r="O227" s="33"/>
    </row>
    <row r="228" spans="2:15">
      <c r="B228" s="90" t="s">
        <v>145</v>
      </c>
      <c r="C228" s="33" t="str">
        <f>IF(AND(COUNTIF(Logs!C$356:C$365, "Detour")&gt;0,COUNTIF(Logs!C$356:C$365, "Road Block")=0), COUNTIF(Logs!C$356:C$365, "Detour"), "")</f>
        <v/>
      </c>
      <c r="D228" s="33" t="str">
        <f>IF(AND(COUNTIF(Logs!D$356:D$365, "Detour")&gt;0,COUNTIF(Logs!D$356:D$365, "Road Block")=0), COUNTIF(Logs!D$356:D$365, "Detour"), "")</f>
        <v/>
      </c>
      <c r="E228" s="33" t="str">
        <f>IF(AND(COUNTIF(Logs!E$356:E$365, "Detour")&gt;0,COUNTIF(Logs!E$356:E$365, "Road Block")=0), COUNTIF(Logs!E$356:E$365, "Detour"), "")</f>
        <v/>
      </c>
      <c r="F228" s="33" t="str">
        <f>IF(AND(COUNTIF(Logs!F$356:F$365, "Detour")&gt;0,COUNTIF(Logs!F$356:F$365, "Road Block")=0), COUNTIF(Logs!F$356:F$365, "Detour"), "")</f>
        <v/>
      </c>
      <c r="G228" s="33" t="str">
        <f>IF(AND(COUNTIF(Logs!G$356:G$365, "Detour")&gt;0,COUNTIF(Logs!G$356:G$365, "Road Block")=0), COUNTIF(Logs!G$356:G$365, "Detour"), "")</f>
        <v/>
      </c>
      <c r="H228" s="33" t="str">
        <f>IF(AND(COUNTIF(Logs!H$356:H$365, "Detour")&gt;0,COUNTIF(Logs!H$356:H$365, "Road Block")=0), COUNTIF(Logs!H$356:H$365, "Detour"), "")</f>
        <v/>
      </c>
      <c r="I228" s="33">
        <f>IF(AND(COUNTIF(Logs!I$356:I$365, "Detour")&gt;0,COUNTIF(Logs!I$356:I$365, "Road Block")=0), COUNTIF(Logs!I$356:I$365, "Detour"), "")</f>
        <v>1</v>
      </c>
      <c r="J228" s="33" t="str">
        <f>IF(AND(COUNTIF(Logs!J$356:J$365, "Detour")&gt;0,COUNTIF(Logs!J$356:J$365, "Road Block")=0), COUNTIF(Logs!J$356:J$365, "Detour"), "")</f>
        <v/>
      </c>
      <c r="K228" s="33" t="str">
        <f>IF(AND(COUNTIF(Logs!K$356:K$365, "Detour")&gt;0,COUNTIF(Logs!K$356:K$365, "Road Block")=0), COUNTIF(Logs!K$356:K$365, "Detour"), "")</f>
        <v/>
      </c>
      <c r="L228" s="33" t="str">
        <f>IF(AND(COUNTIF(Logs!L$356:L$365, "Detour")&gt;0,COUNTIF(Logs!L$356:L$365, "Road Block")=0), COUNTIF(Logs!L$356:L$365, "Detour"), "")</f>
        <v/>
      </c>
      <c r="M228" s="33" t="str">
        <f>IF(AND(COUNTIF(Logs!M$356:M$365, "Detour")&gt;0,COUNTIF(Logs!M$356:M$365, "Road Block")=0), COUNTIF(Logs!M$356:M$365, "Detour"), "")</f>
        <v/>
      </c>
      <c r="N228" s="33" t="str">
        <f>IF(AND(COUNTIF(Logs!N$356:N$365, "Detour")&gt;0,COUNTIF(Logs!N$356:N$365, "Road Block")=0), COUNTIF(Logs!N$356:N$365, "Detour"), "")</f>
        <v/>
      </c>
      <c r="O228" s="33"/>
    </row>
    <row r="229" spans="2:15">
      <c r="B229" s="90" t="s">
        <v>146</v>
      </c>
      <c r="C229" s="33" t="str">
        <f>IF(AND(COUNTIF(Logs!C$374:C$383, "Detour")&gt;0,COUNTIF(Logs!C$374:C$383, "Road Block")=0), COUNTIF(Logs!C$374:C$383, "Detour"), "")</f>
        <v/>
      </c>
      <c r="D229" s="33" t="str">
        <f>IF(AND(COUNTIF(Logs!D$374:D$383, "Detour")&gt;0,COUNTIF(Logs!D$374:D$383, "Road Block")=0), COUNTIF(Logs!D$374:D$383, "Detour"), "")</f>
        <v/>
      </c>
      <c r="E229" s="33" t="str">
        <f>IF(AND(COUNTIF(Logs!E$374:E$383, "Detour")&gt;0,COUNTIF(Logs!E$374:E$383, "Road Block")=0), COUNTIF(Logs!E$374:E$383, "Detour"), "")</f>
        <v/>
      </c>
      <c r="F229" s="33" t="str">
        <f>IF(AND(COUNTIF(Logs!F$374:F$383, "Detour")&gt;0,COUNTIF(Logs!F$374:F$383, "Road Block")=0), COUNTIF(Logs!F$374:F$383, "Detour"), "")</f>
        <v/>
      </c>
      <c r="G229" s="33" t="str">
        <f>IF(AND(COUNTIF(Logs!G$374:G$383, "Detour")&gt;0,COUNTIF(Logs!G$374:G$383, "Road Block")=0), COUNTIF(Logs!G$374:G$383, "Detour"), "")</f>
        <v/>
      </c>
      <c r="H229" s="33" t="str">
        <f>IF(AND(COUNTIF(Logs!H$374:H$383, "Detour")&gt;0,COUNTIF(Logs!H$374:H$383, "Road Block")=0), COUNTIF(Logs!H$374:H$383, "Detour"), "")</f>
        <v/>
      </c>
      <c r="I229" s="33" t="str">
        <f>IF(AND(COUNTIF(Logs!I$374:I$383, "Detour")&gt;0,COUNTIF(Logs!I$374:I$383, "Road Block")=0), COUNTIF(Logs!I$374:I$383, "Detour"), "")</f>
        <v/>
      </c>
      <c r="J229" s="33" t="str">
        <f>IF(AND(COUNTIF(Logs!J$374:J$383, "Detour")&gt;0,COUNTIF(Logs!J$374:J$383, "Road Block")=0), COUNTIF(Logs!J$374:J$383, "Detour"), "")</f>
        <v/>
      </c>
      <c r="K229" s="33" t="str">
        <f>IF(AND(COUNTIF(Logs!K$374:K$383, "Detour")&gt;0,COUNTIF(Logs!K$374:K$383, "Road Block")=0), COUNTIF(Logs!K$374:K$383, "Detour"), "")</f>
        <v/>
      </c>
      <c r="L229" s="33" t="str">
        <f>IF(AND(COUNTIF(Logs!L$374:L$383, "Detour")&gt;0,COUNTIF(Logs!L$374:L$383, "Road Block")=0), COUNTIF(Logs!L$374:L$383, "Detour"), "")</f>
        <v/>
      </c>
      <c r="M229" s="33" t="str">
        <f>IF(AND(COUNTIF(Logs!M$374:M$383, "Detour")&gt;0,COUNTIF(Logs!M$374:M$383, "Road Block")=0), COUNTIF(Logs!M$374:M$383, "Detour"), "")</f>
        <v/>
      </c>
      <c r="N229" s="33" t="str">
        <f>IF(AND(COUNTIF(Logs!N$374:N$383, "Detour")&gt;0,COUNTIF(Logs!N$374:N$383, "Road Block")=0), COUNTIF(Logs!N$374:N$383, "Detour"), "")</f>
        <v/>
      </c>
      <c r="O229" s="33"/>
    </row>
    <row r="230" spans="2:15">
      <c r="B230" s="90" t="s">
        <v>147</v>
      </c>
      <c r="C230" s="33" t="str">
        <f>IF(AND(COUNTIF(Logs!C$393:C$402, "Detour")&gt;0,COUNTIF(Logs!C$393:C$402, "Road Block")=0), COUNTIF(Logs!C$393:C$402, "Detour"), "")</f>
        <v/>
      </c>
      <c r="D230" s="33" t="str">
        <f>IF(AND(COUNTIF(Logs!D$393:D$402, "Detour")&gt;0,COUNTIF(Logs!D$393:D$402, "Road Block")=0), COUNTIF(Logs!D$393:D$402, "Detour"), "")</f>
        <v/>
      </c>
      <c r="E230" s="33" t="str">
        <f>IF(AND(COUNTIF(Logs!E$393:E$402, "Detour")&gt;0,COUNTIF(Logs!E$393:E$402, "Road Block")=0), COUNTIF(Logs!E$393:E$402, "Detour"), "")</f>
        <v/>
      </c>
      <c r="F230" s="33" t="str">
        <f>IF(AND(COUNTIF(Logs!F$393:F$402, "Detour")&gt;0,COUNTIF(Logs!F$393:F$402, "Road Block")=0), COUNTIF(Logs!F$393:F$402, "Detour"), "")</f>
        <v/>
      </c>
      <c r="G230" s="33" t="str">
        <f>IF(AND(COUNTIF(Logs!G$393:G$402, "Detour")&gt;0,COUNTIF(Logs!G$393:G$402, "Road Block")=0), COUNTIF(Logs!G$393:G$402, "Detour"), "")</f>
        <v/>
      </c>
      <c r="H230" s="33" t="str">
        <f>IF(AND(COUNTIF(Logs!H$393:H$402, "Detour")&gt;0,COUNTIF(Logs!H$393:H$402, "Road Block")=0), COUNTIF(Logs!H$393:H$402, "Detour"), "")</f>
        <v/>
      </c>
      <c r="I230" s="33" t="str">
        <f>IF(AND(COUNTIF(Logs!I$393:I$402, "Detour")&gt;0,COUNTIF(Logs!I$393:I$402, "Road Block")=0), COUNTIF(Logs!I$393:I$402, "Detour"), "")</f>
        <v/>
      </c>
      <c r="J230" s="33" t="str">
        <f>IF(AND(COUNTIF(Logs!J$393:J$402, "Detour")&gt;0,COUNTIF(Logs!J$393:J$402, "Road Block")=0), COUNTIF(Logs!J$393:J$402, "Detour"), "")</f>
        <v/>
      </c>
      <c r="K230" s="33" t="str">
        <f>IF(AND(COUNTIF(Logs!K$393:K$402, "Detour")&gt;0,COUNTIF(Logs!K$393:K$402, "Road Block")=0), COUNTIF(Logs!K$393:K$402, "Detour"), "")</f>
        <v/>
      </c>
      <c r="L230" s="33" t="str">
        <f>IF(AND(COUNTIF(Logs!L$393:L$402, "Detour")&gt;0,COUNTIF(Logs!L$393:L$402, "Road Block")=0), COUNTIF(Logs!L$393:L$402, "Detour"), "")</f>
        <v/>
      </c>
      <c r="M230" s="33" t="str">
        <f>IF(AND(COUNTIF(Logs!M$393:M$402, "Detour")&gt;0,COUNTIF(Logs!M$393:M$402, "Road Block")=0), COUNTIF(Logs!M$393:M$402, "Detour"), "")</f>
        <v/>
      </c>
      <c r="N230" s="33" t="str">
        <f>IF(AND(COUNTIF(Logs!N$393:N$402, "Detour")&gt;0,COUNTIF(Logs!N$393:N$402, "Road Block")=0), COUNTIF(Logs!N$393:N$402, "Detour"), "")</f>
        <v/>
      </c>
      <c r="O230" s="33"/>
    </row>
    <row r="231" spans="2:15">
      <c r="B231" s="90" t="s">
        <v>148</v>
      </c>
      <c r="C231" s="33" t="str">
        <f>IF(AND(COUNTIF(Logs!C$411:C$420, "Detour")&gt;0,COUNTIF(Logs!C$411:C$420, "Road Block")=0), COUNTIF(Logs!C$411:C$420, "Detour"), "")</f>
        <v/>
      </c>
      <c r="D231" s="33" t="str">
        <f>IF(AND(COUNTIF(Logs!D$411:D$420, "Detour")&gt;0,COUNTIF(Logs!D$411:D$420, "Road Block")=0), COUNTIF(Logs!D$411:D$420, "Detour"), "")</f>
        <v/>
      </c>
      <c r="E231" s="33" t="str">
        <f>IF(AND(COUNTIF(Logs!E$411:E$420, "Detour")&gt;0,COUNTIF(Logs!E$411:E$420, "Road Block")=0), COUNTIF(Logs!E$411:E$420, "Detour"), "")</f>
        <v/>
      </c>
      <c r="F231" s="33" t="str">
        <f>IF(AND(COUNTIF(Logs!F$411:F$420, "Detour")&gt;0,COUNTIF(Logs!F$411:F$420, "Road Block")=0), COUNTIF(Logs!F$411:F$420, "Detour"), "")</f>
        <v/>
      </c>
      <c r="G231" s="33" t="str">
        <f>IF(AND(COUNTIF(Logs!G$411:G$420, "Detour")&gt;0,COUNTIF(Logs!G$411:G$420, "Road Block")=0), COUNTIF(Logs!G$411:G$420, "Detour"), "")</f>
        <v/>
      </c>
      <c r="H231" s="33" t="str">
        <f>IF(AND(COUNTIF(Logs!H$411:H$420, "Detour")&gt;0,COUNTIF(Logs!H$411:H$420, "Road Block")=0), COUNTIF(Logs!H$411:H$420, "Detour"), "")</f>
        <v/>
      </c>
      <c r="I231" s="33" t="str">
        <f>IF(AND(COUNTIF(Logs!I$411:I$420, "Detour")&gt;0,COUNTIF(Logs!I$411:I$420, "Road Block")=0), COUNTIF(Logs!I$411:I$420, "Detour"), "")</f>
        <v/>
      </c>
      <c r="J231" s="33" t="str">
        <f>IF(AND(COUNTIF(Logs!J$411:J$420, "Detour")&gt;0,COUNTIF(Logs!J$411:J$420, "Road Block")=0), COUNTIF(Logs!J$411:J$420, "Detour"), "")</f>
        <v/>
      </c>
      <c r="K231" s="33" t="str">
        <f>IF(AND(COUNTIF(Logs!K$411:K$420, "Detour")&gt;0,COUNTIF(Logs!K$411:K$420, "Road Block")=0), COUNTIF(Logs!K$411:K$420, "Detour"), "")</f>
        <v/>
      </c>
      <c r="L231" s="33" t="str">
        <f>IF(AND(COUNTIF(Logs!L$411:L$420, "Detour")&gt;0,COUNTIF(Logs!L$411:L$420, "Road Block")=0), COUNTIF(Logs!L$411:L$420, "Detour"), "")</f>
        <v/>
      </c>
      <c r="M231" s="33" t="str">
        <f>IF(AND(COUNTIF(Logs!M$411:M$420, "Detour")&gt;0,COUNTIF(Logs!M$411:M$420, "Road Block")=0), COUNTIF(Logs!M$411:M$420, "Detour"), "")</f>
        <v/>
      </c>
      <c r="N231" s="33" t="str">
        <f>IF(AND(COUNTIF(Logs!N$411:N$420, "Detour")&gt;0,COUNTIF(Logs!N$411:N$420, "Road Block")=0), COUNTIF(Logs!N$411:N$420, "Detour"), "")</f>
        <v/>
      </c>
      <c r="O231" s="33"/>
    </row>
    <row r="232" spans="2:15">
      <c r="B232" s="90" t="s">
        <v>125</v>
      </c>
      <c r="C232" s="33" t="str">
        <f>IF(AND(COUNTIF(Logs!C$429:C$438, "Detour")&gt;0,COUNTIF(Logs!C$429:C$438, "Road Block")=0), COUNTIF(Logs!C$429:C$438, "Detour"), "")</f>
        <v/>
      </c>
      <c r="D232" s="33" t="str">
        <f>IF(AND(COUNTIF(Logs!D$429:D$438, "Detour")&gt;0,COUNTIF(Logs!D$429:D$438, "Road Block")=0), COUNTIF(Logs!D$429:D$438, "Detour"), "")</f>
        <v/>
      </c>
      <c r="E232" s="33" t="str">
        <f>IF(AND(COUNTIF(Logs!E$429:E$438, "Detour")&gt;0,COUNTIF(Logs!E$429:E$438, "Road Block")=0), COUNTIF(Logs!E$429:E$438, "Detour"), "")</f>
        <v/>
      </c>
      <c r="F232" s="33" t="str">
        <f>IF(AND(COUNTIF(Logs!F$429:F$438, "Detour")&gt;0,COUNTIF(Logs!F$429:F$438, "Road Block")=0), COUNTIF(Logs!F$429:F$438, "Detour"), "")</f>
        <v/>
      </c>
      <c r="G232" s="33" t="str">
        <f>IF(AND(COUNTIF(Logs!G$429:G$438, "Detour")&gt;0,COUNTIF(Logs!G$429:G$438, "Road Block")=0), COUNTIF(Logs!G$429:G$438, "Detour"), "")</f>
        <v/>
      </c>
      <c r="H232" s="33" t="str">
        <f>IF(AND(COUNTIF(Logs!H$429:H$438, "Detour")&gt;0,COUNTIF(Logs!H$429:H$438, "Road Block")=0), COUNTIF(Logs!H$429:H$438, "Detour"), "")</f>
        <v/>
      </c>
      <c r="I232" s="33" t="str">
        <f>IF(AND(COUNTIF(Logs!I$429:I$438, "Detour")&gt;0,COUNTIF(Logs!I$429:I$438, "Road Block")=0), COUNTIF(Logs!I$429:I$438, "Detour"), "")</f>
        <v/>
      </c>
      <c r="J232" s="33" t="str">
        <f>IF(AND(COUNTIF(Logs!J$429:J$438, "Detour")&gt;0,COUNTIF(Logs!J$429:J$438, "Road Block")=0), COUNTIF(Logs!J$429:J$438, "Detour"), "")</f>
        <v/>
      </c>
      <c r="K232" s="33" t="str">
        <f>IF(AND(COUNTIF(Logs!K$429:K$438, "Detour")&gt;0,COUNTIF(Logs!K$429:K$438, "Road Block")=0), COUNTIF(Logs!K$429:K$438, "Detour"), "")</f>
        <v/>
      </c>
      <c r="L232" s="33" t="str">
        <f>IF(AND(COUNTIF(Logs!L$429:L$438, "Detour")&gt;0,COUNTIF(Logs!L$429:L$438, "Road Block")=0), COUNTIF(Logs!L$429:L$438, "Detour"), "")</f>
        <v/>
      </c>
      <c r="M232" s="33" t="str">
        <f>IF(AND(COUNTIF(Logs!M$429:M$438, "Detour")&gt;0,COUNTIF(Logs!M$429:M$438, "Road Block")=0), COUNTIF(Logs!M$429:M$438, "Detour"), "")</f>
        <v/>
      </c>
      <c r="N232" s="33" t="str">
        <f>IF(AND(COUNTIF(Logs!N$429:N$438, "Detour")&gt;0,COUNTIF(Logs!N$429:N$438, "Road Block")=0), COUNTIF(Logs!N$429:N$438, "Detour"), "")</f>
        <v/>
      </c>
      <c r="O232" s="33"/>
    </row>
    <row r="233" spans="2:15">
      <c r="B233" s="90" t="s">
        <v>116</v>
      </c>
      <c r="C233" s="33" t="str">
        <f>IF(AND(COUNTIF(Logs!C$447:C$456, "Detour")&gt;0,COUNTIF(Logs!C$447:C$456, "Road Block")=0), COUNTIF(Logs!C$447:C$456, "Detour"), "")</f>
        <v/>
      </c>
      <c r="D233" s="33">
        <f>IF(AND(COUNTIF(Logs!D$447:D$456, "Detour")&gt;0,COUNTIF(Logs!D$447:D$456, "Road Block")=0), COUNTIF(Logs!D$447:D$456, "Detour"), "")</f>
        <v>1</v>
      </c>
      <c r="E233" s="33">
        <f>IF(AND(COUNTIF(Logs!E$447:E$456, "Detour")&gt;0,COUNTIF(Logs!E$447:E$456, "Road Block")=0), COUNTIF(Logs!E$447:E$456, "Detour"), "")</f>
        <v>1</v>
      </c>
      <c r="F233" s="33" t="str">
        <f>IF(AND(COUNTIF(Logs!F$447:F$456, "Detour")&gt;0,COUNTIF(Logs!F$447:F$456, "Road Block")=0), COUNTIF(Logs!F$447:F$456, "Detour"), "")</f>
        <v/>
      </c>
      <c r="G233" s="33" t="str">
        <f>IF(AND(COUNTIF(Logs!G$447:G$456, "Detour")&gt;0,COUNTIF(Logs!G$447:G$456, "Road Block")=0), COUNTIF(Logs!G$447:G$456, "Detour"), "")</f>
        <v/>
      </c>
      <c r="H233" s="33" t="str">
        <f>IF(AND(COUNTIF(Logs!H$447:H$456, "Detour")&gt;0,COUNTIF(Logs!H$447:H$456, "Road Block")=0), COUNTIF(Logs!H$447:H$456, "Detour"), "")</f>
        <v/>
      </c>
      <c r="I233" s="33" t="str">
        <f>IF(AND(COUNTIF(Logs!I$447:I$456, "Detour")&gt;0,COUNTIF(Logs!I$447:I$456, "Road Block")=0), COUNTIF(Logs!I$447:I$456, "Detour"), "")</f>
        <v/>
      </c>
      <c r="J233" s="33" t="str">
        <f>IF(AND(COUNTIF(Logs!J$447:J$456, "Detour")&gt;0,COUNTIF(Logs!J$447:J$456, "Road Block")=0), COUNTIF(Logs!J$447:J$456, "Detour"), "")</f>
        <v/>
      </c>
      <c r="K233" s="33" t="str">
        <f>IF(AND(COUNTIF(Logs!K$447:K$456, "Detour")&gt;0,COUNTIF(Logs!K$447:K$456, "Road Block")=0), COUNTIF(Logs!K$447:K$456, "Detour"), "")</f>
        <v/>
      </c>
      <c r="L233" s="33">
        <f>IF(AND(COUNTIF(Logs!L$447:L$456, "Detour")&gt;0,COUNTIF(Logs!L$447:L$456, "Road Block")=0), COUNTIF(Logs!L$447:L$456, "Detour"), "")</f>
        <v>1</v>
      </c>
      <c r="M233" s="33" t="str">
        <f>IF(AND(COUNTIF(Logs!M$447:M$456, "Detour")&gt;0,COUNTIF(Logs!M$447:M$456, "Road Block")=0), COUNTIF(Logs!M$447:M$456, "Detour"), "")</f>
        <v/>
      </c>
      <c r="N233" s="33" t="str">
        <f>IF(AND(COUNTIF(Logs!N$447:N$456, "Detour")&gt;0,COUNTIF(Logs!N$447:N$456, "Road Block")=0), COUNTIF(Logs!N$447:N$456, "Detour"), "")</f>
        <v/>
      </c>
      <c r="O233" s="33" t="str">
        <f>IF(AND(COUNTIF(Logs!O$447:O$456, "Detour")&gt;0,COUNTIF(Logs!O$447:O$456, "Road Block")=0), COUNTIF(Logs!O$447:O$456, "Detour"), "")</f>
        <v/>
      </c>
    </row>
    <row r="234" spans="2:15">
      <c r="B234" s="90" t="s">
        <v>104</v>
      </c>
      <c r="C234" s="33">
        <f>IF(AND(COUNTIF(Logs!C$465:C$474, "Detour")&gt;0,COUNTIF(Logs!C$465:C$474, "Road Block")=0), COUNTIF(Logs!C$465:C$474, "Detour"), "")</f>
        <v>1</v>
      </c>
      <c r="D234" s="33" t="str">
        <f>IF(AND(COUNTIF(Logs!D$465:D$474, "Detour")&gt;0,COUNTIF(Logs!D$465:D$474, "Road Block")=0), COUNTIF(Logs!D$465:D$474, "Detour"), "")</f>
        <v/>
      </c>
      <c r="E234" s="33">
        <f>IF(AND(COUNTIF(Logs!E$465:E$474, "Detour")&gt;0,COUNTIF(Logs!E$465:E$474, "Road Block")=0), COUNTIF(Logs!E$465:E$474, "Detour"), "")</f>
        <v>1</v>
      </c>
      <c r="F234" s="33" t="str">
        <f>IF(AND(COUNTIF(Logs!F$465:F$474, "Detour")&gt;0,COUNTIF(Logs!F$465:F$474, "Road Block")=0), COUNTIF(Logs!F$465:F$474, "Detour"), "")</f>
        <v/>
      </c>
      <c r="G234" s="33">
        <f>IF(AND(COUNTIF(Logs!G$465:G$474, "Detour")&gt;0,COUNTIF(Logs!G$465:G$474, "Road Block")=0), COUNTIF(Logs!G$465:G$474, "Detour"), "")</f>
        <v>1</v>
      </c>
      <c r="H234" s="33" t="str">
        <f>IF(AND(COUNTIF(Logs!H$465:H$474, "Detour")&gt;0,COUNTIF(Logs!H$465:H$474, "Road Block")=0), COUNTIF(Logs!H$465:H$474, "Detour"), "")</f>
        <v/>
      </c>
      <c r="I234" s="33" t="str">
        <f>IF(AND(COUNTIF(Logs!I$465:I$474, "Detour")&gt;0,COUNTIF(Logs!I$465:I$474, "Road Block")=0), COUNTIF(Logs!I$465:I$474, "Detour"), "")</f>
        <v/>
      </c>
      <c r="J234" s="33" t="str">
        <f>IF(AND(COUNTIF(Logs!J$465:J$474, "Detour")&gt;0,COUNTIF(Logs!J$465:J$474, "Road Block")=0), COUNTIF(Logs!J$465:J$474, "Detour"), "")</f>
        <v/>
      </c>
      <c r="K234" s="33" t="str">
        <f>IF(AND(COUNTIF(Logs!K$465:K$474, "Detour")&gt;0,COUNTIF(Logs!K$465:K$474, "Road Block")=0), COUNTIF(Logs!K$465:K$474, "Detour"), "")</f>
        <v/>
      </c>
      <c r="L234" s="33" t="str">
        <f>IF(AND(COUNTIF(Logs!L$465:L$474, "Detour")&gt;0,COUNTIF(Logs!L$465:L$474, "Road Block")=0), COUNTIF(Logs!L$465:L$474, "Detour"), "")</f>
        <v/>
      </c>
      <c r="M234" s="33" t="str">
        <f>IF(AND(COUNTIF(Logs!M$465:M$474, "Detour")&gt;0,COUNTIF(Logs!M$465:M$474, "Road Block")=0), COUNTIF(Logs!M$465:M$474, "Detour"), "")</f>
        <v/>
      </c>
      <c r="N234" s="33" t="str">
        <f>IF(AND(COUNTIF(Logs!N$465:N$474, "Detour")&gt;0,COUNTIF(Logs!N$465:N$474, "Road Block")=0), COUNTIF(Logs!N$465:N$474, "Detour"), "")</f>
        <v/>
      </c>
      <c r="O234" s="33"/>
    </row>
    <row r="235" spans="2:15">
      <c r="B235" s="90" t="s">
        <v>95</v>
      </c>
      <c r="C235" s="33">
        <f>IF(AND(COUNTIF(Logs!C$483:C$492, "Detour")&gt;0,COUNTIF(Logs!C$483:C$492, "Road Block")=0), COUNTIF(Logs!C$483:C$492, "Detour"), "")</f>
        <v>1</v>
      </c>
      <c r="D235" s="33" t="str">
        <f>IF(AND(COUNTIF(Logs!D$483:D$492, "Detour")&gt;0,COUNTIF(Logs!D$483:D$492, "Road Block")=0), COUNTIF(Logs!D$483:D$492, "Detour"), "")</f>
        <v/>
      </c>
      <c r="E235" s="33" t="str">
        <f>IF(AND(COUNTIF(Logs!E$483:E$492, "Detour")&gt;0,COUNTIF(Logs!E$483:E$492, "Road Block")=0), COUNTIF(Logs!E$483:E$492, "Detour"), "")</f>
        <v/>
      </c>
      <c r="F235" s="33" t="str">
        <f>IF(AND(COUNTIF(Logs!F$483:F$492, "Detour")&gt;0,COUNTIF(Logs!F$483:F$492, "Road Block")=0), COUNTIF(Logs!F$483:F$492, "Detour"), "")</f>
        <v/>
      </c>
      <c r="G235" s="33" t="str">
        <f>IF(AND(COUNTIF(Logs!G$483:G$492, "Detour")&gt;0,COUNTIF(Logs!G$483:G$492, "Road Block")=0), COUNTIF(Logs!G$483:G$492, "Detour"), "")</f>
        <v/>
      </c>
      <c r="H235" s="33" t="str">
        <f>IF(AND(COUNTIF(Logs!H$483:H$492, "Detour")&gt;0,COUNTIF(Logs!H$483:H$492, "Road Block")=0), COUNTIF(Logs!H$483:H$492, "Detour"), "")</f>
        <v/>
      </c>
      <c r="I235" s="33" t="str">
        <f>IF(AND(COUNTIF(Logs!I$483:I$492, "Detour")&gt;0,COUNTIF(Logs!I$483:I$492, "Road Block")=0), COUNTIF(Logs!I$483:I$492, "Detour"), "")</f>
        <v/>
      </c>
      <c r="J235" s="33" t="str">
        <f>IF(AND(COUNTIF(Logs!J$483:J$492, "Detour")&gt;0,COUNTIF(Logs!J$483:J$492, "Road Block")=0), COUNTIF(Logs!J$483:J$492, "Detour"), "")</f>
        <v/>
      </c>
      <c r="K235" s="33" t="str">
        <f>IF(AND(COUNTIF(Logs!K$483:K$492, "Detour")&gt;0,COUNTIF(Logs!K$483:K$492, "Road Block")=0), COUNTIF(Logs!K$483:K$492, "Detour"), "")</f>
        <v/>
      </c>
      <c r="L235" s="33" t="str">
        <f>IF(AND(COUNTIF(Logs!L$483:L$492, "Detour")&gt;0,COUNTIF(Logs!L$483:L$492, "Road Block")=0), COUNTIF(Logs!L$483:L$492, "Detour"), "")</f>
        <v/>
      </c>
      <c r="M235" s="33" t="str">
        <f>IF(AND(COUNTIF(Logs!M$483:M$492, "Detour")&gt;0,COUNTIF(Logs!M$483:M$492, "Road Block")=0), COUNTIF(Logs!M$483:M$492, "Detour"), "")</f>
        <v/>
      </c>
      <c r="N235" s="33" t="str">
        <f>IF(AND(COUNTIF(Logs!N$483:N$492, "Detour")&gt;0,COUNTIF(Logs!N$483:N$492, "Road Block")=0), COUNTIF(Logs!N$483:N$492, "Detour"), "")</f>
        <v/>
      </c>
      <c r="O235" s="33"/>
    </row>
    <row r="236" spans="2:15">
      <c r="B236" s="90" t="s">
        <v>85</v>
      </c>
      <c r="C236" s="33" t="str">
        <f>IF(AND(COUNTIF(Logs!C$501:C$510, "Detour")&gt;0,COUNTIF(Logs!C$501:C$510, "Road Block")=0), COUNTIF(Logs!C$501:C$510, "Detour"), "")</f>
        <v/>
      </c>
      <c r="D236" s="33" t="str">
        <f>IF(AND(COUNTIF(Logs!D$501:D$510, "Detour")&gt;0,COUNTIF(Logs!D$501:D$510, "Road Block")=0), COUNTIF(Logs!D$501:D$510, "Detour"), "")</f>
        <v/>
      </c>
      <c r="E236" s="33" t="str">
        <f>IF(AND(COUNTIF(Logs!E$501:E$510, "Detour")&gt;0,COUNTIF(Logs!E$501:E$510, "Road Block")=0), COUNTIF(Logs!E$501:E$510, "Detour"), "")</f>
        <v/>
      </c>
      <c r="F236" s="33" t="str">
        <f>IF(AND(COUNTIF(Logs!F$501:F$510, "Detour")&gt;0,COUNTIF(Logs!F$501:F$510, "Road Block")=0), COUNTIF(Logs!F$501:F$510, "Detour"), "")</f>
        <v/>
      </c>
      <c r="G236" s="33" t="str">
        <f>IF(AND(COUNTIF(Logs!G$501:G$510, "Detour")&gt;0,COUNTIF(Logs!G$501:G$510, "Road Block")=0), COUNTIF(Logs!G$501:G$510, "Detour"), "")</f>
        <v/>
      </c>
      <c r="H236" s="33" t="str">
        <f>IF(AND(COUNTIF(Logs!H$501:H$510, "Detour")&gt;0,COUNTIF(Logs!H$501:H$510, "Road Block")=0), COUNTIF(Logs!H$501:H$510, "Detour"), "")</f>
        <v/>
      </c>
      <c r="I236" s="33" t="str">
        <f>IF(AND(COUNTIF(Logs!I$501:I$510, "Detour")&gt;0,COUNTIF(Logs!I$501:I$510, "Road Block")=0), COUNTIF(Logs!I$501:I$510, "Detour"), "")</f>
        <v/>
      </c>
      <c r="J236" s="33" t="str">
        <f>IF(AND(COUNTIF(Logs!J$501:J$510, "Detour")&gt;0,COUNTIF(Logs!J$501:J$510, "Road Block")=0), COUNTIF(Logs!J$501:J$510, "Detour"), "")</f>
        <v/>
      </c>
      <c r="K236" s="33" t="str">
        <f>IF(AND(COUNTIF(Logs!K$501:K$510, "Detour")&gt;0,COUNTIF(Logs!K$501:K$510, "Road Block")=0), COUNTIF(Logs!K$501:K$510, "Detour"), "")</f>
        <v/>
      </c>
      <c r="L236" s="33" t="str">
        <f>IF(AND(COUNTIF(Logs!L$501:L$510, "Detour")&gt;0,COUNTIF(Logs!L$501:L$510, "Road Block")=0), COUNTIF(Logs!L$501:L$510, "Detour"), "")</f>
        <v/>
      </c>
      <c r="M236" s="33" t="str">
        <f>IF(AND(COUNTIF(Logs!M$501:M$510, "Detour")&gt;0,COUNTIF(Logs!M$501:M$510, "Road Block")=0), COUNTIF(Logs!M$501:M$510, "Detour"), "")</f>
        <v/>
      </c>
      <c r="N236" s="33" t="str">
        <f>IF(AND(COUNTIF(Logs!N$501:N$510, "Detour")&gt;0,COUNTIF(Logs!N$501:N$510, "Road Block")=0), COUNTIF(Logs!N$501:N$510, "Detour"), "")</f>
        <v/>
      </c>
      <c r="O236" s="33"/>
    </row>
    <row r="237" spans="2:15">
      <c r="B237" s="90" t="s">
        <v>66</v>
      </c>
      <c r="C237" s="33">
        <f>IF(AND(COUNTIF(Logs!C$519:C$528, "Detour")&gt;0,COUNTIF(Logs!C$519:C$528, "Road Block")=0), COUNTIF(Logs!C$519:C$528, "Detour"), "")</f>
        <v>1</v>
      </c>
      <c r="D237" s="33" t="str">
        <f>IF(AND(COUNTIF(Logs!D$519:D$528, "Detour")&gt;0,COUNTIF(Logs!D$519:D$528, "Road Block")=0), COUNTIF(Logs!D$519:D$528, "Detour"), "")</f>
        <v/>
      </c>
      <c r="E237" s="33" t="str">
        <f>IF(AND(COUNTIF(Logs!E$519:E$528, "Detour")&gt;0,COUNTIF(Logs!E$519:E$528, "Road Block")=0), COUNTIF(Logs!E$519:E$528, "Detour"), "")</f>
        <v/>
      </c>
      <c r="F237" s="33" t="str">
        <f>IF(AND(COUNTIF(Logs!F$519:F$528, "Detour")&gt;0,COUNTIF(Logs!F$519:F$528, "Road Block")=0), COUNTIF(Logs!F$519:F$528, "Detour"), "")</f>
        <v/>
      </c>
      <c r="G237" s="33" t="str">
        <f>IF(AND(COUNTIF(Logs!G$519:G$528, "Detour")&gt;0,COUNTIF(Logs!G$519:G$528, "Road Block")=0), COUNTIF(Logs!G$519:G$528, "Detour"), "")</f>
        <v/>
      </c>
      <c r="H237" s="33" t="str">
        <f>IF(AND(COUNTIF(Logs!H$519:H$528, "Detour")&gt;0,COUNTIF(Logs!H$519:H$528, "Road Block")=0), COUNTIF(Logs!H$519:H$528, "Detour"), "")</f>
        <v/>
      </c>
      <c r="I237" s="33" t="str">
        <f>IF(AND(COUNTIF(Logs!I$519:I$528, "Detour")&gt;0,COUNTIF(Logs!I$519:I$528, "Road Block")=0), COUNTIF(Logs!I$519:I$528, "Detour"), "")</f>
        <v/>
      </c>
      <c r="J237" s="33" t="str">
        <f>IF(AND(COUNTIF(Logs!J$519:J$528, "Detour")&gt;0,COUNTIF(Logs!J$519:J$528, "Road Block")=0), COUNTIF(Logs!J$519:J$528, "Detour"), "")</f>
        <v/>
      </c>
      <c r="K237" s="33" t="str">
        <f>IF(AND(COUNTIF(Logs!K$519:K$528, "Detour")&gt;0,COUNTIF(Logs!K$519:K$528, "Road Block")=0), COUNTIF(Logs!K$519:K$528, "Detour"), "")</f>
        <v/>
      </c>
      <c r="L237" s="33" t="str">
        <f>IF(AND(COUNTIF(Logs!L$519:L$528, "Detour")&gt;0,COUNTIF(Logs!L$519:L$528, "Road Block")=0), COUNTIF(Logs!L$519:L$528, "Detour"), "")</f>
        <v/>
      </c>
      <c r="M237" s="33" t="str">
        <f>IF(AND(COUNTIF(Logs!M$519:M$528, "Detour")&gt;0,COUNTIF(Logs!M$519:M$528, "Road Block")=0), COUNTIF(Logs!M$519:M$528, "Detour"), "")</f>
        <v/>
      </c>
      <c r="N237" s="33" t="str">
        <f>IF(AND(COUNTIF(Logs!N$519:N$528, "Detour")&gt;0,COUNTIF(Logs!N$519:N$528, "Road Block")=0), COUNTIF(Logs!N$519:N$528, "Detour"), "")</f>
        <v/>
      </c>
      <c r="O237" s="33"/>
    </row>
    <row r="238" spans="2:15">
      <c r="B238" s="90" t="s">
        <v>65</v>
      </c>
      <c r="C238" s="33" t="str">
        <f>IF(AND(COUNTIF(Logs!C$537:C$546, "Detour")&gt;0,COUNTIF(Logs!C$537:C$546, "Road Block")=0), COUNTIF(Logs!C$537:C$546, "Detour"), "")</f>
        <v/>
      </c>
      <c r="D238" s="33" t="str">
        <f>IF(AND(COUNTIF(Logs!D$537:D$546, "Detour")&gt;0,COUNTIF(Logs!D$537:D$546, "Road Block")=0), COUNTIF(Logs!D$537:D$546, "Detour"), "")</f>
        <v/>
      </c>
      <c r="E238" s="33" t="str">
        <f>IF(AND(COUNTIF(Logs!E$537:E$546, "Detour")&gt;0,COUNTIF(Logs!E$537:E$546, "Road Block")=0), COUNTIF(Logs!E$537:E$546, "Detour"), "")</f>
        <v/>
      </c>
      <c r="F238" s="33" t="str">
        <f>IF(AND(COUNTIF(Logs!F$537:F$546, "Detour")&gt;0,COUNTIF(Logs!F$537:F$546, "Road Block")=0), COUNTIF(Logs!F$537:F$546, "Detour"), "")</f>
        <v/>
      </c>
      <c r="G238" s="33" t="str">
        <f>IF(AND(COUNTIF(Logs!G$537:G$546, "Detour")&gt;0,COUNTIF(Logs!G$537:G$546, "Road Block")=0), COUNTIF(Logs!G$537:G$546, "Detour"), "")</f>
        <v/>
      </c>
      <c r="H238" s="33" t="str">
        <f>IF(AND(COUNTIF(Logs!H$537:H$546, "Detour")&gt;0,COUNTIF(Logs!H$537:H$546, "Road Block")=0), COUNTIF(Logs!H$537:H$546, "Detour"), "")</f>
        <v/>
      </c>
      <c r="I238" s="33">
        <f>IF(AND(COUNTIF(Logs!I$537:I$546, "Detour")&gt;0,COUNTIF(Logs!I$537:I$546, "Road Block")=0), COUNTIF(Logs!I$537:I$546, "Detour"), "")</f>
        <v>1</v>
      </c>
      <c r="J238" s="33">
        <f>IF(AND(COUNTIF(Logs!J$537:J$546, "Detour")&gt;0,COUNTIF(Logs!J$537:J$546, "Road Block")=0), COUNTIF(Logs!J$537:J$546, "Detour"), "")</f>
        <v>1</v>
      </c>
      <c r="K238" s="33" t="str">
        <f>IF(AND(COUNTIF(Logs!K$537:K$546, "Detour")&gt;0,COUNTIF(Logs!K$537:K$546, "Road Block")=0), COUNTIF(Logs!K$537:K$546, "Detour"), "")</f>
        <v/>
      </c>
      <c r="L238" s="33" t="str">
        <f>IF(AND(COUNTIF(Logs!L$537:L$546, "Detour")&gt;0,COUNTIF(Logs!L$537:L$546, "Road Block")=0), COUNTIF(Logs!L$537:L$546, "Detour"), "")</f>
        <v/>
      </c>
      <c r="M238" s="33" t="str">
        <f>IF(AND(COUNTIF(Logs!M$537:M$546, "Detour")&gt;0,COUNTIF(Logs!M$537:M$546, "Road Block")=0), COUNTIF(Logs!M$537:M$546, "Detour"), "")</f>
        <v/>
      </c>
      <c r="N238" s="33" t="str">
        <f>IF(AND(COUNTIF(Logs!N$537:N$546, "Detour")&gt;0,COUNTIF(Logs!N$537:N$546, "Road Block")=0), COUNTIF(Logs!N$537:N$546, "Detour"), "")</f>
        <v/>
      </c>
      <c r="O238" s="33"/>
    </row>
    <row r="239" spans="2:15">
      <c r="B239" s="90" t="s">
        <v>60</v>
      </c>
      <c r="C239" s="33" t="str">
        <f>IF(AND(COUNTIF(Logs!C$555:C$564, "Detour")&gt;0,COUNTIF(Logs!C$555:C$564, "Road Block")=0), COUNTIF(Logs!C$555:C$564, "Detour"), "")</f>
        <v/>
      </c>
      <c r="D239" s="33" t="str">
        <f>IF(AND(COUNTIF(Logs!D$555:D$564, "Detour")&gt;0,COUNTIF(Logs!D$555:D$564, "Road Block")=0), COUNTIF(Logs!D$555:D$564, "Detour"), "")</f>
        <v/>
      </c>
      <c r="E239" s="33" t="str">
        <f>IF(AND(COUNTIF(Logs!E$555:E$564, "Detour")&gt;0,COUNTIF(Logs!E$555:E$564, "Road Block")=0), COUNTIF(Logs!E$555:E$564, "Detour"), "")</f>
        <v/>
      </c>
      <c r="F239" s="33" t="str">
        <f>IF(AND(COUNTIF(Logs!F$555:F$564, "Detour")&gt;0,COUNTIF(Logs!F$555:F$564, "Road Block")=0), COUNTIF(Logs!F$555:F$564, "Detour"), "")</f>
        <v/>
      </c>
      <c r="G239" s="33" t="str">
        <f>IF(AND(COUNTIF(Logs!G$555:G$564, "Detour")&gt;0,COUNTIF(Logs!G$555:G$564, "Road Block")=0), COUNTIF(Logs!G$555:G$564, "Detour"), "")</f>
        <v/>
      </c>
      <c r="H239" s="33" t="str">
        <f>IF(AND(COUNTIF(Logs!H$555:H$564, "Detour")&gt;0,COUNTIF(Logs!H$555:H$564, "Road Block")=0), COUNTIF(Logs!H$555:H$564, "Detour"), "")</f>
        <v/>
      </c>
      <c r="I239" s="33" t="str">
        <f>IF(AND(COUNTIF(Logs!I$555:I$564, "Detour")&gt;0,COUNTIF(Logs!I$555:I$564, "Road Block")=0), COUNTIF(Logs!I$555:I$564, "Detour"), "")</f>
        <v/>
      </c>
      <c r="J239" s="33" t="str">
        <f>IF(AND(COUNTIF(Logs!J$555:J$564, "Detour")&gt;0,COUNTIF(Logs!J$555:J$564, "Road Block")=0), COUNTIF(Logs!J$555:J$564, "Detour"), "")</f>
        <v/>
      </c>
      <c r="K239" s="33" t="str">
        <f>IF(AND(COUNTIF(Logs!K$555:K$564, "Detour")&gt;0,COUNTIF(Logs!K$555:K$564, "Road Block")=0), COUNTIF(Logs!K$555:K$564, "Detour"), "")</f>
        <v/>
      </c>
      <c r="L239" s="33">
        <f>IF(AND(COUNTIF(Logs!L$555:L$564, "Detour")&gt;0,COUNTIF(Logs!L$555:L$564, "Road Block")=0), COUNTIF(Logs!L$555:L$564, "Detour"), "")</f>
        <v>1</v>
      </c>
      <c r="M239" s="33" t="str">
        <f>IF(AND(COUNTIF(Logs!M$555:M$564, "Detour")&gt;0,COUNTIF(Logs!M$555:M$564, "Road Block")=0), COUNTIF(Logs!M$555:M$564, "Detour"), "")</f>
        <v/>
      </c>
      <c r="N239" s="33" t="str">
        <f>IF(AND(COUNTIF(Logs!N$555:N$564, "Detour")&gt;0,COUNTIF(Logs!N$555:N$564, "Road Block")=0), COUNTIF(Logs!N$555:N$564, "Detour"), "")</f>
        <v/>
      </c>
      <c r="O239" s="33"/>
    </row>
    <row r="240" spans="2:15">
      <c r="B240" s="90" t="s">
        <v>35</v>
      </c>
      <c r="C240" s="33" t="str">
        <f>IF(AND(COUNTIF(Logs!C$572:C$583, "Detour")&gt;0,COUNTIF(Logs!C$572:C$583, "Road Block")=0), COUNTIF(Logs!C$572:C$583, "Detour"), "")</f>
        <v/>
      </c>
      <c r="D240" s="33" t="str">
        <f>IF(AND(COUNTIF(Logs!D$572:D$583, "Detour")&gt;0,COUNTIF(Logs!D$572:D$583, "Road Block")=0), COUNTIF(Logs!D$572:D$583, "Detour"), "")</f>
        <v/>
      </c>
      <c r="E240" s="33">
        <f>IF(AND(COUNTIF(Logs!E$572:E$583, "Detour")&gt;0,COUNTIF(Logs!E$572:E$583, "Road Block")=0), COUNTIF(Logs!E$572:E$583, "Detour"), "")</f>
        <v>1</v>
      </c>
      <c r="F240" s="33" t="str">
        <f>IF(AND(COUNTIF(Logs!F$574:F$583, "Detour")&gt;0,COUNTIF(Logs!F$574:F$583, "Road Block")=0), COUNTIF(Logs!F$574:F$583, "Detour"), "")</f>
        <v/>
      </c>
      <c r="G240" s="33" t="str">
        <f>IF(AND(COUNTIF(Logs!G$574:G$583, "Detour")&gt;0,COUNTIF(Logs!G$574:G$583, "Road Block")=0), COUNTIF(Logs!G$574:G$583, "Detour"), "")</f>
        <v/>
      </c>
      <c r="H240" s="33" t="str">
        <f>IF(AND(COUNTIF(Logs!H$572:H$583, "Detour")&gt;0,COUNTIF(Logs!H$572:H$583, "Road Block")=0), COUNTIF(Logs!H$572:H$583, "Detour"), "")</f>
        <v/>
      </c>
      <c r="I240" s="33">
        <f>IF(AND(COUNTIF(Logs!I$572:I$583, "Detour")&gt;0,COUNTIF(Logs!I$572:I$583, "Road Block")=0), COUNTIF(Logs!I$572:I$583, "Detour"), "")</f>
        <v>1</v>
      </c>
      <c r="J240" s="33" t="str">
        <f>IF(AND(COUNTIF(Logs!J$572:J$583, "Detour")&gt;0,COUNTIF(Logs!J$572:J$583, "Road Block")=0), COUNTIF(Logs!J$572:J$583, "Detour"), "")</f>
        <v/>
      </c>
      <c r="K240" s="33" t="str">
        <f>IF(AND(COUNTIF(Logs!K$572:K$583, "Detour")&gt;0,COUNTIF(Logs!K$572:K$583, "Road Block")=0), COUNTIF(Logs!K$572:K$583, "Detour"), "")</f>
        <v/>
      </c>
      <c r="L240" s="33" t="str">
        <f>IF(AND(COUNTIF(Logs!L$572:L$583, "Detour")&gt;0,COUNTIF(Logs!L$572:L$583, "Road Block")=0), COUNTIF(Logs!L$572:L$583, "Detour"), "")</f>
        <v/>
      </c>
      <c r="M240" s="33" t="str">
        <f>IF(AND(COUNTIF(Logs!M$572:M$583, "Detour")&gt;0,COUNTIF(Logs!M$572:M$583, "Road Block")=0), COUNTIF(Logs!M$572:M$583, "Detour"), "")</f>
        <v/>
      </c>
      <c r="N240" s="33" t="str">
        <f>IF(AND(COUNTIF(Logs!N$572:N$583, "Detour")&gt;0,COUNTIF(Logs!N$572:N$583, "Road Block")=0), COUNTIF(Logs!N$572:N$583, "Detour"), "")</f>
        <v/>
      </c>
      <c r="O240" s="33"/>
    </row>
    <row r="241" spans="2:27">
      <c r="B241" s="90" t="s">
        <v>11</v>
      </c>
      <c r="C241" s="33">
        <f>IF(AND(COUNTIF(Logs!C$591:C$600, "Detour")&gt;0,COUNTIF(Logs!C$591:C$600, "Road Block")=0), COUNTIF(Logs!C$591:C$600, "Detour"), "")</f>
        <v>1</v>
      </c>
      <c r="D241" s="33" t="str">
        <f>IF(AND(COUNTIF(Logs!D$591:D$600, "Detour")&gt;0,COUNTIF(Logs!D$591:D$600, "Road Block")=0), COUNTIF(Logs!D$591:D$600, "Detour"), "")</f>
        <v/>
      </c>
      <c r="E241" s="33" t="str">
        <f>IF(AND(COUNTIF(Logs!E$591:E$600, "Detour")&gt;0,COUNTIF(Logs!E$591:E$600, "Road Block")=0), COUNTIF(Logs!E$591:E$600, "Detour"), "")</f>
        <v/>
      </c>
      <c r="F241" s="33" t="str">
        <f>IF(AND(COUNTIF(Logs!F$591:F$600, "Detour")&gt;0,COUNTIF(Logs!F$591:F$600, "Road Block")=0), COUNTIF(Logs!F$591:F$600, "Detour"), "")</f>
        <v/>
      </c>
      <c r="G241" s="33" t="str">
        <f>IF(AND(COUNTIF(Logs!G$591:G$600, "Detour")&gt;0,COUNTIF(Logs!G$591:G$600, "Road Block")=0), COUNTIF(Logs!G$591:G$600, "Detour"), "")</f>
        <v/>
      </c>
      <c r="H241" s="33" t="str">
        <f>IF(AND(COUNTIF(Logs!H$591:H$600, "Detour")&gt;0,COUNTIF(Logs!H$591:H$600, "Road Block")=0), COUNTIF(Logs!H$591:H$600, "Detour"), "")</f>
        <v/>
      </c>
      <c r="I241" s="33" t="str">
        <f>IF(AND(COUNTIF(Logs!I$591:I$600, "Detour")&gt;0,COUNTIF(Logs!I$591:I$600, "Road Block")=0), COUNTIF(Logs!I$591:I$600, "Detour"), "")</f>
        <v/>
      </c>
      <c r="J241" s="33" t="str">
        <f>IF(AND(COUNTIF(Logs!J$591:J$600, "Detour")&gt;0,COUNTIF(Logs!J$591:J$600, "Road Block")=0), COUNTIF(Logs!J$591:J$600, "Detour"), "")</f>
        <v/>
      </c>
      <c r="K241" s="33" t="str">
        <f>IF(AND(COUNTIF(Logs!K$591:K$600, "Detour")&gt;0,COUNTIF(Logs!K$591:K$600, "Road Block")=0), COUNTIF(Logs!K$591:K$600, "Detour"), "")</f>
        <v/>
      </c>
      <c r="L241" s="33" t="str">
        <f>IF(AND(COUNTIF(Logs!L$591:L$600, "Detour")&gt;0,COUNTIF(Logs!L$591:L$600, "Road Block")=0), COUNTIF(Logs!L$591:L$600, "Detour"), "")</f>
        <v/>
      </c>
      <c r="M241" s="33" t="str">
        <f>IF(AND(COUNTIF(Logs!M$591:M$600, "Detour")&gt;0,COUNTIF(Logs!M$591:M$600, "Road Block")=0), COUNTIF(Logs!M$591:M$600, "Detour"), "")</f>
        <v/>
      </c>
      <c r="N241" s="33" t="str">
        <f>IF(AND(COUNTIF(Logs!N$591:N$600, "Detour")&gt;0,COUNTIF(Logs!N$591:N$600, "Road Block")=0), COUNTIF(Logs!N$591:N$600, "Detour"), "")</f>
        <v/>
      </c>
      <c r="O241" s="33"/>
    </row>
    <row r="242" spans="2:27">
      <c r="B242" s="90" t="s">
        <v>198</v>
      </c>
      <c r="C242" s="33" t="str">
        <f>IF(AND(COUNTIF(Logs!C$607:C$616, "Detour")&gt;0,COUNTIF(Logs!C$607:C$616, "Road Block")=0), COUNTIF(Logs!C$607:C$616, "Detour"), "")</f>
        <v/>
      </c>
      <c r="D242" s="33" t="str">
        <f>IF(AND(COUNTIF(Logs!D$607:D$616, "Detour")&gt;0,COUNTIF(Logs!D$607:D$616, "Road Block")=0), COUNTIF(Logs!D$607:D$616, "Detour"), "")</f>
        <v/>
      </c>
      <c r="E242" s="33" t="str">
        <f>IF(AND(COUNTIF(Logs!E$607:E$616, "Detour")&gt;0,COUNTIF(Logs!E$607:E$616, "Road Block")=0), COUNTIF(Logs!E$607:E$616, "Detour"), "")</f>
        <v/>
      </c>
      <c r="F242" s="33" t="str">
        <f>IF(AND(COUNTIF(Logs!F$607:F$616, "Detour")&gt;0,COUNTIF(Logs!F$607:F$616, "Road Block")=0), COUNTIF(Logs!F$607:F$616, "Detour"), "")</f>
        <v/>
      </c>
      <c r="G242" s="33" t="str">
        <f>IF(AND(COUNTIF(Logs!G$607:G$616, "Detour")&gt;0,COUNTIF(Logs!G$607:G$616, "Road Block")=0), COUNTIF(Logs!G$607:G$616, "Detour"), "")</f>
        <v/>
      </c>
      <c r="H242" s="33" t="str">
        <f>IF(AND(COUNTIF(Logs!H$607:H$616, "Detour")&gt;0,COUNTIF(Logs!H$607:H$616, "Road Block")=0), COUNTIF(Logs!H$607:H$616, "Detour"), "")</f>
        <v/>
      </c>
      <c r="I242" s="33" t="str">
        <f>IF(AND(COUNTIF(Logs!I$607:I$616, "Detour")&gt;0,COUNTIF(Logs!I$607:I$616, "Road Block")=0), COUNTIF(Logs!I$607:I$616, "Detour"), "")</f>
        <v/>
      </c>
      <c r="J242" s="33" t="str">
        <f>IF(AND(COUNTIF(Logs!J$607:J$616, "Detour")&gt;0,COUNTIF(Logs!J$607:J$616, "Road Block")=0), COUNTIF(Logs!J$607:J$616, "Detour"), "")</f>
        <v/>
      </c>
      <c r="K242" s="33" t="str">
        <f>IF(AND(COUNTIF(Logs!K$607:K$616, "Detour")&gt;0,COUNTIF(Logs!K$607:K$616, "Road Block")=0), COUNTIF(Logs!K$607:K$616, "Detour"), "")</f>
        <v/>
      </c>
      <c r="L242" s="33" t="str">
        <f>IF(AND(COUNTIF(Logs!L$607:L$616, "Detour")&gt;0,COUNTIF(Logs!L$607:L$616, "Road Block")=0), COUNTIF(Logs!L$607:L$616, "Detour"), "")</f>
        <v/>
      </c>
      <c r="M242" s="33" t="str">
        <f>IF(AND(COUNTIF(Logs!M$607:M$616, "Detour")&gt;0,COUNTIF(Logs!M$607:M$616, "Road Block")=0), COUNTIF(Logs!M$607:M$616, "Detour"), "")</f>
        <v/>
      </c>
      <c r="N242" s="33" t="str">
        <f>IF(AND(COUNTIF(Logs!N$607:N$616, "Detour")&gt;0,COUNTIF(Logs!N$607:N$616, "Road Block")=0), COUNTIF(Logs!N$607:N$616, "Detour"), "")</f>
        <v/>
      </c>
      <c r="O242" s="33"/>
    </row>
    <row r="243" spans="2:27">
      <c r="B243" s="90" t="s">
        <v>184</v>
      </c>
      <c r="C243" s="33" t="str">
        <f>IF(AND(COUNTIF(Logs!C$623:C$632, "Detour")&gt;0,COUNTIF(Logs!C$623:C$632, "Road Block")=0), COUNTIF(Logs!C$623:C$632, "Detour"), "")</f>
        <v/>
      </c>
      <c r="D243" s="33" t="str">
        <f>IF(AND(COUNTIF(Logs!D$623:D$632, "Detour")&gt;0,COUNTIF(Logs!D$623:D$632, "Road Block")=0), COUNTIF(Logs!D$623:D$632, "Detour"), "")</f>
        <v/>
      </c>
      <c r="E243" s="33">
        <f>IF(AND(COUNTIF(Logs!E$623:E$632, "Detour")&gt;0,COUNTIF(Logs!E$623:E$632, "Road Block")=0), COUNTIF(Logs!E$623:E$632, "Detour"), "")</f>
        <v>1</v>
      </c>
      <c r="F243" s="33" t="str">
        <f>IF(AND(COUNTIF(Logs!F$623:F$632, "Detour")&gt;0,COUNTIF(Logs!F$623:F$632, "Road Block")=0), COUNTIF(Logs!F$623:F$632, "Detour"), "")</f>
        <v/>
      </c>
      <c r="G243" s="33" t="str">
        <f>IF(AND(COUNTIF(Logs!G$623:G$632, "Detour")&gt;0,COUNTIF(Logs!G$623:G$632, "Road Block")=0), COUNTIF(Logs!G$623:G$632, "Detour"), "")</f>
        <v/>
      </c>
      <c r="H243" s="33" t="str">
        <f>IF(AND(COUNTIF(Logs!H$623:H$632, "Detour")&gt;0,COUNTIF(Logs!H$623:H$632, "Road Block")=0), COUNTIF(Logs!H$623:H$632, "Detour"), "")</f>
        <v/>
      </c>
      <c r="I243" s="33" t="str">
        <f>IF(AND(COUNTIF(Logs!I$623:I$632, "Detour")&gt;0,COUNTIF(Logs!I$623:I$632, "Road Block")=0), COUNTIF(Logs!I$623:I$632, "Detour"), "")</f>
        <v/>
      </c>
      <c r="J243" s="33" t="str">
        <f>IF(AND(COUNTIF(Logs!J$623:J$632, "Detour")&gt;0,COUNTIF(Logs!J$623:J$632, "Road Block")=0), COUNTIF(Logs!J$623:J$632, "Detour"), "")</f>
        <v/>
      </c>
      <c r="K243" s="33" t="str">
        <f>IF(AND(COUNTIF(Logs!K$623:K$632, "Detour")&gt;0,COUNTIF(Logs!K$623:K$632, "Road Block")=0), COUNTIF(Logs!K$623:K$632, "Detour"), "")</f>
        <v/>
      </c>
      <c r="L243" s="33" t="str">
        <f>IF(AND(COUNTIF(Logs!L$623:L$632, "Detour")&gt;0,COUNTIF(Logs!L$623:L$632, "Road Block")=0), COUNTIF(Logs!L$623:L$632, "Detour"), "")</f>
        <v/>
      </c>
      <c r="M243" s="33" t="str">
        <f>IF(AND(COUNTIF(Logs!M$623:M$632, "Detour")&gt;0,COUNTIF(Logs!M$623:M$632, "Road Block")=0), COUNTIF(Logs!M$623:M$632, "Detour"), "")</f>
        <v/>
      </c>
      <c r="N243" s="33" t="str">
        <f>IF(AND(COUNTIF(Logs!N$623:N$632, "Detour")&gt;0,COUNTIF(Logs!N$623:N$632, "Road Block")=0), COUNTIF(Logs!N$623:N$632, "Detour"), "")</f>
        <v/>
      </c>
      <c r="O243" s="33"/>
    </row>
    <row r="244" spans="2:27">
      <c r="B244" s="90" t="s">
        <v>563</v>
      </c>
      <c r="C244" s="33" t="str">
        <f>IF(AND(COUNTIF(Logs!C$640:C$649, "Detour")&gt;0,COUNTIF(Logs!C$640:C$649, "Road Block")=0), COUNTIF(Logs!C$640:C$649, "Detour"), "")</f>
        <v/>
      </c>
      <c r="D244" s="33" t="str">
        <f>IF(AND(COUNTIF(Logs!D$640:D$649, "Detour")&gt;0,COUNTIF(Logs!D$640:D$649, "Road Block")=0), COUNTIF(Logs!D$640:D$649, "Detour"), "")</f>
        <v/>
      </c>
      <c r="E244" s="33" t="str">
        <f>IF(AND(COUNTIF(Logs!E$640:E$649, "Detour")&gt;0,COUNTIF(Logs!E$640:E$649, "Road Block")=0), COUNTIF(Logs!E$640:E$649, "Detour"), "")</f>
        <v/>
      </c>
      <c r="F244" s="33" t="str">
        <f>IF(AND(COUNTIF(Logs!F$640:F$649, "Detour")&gt;0,COUNTIF(Logs!F$640:F$649, "Road Block")=0), COUNTIF(Logs!F$640:F$649, "Detour"), "")</f>
        <v/>
      </c>
      <c r="G244" s="33" t="str">
        <f>IF(AND(COUNTIF(Logs!G$640:G$649, "Detour")&gt;0,COUNTIF(Logs!G$640:G$649, "Road Block")=0), COUNTIF(Logs!G$640:G$649, "Detour"), "")</f>
        <v/>
      </c>
      <c r="H244" s="33" t="str">
        <f>IF(AND(COUNTIF(Logs!H$640:H$649, "Detour")&gt;0,COUNTIF(Logs!H$640:H$649, "Road Block")=0), COUNTIF(Logs!H$640:H$649, "Detour"), "")</f>
        <v/>
      </c>
      <c r="I244" s="33" t="str">
        <f>IF(AND(COUNTIF(Logs!I$640:I$649, "Detour")&gt;0,COUNTIF(Logs!I$640:I$649, "Road Block")=0), COUNTIF(Logs!I$640:I$649, "Detour"), "")</f>
        <v/>
      </c>
      <c r="J244" s="33" t="str">
        <f>IF(AND(COUNTIF(Logs!J$640:J$649, "Detour")&gt;0,COUNTIF(Logs!J$640:J$649, "Road Block")=0), COUNTIF(Logs!J$640:J$649, "Detour"), "")</f>
        <v/>
      </c>
      <c r="K244" s="33" t="str">
        <f>IF(AND(COUNTIF(Logs!K$640:K$649, "Detour")&gt;0,COUNTIF(Logs!K$640:K$649, "Road Block")=0), COUNTIF(Logs!K$640:K$649, "Detour"), "")</f>
        <v/>
      </c>
      <c r="L244" s="33" t="str">
        <f>IF(AND(COUNTIF(Logs!L$641:L$649, "Detour")&gt;0,COUNTIF(Logs!L$641:L$649, "Road Block")=0), COUNTIF(Logs!L$641:L$649, "Detour"), "")</f>
        <v/>
      </c>
      <c r="M244" s="33" t="str">
        <f>IF(AND(COUNTIF(Logs!M$640:M$649, "Detour")&gt;0,COUNTIF(Logs!M$640:M$649, "Road Block")=0), COUNTIF(Logs!M$640:M$649, "Detour"), "")</f>
        <v/>
      </c>
      <c r="N244" s="33" t="str">
        <f>IF(AND(COUNTIF(Logs!N$640:N$649, "Detour")&gt;0,COUNTIF(Logs!N$640:N$649, "Road Block")=0), COUNTIF(Logs!N$640:N$649, "Detour"), "")</f>
        <v/>
      </c>
      <c r="O244" s="33"/>
    </row>
    <row r="245" spans="2:27">
      <c r="B245" s="90" t="s">
        <v>1742</v>
      </c>
      <c r="C245" s="33" t="str">
        <f>IF(AND(COUNTIF(Logs!C$655:C$664, "Detour")&gt;0,COUNTIF(Logs!C$655:C$664, "Road Block")=0), COUNTIF(Logs!C$655:C$664, "Detour"), "")</f>
        <v/>
      </c>
      <c r="D245" s="33" t="str">
        <f>IF(AND(COUNTIF(Logs!D$655:D$664, "Detour")&gt;0,COUNTIF(Logs!D$655:D$664, "Road Block")=0), COUNTIF(Logs!D$655:D$664, "Detour"), "")</f>
        <v/>
      </c>
      <c r="E245" s="33" t="str">
        <f>IF(AND(COUNTIF(Logs!E$655:E$664, "Detour")&gt;0,COUNTIF(Logs!E$655:E$664, "Road Block")=0), COUNTIF(Logs!E$655:E$664, "Detour"), "")</f>
        <v/>
      </c>
      <c r="F245" s="33" t="str">
        <f>IF(AND(COUNTIF(Logs!F$655:F$664, "Detour")&gt;0,COUNTIF(Logs!F$655:F$664, "Road Block")=0), COUNTIF(Logs!F$655:F$664, "Detour"), "")</f>
        <v/>
      </c>
      <c r="G245" s="33" t="str">
        <f>IF(AND(COUNTIF(Logs!G$655:G$664, "Detour")&gt;0,COUNTIF(Logs!G$655:G$664, "Road Block")=0), COUNTIF(Logs!G$655:G$664, "Detour"), "")</f>
        <v/>
      </c>
      <c r="H245" s="33" t="str">
        <f>IF(AND(COUNTIF(Logs!H$655:H$664, "Detour")&gt;0,COUNTIF(Logs!H$655:H$664, "Road Block")=0), COUNTIF(Logs!H$655:H$664, "Detour"), "")</f>
        <v/>
      </c>
      <c r="I245" s="33" t="str">
        <f>IF(AND(COUNTIF(Logs!I$655:I$664, "Detour")&gt;0,COUNTIF(Logs!I$655:I$664, "Road Block")=0), COUNTIF(Logs!I$655:I$664, "Detour"), "")</f>
        <v/>
      </c>
      <c r="J245" s="33" t="str">
        <f>IF(AND(COUNTIF(Logs!J$656:J$664, "Detour")&gt;0,COUNTIF(Logs!J$656:J$664, "Road Block")=0), COUNTIF(Logs!J$656:J$664, "Detour"), "")</f>
        <v/>
      </c>
      <c r="K245" s="33" t="str">
        <f>IF(AND(COUNTIF(Logs!K$655:K$664, "Detour")&gt;0,COUNTIF(Logs!K$655:K$664, "Road Block")=0), COUNTIF(Logs!K$655:K$664, "Detour"), "")</f>
        <v/>
      </c>
      <c r="L245" s="33" t="str">
        <f>IF(AND(COUNTIF(Logs!L$663:L$664, "Detour")&gt;0,COUNTIF(Logs!L$663:L$664, "Road Block")=0), COUNTIF(Logs!L$663:L$664, "Detour"), "")</f>
        <v/>
      </c>
      <c r="M245" s="33" t="str">
        <f>IF(AND(COUNTIF(Logs!M$655:M$664, "Detour")&gt;0,COUNTIF(Logs!M$655:M$664, "Road Block")=0), COUNTIF(Logs!M$655:M$664, "Detour"), "")</f>
        <v/>
      </c>
      <c r="N245" s="33" t="str">
        <f>IF(AND(COUNTIF(Logs!N$655:N$664, "Detour")&gt;0,COUNTIF(Logs!N$655:N$664, "Road Block")=0), COUNTIF(Logs!N$655:N$664, "Detour"), "")</f>
        <v/>
      </c>
      <c r="O245" s="33" t="str">
        <f>IF(AND(COUNTIF(Logs!O$655:O$664, "Detour")&gt;0,COUNTIF(Logs!O$655:O$664, "Road Block")=0), COUNTIF(Logs!O$655:O$664, "Detour"), "")</f>
        <v/>
      </c>
    </row>
    <row r="246" spans="2:27">
      <c r="B246" s="90" t="s">
        <v>2056</v>
      </c>
      <c r="C246" s="33" t="str">
        <f>IF(AND(COUNTIF(Logs!C$671:C$680, "Detour")&gt;0,COUNTIF(Logs!C$671:C$680, "Road Block")=0), COUNTIF(Logs!C$671:C$680, "Detour"), "")</f>
        <v/>
      </c>
      <c r="D246" s="33" t="str">
        <f>IF(AND(COUNTIF(Logs!D$671:D$681, "Detour")&gt;0,COUNTIF(Logs!D$671:D$681, "Road Block")=0), COUNTIF(Logs!D$671:D$681, "Detour"), "")</f>
        <v/>
      </c>
      <c r="E246" s="33" t="str">
        <f>IF(AND(COUNTIF(Logs!E$671:E$681, "Detour")&gt;0,COUNTIF(Logs!E$671:E$681, "Road Block")=0), COUNTIF(Logs!E$671:E$681, "Detour"), "")</f>
        <v/>
      </c>
      <c r="F246" s="33" t="str">
        <f>IF(AND(COUNTIF(Logs!F$671:F$681, "Detour")&gt;0,COUNTIF(Logs!F$671:F$681, "Road Block")=0), COUNTIF(Logs!F$671:F$681, "Detour"), "")</f>
        <v/>
      </c>
      <c r="G246" s="33" t="str">
        <f>IF(AND(COUNTIF(Logs!G$671:G$681, "Detour")&gt;0,COUNTIF(Logs!G$671:G$681, "Road Block")=0), COUNTIF(Logs!G$671:G$681, "Detour"), "")</f>
        <v/>
      </c>
      <c r="H246" s="33" t="str">
        <f>IF(AND(COUNTIF(Logs!H$671:H$681, "Detour")&gt;0,COUNTIF(Logs!H$671:H$681, "Road Block")=0), COUNTIF(Logs!H$671:H$681, "Detour"), "")</f>
        <v/>
      </c>
      <c r="I246" s="33" t="str">
        <f>IF(AND(COUNTIF(Logs!I$671:I$681, "Detour")&gt;0,COUNTIF(Logs!I$671:I$681, "Road Block")=0), COUNTIF(Logs!I$671:I$681, "Detour"), "")</f>
        <v/>
      </c>
      <c r="J246" s="33" t="str">
        <f>IF(AND(COUNTIF(Logs!J$671:J$681, "Detour")&gt;0,COUNTIF(Logs!J$671:J$681, "Road Block")=0), COUNTIF(Logs!J$671:J$681, "Detour"), "")</f>
        <v/>
      </c>
      <c r="K246" s="33" t="str">
        <f>IF(AND(COUNTIF(Logs!K$671:K$681, "Detour")&gt;0,COUNTIF(Logs!K$671:K$681, "Road Block")=0), COUNTIF(Logs!K$671:K$681, "Detour"), "")</f>
        <v/>
      </c>
      <c r="L246" s="33" t="str">
        <f>IF(AND(COUNTIF(Logs!L$671:L$681, "Detour")&gt;0,COUNTIF(Logs!L$671:L$681, "Road Block")=0), COUNTIF(Logs!L$671:L$681, "Detour"), "")</f>
        <v/>
      </c>
      <c r="M246" s="33" t="str">
        <f>IF(AND(COUNTIF(Logs!M$671:M$681, "Detour")&gt;0,COUNTIF(Logs!M$671:M$681, "Road Block")=0), COUNTIF(Logs!M$671:M$681, "Detour"), "")</f>
        <v/>
      </c>
      <c r="N246" s="33" t="str">
        <f>IF(AND(COUNTIF(Logs!N$671:N$681, "Detour")&gt;0,COUNTIF(Logs!N$671:N$681, "Road Block")=0), COUNTIF(Logs!N$671:N$681, "Detour"), "")</f>
        <v/>
      </c>
      <c r="O246" s="33" t="str">
        <f>IF(AND(COUNTIF(Logs!O$671:O$681, "Detour")&gt;0,COUNTIF(Logs!O$671:O$681, "Road Block")=0), COUNTIF(Logs!O$671:O$681, "Detour"), "")</f>
        <v/>
      </c>
    </row>
    <row r="247" spans="2:27">
      <c r="B247" s="287" t="s">
        <v>200</v>
      </c>
      <c r="C247" s="559">
        <f t="shared" ref="C247:O247" si="21">IF(SUM(C209:C246)&gt;0, SUM(C209:C246), "")</f>
        <v>15</v>
      </c>
      <c r="D247" s="559">
        <f t="shared" si="21"/>
        <v>2</v>
      </c>
      <c r="E247" s="559">
        <f t="shared" si="21"/>
        <v>4</v>
      </c>
      <c r="F247" s="559" t="str">
        <f t="shared" si="21"/>
        <v/>
      </c>
      <c r="G247" s="559">
        <f t="shared" si="21"/>
        <v>2</v>
      </c>
      <c r="H247" s="559" t="str">
        <f t="shared" si="21"/>
        <v/>
      </c>
      <c r="I247" s="559">
        <f t="shared" si="21"/>
        <v>4</v>
      </c>
      <c r="J247" s="559">
        <f t="shared" si="21"/>
        <v>1</v>
      </c>
      <c r="K247" s="559" t="str">
        <f t="shared" si="21"/>
        <v/>
      </c>
      <c r="L247" s="559">
        <f t="shared" si="21"/>
        <v>2</v>
      </c>
      <c r="M247" s="559">
        <f t="shared" si="21"/>
        <v>1</v>
      </c>
      <c r="N247" s="559" t="str">
        <f t="shared" si="21"/>
        <v/>
      </c>
      <c r="O247" s="559" t="str">
        <f t="shared" si="21"/>
        <v/>
      </c>
      <c r="P247" s="319"/>
      <c r="Q247" s="319"/>
      <c r="R247" s="319"/>
      <c r="S247" s="319"/>
      <c r="T247" s="319"/>
      <c r="U247" s="319"/>
      <c r="V247" s="319"/>
      <c r="W247" s="319"/>
      <c r="X247" s="319"/>
      <c r="Y247" s="319"/>
      <c r="Z247" s="319"/>
      <c r="AA247" s="319"/>
    </row>
    <row r="248" spans="2:27">
      <c r="B248" s="287"/>
      <c r="C248" s="559"/>
      <c r="D248" s="559"/>
      <c r="E248" s="559"/>
      <c r="F248" s="559"/>
      <c r="G248" s="559"/>
      <c r="H248" s="559"/>
      <c r="I248" s="559"/>
      <c r="J248" s="559"/>
      <c r="K248" s="559"/>
      <c r="L248" s="559"/>
      <c r="M248" s="559"/>
      <c r="N248" s="559"/>
      <c r="O248" s="559"/>
      <c r="P248" s="319"/>
      <c r="Q248" s="319"/>
      <c r="R248" s="319"/>
      <c r="S248" s="319"/>
      <c r="T248" s="319"/>
      <c r="U248" s="319"/>
      <c r="V248" s="319"/>
      <c r="W248" s="319"/>
      <c r="X248" s="319"/>
      <c r="Y248" s="319"/>
      <c r="Z248" s="319"/>
      <c r="AA248" s="319"/>
    </row>
    <row r="249" spans="2:27" ht="18.75">
      <c r="B249" s="68" t="s">
        <v>2589</v>
      </c>
      <c r="P249" s="319"/>
      <c r="Q249" s="319"/>
      <c r="R249" s="319"/>
      <c r="S249" s="319"/>
      <c r="T249" s="319"/>
      <c r="U249" s="319"/>
      <c r="V249" s="319"/>
      <c r="W249" s="319"/>
      <c r="X249" s="319"/>
      <c r="Y249" s="319"/>
      <c r="Z249" s="319"/>
      <c r="AA249" s="319"/>
    </row>
    <row r="250" spans="2:27">
      <c r="B250" s="35" t="s">
        <v>183</v>
      </c>
      <c r="C250" s="37" t="s">
        <v>1</v>
      </c>
      <c r="D250" s="37" t="s">
        <v>2</v>
      </c>
      <c r="E250" s="37" t="s">
        <v>3</v>
      </c>
      <c r="F250" s="37" t="s">
        <v>4</v>
      </c>
      <c r="G250" s="37" t="s">
        <v>5</v>
      </c>
      <c r="H250" s="37" t="s">
        <v>6</v>
      </c>
      <c r="I250" s="37" t="s">
        <v>7</v>
      </c>
      <c r="J250" s="37" t="s">
        <v>8</v>
      </c>
      <c r="K250" s="37" t="s">
        <v>9</v>
      </c>
      <c r="L250" s="37" t="s">
        <v>10</v>
      </c>
      <c r="M250" s="37" t="s">
        <v>36</v>
      </c>
      <c r="N250" s="37" t="s">
        <v>37</v>
      </c>
      <c r="O250" s="37" t="s">
        <v>344</v>
      </c>
      <c r="P250" s="319"/>
      <c r="Q250" s="319"/>
      <c r="R250" s="319"/>
      <c r="S250" s="319"/>
      <c r="T250" s="319"/>
      <c r="U250" s="319"/>
      <c r="V250" s="319"/>
      <c r="W250" s="319"/>
      <c r="X250" s="319"/>
      <c r="Y250" s="319"/>
      <c r="Z250" s="319"/>
      <c r="AA250" s="319"/>
    </row>
    <row r="251" spans="2:27">
      <c r="B251" s="90" t="s">
        <v>126</v>
      </c>
      <c r="C251" s="319" t="str">
        <f>IF(AND(COUNTIF(Logs!C$9:C$18, "Detour")=0,COUNTIF(Logs!C$9:C$18, "Road Block")=0), COUNTA(Logs!C$9:C$18), "")</f>
        <v/>
      </c>
      <c r="D251" s="319" t="str">
        <f>IF(AND(COUNTIF(Logs!D$9:D$18, "Detour")=0,COUNTIF(Logs!D$9:D$18, "Road Block")=0), COUNTA(Logs!D$9:D$18), "")</f>
        <v/>
      </c>
      <c r="E251" s="319" t="str">
        <f>IF(AND(COUNTIF(Logs!E$9:E$18, "Detour")=0,COUNTIF(Logs!E$9:E$18, "Road Block")=0), COUNTA(Logs!E$9:E$18), "")</f>
        <v/>
      </c>
      <c r="F251" s="319" t="str">
        <f>IF(AND(COUNTIF(Logs!F$9:F$18, "Detour")=0,COUNTIF(Logs!F$9:F$18, "Road Block")=0), COUNTA(Logs!F$9:F$18), "")</f>
        <v/>
      </c>
      <c r="G251" s="319" t="str">
        <f>IF(AND(COUNTIF(Logs!G$9:G$18, "Detour")=0,COUNTIF(Logs!G$9:G$18, "Road Block")=0), COUNTA(Logs!G$9:G$18), "")</f>
        <v/>
      </c>
      <c r="H251" s="319" t="str">
        <f>IF(AND(COUNTIF(Logs!H$9:H$18, "Detour")=0,COUNTIF(Logs!H$9:H$18, "Road Block")=0), COUNTA(Logs!H$9:H$18), "")</f>
        <v/>
      </c>
      <c r="I251" s="319" t="str">
        <f>IF(AND(COUNTIF(Logs!I$9:I$18, "Detour")=0,COUNTIF(Logs!I$9:I$18, "Road Block")=0), COUNTA(Logs!I$9:I$18), "")</f>
        <v/>
      </c>
      <c r="J251" s="319" t="str">
        <f>IF(AND(COUNTIF(Logs!J$9:J$18, "Detour")=0,COUNTIF(Logs!J$9:J$18, "Road Block")=0), COUNTA(Logs!J$9:J$18), "")</f>
        <v/>
      </c>
      <c r="K251" s="319" t="str">
        <f>IF(AND(COUNTIF(Logs!K$9:K$18, "Detour")=0,COUNTIF(Logs!K$9:K$18, "Road Block")=0), COUNTA(Logs!K$9:K$18), "")</f>
        <v/>
      </c>
      <c r="L251" s="319" t="str">
        <f>IF(AND(COUNTIF(Logs!L$9:L$18, "Detour")=0,COUNTIF(Logs!L$9:L$18, "Road Block")=0), COUNTA(Logs!L$9:L$18), "")</f>
        <v/>
      </c>
      <c r="M251" s="319" t="str">
        <f>IF(AND(COUNTIF(Logs!M$10:M$18, "Detour")=0,COUNTIF(Logs!M$10:M$18, "Road Block")=0), COUNTA(Logs!M$10:M$18), "")</f>
        <v/>
      </c>
      <c r="N251" s="319" t="str">
        <f>IF(AND(COUNTIF(Logs!N$9:N$18, "Detour")=0,COUNTIF(Logs!N$9:N$18, "Road Block")=0), COUNTA(Logs!N$9:N$18), "")</f>
        <v/>
      </c>
      <c r="O251" s="319" t="str">
        <f>IF(COUNTA(Logs!O$9:O$18)=0, "", IF(AND(COUNTIF(Logs!O$9:O$18, "Detour")=0,COUNTIF(Logs!O$9:O$18, "Road Block")=0), COUNTA(Logs!O$9:O$18), ""))</f>
        <v/>
      </c>
      <c r="P251" s="319"/>
      <c r="Q251" s="319"/>
      <c r="R251" s="319"/>
      <c r="S251" s="319"/>
      <c r="T251" s="319"/>
      <c r="U251" s="319"/>
      <c r="V251" s="319"/>
      <c r="W251" s="319"/>
      <c r="X251" s="319"/>
      <c r="Y251" s="319"/>
      <c r="Z251" s="319"/>
      <c r="AA251" s="319"/>
    </row>
    <row r="252" spans="2:27">
      <c r="B252" s="90" t="s">
        <v>127</v>
      </c>
      <c r="C252" s="319" t="str">
        <f>IF(AND(COUNTIF(Logs!C$27:C$36, "Detour")=0,COUNTIF(Logs!C$27:C$36, "Road Block")=0), COUNTA(Logs!C$27:C$36), "")</f>
        <v/>
      </c>
      <c r="D252" s="319" t="str">
        <f>IF(AND(COUNTIF(Logs!D$27:D$36, "Detour")=0,COUNTIF(Logs!D$27:D$36, "Road Block")=0), COUNTA(Logs!D$27:D$36), "")</f>
        <v/>
      </c>
      <c r="E252" s="319" t="str">
        <f>IF(AND(COUNTIF(Logs!E$27:E$36, "Detour")=0,COUNTIF(Logs!E$27:E$36, "Road Block")=0), COUNTA(Logs!E$27:E$36), "")</f>
        <v/>
      </c>
      <c r="F252" s="319" t="str">
        <f>IF(AND(COUNTIF(Logs!F$27:F$36, "Detour")=0,COUNTIF(Logs!F$27:F$36, "Road Block")=0), COUNTA(Logs!F$27:F$36), "")</f>
        <v/>
      </c>
      <c r="G252" s="319" t="str">
        <f>IF(AND(COUNTIF(Logs!G$27:G$36, "Detour")=0,COUNTIF(Logs!G$27:G$36, "Road Block")=0), COUNTA(Logs!G$27:G$36), "")</f>
        <v/>
      </c>
      <c r="H252" s="319" t="str">
        <f>IF(AND(COUNTIF(Logs!H$27:H$36, "Detour")=0,COUNTIF(Logs!H$27:H$36, "Road Block")=0), COUNTA(Logs!H$27:H$36), "")</f>
        <v/>
      </c>
      <c r="I252" s="319" t="str">
        <f>IF(AND(COUNTIF(Logs!I$27:I$36, "Detour")=0,COUNTIF(Logs!I$27:I$36, "Road Block")=0), COUNTA(Logs!I$27:I$36), "")</f>
        <v/>
      </c>
      <c r="J252" s="319" t="str">
        <f>IF(AND(COUNTIF(Logs!J$27:J$36, "Detour")=0,COUNTIF(Logs!J$27:J$36, "Road Block")=0), COUNTA(Logs!J$27:J$36), "")</f>
        <v/>
      </c>
      <c r="K252" s="319" t="str">
        <f>IF(AND(COUNTIF(Logs!K$27:K$36, "Detour")=0,COUNTIF(Logs!K$27:K$36, "Road Block")=0), COUNTA(Logs!K$27:K$36), "")</f>
        <v/>
      </c>
      <c r="L252" s="319" t="str">
        <f>IF(AND(COUNTIF(Logs!L$27:L$36, "Detour")=0,COUNTIF(Logs!L$27:L$36, "Road Block")=0), COUNTA(Logs!L$27:L$36), "")</f>
        <v/>
      </c>
      <c r="M252" s="319" t="str">
        <f>IF(AND(COUNTIF(Logs!M$27:M$36, "Detour")=0,COUNTIF(Logs!M$27:M$36, "Road Block")=0), COUNTA(Logs!M$27:M$36), "")</f>
        <v/>
      </c>
      <c r="N252" s="319" t="str">
        <f>IF(AND(COUNTIF(Logs!N$27:N$36, "Detour")=0,COUNTIF(Logs!N$27:N$36, "Road Block")=0), COUNTA(Logs!N$27:N$36), "")</f>
        <v/>
      </c>
      <c r="O252" s="319" t="str">
        <f>IF(COUNTA(Logs!O$27:O$36)=0,"",IF(AND(COUNTIF(Logs!O$27:O$36,"Detour")=0,COUNTIF(Logs!O$27:O$36,"Road Block")=0),COUNTA(Logs!O$27:O$36),""))</f>
        <v/>
      </c>
      <c r="P252" s="319"/>
      <c r="Q252" s="319"/>
      <c r="R252" s="319"/>
      <c r="S252" s="319"/>
      <c r="T252" s="319"/>
      <c r="U252" s="319"/>
      <c r="V252" s="319"/>
      <c r="W252" s="319"/>
      <c r="X252" s="319"/>
      <c r="Y252" s="319"/>
      <c r="Z252" s="319"/>
      <c r="AA252" s="319"/>
    </row>
    <row r="253" spans="2:27">
      <c r="B253" s="90" t="s">
        <v>128</v>
      </c>
      <c r="C253" s="319" t="str">
        <f>IF(AND(COUNTIF(Logs!C$45:C$54, "Detour")=0,COUNTIF(Logs!C$45:C$54, "Road Block")=0), COUNTA(Logs!C$45:C$54), "")</f>
        <v/>
      </c>
      <c r="D253" s="319" t="str">
        <f>IF(AND(COUNTIF(Logs!D$45:D$54, "Detour")=0,COUNTIF(Logs!D$45:D$54, "Road Block")=0), COUNTA(Logs!D$45:D$54), "")</f>
        <v/>
      </c>
      <c r="E253" s="319" t="str">
        <f>IF(AND(COUNTIF(Logs!E$45:E$54, "Detour")=0,COUNTIF(Logs!E$45:E$54, "Road Block")=0), COUNTA(Logs!E$45:E$54), "")</f>
        <v/>
      </c>
      <c r="F253" s="319" t="str">
        <f>IF(AND(COUNTIF(Logs!F$45:F$54, "Detour")=0,COUNTIF(Logs!F$45:F$54, "Road Block")=0), COUNTA(Logs!F$45:F$54), "")</f>
        <v/>
      </c>
      <c r="G253" s="319" t="str">
        <f>IF(AND(COUNTIF(Logs!G$45:G$54, "Detour")=0,COUNTIF(Logs!G$45:G$54, "Road Block")=0), COUNTA(Logs!G$45:G$54), "")</f>
        <v/>
      </c>
      <c r="H253" s="319" t="str">
        <f>IF(AND(COUNTIF(Logs!H$45:H$54, "Detour")=0,COUNTIF(Logs!H$45:H$54, "Road Block")=0), COUNTA(Logs!H$45:H$54), "")</f>
        <v/>
      </c>
      <c r="I253" s="319" t="str">
        <f>IF(AND(COUNTIF(Logs!I$45:I$54, "Detour")=0,COUNTIF(Logs!I$45:I$54, "Road Block")=0), COUNTA(Logs!I$45:I$54), "")</f>
        <v/>
      </c>
      <c r="J253" s="319" t="str">
        <f>IF(AND(COUNTIF(Logs!J$45:J$54, "Detour")=0,COUNTIF(Logs!J$45:J$54, "Road Block")=0), COUNTA(Logs!J$45:J$54), "")</f>
        <v/>
      </c>
      <c r="K253" s="319" t="str">
        <f>IF(AND(COUNTIF(Logs!K$45:K$54, "Detour")=0,COUNTIF(Logs!K$45:K$54, "Road Block")=0), COUNTA(Logs!K$45:K$54), "")</f>
        <v/>
      </c>
      <c r="L253" s="319" t="str">
        <f>IF(AND(COUNTIF(Logs!L$45:L$54, "Detour")=0,COUNTIF(Logs!L$45:L$54, "Road Block")=0), COUNTA(Logs!L$45:L$54), "")</f>
        <v/>
      </c>
      <c r="M253" s="319" t="str">
        <f>IF(AND(COUNTIF(Logs!M$45:M$54, "Detour")=0,COUNTIF(Logs!M$45:M$54, "Road Block")=0), COUNTA(Logs!M$45:M$54), "")</f>
        <v/>
      </c>
      <c r="N253" s="319" t="str">
        <f>IF(AND(COUNTIF(Logs!N$45:N$54, "Detour")=0,COUNTIF(Logs!N$45:N$54, "Road Block")=0), COUNTA(Logs!N$45:N$54), "")</f>
        <v/>
      </c>
      <c r="O253" s="319" t="str">
        <f>IF(COUNTA(Logs!O$45:O$54)=0,"",IF(AND(COUNTIF(Logs!O$45:O$54,"Detour")=0,COUNTIF(Logs!O$45:O$54,"Road Block")=0),COUNTA(Logs!O$45:O$54),""))</f>
        <v/>
      </c>
      <c r="P253" s="319"/>
      <c r="Q253" s="319"/>
      <c r="R253" s="319"/>
      <c r="S253" s="319"/>
      <c r="T253" s="319"/>
      <c r="U253" s="319"/>
      <c r="V253" s="319"/>
      <c r="W253" s="319"/>
      <c r="X253" s="319"/>
      <c r="Y253" s="319"/>
      <c r="Z253" s="319"/>
      <c r="AA253" s="319"/>
    </row>
    <row r="254" spans="2:27">
      <c r="B254" s="90" t="s">
        <v>129</v>
      </c>
      <c r="C254" s="319" t="str">
        <f>IF(AND(COUNTIF(Logs!C$63:C$72, "Detour")=0,COUNTIF(Logs!C$63:C$72, "Road Block")=0), COUNTA(Logs!C$63:C$72), "")</f>
        <v/>
      </c>
      <c r="D254" s="319" t="str">
        <f>IF(AND(COUNTIF(Logs!D$63:D$72, "Detour")=0,COUNTIF(Logs!D$63:D$72, "Road Block")=0), COUNTA(Logs!D$63:D$72), "")</f>
        <v/>
      </c>
      <c r="E254" s="319" t="str">
        <f>IF(AND(COUNTIF(Logs!E$63:E$72, "Detour")=0,COUNTIF(Logs!E$63:E$72, "Road Block")=0), COUNTA(Logs!E$63:E$72), "")</f>
        <v/>
      </c>
      <c r="F254" s="319" t="str">
        <f>IF(AND(COUNTIF(Logs!F$63:F$72, "Detour")=0,COUNTIF(Logs!F$63:F$72, "Road Block")=0), COUNTA(Logs!F$63:F$72), "")</f>
        <v/>
      </c>
      <c r="G254" s="319" t="str">
        <f>IF(AND(COUNTIF(Logs!G$63:G$72, "Detour")=0,COUNTIF(Logs!G$63:G$72, "Road Block")=0), COUNTA(Logs!G$63:G$72), "")</f>
        <v/>
      </c>
      <c r="H254" s="319" t="str">
        <f>IF(AND(COUNTIF(Logs!H$63:H$72, "Detour")=0,COUNTIF(Logs!H$63:H$72, "Road Block")=0), COUNTA(Logs!H$63:H$72), "")</f>
        <v/>
      </c>
      <c r="I254" s="319" t="str">
        <f>IF(AND(COUNTIF(Logs!I$63:I$72, "Detour")=0,COUNTIF(Logs!I$63:I$72, "Road Block")=0), COUNTA(Logs!I$63:I$72), "")</f>
        <v/>
      </c>
      <c r="J254" s="319" t="str">
        <f>IF(AND(COUNTIF(Logs!J$63:J$72, "Detour")=0,COUNTIF(Logs!J$63:J$72, "Road Block")=0), COUNTA(Logs!J$63:J$72), "")</f>
        <v/>
      </c>
      <c r="K254" s="319" t="str">
        <f>IF(AND(COUNTIF(Logs!K$63:K$72, "Detour")=0,COUNTIF(Logs!K$63:K$72, "Road Block")=0), COUNTA(Logs!K$63:K$72), "")</f>
        <v/>
      </c>
      <c r="L254" s="319" t="str">
        <f>IF(AND(COUNTIF(Logs!L$63:L$72, "Detour")=0,COUNTIF(Logs!L$63:L$72, "Road Block")=0), COUNTA(Logs!L$63:L$72), "")</f>
        <v/>
      </c>
      <c r="M254" s="319" t="str">
        <f>IF(AND(COUNTIF(Logs!M$63:M$72, "Detour")=0,COUNTIF(Logs!M$63:M$72, "Road Block")=0), COUNTA(Logs!M$63:M$72), "")</f>
        <v/>
      </c>
      <c r="N254" s="319" t="str">
        <f>IF(AND(COUNTIF(Logs!N$63:N$72, "Detour")=0,COUNTIF(Logs!N$63:N$72, "Road Block")=0), COUNTA(Logs!N$63:N$72), "")</f>
        <v/>
      </c>
      <c r="O254" s="319" t="str">
        <f>IF(COUNTA(Logs!O$63:O$72)=0,"",IF(AND(COUNTIF(Logs!O$63:O$72,"Detour")=0,COUNTIF(Logs!O$63:O$72,"Road Block")=0),COUNTA(Logs!O$63:O$72),""))</f>
        <v/>
      </c>
      <c r="P254" s="319"/>
      <c r="Q254" s="319"/>
      <c r="R254" s="319"/>
      <c r="S254" s="319"/>
      <c r="T254" s="319"/>
      <c r="U254" s="319"/>
      <c r="V254" s="319"/>
      <c r="W254" s="319"/>
      <c r="X254" s="319"/>
      <c r="Y254" s="319"/>
      <c r="Z254" s="319"/>
      <c r="AA254" s="319"/>
    </row>
    <row r="255" spans="2:27">
      <c r="B255" s="90" t="s">
        <v>130</v>
      </c>
      <c r="C255" s="319" t="str">
        <f>IF(AND(COUNTIF(Logs!C$81:C$90, "Detour")=0,COUNTIF(Logs!C$81:C$90, "Road Block")=0), COUNTA(Logs!C$81:C$90), "")</f>
        <v/>
      </c>
      <c r="D255" s="319" t="str">
        <f>IF(AND(COUNTIF(Logs!D$81:D$90, "Detour")=0,COUNTIF(Logs!D$81:D$90, "Road Block")=0), COUNTA(Logs!D$81:D$90), "")</f>
        <v/>
      </c>
      <c r="E255" s="319" t="str">
        <f>IF(AND(COUNTIF(Logs!E$81:E$90, "Detour")=0,COUNTIF(Logs!E$81:E$90, "Road Block")=0), COUNTA(Logs!E$81:E$90), "")</f>
        <v/>
      </c>
      <c r="F255" s="319" t="str">
        <f>IF(AND(COUNTIF(Logs!F$81:F$90, "Detour")=0,COUNTIF(Logs!F$81:F$90, "Road Block")=0), COUNTA(Logs!F$81:F$90), "")</f>
        <v/>
      </c>
      <c r="G255" s="319" t="str">
        <f>IF(AND(COUNTIF(Logs!G$81:G$90, "Detour")=0,COUNTIF(Logs!G$81:G$90, "Road Block")=0), COUNTA(Logs!G$81:G$90), "")</f>
        <v/>
      </c>
      <c r="H255" s="319" t="str">
        <f>IF(AND(COUNTIF(Logs!H$81:H$90, "Detour")=0,COUNTIF(Logs!H$81:H$90, "Road Block")=0), COUNTA(Logs!H$81:H$90), "")</f>
        <v/>
      </c>
      <c r="I255" s="319" t="str">
        <f>IF(AND(COUNTIF(Logs!I$81:I$90, "Detour")=0,COUNTIF(Logs!I$81:I$90, "Road Block")=0), COUNTA(Logs!I$81:I$90), "")</f>
        <v/>
      </c>
      <c r="J255" s="319" t="str">
        <f>IF(AND(COUNTIF(Logs!J$81:J$90, "Detour")=0,COUNTIF(Logs!J$81:J$90, "Road Block")=0), COUNTA(Logs!J$81:J$90), "")</f>
        <v/>
      </c>
      <c r="K255" s="319" t="str">
        <f>IF(AND(COUNTIF(Logs!K$81:K$90, "Detour")=0,COUNTIF(Logs!K$81:K$90, "Road Block")=0), COUNTA(Logs!K$81:K$90), "")</f>
        <v/>
      </c>
      <c r="L255" s="319" t="str">
        <f>IF(AND(COUNTIF(Logs!L$81:L$90, "Detour")=0,COUNTIF(Logs!L$81:L$90, "Road Block")=0), COUNTA(Logs!L$81:L$90), "")</f>
        <v/>
      </c>
      <c r="M255" s="319" t="str">
        <f>IF(AND(COUNTIF(Logs!M$81:M$90, "Detour")=0,COUNTIF(Logs!M$81:M$90, "Road Block")=0), COUNTA(Logs!M$81:M$90), "")</f>
        <v/>
      </c>
      <c r="N255" s="319" t="str">
        <f>IF(AND(COUNTIF(Logs!N$81:N$90, "Detour")=0,COUNTIF(Logs!N$81:N$90, "Road Block")=0), COUNTA(Logs!N$81:N$90), "")</f>
        <v/>
      </c>
      <c r="O255" s="319" t="str">
        <f>IF(COUNTA(Logs!O$81:O$90)=0, "", IF(AND(COUNTIF(Logs!O$81:O$90, "Detour")=0,COUNTIF(Logs!O$81:O$90, "Road Block")=0), COUNTA(Logs!O$81:O$90), ""))</f>
        <v/>
      </c>
      <c r="P255" s="319"/>
      <c r="Q255" s="319"/>
      <c r="R255" s="319"/>
      <c r="S255" s="319"/>
      <c r="T255" s="319"/>
      <c r="U255" s="319"/>
      <c r="V255" s="319"/>
      <c r="W255" s="319"/>
      <c r="X255" s="319"/>
      <c r="Y255" s="319"/>
      <c r="Z255" s="319"/>
      <c r="AA255" s="319"/>
    </row>
    <row r="256" spans="2:27">
      <c r="B256" s="90" t="s">
        <v>131</v>
      </c>
      <c r="C256" s="319" t="str">
        <f>IF(AND(COUNTIF(Logs!C$100:C$112, "Detour")=0,COUNTIF(Logs!C$100:C$112, "Road Block")=0), COUNTA(Logs!C$100:C$112), "")</f>
        <v/>
      </c>
      <c r="D256" s="319" t="str">
        <f>IF(AND(COUNTIF(Logs!D$100:D$112, "Detour")=0,COUNTIF(Logs!D$100:D$112, "Road Block")=0), COUNTA(Logs!D$100:D$112), "")</f>
        <v/>
      </c>
      <c r="E256" s="319" t="str">
        <f>IF(AND(COUNTIF(Logs!E$100:E$112, "Detour")=0,COUNTIF(Logs!E$100:E$112, "Road Block")=0), COUNTA(Logs!E$100:E$112), "")</f>
        <v/>
      </c>
      <c r="F256" s="319" t="str">
        <f>IF(AND(COUNTIF(Logs!F$100:F$112, "Detour")=0,COUNTIF(Logs!F$100:F$112, "Road Block")=0), COUNTA(Logs!F$100:F$112), "")</f>
        <v/>
      </c>
      <c r="G256" s="319" t="str">
        <f>IF(AND(COUNTIF(Logs!G$100:G$112, "Detour")=0,COUNTIF(Logs!G$100:G$112, "Road Block")=0), COUNTA(Logs!G$100:G$112), "")</f>
        <v/>
      </c>
      <c r="H256" s="319" t="str">
        <f>IF(AND(COUNTIF(Logs!H$100:H$112, "Detour")=0,COUNTIF(Logs!H$100:H$112, "Road Block")=0), COUNTA(Logs!H$100:H$112), "")</f>
        <v/>
      </c>
      <c r="I256" s="319" t="str">
        <f>IF(AND(COUNTIF(Logs!I$100:I$112, "Detour")=0,COUNTIF(Logs!I$100:I$112, "Road Block")=0), COUNTA(Logs!I$100:I$112), "")</f>
        <v/>
      </c>
      <c r="J256" s="319" t="str">
        <f>IF(AND(COUNTIF(Logs!J$100:J$112, "Detour")=0,COUNTIF(Logs!J$100:J$112, "Road Block")=0), COUNTA(Logs!J$100:J$112), "")</f>
        <v/>
      </c>
      <c r="K256" s="319" t="str">
        <f>IF(AND(COUNTIF(Logs!K$100:K$112, "Detour")=0,COUNTIF(Logs!K$100:K$112, "Road Block")=0), COUNTA(Logs!K$100:K$112), "")</f>
        <v/>
      </c>
      <c r="L256" s="319" t="str">
        <f>IF(AND(COUNTIF(Logs!L$100:L$112, "Detour")=0,COUNTIF(Logs!L$100:L$112, "Road Block")=0), COUNTA(Logs!L$100:L$112), "")</f>
        <v/>
      </c>
      <c r="M256" s="319" t="str">
        <f>IF(AND(COUNTIF(Logs!M$100:M$112, "Detour")=0,COUNTIF(Logs!M$100:M$112, "Road Block")=0), COUNTA(Logs!M$100:M$112), "")</f>
        <v/>
      </c>
      <c r="N256" s="319" t="str">
        <f>IF(AND(COUNTIF(Logs!N$100:N$112, "Detour")=0,COUNTIF(Logs!N$100:N$112, "Road Block")=0), COUNTA(Logs!N$100:N$112), "")</f>
        <v/>
      </c>
      <c r="O256" s="319" t="str">
        <f>IF(COUNTA(Logs!O$100:O$112)=0, "", IF(AND(COUNTIF(Logs!O$100:O$112, "Detour")=0,COUNTIF(Logs!O$100:O$112, "Road Block")=0), COUNTA(Logs!O$100:O$112), ""))</f>
        <v/>
      </c>
      <c r="P256" s="319"/>
      <c r="Q256" s="319"/>
      <c r="R256" s="319"/>
      <c r="S256" s="319"/>
      <c r="T256" s="319"/>
      <c r="U256" s="319"/>
      <c r="V256" s="319"/>
      <c r="W256" s="319"/>
      <c r="X256" s="319"/>
      <c r="Y256" s="319"/>
      <c r="Z256" s="319"/>
      <c r="AA256" s="319"/>
    </row>
    <row r="257" spans="2:27">
      <c r="B257" s="90" t="s">
        <v>132</v>
      </c>
      <c r="C257" s="319" t="str">
        <f>IF(AND(COUNTIF(Logs!C$120:C$129, "Detour")=0,COUNTIF(Logs!C$120:C$129, "Road Block")=0), COUNTA(Logs!C$120:C$129), "")</f>
        <v/>
      </c>
      <c r="D257" s="319" t="str">
        <f>IF(AND(COUNTIF(Logs!D$120:D$129, "Detour")=0,COUNTIF(Logs!D$120:D$129, "Road Block")=0), COUNTA(Logs!D$120:D$129), "")</f>
        <v/>
      </c>
      <c r="E257" s="319" t="str">
        <f>IF(AND(COUNTIF(Logs!E$120:E$129, "Detour")=0,COUNTIF(Logs!E$120:E$129, "Road Block")=0), COUNTA(Logs!E$120:E$129), "")</f>
        <v/>
      </c>
      <c r="F257" s="319" t="str">
        <f>IF(AND(COUNTIF(Logs!F$120:F$129, "Detour")=0,COUNTIF(Logs!F$120:F$129, "Road Block")=0), COUNTA(Logs!F$120:F$129), "")</f>
        <v/>
      </c>
      <c r="G257" s="319" t="str">
        <f>IF(AND(COUNTIF(Logs!G$120:G$129, "Detour")=0,COUNTIF(Logs!G$120:G$129, "Road Block")=0), COUNTA(Logs!G$120:G$129), "")</f>
        <v/>
      </c>
      <c r="H257" s="319" t="str">
        <f>IF(AND(COUNTIF(Logs!H$120:H$129, "Detour")=0,COUNTIF(Logs!H$120:H$129, "Road Block")=0), COUNTA(Logs!H$120:H$129), "")</f>
        <v/>
      </c>
      <c r="I257" s="319" t="str">
        <f>IF(AND(COUNTIF(Logs!I$120:I$129, "Detour")=0,COUNTIF(Logs!I$120:I$129, "Road Block")=0), COUNTA(Logs!I$120:I$129), "")</f>
        <v/>
      </c>
      <c r="J257" s="319" t="str">
        <f>IF(AND(COUNTIF(Logs!J$120:J$129, "Detour")=0,COUNTIF(Logs!J$120:J$129, "Road Block")=0), COUNTA(Logs!J$120:J$129), "")</f>
        <v/>
      </c>
      <c r="K257" s="319" t="str">
        <f>IF(AND(COUNTIF(Logs!K$120:K$129, "Detour")=0,COUNTIF(Logs!K$120:K$129, "Road Block")=0), COUNTA(Logs!K$120:K$129), "")</f>
        <v/>
      </c>
      <c r="L257" s="319" t="str">
        <f>IF(AND(COUNTIF(Logs!L$120:L$129, "Detour")=0,COUNTIF(Logs!L$120:L$129, "Road Block")=0), COUNTA(Logs!L$120:L$129), "")</f>
        <v/>
      </c>
      <c r="M257" s="319" t="str">
        <f>IF(AND(COUNTIF(Logs!M$120:M$129, "Detour")=0,COUNTIF(Logs!M$120:M$129, "Road Block")=0), COUNTA(Logs!M$120:M$129), "")</f>
        <v/>
      </c>
      <c r="N257" s="319" t="str">
        <f>IF(AND(COUNTIF(Logs!N$120:N$129, "Detour")=0,COUNTIF(Logs!N$120:N$129, "Road Block")=0), COUNTA(Logs!N$120:N$129), "")</f>
        <v/>
      </c>
      <c r="O257" s="319" t="str">
        <f>IF(COUNTA(Logs!O$120:O$129)=0, "", IF(AND(COUNTIF(Logs!O$120:O$129, "Detour")=0,COUNTIF(Logs!O$120:O$129, "Road Block")=0), COUNTA(Logs!O$120:O$129), ""))</f>
        <v/>
      </c>
      <c r="P257" s="319"/>
      <c r="Q257" s="319"/>
      <c r="R257" s="319"/>
      <c r="S257" s="319"/>
      <c r="T257" s="319"/>
      <c r="U257" s="319"/>
      <c r="V257" s="319"/>
      <c r="W257" s="319"/>
      <c r="X257" s="319"/>
      <c r="Y257" s="319"/>
      <c r="Z257" s="319"/>
      <c r="AA257" s="319"/>
    </row>
    <row r="258" spans="2:27">
      <c r="B258" s="90" t="s">
        <v>133</v>
      </c>
      <c r="C258" s="319" t="str">
        <f>IF(AND(COUNTIF(Logs!C$139:C$150, "Detour")=0,COUNTIF(Logs!C$139:C$150, "Road Block")=0), COUNTA(Logs!C$139:C$150), "")</f>
        <v/>
      </c>
      <c r="D258" s="319" t="str">
        <f>IF(AND(COUNTIF(Logs!D$139:D$150, "Detour")=0,COUNTIF(Logs!D$139:D$150, "Road Block")=0), COUNTA(Logs!D$139:D$150), "")</f>
        <v/>
      </c>
      <c r="E258" s="319" t="str">
        <f>IF(AND(COUNTIF(Logs!E$139:E$150, "Detour")=0,COUNTIF(Logs!E$139:E$150, "Road Block")=0), COUNTA(Logs!E$139:E$150), "")</f>
        <v/>
      </c>
      <c r="F258" s="319" t="str">
        <f>IF(AND(COUNTIF(Logs!F$139:F$150, "Detour")=0,COUNTIF(Logs!F$139:F$150, "Road Block")=0), COUNTA(Logs!F$139:F$150), "")</f>
        <v/>
      </c>
      <c r="G258" s="319" t="str">
        <f>IF(AND(COUNTIF(Logs!G$139:G$150, "Detour")=0,COUNTIF(Logs!G$139:G$150, "Road Block")=0), COUNTA(Logs!G$139:G$150), "")</f>
        <v/>
      </c>
      <c r="H258" s="319" t="str">
        <f>IF(AND(COUNTIF(Logs!H$139:H$150, "Detour")=0,COUNTIF(Logs!H$139:H$150, "Road Block")=0), COUNTA(Logs!H$139:H$150), "")</f>
        <v/>
      </c>
      <c r="I258" s="319" t="str">
        <f>IF(AND(COUNTIF(Logs!I$139:I$150, "Detour")=0,COUNTIF(Logs!I$139:I$150, "Road Block")=0), COUNTA(Logs!I$139:I$150), "")</f>
        <v/>
      </c>
      <c r="J258" s="319" t="str">
        <f>IF(AND(COUNTIF(Logs!J$139:J$150, "Detour")=0,COUNTIF(Logs!J$139:J$150, "Road Block")=0), COUNTA(Logs!J$139:J$150), "")</f>
        <v/>
      </c>
      <c r="K258" s="319" t="str">
        <f>IF(AND(COUNTIF(Logs!K$139:K$150, "Detour")=0,COUNTIF(Logs!K$139:K$150, "Road Block")=0), COUNTA(Logs!K$139:K$150), "")</f>
        <v/>
      </c>
      <c r="L258" s="319" t="str">
        <f>IF(AND(COUNTIF(Logs!L$139:L$150, "Detour")=0,COUNTIF(Logs!L$139:L$150, "Road Block")=0), COUNTA(Logs!L$139:L$150), "")</f>
        <v/>
      </c>
      <c r="M258" s="319" t="str">
        <f>IF(AND(COUNTIF(Logs!M$139:M$150, "Detour")=0,COUNTIF(Logs!M$139:M$150, "Road Block")=0), COUNTA(Logs!M$139:M$150), "")</f>
        <v/>
      </c>
      <c r="N258" s="319" t="str">
        <f>IF(AND(COUNTIF(Logs!N$139:N$150, "Detour")=0,COUNTIF(Logs!N$139:N$150, "Road Block")=0), COUNTA(Logs!N$139:N$150), "")</f>
        <v/>
      </c>
      <c r="O258" s="319" t="str">
        <f>IF(COUNTA(Logs!O$139:O$150)=0, "", IF(AND(COUNTIF(Logs!O$139:O$150, "Detour")=0,COUNTIF(Logs!O$139:O$150, "Road Block")=0), COUNTA(Logs!O$139:O$150), ""))</f>
        <v/>
      </c>
      <c r="P258" s="319"/>
      <c r="Q258" s="319"/>
      <c r="R258" s="319"/>
      <c r="S258" s="319"/>
      <c r="T258" s="319"/>
      <c r="U258" s="319"/>
      <c r="V258" s="319"/>
      <c r="W258" s="319"/>
      <c r="X258" s="319"/>
      <c r="Y258" s="319"/>
      <c r="Z258" s="319"/>
      <c r="AA258" s="319"/>
    </row>
    <row r="259" spans="2:27">
      <c r="B259" s="90" t="s">
        <v>134</v>
      </c>
      <c r="C259" s="319" t="str">
        <f>IF(AND(COUNTIF(Logs!C$159:C$168, "Detour")=0,COUNTIF(Logs!C$159:C$168, "Road Block")=0), COUNTA(Logs!C$159:C$168), "")</f>
        <v/>
      </c>
      <c r="D259" s="319" t="str">
        <f>IF(AND(COUNTIF(Logs!D$159:D$168, "Detour")=0,COUNTIF(Logs!D$159:D$168, "Road Block")=0), COUNTA(Logs!D$159:D$168), "")</f>
        <v/>
      </c>
      <c r="E259" s="319" t="str">
        <f>IF(AND(COUNTIF(Logs!E$159:E$168, "Detour")=0,COUNTIF(Logs!E$159:E$168, "Road Block")=0), COUNTA(Logs!E$159:E$168), "")</f>
        <v/>
      </c>
      <c r="F259" s="319" t="str">
        <f>IF(AND(COUNTIF(Logs!F$159:F$168, "Detour")=0,COUNTIF(Logs!F$159:F$168, "Road Block")=0), COUNTA(Logs!F$159:F$168), "")</f>
        <v/>
      </c>
      <c r="G259" s="319" t="str">
        <f>IF(AND(COUNTIF(Logs!G$159:G$168, "Detour")=0,COUNTIF(Logs!G$159:G$168, "Road Block")=0), COUNTA(Logs!G$159:G$168), "")</f>
        <v/>
      </c>
      <c r="H259" s="319" t="str">
        <f>IF(AND(COUNTIF(Logs!H$159:H$168, "Detour")=0,COUNTIF(Logs!H$159:H$168, "Road Block")=0), COUNTA(Logs!H$159:H$168), "")</f>
        <v/>
      </c>
      <c r="I259" s="319" t="str">
        <f>IF(AND(COUNTIF(Logs!I$159:I$168, "Detour")=0,COUNTIF(Logs!I$159:I$168, "Road Block")=0), COUNTA(Logs!I$159:I$168), "")</f>
        <v/>
      </c>
      <c r="J259" s="319" t="str">
        <f>IF(AND(COUNTIF(Logs!J$159:J$168, "Detour")=0,COUNTIF(Logs!J$159:J$168, "Road Block")=0), COUNTA(Logs!J$159:J$168), "")</f>
        <v/>
      </c>
      <c r="K259" s="319" t="str">
        <f>IF(AND(COUNTIF(Logs!K$159:K$168, "Detour")=0,COUNTIF(Logs!K$159:K$168, "Road Block")=0), COUNTA(Logs!K$159:K$168), "")</f>
        <v/>
      </c>
      <c r="L259" s="319" t="str">
        <f>IF(AND(COUNTIF(Logs!L$159:L$168, "Detour")=0,COUNTIF(Logs!L$159:L$168, "Road Block")=0), COUNTA(Logs!L$159:L$168), "")</f>
        <v/>
      </c>
      <c r="M259" s="319" t="str">
        <f>IF(AND(COUNTIF(Logs!M$159:M$168, "Detour")=0,COUNTIF(Logs!M$159:M$168, "Road Block")=0), COUNTA(Logs!M$159:M$168), "")</f>
        <v/>
      </c>
      <c r="N259" s="319" t="str">
        <f>IF(AND(COUNTIF(Logs!N$159:N$168, "Detour")=0,COUNTIF(Logs!N$159:N$168, "Road Block")=0), COUNTA(Logs!N$159:N$168), "")</f>
        <v/>
      </c>
      <c r="O259" s="319" t="str">
        <f>IF(COUNTA(Logs!N$159:O$168)=0, "", IF(AND(COUNTIF(Logs!N$159:O$168, "Detour")=0,COUNTIF(Logs!N$159:O$168, "Road Block")=0), COUNTA(Logs!N$159:O$168), ""))</f>
        <v/>
      </c>
      <c r="P259" s="319"/>
      <c r="Q259" s="319"/>
      <c r="R259" s="319"/>
      <c r="S259" s="319"/>
      <c r="T259" s="319"/>
      <c r="U259" s="319"/>
      <c r="V259" s="319"/>
      <c r="W259" s="319"/>
      <c r="X259" s="319"/>
      <c r="Y259" s="319"/>
      <c r="Z259" s="319"/>
      <c r="AA259" s="319"/>
    </row>
    <row r="260" spans="2:27">
      <c r="B260" s="90" t="s">
        <v>135</v>
      </c>
      <c r="C260" s="319" t="str">
        <f>IF(AND(COUNTIF(Logs!C$177:C$189, "Detour")=0,COUNTIF(Logs!C$177:C$189, "Road Block")=0), COUNTA(Logs!C$177:C$189), "")</f>
        <v/>
      </c>
      <c r="D260" s="319" t="str">
        <f>IF(AND(COUNTIF(Logs!D$177:D$189, "Detour")=0,COUNTIF(Logs!D$177:D$189, "Road Block")=0), COUNTA(Logs!D$177:D$189), "")</f>
        <v/>
      </c>
      <c r="E260" s="319" t="str">
        <f>IF(AND(COUNTIF(Logs!E$177:E$189, "Detour")=0,COUNTIF(Logs!E$177:E$189, "Road Block")=0), COUNTA(Logs!E$177:E$189), "")</f>
        <v/>
      </c>
      <c r="F260" s="319" t="str">
        <f>IF(AND(COUNTIF(Logs!F$177:F$189, "Detour")=0,COUNTIF(Logs!F$177:F$189, "Road Block")=0), COUNTA(Logs!F$177:F$189), "")</f>
        <v/>
      </c>
      <c r="G260" s="319" t="str">
        <f>IF(AND(COUNTIF(Logs!G$177:G$189, "Detour")=0,COUNTIF(Logs!G$177:G$189, "Road Block")=0), COUNTA(Logs!G$177:G$189), "")</f>
        <v/>
      </c>
      <c r="H260" s="319" t="str">
        <f>IF(AND(COUNTIF(Logs!H$177:H$189, "Detour")=0,COUNTIF(Logs!H$177:H$189, "Road Block")=0), COUNTA(Logs!H$177:H$189), "")</f>
        <v/>
      </c>
      <c r="I260" s="319" t="str">
        <f>IF(AND(COUNTIF(Logs!I$177:I$189, "Detour")=0,COUNTIF(Logs!I$177:I$189, "Road Block")=0), COUNTA(Logs!I$177:I$189), "")</f>
        <v/>
      </c>
      <c r="J260" s="319" t="str">
        <f>IF(AND(COUNTIF(Logs!J$177:J$189, "Detour")=0,COUNTIF(Logs!J$177:J$189, "Road Block")=0), COUNTA(Logs!J$177:J$189), "")</f>
        <v/>
      </c>
      <c r="K260" s="319" t="str">
        <f>IF(AND(COUNTIF(Logs!K$177:K$189, "Detour")=0,COUNTIF(Logs!K$177:K$189, "Road Block")=0), COUNTA(Logs!K$177:K$189), "")</f>
        <v/>
      </c>
      <c r="L260" s="319" t="str">
        <f>IF(AND(COUNTIF(Logs!L$177:L$189, "Detour")=0,COUNTIF(Logs!L$177:L$189, "Road Block")=0), COUNTA(Logs!L$177:L$189), "")</f>
        <v/>
      </c>
      <c r="M260" s="319" t="str">
        <f>IF(AND(COUNTIF(Logs!M$177:M$189, "Detour")=0,COUNTIF(Logs!M$177:M$189, "Road Block")=0), COUNTA(Logs!M$177:M$189), "")</f>
        <v/>
      </c>
      <c r="N260" s="319" t="str">
        <f>IF(AND(COUNTIF(Logs!N$177:N$189, "Detour")=0,COUNTIF(Logs!N$177:N$189, "Road Block")=0), COUNTA(Logs!N$177:N$189), "")</f>
        <v/>
      </c>
      <c r="O260" s="319" t="str">
        <f>IF(COUNTA(Logs!N$177:O$189)=0, "", IF(AND(COUNTIF(Logs!N$177:O$189, "Detour")=0,COUNTIF(Logs!N$177:O$189, "Road Block")=0), COUNTA(Logs!N$177:O$189), ""))</f>
        <v/>
      </c>
      <c r="P260" s="319"/>
      <c r="Q260" s="319"/>
      <c r="R260" s="319"/>
      <c r="S260" s="319"/>
      <c r="T260" s="319"/>
      <c r="U260" s="319"/>
      <c r="V260" s="319"/>
      <c r="W260" s="319"/>
      <c r="X260" s="319"/>
      <c r="Y260" s="319"/>
      <c r="Z260" s="319"/>
      <c r="AA260" s="319"/>
    </row>
    <row r="261" spans="2:27">
      <c r="B261" s="90" t="s">
        <v>136</v>
      </c>
      <c r="C261" s="319" t="str">
        <f>IF(AND(COUNTIF(Logs!C$198:C$207, "Detour")=0,COUNTIF(Logs!C$198:C$207, "Road Block")=0), COUNTA(Logs!C$198:C$207), "")</f>
        <v/>
      </c>
      <c r="D261" s="319" t="str">
        <f>IF(AND(COUNTIF(Logs!D$198:D$207, "Detour")=0,COUNTIF(Logs!D$198:D$207, "Road Block")=0), COUNTA(Logs!D$198:D$207), "")</f>
        <v/>
      </c>
      <c r="E261" s="319" t="str">
        <f>IF(AND(COUNTIF(Logs!E$198:E$207, "Detour")=0,COUNTIF(Logs!E$198:E$207, "Road Block")=0), COUNTA(Logs!E$198:E$207), "")</f>
        <v/>
      </c>
      <c r="F261" s="319" t="str">
        <f>IF(AND(COUNTIF(Logs!F$198:F$207, "Detour")=0,COUNTIF(Logs!F$198:F$207, "Road Block")=0), COUNTA(Logs!F$198:F$207), "")</f>
        <v/>
      </c>
      <c r="G261" s="319" t="str">
        <f>IF(AND(COUNTIF(Logs!G$198:G$207, "Detour")=0,COUNTIF(Logs!G$198:G$207, "Road Block")=0), COUNTA(Logs!G$198:G$207), "")</f>
        <v/>
      </c>
      <c r="H261" s="319" t="str">
        <f>IF(AND(COUNTIF(Logs!H$198:H$207, "Detour")=0,COUNTIF(Logs!H$198:H$207, "Road Block")=0), COUNTA(Logs!H$198:H$207), "")</f>
        <v/>
      </c>
      <c r="I261" s="319" t="str">
        <f>IF(AND(COUNTIF(Logs!I$198:I$207, "Detour")=0,COUNTIF(Logs!I$198:I$207, "Road Block")=0), COUNTA(Logs!I$198:I$207), "")</f>
        <v/>
      </c>
      <c r="J261" s="319" t="str">
        <f>IF(AND(COUNTIF(Logs!J$198:J$207, "Detour")=0,COUNTIF(Logs!J$198:J$207, "Road Block")=0), COUNTA(Logs!J$198:J$207), "")</f>
        <v/>
      </c>
      <c r="K261" s="319" t="str">
        <f>IF(AND(COUNTIF(Logs!K$198:K$207, "Detour")=0,COUNTIF(Logs!K$198:K$207, "Road Block")=0), COUNTA(Logs!K$198:K$207), "")</f>
        <v/>
      </c>
      <c r="L261" s="319" t="str">
        <f>IF(AND(COUNTIF(Logs!L$198:L$207, "Detour")=0,COUNTIF(Logs!L$198:L$207, "Road Block")=0), COUNTA(Logs!L$198:L$207), "")</f>
        <v/>
      </c>
      <c r="M261" s="319" t="str">
        <f>IF(AND(COUNTIF(Logs!M$198:M$207, "Detour")=0,COUNTIF(Logs!M$198:M$207, "Road Block")=0), COUNTA(Logs!M$198:M$207), "")</f>
        <v/>
      </c>
      <c r="N261" s="319" t="str">
        <f>IF(AND(COUNTIF(Logs!N$198:N$207, "Detour")=0,COUNTIF(Logs!N$198:N$207, "Road Block")=0), COUNTA(Logs!N$198:N$207), "")</f>
        <v/>
      </c>
      <c r="O261" s="319" t="str">
        <f>IF(COUNTA(Logs!N$198:O$207)=0, "", IF(AND(COUNTIF(Logs!N$198:O$207, "Detour")=0,COUNTIF(Logs!N$198:O$207, "Road Block")=0), COUNTA(Logs!N$198:O$207), ""))</f>
        <v/>
      </c>
      <c r="P261" s="319"/>
      <c r="Q261" s="319"/>
      <c r="R261" s="319"/>
      <c r="S261" s="319"/>
      <c r="T261" s="319"/>
      <c r="U261" s="319"/>
      <c r="V261" s="319"/>
      <c r="W261" s="319"/>
      <c r="X261" s="319"/>
      <c r="Y261" s="319"/>
      <c r="Z261" s="319"/>
      <c r="AA261" s="319"/>
    </row>
    <row r="262" spans="2:27">
      <c r="B262" s="90" t="s">
        <v>137</v>
      </c>
      <c r="C262" s="319" t="str">
        <f>IF(AND(COUNTIF(Logs!C$215:C$224, "Detour")=0,COUNTIF(Logs!C$215:C$224, "Road Block")=0), COUNTA(Logs!C$215:C$224), "")</f>
        <v/>
      </c>
      <c r="D262" s="319" t="str">
        <f>IF(AND(COUNTIF(Logs!D$215:D$224, "Detour")=0,COUNTIF(Logs!D$215:D$224, "Road Block")=0), COUNTA(Logs!D$215:D$224), "")</f>
        <v/>
      </c>
      <c r="E262" s="319" t="str">
        <f>IF(AND(COUNTIF(Logs!E$215:E$224, "Detour")=0,COUNTIF(Logs!E$215:E$224, "Road Block")=0), COUNTA(Logs!E$215:E$224), "")</f>
        <v/>
      </c>
      <c r="F262" s="319" t="str">
        <f>IF(AND(COUNTIF(Logs!F$215:F$224, "Detour")=0,COUNTIF(Logs!F$215:F$224, "Road Block")=0), COUNTA(Logs!F$215:F$224), "")</f>
        <v/>
      </c>
      <c r="G262" s="319" t="str">
        <f>IF(AND(COUNTIF(Logs!G$215:G$224, "Detour")=0,COUNTIF(Logs!G$215:G$224, "Road Block")=0), COUNTA(Logs!G$215:G$224), "")</f>
        <v/>
      </c>
      <c r="H262" s="319" t="str">
        <f>IF(AND(COUNTIF(Logs!H$215:H$224, "Detour")=0,COUNTIF(Logs!H$215:H$224, "Road Block")=0), COUNTA(Logs!H$215:H$224), "")</f>
        <v/>
      </c>
      <c r="I262" s="319" t="str">
        <f>IF(AND(COUNTIF(Logs!I$215:I$224, "Detour")=0,COUNTIF(Logs!I$215:I$224, "Road Block")=0), COUNTA(Logs!I$215:I$224), "")</f>
        <v/>
      </c>
      <c r="J262" s="319" t="str">
        <f>IF(AND(COUNTIF(Logs!J$215:J$224, "Detour")=0,COUNTIF(Logs!J$215:J$224, "Road Block")=0), COUNTA(Logs!J$215:J$224), "")</f>
        <v/>
      </c>
      <c r="K262" s="319" t="str">
        <f>IF(AND(COUNTIF(Logs!K$215:K$224, "Detour")=0,COUNTIF(Logs!K$215:K$224, "Road Block")=0), COUNTA(Logs!K$215:K$224), "")</f>
        <v/>
      </c>
      <c r="L262" s="319" t="str">
        <f>IF(AND(COUNTIF(Logs!L$215:L$224, "Detour")=0,COUNTIF(Logs!L$215:L$224, "Road Block")=0), COUNTA(Logs!L$215:L$224), "")</f>
        <v/>
      </c>
      <c r="M262" s="319" t="str">
        <f>IF(AND(COUNTIF(Logs!M$215:M$224, "Detour")=0,COUNTIF(Logs!M$215:M$224, "Road Block")=0), COUNTA(Logs!M$215:M$224), "")</f>
        <v/>
      </c>
      <c r="N262" s="319" t="str">
        <f>IF(COUNTA(Logs!M$215:N$224)=0, "", IF(AND(COUNTIF(Logs!M$215:N$224, "Detour")=0,COUNTIF(Logs!M$215:N$224, "Road Block")=0), COUNTA(Logs!M$215:N$224), ""))</f>
        <v/>
      </c>
      <c r="O262" s="319" t="str">
        <f>IF(COUNTA(Logs!M$215:O$224)=0, "", IF(AND(COUNTIF(Logs!M$215:O$224, "Detour")=0,COUNTIF(Logs!M$215:O$224, "Road Block")=0), COUNTA(Logs!M$215:O$224), ""))</f>
        <v/>
      </c>
      <c r="P262" s="319"/>
      <c r="Q262" s="319"/>
      <c r="R262" s="319"/>
      <c r="S262" s="319"/>
      <c r="T262" s="319"/>
      <c r="U262" s="319"/>
      <c r="V262" s="319"/>
      <c r="W262" s="319"/>
      <c r="X262" s="319"/>
      <c r="Y262" s="319"/>
      <c r="Z262" s="319"/>
      <c r="AA262" s="319"/>
    </row>
    <row r="263" spans="2:27">
      <c r="B263" s="90" t="s">
        <v>138</v>
      </c>
      <c r="C263" s="319" t="str">
        <f>IF(AND(COUNTIF(Logs!C$233:C$242, "Detour")=0,COUNTIF(Logs!C$233:C$242, "Road Block")=0), COUNTA(Logs!C$233:C$242),"")</f>
        <v/>
      </c>
      <c r="D263" s="319" t="str">
        <f>IF(AND(COUNTIF(Logs!D$233:D$242, "Detour")=0,COUNTIF(Logs!D$233:D$242, "Road Block")=0), COUNTA(Logs!D$233:D$242),"")</f>
        <v/>
      </c>
      <c r="E263" s="319" t="str">
        <f>IF(AND(COUNTIF(Logs!E$233:E$242, "Detour")=0,COUNTIF(Logs!E$233:E$242, "Road Block")=0), COUNTA(Logs!E$233:E$242),"")</f>
        <v/>
      </c>
      <c r="F263" s="319" t="str">
        <f>IF(AND(COUNTIF(Logs!F$233:F$242, "Detour")=0,COUNTIF(Logs!F$233:F$242, "Road Block")=0), COUNTA(Logs!F$233:F$242),"")</f>
        <v/>
      </c>
      <c r="G263" s="319" t="str">
        <f>IF(AND(COUNTIF(Logs!G$233:G$242, "Detour")=0,COUNTIF(Logs!G$233:G$242, "Road Block")=0), COUNTA(Logs!G$233:G$242),"")</f>
        <v/>
      </c>
      <c r="H263" s="319" t="str">
        <f>IF(AND(COUNTIF(Logs!H$233:H$242, "Detour")=0,COUNTIF(Logs!H$233:H$242, "Road Block")=0), COUNTA(Logs!H$233:H$242),"")</f>
        <v/>
      </c>
      <c r="I263" s="319" t="str">
        <f>IF(AND(COUNTIF(Logs!I$233:I$242, "Detour")=0,COUNTIF(Logs!I$233:I$242, "Road Block")=0), COUNTA(Logs!I$233:I$242),"")</f>
        <v/>
      </c>
      <c r="J263" s="319" t="str">
        <f>IF(AND(COUNTIF(Logs!J$233:J$242, "Detour")=0,COUNTIF(Logs!J$233:J$242, "Road Block")=0), COUNTA(Logs!J$233:J$242),"")</f>
        <v/>
      </c>
      <c r="K263" s="319" t="str">
        <f>IF(AND(COUNTIF(Logs!K$233:K$242, "Detour")=0,COUNTIF(Logs!K$233:K$242, "Road Block")=0), COUNTA(Logs!K$233:K$242),"")</f>
        <v/>
      </c>
      <c r="L263" s="319" t="str">
        <f>IF(AND(COUNTIF(Logs!L$233:L$242, "Detour")=0,COUNTIF(Logs!L$233:L$242, "Road Block")=0), COUNTA(Logs!L$233:L$242),"")</f>
        <v/>
      </c>
      <c r="M263" s="319" t="str">
        <f>IF(AND(COUNTIF(Logs!M$233:M$242, "Detour")=0,COUNTIF(Logs!M$233:M$242, "Road Block")=0), COUNTA(Logs!M$233:M$242),"")</f>
        <v/>
      </c>
      <c r="N263" s="319" t="str">
        <f>IF(COUNTA(Logs!M$233:N$242)=0, "", IF(AND(COUNTIF(Logs!M$233:N$242, "Detour")=0,COUNTIF(Logs!M$233:N$242, "Road Block")=0), COUNTA(Logs!M$233:N$242), ""))</f>
        <v/>
      </c>
      <c r="O263" s="319" t="str">
        <f>IF(COUNTA(Logs!M$233:O$242)=0, "", IF(AND(COUNTIF(Logs!M$233:O$242, "Detour")=0,COUNTIF(Logs!M$233:O$242, "Road Block")=0), COUNTA(Logs!M$233:O$242), ""))</f>
        <v/>
      </c>
      <c r="P263" s="319"/>
      <c r="Q263" s="319"/>
      <c r="R263" s="319"/>
      <c r="S263" s="319"/>
      <c r="T263" s="319"/>
      <c r="U263" s="319"/>
      <c r="V263" s="319"/>
      <c r="W263" s="319"/>
      <c r="X263" s="319"/>
      <c r="Y263" s="319"/>
      <c r="Z263" s="319"/>
      <c r="AA263" s="319"/>
    </row>
    <row r="264" spans="2:27">
      <c r="B264" s="90" t="s">
        <v>139</v>
      </c>
      <c r="C264" s="319" t="str">
        <f>IF(AND(COUNTIF(Logs!C$250:C$259, "Detour")=0,COUNTIF(Logs!C$250:C$259, "Road Block")=0), COUNTA(Logs!C$250:C$259), "")</f>
        <v/>
      </c>
      <c r="D264" s="319" t="str">
        <f>IF(AND(COUNTIF(Logs!D$250:D$259, "Detour")=0,COUNTIF(Logs!D$250:D$259, "Road Block")=0), COUNTA(Logs!D$250:D$259), "")</f>
        <v/>
      </c>
      <c r="E264" s="319" t="str">
        <f>IF(AND(COUNTIF(Logs!E$250:E$259, "Detour")=0,COUNTIF(Logs!E$250:E$259, "Road Block")=0), COUNTA(Logs!E$250:E$259), "")</f>
        <v/>
      </c>
      <c r="F264" s="319" t="str">
        <f>IF(AND(COUNTIF(Logs!F$250:F$259, "Detour")=0,COUNTIF(Logs!F$250:F$259, "Road Block")=0), COUNTA(Logs!F$250:F$259), "")</f>
        <v/>
      </c>
      <c r="G264" s="319" t="str">
        <f>IF(AND(COUNTIF(Logs!G$250:G$259, "Detour")=0,COUNTIF(Logs!G$250:G$259, "Road Block")=0), COUNTA(Logs!G$250:G$259), "")</f>
        <v/>
      </c>
      <c r="H264" s="319" t="str">
        <f>IF(AND(COUNTIF(Logs!H$250:H$259, "Detour")=0,COUNTIF(Logs!H$250:H$259, "Road Block")=0), COUNTA(Logs!H$250:H$259), "")</f>
        <v/>
      </c>
      <c r="I264" s="319" t="str">
        <f>IF(AND(COUNTIF(Logs!I$250:I$259, "Detour")=0,COUNTIF(Logs!I$250:I$259, "Road Block")=0), COUNTA(Logs!I$250:I$259), "")</f>
        <v/>
      </c>
      <c r="J264" s="319" t="str">
        <f>IF(AND(COUNTIF(Logs!J$250:J$259, "Detour")=0,COUNTIF(Logs!J$250:J$259, "Road Block")=0), COUNTA(Logs!J$250:J$259), "")</f>
        <v/>
      </c>
      <c r="K264" s="319" t="str">
        <f>IF(AND(COUNTIF(Logs!K$250:K$259, "Detour")=0,COUNTIF(Logs!K$250:K$259, "Road Block")=0), COUNTA(Logs!K$250:K$259), "")</f>
        <v/>
      </c>
      <c r="L264" s="319" t="str">
        <f>IF(AND(COUNTIF(Logs!L$250:L$259, "Detour")=0,COUNTIF(Logs!L$250:L$259, "Road Block")=0), COUNTA(Logs!L$250:L$259), "")</f>
        <v/>
      </c>
      <c r="M264" s="319" t="str">
        <f>IF(AND(COUNTIF(Logs!M$250:M$259, "Detour")=0,COUNTIF(Logs!M$250:M$259, "Road Block")=0), COUNTA(Logs!M$250:M$259), "")</f>
        <v/>
      </c>
      <c r="N264" s="319" t="str">
        <f>IF(AND(COUNTIF(Logs!N$250:N$259, "Detour")=0,COUNTIF(Logs!N$250:N$259, "Road Block")=0), COUNTA(Logs!N$250:N$259), "")</f>
        <v/>
      </c>
      <c r="O264" s="319" t="str">
        <f>IF(COUNTA(Logs!N$250:O$259)=0, "", IF(AND(COUNTIF(Logs!N$250:O$259, "Detour")=0,COUNTIF(Logs!N$250:O$259, "Road Block")=0), COUNTA(Logs!N$250:O$259), ""))</f>
        <v/>
      </c>
      <c r="P264" s="319"/>
      <c r="Q264" s="319"/>
      <c r="R264" s="319"/>
      <c r="S264" s="319"/>
      <c r="T264" s="319"/>
      <c r="U264" s="319"/>
      <c r="V264" s="319"/>
      <c r="W264" s="319"/>
      <c r="X264" s="319"/>
      <c r="Y264" s="319"/>
      <c r="Z264" s="319"/>
      <c r="AA264" s="319"/>
    </row>
    <row r="265" spans="2:27">
      <c r="B265" s="90" t="s">
        <v>140</v>
      </c>
      <c r="C265" s="319" t="str">
        <f>IF(AND(COUNTIF(Logs!C$267:C$276, "Detour")=0,COUNTIF(Logs!C$267:C$276, "Road Block")=0), COUNTA(Logs!C$267:C$276), "")</f>
        <v/>
      </c>
      <c r="D265" s="319" t="str">
        <f>IF(AND(COUNTIF(Logs!D$267:D$276, "Detour")=0,COUNTIF(Logs!D$267:D$276, "Road Block")=0), COUNTA(Logs!D$267:D$276), "")</f>
        <v/>
      </c>
      <c r="E265" s="319" t="str">
        <f>IF(AND(COUNTIF(Logs!E$267:E$276, "Detour")=0,COUNTIF(Logs!E$267:E$276, "Road Block")=0), COUNTA(Logs!E$267:E$276), "")</f>
        <v/>
      </c>
      <c r="F265" s="319" t="str">
        <f>IF(AND(COUNTIF(Logs!F$267:F$276, "Detour")=0,COUNTIF(Logs!F$267:F$276, "Road Block")=0), COUNTA(Logs!F$267:F$276), "")</f>
        <v/>
      </c>
      <c r="G265" s="319" t="str">
        <f>IF(AND(COUNTIF(Logs!G$267:G$276, "Detour")=0,COUNTIF(Logs!G$267:G$276, "Road Block")=0), COUNTA(Logs!G$267:G$276), "")</f>
        <v/>
      </c>
      <c r="H265" s="319" t="str">
        <f>IF(AND(COUNTIF(Logs!H$267:H$276, "Detour")=0,COUNTIF(Logs!H$267:H$276, "Road Block")=0), COUNTA(Logs!H$267:H$276), "")</f>
        <v/>
      </c>
      <c r="I265" s="319" t="str">
        <f>IF(AND(COUNTIF(Logs!I$267:I$276, "Detour")=0,COUNTIF(Logs!I$267:I$276, "Road Block")=0), COUNTA(Logs!I$267:I$276), "")</f>
        <v/>
      </c>
      <c r="J265" s="319" t="str">
        <f>IF(AND(COUNTIF(Logs!J$267:J$276, "Detour")=0,COUNTIF(Logs!J$267:J$276, "Road Block")=0), COUNTA(Logs!J$267:J$276), "")</f>
        <v/>
      </c>
      <c r="K265" s="319" t="str">
        <f>IF(AND(COUNTIF(Logs!K$267:K$276, "Detour")=0,COUNTIF(Logs!K$267:K$276, "Road Block")=0), COUNTA(Logs!K$267:K$276), "")</f>
        <v/>
      </c>
      <c r="L265" s="319" t="str">
        <f>IF(AND(COUNTIF(Logs!L$267:L$276, "Detour")=0,COUNTIF(Logs!L$267:L$276, "Road Block")=0), COUNTA(Logs!L$267:L$276), "")</f>
        <v/>
      </c>
      <c r="M265" s="319" t="str">
        <f>IF(AND(COUNTIF(Logs!M$267:M$276, "Detour")=0,COUNTIF(Logs!M$267:M$276, "Road Block")=0), COUNTA(Logs!M$267:M$276), "")</f>
        <v/>
      </c>
      <c r="N265" s="319" t="str">
        <f>IF(AND(COUNTIF(Logs!N$267:N$276, "Detour")=0,COUNTIF(Logs!N$267:N$276, "Road Block")=0), COUNTA(Logs!N$267:N$276), "")</f>
        <v/>
      </c>
      <c r="O265" s="319" t="str">
        <f>IF(COUNTA(Logs!O$267:O$276)=0, "", IF(AND(COUNTIF(Logs!O$267:O$276, "Detour")=0,COUNTIF(Logs!O$267:O$276, "Road Block")=0), COUNTA(Logs!O$267:O$276), ""))</f>
        <v/>
      </c>
      <c r="P265" s="319"/>
      <c r="Q265" s="319"/>
      <c r="R265" s="319"/>
      <c r="S265" s="319"/>
      <c r="T265" s="319"/>
      <c r="U265" s="319"/>
      <c r="V265" s="319"/>
      <c r="W265" s="319"/>
      <c r="X265" s="319"/>
      <c r="Y265" s="319"/>
      <c r="Z265" s="319"/>
      <c r="AA265" s="319"/>
    </row>
    <row r="266" spans="2:27">
      <c r="B266" s="90" t="s">
        <v>141</v>
      </c>
      <c r="C266" s="319" t="str">
        <f>IF(AND(COUNTIF(Logs!C$285:C$294, "Detour")=0,COUNTIF(Logs!C$285:C$294, "Road Block")=0), COUNTA(Logs!C$285:C$294), "")</f>
        <v/>
      </c>
      <c r="D266" s="319" t="str">
        <f>IF(AND(COUNTIF(Logs!D$285:D$294, "Detour")=0,COUNTIF(Logs!D$285:D$294, "Road Block")=0), COUNTA(Logs!D$285:D$294), "")</f>
        <v/>
      </c>
      <c r="E266" s="319" t="str">
        <f>IF(AND(COUNTIF(Logs!E$285:E$294, "Detour")=0,COUNTIF(Logs!E$285:E$294, "Road Block")=0), COUNTA(Logs!E$285:E$294), "")</f>
        <v/>
      </c>
      <c r="F266" s="319" t="str">
        <f>IF(AND(COUNTIF(Logs!F$285:F$294, "Detour")=0,COUNTIF(Logs!F$285:F$294, "Road Block")=0), COUNTA(Logs!F$285:F$294), "")</f>
        <v/>
      </c>
      <c r="G266" s="319" t="str">
        <f>IF(AND(COUNTIF(Logs!G$285:G$294, "Detour")=0,COUNTIF(Logs!G$285:G$294, "Road Block")=0), COUNTA(Logs!G$285:G$294), "")</f>
        <v/>
      </c>
      <c r="H266" s="319" t="str">
        <f>IF(AND(COUNTIF(Logs!H$285:H$294, "Detour")=0,COUNTIF(Logs!H$285:H$294, "Road Block")=0), COUNTA(Logs!H$285:H$294), "")</f>
        <v/>
      </c>
      <c r="I266" s="319" t="str">
        <f>IF(AND(COUNTIF(Logs!I$285:I$294, "Detour")=0,COUNTIF(Logs!I$285:I$294, "Road Block")=0), COUNTA(Logs!I$285:I$294), "")</f>
        <v/>
      </c>
      <c r="J266" s="319" t="str">
        <f>IF(AND(COUNTIF(Logs!J$285:J$294, "Detour")=0,COUNTIF(Logs!J$285:J$294, "Road Block")=0), COUNTA(Logs!J$285:J$294), "")</f>
        <v/>
      </c>
      <c r="K266" s="319" t="str">
        <f>IF(AND(COUNTIF(Logs!K$285:K$294, "Detour")=0,COUNTIF(Logs!K$285:K$294, "Road Block")=0), COUNTA(Logs!K$285:K$294), "")</f>
        <v/>
      </c>
      <c r="L266" s="319" t="str">
        <f>IF(AND(COUNTIF(Logs!L$285:L$294, "Detour")=0,COUNTIF(Logs!L$285:L$294, "Road Block")=0), COUNTA(Logs!L$285:L$294), "")</f>
        <v/>
      </c>
      <c r="M266" s="319" t="str">
        <f>IF(AND(COUNTIF(Logs!M$285:M$294, "Detour")=0,COUNTIF(Logs!M$285:M$294, "Road Block")=0), COUNTA(Logs!M$285:M$294), "")</f>
        <v/>
      </c>
      <c r="N266" s="319" t="str">
        <f>IF(AND(COUNTIF(Logs!N$285:N$294, "Detour")=0,COUNTIF(Logs!N$285:N$294, "Road Block")=0), COUNTA(Logs!N$285:N$294), "")</f>
        <v/>
      </c>
      <c r="O266" s="319" t="str">
        <f>IF(COUNTA(Logs!O$285:O$294)=0, "", IF(AND(COUNTIF(Logs!O$285:O$294, "Detour")=0,COUNTIF(Logs!O$285:O$294, "Road Block")=0), COUNTA(Logs!O$285:O$294), ""))</f>
        <v/>
      </c>
      <c r="P266" s="319"/>
      <c r="Q266" s="319"/>
      <c r="R266" s="319"/>
      <c r="S266" s="319"/>
      <c r="T266" s="319"/>
      <c r="U266" s="319"/>
      <c r="V266" s="319"/>
      <c r="W266" s="319"/>
      <c r="X266" s="319"/>
      <c r="Y266" s="319"/>
      <c r="Z266" s="319"/>
      <c r="AA266" s="319"/>
    </row>
    <row r="267" spans="2:27">
      <c r="B267" s="90" t="s">
        <v>142</v>
      </c>
      <c r="C267" s="319" t="str">
        <f>IF(AND(COUNTIF(Logs!C$302:C$311, "Detour")=0,COUNTIF(Logs!C$302:C$311, "Road Block")=0), COUNTA(Logs!C$302:C$311), "")</f>
        <v/>
      </c>
      <c r="D267" s="319" t="str">
        <f>IF(AND(COUNTIF(Logs!D$302:D$311, "Detour")=0,COUNTIF(Logs!D$302:D$311, "Road Block")=0), COUNTA(Logs!D$302:D$311), "")</f>
        <v/>
      </c>
      <c r="E267" s="319" t="str">
        <f>IF(AND(COUNTIF(Logs!E$302:E$311, "Detour")=0,COUNTIF(Logs!E$302:E$311, "Road Block")=0), COUNTA(Logs!E$302:E$311), "")</f>
        <v/>
      </c>
      <c r="F267" s="319" t="str">
        <f>IF(AND(COUNTIF(Logs!F$302:F$311, "Detour")=0,COUNTIF(Logs!F$302:F$311, "Road Block")=0), COUNTA(Logs!F$302:F$311), "")</f>
        <v/>
      </c>
      <c r="G267" s="319" t="str">
        <f>IF(AND(COUNTIF(Logs!G$302:G$311, "Detour")=0,COUNTIF(Logs!G$302:G$311, "Road Block")=0), COUNTA(Logs!G$302:G$311), "")</f>
        <v/>
      </c>
      <c r="H267" s="319" t="str">
        <f>IF(AND(COUNTIF(Logs!H$302:H$311, "Detour")=0,COUNTIF(Logs!H$302:H$311, "Road Block")=0), COUNTA(Logs!H$302:H$311), "")</f>
        <v/>
      </c>
      <c r="I267" s="319" t="str">
        <f>IF(AND(COUNTIF(Logs!I$302:I$311, "Detour")=0,COUNTIF(Logs!I$302:I$311, "Road Block")=0), COUNTA(Logs!I$302:I$311), "")</f>
        <v/>
      </c>
      <c r="J267" s="319" t="str">
        <f>IF(AND(COUNTIF(Logs!J$302:J$311, "Detour")=0,COUNTIF(Logs!J$302:J$311, "Road Block")=0), COUNTA(Logs!J$302:J$311), "")</f>
        <v/>
      </c>
      <c r="K267" s="319" t="str">
        <f>IF(AND(COUNTIF(Logs!K$302:K$311, "Detour")=0,COUNTIF(Logs!K$302:K$311, "Road Block")=0), COUNTA(Logs!K$302:K$311), "")</f>
        <v/>
      </c>
      <c r="L267" s="319" t="str">
        <f>IF(AND(COUNTIF(Logs!L$302:L$311, "Detour")=0,COUNTIF(Logs!L$302:L$311, "Road Block")=0), COUNTA(Logs!L$302:L$311), "")</f>
        <v/>
      </c>
      <c r="M267" s="319" t="str">
        <f>IF(AND(COUNTIF(Logs!M$302:M$311, "Detour")=0,COUNTIF(Logs!M$302:M$311, "Road Block")=0), COUNTA(Logs!M$302:M$311), "")</f>
        <v/>
      </c>
      <c r="N267" s="319" t="str">
        <f>IF(AND(COUNTIF(Logs!N$302:N$311, "Detour")=0,COUNTIF(Logs!N$302:N$311, "Road Block")=0), COUNTA(Logs!N$302:N$311), "")</f>
        <v/>
      </c>
      <c r="O267" s="319" t="str">
        <f>IF(COUNTA(Logs!O$302:O$311)=0, "", IF(AND(COUNTIF(Logs!O$302:O$311, "Detour")=0,COUNTIF(Logs!O$302:O$311, "Road Block")=0), COUNTA(Logs!O$302:O$311), ""))</f>
        <v/>
      </c>
      <c r="P267" s="319"/>
      <c r="Q267" s="319"/>
      <c r="R267" s="319"/>
      <c r="S267" s="319"/>
      <c r="T267" s="319"/>
      <c r="U267" s="319"/>
      <c r="V267" s="319"/>
      <c r="W267" s="319"/>
      <c r="X267" s="319"/>
      <c r="Y267" s="319"/>
      <c r="Z267" s="319"/>
      <c r="AA267" s="319"/>
    </row>
    <row r="268" spans="2:27">
      <c r="B268" s="90" t="s">
        <v>143</v>
      </c>
      <c r="C268" s="319" t="str">
        <f>IF(AND(COUNTIF(Logs!C$320:C$329, "Detour")=0,COUNTIF(Logs!C$320:C$329, "Road Block")=0), COUNTA(Logs!C$320:C$329), "")</f>
        <v/>
      </c>
      <c r="D268" s="319" t="str">
        <f>IF(AND(COUNTIF(Logs!D$320:D$329, "Detour")=0,COUNTIF(Logs!D$320:D$329, "Road Block")=0), COUNTA(Logs!D$320:D$329), "")</f>
        <v/>
      </c>
      <c r="E268" s="319" t="str">
        <f>IF(AND(COUNTIF(Logs!E$320:E$329, "Detour")=0,COUNTIF(Logs!E$320:E$329, "Road Block")=0), COUNTA(Logs!E$320:E$329), "")</f>
        <v/>
      </c>
      <c r="F268" s="319" t="str">
        <f>IF(AND(COUNTIF(Logs!F$320:F$329, "Detour")=0,COUNTIF(Logs!F$320:F$329, "Road Block")=0), COUNTA(Logs!F$320:F$329), "")</f>
        <v/>
      </c>
      <c r="G268" s="319" t="str">
        <f>IF(AND(COUNTIF(Logs!G$320:G$329, "Detour")=0,COUNTIF(Logs!G$320:G$329, "Road Block")=0), COUNTA(Logs!G$320:G$329), "")</f>
        <v/>
      </c>
      <c r="H268" s="319" t="str">
        <f>IF(AND(COUNTIF(Logs!H$320:H$329, "Detour")=0,COUNTIF(Logs!H$320:H$329, "Road Block")=0), COUNTA(Logs!H$320:H$329), "")</f>
        <v/>
      </c>
      <c r="I268" s="319" t="str">
        <f>IF(AND(COUNTIF(Logs!I$320:I$329, "Detour")=0,COUNTIF(Logs!I$320:I$329, "Road Block")=0), COUNTA(Logs!I$320:I$329), "")</f>
        <v/>
      </c>
      <c r="J268" s="319" t="str">
        <f>IF(AND(COUNTIF(Logs!J$320:J$329, "Detour")=0,COUNTIF(Logs!J$320:J$329, "Road Block")=0), COUNTA(Logs!J$320:J$329), "")</f>
        <v/>
      </c>
      <c r="K268" s="319" t="str">
        <f>IF(AND(COUNTIF(Logs!K$320:K$329, "Detour")=0,COUNTIF(Logs!K$320:K$329, "Road Block")=0), COUNTA(Logs!K$320:K$329), "")</f>
        <v/>
      </c>
      <c r="L268" s="319" t="str">
        <f>IF(AND(COUNTIF(Logs!L$320:L$329, "Detour")=0,COUNTIF(Logs!L$320:L$329, "Road Block")=0), COUNTA(Logs!L$320:L$329), "")</f>
        <v/>
      </c>
      <c r="M268" s="319" t="str">
        <f>IF(AND(COUNTIF(Logs!M$320:M$329, "Detour")=0,COUNTIF(Logs!M$320:M$329, "Road Block")=0), COUNTA(Logs!M$320:M$329), "")</f>
        <v/>
      </c>
      <c r="N268" s="319" t="str">
        <f>IF(AND(COUNTIF(Logs!N$320:N$329, "Detour")=0,COUNTIF(Logs!N$320:N$329, "Road Block")=0), COUNTA(Logs!N$320:N$329), "")</f>
        <v/>
      </c>
      <c r="O268" s="319" t="str">
        <f>IF(COUNTA(Logs!O$320:O$329)=0, "", IF(AND(COUNTIF(Logs!O$320:O$329, "Detour")=0,COUNTIF(Logs!O$320:O$329, "Road Block")=0), COUNTA(Logs!O$320:O$329), ""))</f>
        <v/>
      </c>
      <c r="P268" s="319"/>
      <c r="Q268" s="319"/>
      <c r="R268" s="319"/>
      <c r="S268" s="319"/>
      <c r="T268" s="319"/>
      <c r="U268" s="319"/>
      <c r="V268" s="319"/>
      <c r="W268" s="319"/>
      <c r="X268" s="319"/>
      <c r="Y268" s="319"/>
      <c r="Z268" s="319"/>
      <c r="AA268" s="319"/>
    </row>
    <row r="269" spans="2:27">
      <c r="B269" s="90" t="s">
        <v>144</v>
      </c>
      <c r="C269" s="319" t="str">
        <f>IF(AND(COUNTIF(Logs!C$338:C$347, "Detour")=0,COUNTIF(Logs!C$338:C$347, "Road Block")=0), COUNTA(Logs!C$338:C$347), "")</f>
        <v/>
      </c>
      <c r="D269" s="319" t="str">
        <f>IF(AND(COUNTIF(Logs!D$338:D$347, "Detour")=0,COUNTIF(Logs!D$338:D$347, "Road Block")=0), COUNTA(Logs!D$338:D$347), "")</f>
        <v/>
      </c>
      <c r="E269" s="319" t="str">
        <f>IF(AND(COUNTIF(Logs!E$338:E$347, "Detour")=0,COUNTIF(Logs!E$338:E$347, "Road Block")=0), COUNTA(Logs!E$338:E$347), "")</f>
        <v/>
      </c>
      <c r="F269" s="319" t="str">
        <f>IF(AND(COUNTIF(Logs!F$338:F$347, "Detour")=0,COUNTIF(Logs!F$338:F$347, "Road Block")=0), COUNTA(Logs!F$338:F$347), "")</f>
        <v/>
      </c>
      <c r="G269" s="319" t="str">
        <f>IF(AND(COUNTIF(Logs!G$338:G$347, "Detour")=0,COUNTIF(Logs!G$338:G$347, "Road Block")=0), COUNTA(Logs!G$338:G$347), "")</f>
        <v/>
      </c>
      <c r="H269" s="319" t="str">
        <f>IF(AND(COUNTIF(Logs!H$338:H$347, "Detour")=0,COUNTIF(Logs!H$338:H$347, "Road Block")=0), COUNTA(Logs!H$338:H$347), "")</f>
        <v/>
      </c>
      <c r="I269" s="319" t="str">
        <f>IF(AND(COUNTIF(Logs!I$338:I$347, "Detour")=0,COUNTIF(Logs!I$338:I$347, "Road Block")=0), COUNTA(Logs!I$338:I$347), "")</f>
        <v/>
      </c>
      <c r="J269" s="319" t="str">
        <f>IF(AND(COUNTIF(Logs!J$338:J$347, "Detour")=0,COUNTIF(Logs!J$338:J$347, "Road Block")=0), COUNTA(Logs!J$338:J$347), "")</f>
        <v/>
      </c>
      <c r="K269" s="319" t="str">
        <f>IF(AND(COUNTIF(Logs!K$338:K$347, "Detour")=0,COUNTIF(Logs!K$338:K$347, "Road Block")=0), COUNTA(Logs!K$338:K$347), "")</f>
        <v/>
      </c>
      <c r="L269" s="319" t="str">
        <f>IF(AND(COUNTIF(Logs!L$338:L$347, "Detour")=0,COUNTIF(Logs!L$338:L$347, "Road Block")=0), COUNTA(Logs!L$338:L$347), "")</f>
        <v/>
      </c>
      <c r="M269" s="319" t="str">
        <f>IF(AND(COUNTIF(Logs!M$338:M$347, "Detour")=0,COUNTIF(Logs!M$338:M$347, "Road Block")=0), COUNTA(Logs!M$338:M$347), "")</f>
        <v/>
      </c>
      <c r="N269" s="319" t="str">
        <f>IF(AND(COUNTIF(Logs!N$338:N$347, "Detour")=0,COUNTIF(Logs!N$338:N$347, "Road Block")=0), COUNTA(Logs!N$338:N$347), "")</f>
        <v/>
      </c>
      <c r="O269" s="319" t="str">
        <f>IF(COUNTA(Logs!O$338:O$347)=0, "", IF(AND(COUNTIF(Logs!O$338:O$347, "Detour")=0,COUNTIF(Logs!O$338:O$347, "Road Block")=0), COUNTA(Logs!O$338:O$347), ""))</f>
        <v/>
      </c>
      <c r="P269" s="319"/>
      <c r="Q269" s="319"/>
      <c r="R269" s="319"/>
      <c r="S269" s="319"/>
      <c r="T269" s="319"/>
      <c r="U269" s="319"/>
      <c r="V269" s="319"/>
      <c r="W269" s="319"/>
      <c r="X269" s="319"/>
      <c r="Y269" s="319"/>
      <c r="Z269" s="319"/>
      <c r="AA269" s="319"/>
    </row>
    <row r="270" spans="2:27">
      <c r="B270" s="90" t="s">
        <v>145</v>
      </c>
      <c r="C270" s="319" t="str">
        <f>IF(AND(COUNTIF(Logs!C$356:C$365, "Detour")=0,COUNTIF(Logs!C$356:C$365, "Road Block")=0), COUNTA(Logs!C$356:C$365), "")</f>
        <v/>
      </c>
      <c r="D270" s="319" t="str">
        <f>IF(AND(COUNTIF(Logs!D$356:D$365, "Detour")=0,COUNTIF(Logs!D$356:D$365, "Road Block")=0), COUNTA(Logs!D$356:D$365), "")</f>
        <v/>
      </c>
      <c r="E270" s="319" t="str">
        <f>IF(AND(COUNTIF(Logs!E$356:E$365, "Detour")=0,COUNTIF(Logs!E$356:E$365, "Road Block")=0), COUNTA(Logs!E$356:E$365), "")</f>
        <v/>
      </c>
      <c r="F270" s="319" t="str">
        <f>IF(AND(COUNTIF(Logs!F$356:F$365, "Detour")=0,COUNTIF(Logs!F$356:F$365, "Road Block")=0), COUNTA(Logs!F$356:F$365), "")</f>
        <v/>
      </c>
      <c r="G270" s="319" t="str">
        <f>IF(AND(COUNTIF(Logs!G$356:G$365, "Detour")=0,COUNTIF(Logs!G$356:G$365, "Road Block")=0), COUNTA(Logs!G$356:G$365), "")</f>
        <v/>
      </c>
      <c r="H270" s="319" t="str">
        <f>IF(AND(COUNTIF(Logs!H$356:H$365, "Detour")=0,COUNTIF(Logs!H$356:H$365, "Road Block")=0), COUNTA(Logs!H$356:H$365), "")</f>
        <v/>
      </c>
      <c r="I270" s="319" t="str">
        <f>IF(AND(COUNTIF(Logs!I$356:I$365, "Detour")=0,COUNTIF(Logs!I$356:I$365, "Road Block")=0), COUNTA(Logs!I$356:I$365), "")</f>
        <v/>
      </c>
      <c r="J270" s="319" t="str">
        <f>IF(AND(COUNTIF(Logs!J$356:J$365, "Detour")=0,COUNTIF(Logs!J$356:J$365, "Road Block")=0), COUNTA(Logs!J$356:J$365), "")</f>
        <v/>
      </c>
      <c r="K270" s="319" t="str">
        <f>IF(AND(COUNTIF(Logs!K$356:K$365, "Detour")=0,COUNTIF(Logs!K$356:K$365, "Road Block")=0), COUNTA(Logs!K$356:K$365), "")</f>
        <v/>
      </c>
      <c r="L270" s="319" t="str">
        <f>IF(AND(COUNTIF(Logs!L$356:L$365, "Detour")=0,COUNTIF(Logs!L$356:L$365, "Road Block")=0), COUNTA(Logs!L$356:L$365), "")</f>
        <v/>
      </c>
      <c r="M270" s="319" t="str">
        <f>IF(AND(COUNTIF(Logs!M$356:M$365, "Detour")=0,COUNTIF(Logs!M$356:M$365, "Road Block")=0), COUNTA(Logs!M$356:M$365), "")</f>
        <v/>
      </c>
      <c r="N270" s="319" t="str">
        <f>IF(AND(COUNTIF(Logs!N$356:N$365, "Detour")=0,COUNTIF(Logs!N$356:N$365, "Road Block")=0), COUNTA(Logs!N$356:N$365), "")</f>
        <v/>
      </c>
      <c r="O270" s="319" t="str">
        <f>IF(COUNTA(Logs!O$356:O$365)=0, "", IF(AND(COUNTIF(Logs!O$356:O$365, "Detour")=0,COUNTIF(Logs!O$356:O$365, "Road Block")=0), COUNTA(Logs!O$356:O$365), ""))</f>
        <v/>
      </c>
      <c r="P270" s="319"/>
      <c r="Q270" s="319"/>
      <c r="R270" s="319"/>
      <c r="S270" s="319"/>
      <c r="T270" s="319"/>
      <c r="U270" s="319"/>
      <c r="V270" s="319"/>
      <c r="W270" s="319"/>
      <c r="X270" s="319"/>
      <c r="Y270" s="319"/>
      <c r="Z270" s="319"/>
      <c r="AA270" s="319"/>
    </row>
    <row r="271" spans="2:27">
      <c r="B271" s="90" t="s">
        <v>146</v>
      </c>
      <c r="C271" s="319" t="str">
        <f>IF(AND(COUNTIF(Logs!C$374:C$383, "Detour")=0,COUNTIF(Logs!C$374:C$383, "Road Block")=0), COUNTA(Logs!C$374:C$383), "")</f>
        <v/>
      </c>
      <c r="D271" s="319" t="str">
        <f>IF(AND(COUNTIF(Logs!D$374:D$383, "Detour")=0,COUNTIF(Logs!D$374:D$383, "Road Block")=0), COUNTA(Logs!D$374:D$383), "")</f>
        <v/>
      </c>
      <c r="E271" s="319" t="str">
        <f>IF(AND(COUNTIF(Logs!E$374:E$383, "Detour")=0,COUNTIF(Logs!E$374:E$383, "Road Block")=0), COUNTA(Logs!E$374:E$383), "")</f>
        <v/>
      </c>
      <c r="F271" s="319" t="str">
        <f>IF(AND(COUNTIF(Logs!F$374:F$383, "Detour")=0,COUNTIF(Logs!F$374:F$383, "Road Block")=0), COUNTA(Logs!F$374:F$383), "")</f>
        <v/>
      </c>
      <c r="G271" s="319" t="str">
        <f>IF(AND(COUNTIF(Logs!G$374:G$383, "Detour")=0,COUNTIF(Logs!G$374:G$383, "Road Block")=0), COUNTA(Logs!G$374:G$383), "")</f>
        <v/>
      </c>
      <c r="H271" s="319" t="str">
        <f>IF(AND(COUNTIF(Logs!H$374:H$383, "Detour")=0,COUNTIF(Logs!H$374:H$383, "Road Block")=0), COUNTA(Logs!H$374:H$383), "")</f>
        <v/>
      </c>
      <c r="I271" s="319" t="str">
        <f>IF(AND(COUNTIF(Logs!I$374:I$383, "Detour")=0,COUNTIF(Logs!I$374:I$383, "Road Block")=0), COUNTA(Logs!I$374:I$383), "")</f>
        <v/>
      </c>
      <c r="J271" s="319" t="str">
        <f>IF(AND(COUNTIF(Logs!J$374:J$383, "Detour")=0,COUNTIF(Logs!J$374:J$383, "Road Block")=0), COUNTA(Logs!J$374:J$383), "")</f>
        <v/>
      </c>
      <c r="K271" s="319" t="str">
        <f>IF(AND(COUNTIF(Logs!K$374:K$383, "Detour")=0,COUNTIF(Logs!K$374:K$383, "Road Block")=0), COUNTA(Logs!K$374:K$383), "")</f>
        <v/>
      </c>
      <c r="L271" s="319" t="str">
        <f>IF(AND(COUNTIF(Logs!L$374:L$383, "Detour")=0,COUNTIF(Logs!L$374:L$383, "Road Block")=0), COUNTA(Logs!L$374:L$383), "")</f>
        <v/>
      </c>
      <c r="M271" s="319" t="str">
        <f>IF(AND(COUNTIF(Logs!M$374:M$383, "Detour")=0,COUNTIF(Logs!M$374:M$383, "Road Block")=0), COUNTA(Logs!M$374:M$383), "")</f>
        <v/>
      </c>
      <c r="N271" s="319" t="str">
        <f>IF(AND(COUNTIF(Logs!N$374:N$383, "Detour")=0,COUNTIF(Logs!N$374:N$383, "Road Block")=0), COUNTA(Logs!N$374:N$383), "")</f>
        <v/>
      </c>
      <c r="O271" s="319" t="str">
        <f>IF(COUNTA(Logs!N$374:O$383)=0, "", IF(AND(COUNTIF(Logs!N$374:O$383, "Detour")=0,COUNTIF(Logs!N$374:O$383, "Road Block")=0), COUNTA(Logs!N$374:O$383), ""))</f>
        <v/>
      </c>
      <c r="P271" s="319"/>
      <c r="Q271" s="319"/>
      <c r="R271" s="319"/>
      <c r="S271" s="319"/>
      <c r="T271" s="319"/>
      <c r="U271" s="319"/>
      <c r="V271" s="319"/>
      <c r="W271" s="319"/>
      <c r="X271" s="319"/>
      <c r="Y271" s="319"/>
      <c r="Z271" s="319"/>
      <c r="AA271" s="319"/>
    </row>
    <row r="272" spans="2:27">
      <c r="B272" s="90" t="s">
        <v>147</v>
      </c>
      <c r="C272" s="319" t="str">
        <f>IF(AND(COUNTIF(Logs!C$393:C$402, "Detour")=0,COUNTIF(Logs!C$393:C$402, "Road Block")=0), COUNTA(Logs!C$393:C$402), "")</f>
        <v/>
      </c>
      <c r="D272" s="319" t="str">
        <f>IF(AND(COUNTIF(Logs!D$393:D$402, "Detour")=0,COUNTIF(Logs!D$393:D$402, "Road Block")=0), COUNTA(Logs!D$393:D$402), "")</f>
        <v/>
      </c>
      <c r="E272" s="319" t="str">
        <f>IF(AND(COUNTIF(Logs!E$393:E$402, "Detour")=0,COUNTIF(Logs!E$393:E$402, "Road Block")=0), COUNTA(Logs!E$393:E$402), "")</f>
        <v/>
      </c>
      <c r="F272" s="319" t="str">
        <f>IF(AND(COUNTIF(Logs!F$393:F$402, "Detour")=0,COUNTIF(Logs!F$393:F$402, "Road Block")=0), COUNTA(Logs!F$393:F$402), "")</f>
        <v/>
      </c>
      <c r="G272" s="319" t="str">
        <f>IF(AND(COUNTIF(Logs!G$393:G$402, "Detour")=0,COUNTIF(Logs!G$393:G$402, "Road Block")=0), COUNTA(Logs!G$393:G$402), "")</f>
        <v/>
      </c>
      <c r="H272" s="319" t="str">
        <f>IF(AND(COUNTIF(Logs!H$393:H$402, "Detour")=0,COUNTIF(Logs!H$393:H$402, "Road Block")=0), COUNTA(Logs!H$393:H$402), "")</f>
        <v/>
      </c>
      <c r="I272" s="319" t="str">
        <f>IF(AND(COUNTIF(Logs!I$393:I$402, "Detour")=0,COUNTIF(Logs!I$393:I$402, "Road Block")=0), COUNTA(Logs!I$393:I$402), "")</f>
        <v/>
      </c>
      <c r="J272" s="319" t="str">
        <f>IF(AND(COUNTIF(Logs!J$393:J$402, "Detour")=0,COUNTIF(Logs!J$393:J$402, "Road Block")=0), COUNTA(Logs!J$393:J$402), "")</f>
        <v/>
      </c>
      <c r="K272" s="319" t="str">
        <f>IF(AND(COUNTIF(Logs!K$393:K$402, "Detour")=0,COUNTIF(Logs!K$393:K$402, "Road Block")=0), COUNTA(Logs!K$393:K$402), "")</f>
        <v/>
      </c>
      <c r="L272" s="319" t="str">
        <f>IF(AND(COUNTIF(Logs!L$393:L$402, "Detour")=0,COUNTIF(Logs!L$393:L$402, "Road Block")=0), COUNTA(Logs!L$393:L$402), "")</f>
        <v/>
      </c>
      <c r="M272" s="319" t="str">
        <f>IF(AND(COUNTIF(Logs!M$393:M$402, "Detour")=0,COUNTIF(Logs!M$393:M$402, "Road Block")=0), COUNTA(Logs!M$393:M$402), "")</f>
        <v/>
      </c>
      <c r="N272" s="319" t="str">
        <f>IF(AND(COUNTIF(Logs!N$393:N$402, "Detour")=0,COUNTIF(Logs!N$393:N$402, "Road Block")=0), COUNTA(Logs!N$393:N$402), "")</f>
        <v/>
      </c>
      <c r="O272" s="319" t="str">
        <f>IF(COUNTA(Logs!O$393:O$402)=0, "", IF(AND(COUNTIF(Logs!O$393:O$402, "Detour")=0,COUNTIF(Logs!O$393:O$402, "Road Block")=0), COUNTA(Logs!O$393:O$402), ""))</f>
        <v/>
      </c>
      <c r="P272" s="319"/>
      <c r="Q272" s="319"/>
      <c r="R272" s="319"/>
      <c r="S272" s="319"/>
      <c r="T272" s="319"/>
      <c r="U272" s="319"/>
      <c r="V272" s="319"/>
      <c r="W272" s="319"/>
      <c r="X272" s="319"/>
      <c r="Y272" s="319"/>
      <c r="Z272" s="319"/>
      <c r="AA272" s="319"/>
    </row>
    <row r="273" spans="2:27">
      <c r="B273" s="90" t="s">
        <v>148</v>
      </c>
      <c r="C273" s="319" t="str">
        <f>IF(AND(COUNTIF(Logs!C$411:C$420, "Detour")=0,COUNTIF(Logs!C$411:C$420, "Road Block")=0), COUNTA(Logs!C$411:C$420), "")</f>
        <v/>
      </c>
      <c r="D273" s="319" t="str">
        <f>IF(AND(COUNTIF(Logs!D$411:D$420, "Detour")=0,COUNTIF(Logs!D$411:D$420, "Road Block")=0), COUNTA(Logs!D$411:D$420), "")</f>
        <v/>
      </c>
      <c r="E273" s="319" t="str">
        <f>IF(AND(COUNTIF(Logs!E$411:E$420, "Detour")=0,COUNTIF(Logs!E$411:E$420, "Road Block")=0), COUNTA(Logs!E$411:E$420), "")</f>
        <v/>
      </c>
      <c r="F273" s="319" t="str">
        <f>IF(AND(COUNTIF(Logs!F$411:F$420, "Detour")=0,COUNTIF(Logs!F$411:F$420, "Road Block")=0), COUNTA(Logs!F$411:F$420), "")</f>
        <v/>
      </c>
      <c r="G273" s="319" t="str">
        <f>IF(AND(COUNTIF(Logs!G$411:G$420, "Detour")=0,COUNTIF(Logs!G$411:G$420, "Road Block")=0), COUNTA(Logs!G$411:G$420), "")</f>
        <v/>
      </c>
      <c r="H273" s="319" t="str">
        <f>IF(AND(COUNTIF(Logs!H$411:H$420, "Detour")=0,COUNTIF(Logs!H$411:H$420, "Road Block")=0), COUNTA(Logs!H$411:H$420), "")</f>
        <v/>
      </c>
      <c r="I273" s="319" t="str">
        <f>IF(AND(COUNTIF(Logs!I$411:I$420, "Detour")=0,COUNTIF(Logs!I$411:I$420, "Road Block")=0), COUNTA(Logs!I$411:I$420), "")</f>
        <v/>
      </c>
      <c r="J273" s="319" t="str">
        <f>IF(AND(COUNTIF(Logs!J$411:J$420, "Detour")=0,COUNTIF(Logs!J$411:J$420, "Road Block")=0), COUNTA(Logs!J$411:J$420), "")</f>
        <v/>
      </c>
      <c r="K273" s="319" t="str">
        <f>IF(AND(COUNTIF(Logs!K$411:K$420, "Detour")=0,COUNTIF(Logs!K$411:K$420, "Road Block")=0), COUNTA(Logs!K$411:K$420), "")</f>
        <v/>
      </c>
      <c r="L273" s="319" t="str">
        <f>IF(AND(COUNTIF(Logs!L$411:L$420, "Detour")=0,COUNTIF(Logs!L$411:L$420, "Road Block")=0), COUNTA(Logs!L$411:L$420), "")</f>
        <v/>
      </c>
      <c r="M273" s="319" t="str">
        <f>IF(AND(COUNTIF(Logs!M$411:M$420, "Detour")=0,COUNTIF(Logs!M$411:M$420, "Road Block")=0), COUNTA(Logs!M$411:M$420), "")</f>
        <v/>
      </c>
      <c r="N273" s="319" t="str">
        <f>IF(AND(COUNTIF(Logs!N$411:N$420, "Detour")=0,COUNTIF(Logs!N$411:N$420, "Road Block")=0), COUNTA(Logs!N$411:N$420), "")</f>
        <v/>
      </c>
      <c r="O273" s="319" t="str">
        <f>IF(COUNTA(Logs!O$411:O$420)=0, "", IF(AND(COUNTIF(Logs!O$411:O$420,"Detour")=0,COUNTIF(Logs!O$411:O$420, "Road Block")=0), COUNTA(Logs!O$411:O$420), ""))</f>
        <v/>
      </c>
      <c r="P273" s="319"/>
      <c r="Q273" s="319"/>
      <c r="R273" s="319"/>
      <c r="S273" s="319"/>
      <c r="T273" s="319"/>
      <c r="U273" s="319"/>
      <c r="V273" s="319"/>
      <c r="W273" s="319"/>
      <c r="X273" s="319"/>
      <c r="Y273" s="319"/>
      <c r="Z273" s="319"/>
      <c r="AA273" s="319"/>
    </row>
    <row r="274" spans="2:27">
      <c r="B274" s="90" t="s">
        <v>125</v>
      </c>
      <c r="C274" s="319" t="str">
        <f>IF(AND(COUNTIF(Logs!C$429:C$438, "Detour")=0,COUNTIF(Logs!C$429:C$438, "Road Block")=0), COUNTA(Logs!C$429:C$438), "")</f>
        <v/>
      </c>
      <c r="D274" s="319" t="str">
        <f>IF(AND(COUNTIF(Logs!D$429:D$438, "Detour")=0,COUNTIF(Logs!D$429:D$438, "Road Block")=0), COUNTA(Logs!D$429:D$438), "")</f>
        <v/>
      </c>
      <c r="E274" s="319" t="str">
        <f>IF(AND(COUNTIF(Logs!E$429:E$438, "Detour")=0,COUNTIF(Logs!E$429:E$438, "Road Block")=0), COUNTA(Logs!E$429:E$438), "")</f>
        <v/>
      </c>
      <c r="F274" s="319" t="str">
        <f>IF(AND(COUNTIF(Logs!F$429:F$438, "Detour")=0,COUNTIF(Logs!F$429:F$438, "Road Block")=0), COUNTA(Logs!F$429:F$438), "")</f>
        <v/>
      </c>
      <c r="G274" s="319" t="str">
        <f>IF(AND(COUNTIF(Logs!G$429:G$438, "Detour")=0,COUNTIF(Logs!G$429:G$438, "Road Block")=0), COUNTA(Logs!G$429:G$438), "")</f>
        <v/>
      </c>
      <c r="H274" s="319" t="str">
        <f>IF(AND(COUNTIF(Logs!H$429:H$438, "Detour")=0,COUNTIF(Logs!H$429:H$438, "Road Block")=0), COUNTA(Logs!H$429:H$438), "")</f>
        <v/>
      </c>
      <c r="I274" s="319" t="str">
        <f>IF(AND(COUNTIF(Logs!I$429:I$438, "Detour")=0,COUNTIF(Logs!I$429:I$438, "Road Block")=0), COUNTA(Logs!I$429:I$438), "")</f>
        <v/>
      </c>
      <c r="J274" s="319" t="str">
        <f>IF(AND(COUNTIF(Logs!J$429:J$438, "Detour")=0,COUNTIF(Logs!J$429:J$438, "Road Block")=0), COUNTA(Logs!J$429:J$438), "")</f>
        <v/>
      </c>
      <c r="K274" s="319" t="str">
        <f>IF(AND(COUNTIF(Logs!K$429:K$438, "Detour")=0,COUNTIF(Logs!K$429:K$438, "Road Block")=0), COUNTA(Logs!K$429:K$438), "")</f>
        <v/>
      </c>
      <c r="L274" s="319" t="str">
        <f>IF(AND(COUNTIF(Logs!L$429:L$438, "Detour")=0,COUNTIF(Logs!L$429:L$438, "Road Block")=0), COUNTA(Logs!L$429:L$438), "")</f>
        <v/>
      </c>
      <c r="M274" s="319" t="str">
        <f>IF(AND(COUNTIF(Logs!M$429:M$438, "Detour")=0,COUNTIF(Logs!M$429:M$438, "Road Block")=0), COUNTA(Logs!M$429:M$438), "")</f>
        <v/>
      </c>
      <c r="N274" s="319" t="str">
        <f>IF(AND(COUNTIF(Logs!N$429:N$438, "Detour")=0,COUNTIF(Logs!N$429:N$438, "Road Block")=0), COUNTA(Logs!N$429:N$438), "")</f>
        <v/>
      </c>
      <c r="O274" s="319" t="str">
        <f>IF(COUNTA(Logs!O$429:O$438)=0, "", IF(AND(COUNTIF(Logs!O$429:O$438, "Detour")=0,COUNTIF(Logs!O$429:O$438, "Road Block")=0), COUNTA(Logs!O$429:O$438), ""))</f>
        <v/>
      </c>
      <c r="P274" s="319"/>
      <c r="Q274" s="319"/>
      <c r="R274" s="319"/>
      <c r="S274" s="319"/>
      <c r="T274" s="319"/>
      <c r="U274" s="319"/>
      <c r="V274" s="319"/>
      <c r="W274" s="319"/>
      <c r="X274" s="319"/>
      <c r="Y274" s="319"/>
      <c r="Z274" s="319"/>
      <c r="AA274" s="319"/>
    </row>
    <row r="275" spans="2:27">
      <c r="B275" s="90" t="s">
        <v>116</v>
      </c>
      <c r="C275" s="319" t="str">
        <f>IF(AND(COUNTIF(Logs!C$447:C$456, "Detour")=0,COUNTIF(Logs!C$447:C$456, "Road Block")=0), COUNTA(Logs!C$447:C$456), "")</f>
        <v/>
      </c>
      <c r="D275" s="319" t="str">
        <f>IF(AND(COUNTIF(Logs!D$447:D$456, "Detour")=0,COUNTIF(Logs!D$447:D$456, "Road Block")=0), COUNTA(Logs!D$447:D$456), "")</f>
        <v/>
      </c>
      <c r="E275" s="319" t="str">
        <f>IF(AND(COUNTIF(Logs!E$447:E$456, "Detour")=0,COUNTIF(Logs!E$447:E$456, "Road Block")=0), COUNTA(Logs!E$447:E$456), "")</f>
        <v/>
      </c>
      <c r="F275" s="319" t="str">
        <f>IF(AND(COUNTIF(Logs!F$447:F$456, "Detour")=0,COUNTIF(Logs!F$447:F$456, "Road Block")=0), COUNTA(Logs!F$447:F$456), "")</f>
        <v/>
      </c>
      <c r="G275" s="319" t="str">
        <f>IF(AND(COUNTIF(Logs!G$447:G$456, "Detour")=0,COUNTIF(Logs!G$447:G$456, "Road Block")=0), COUNTA(Logs!G$447:G$456), "")</f>
        <v/>
      </c>
      <c r="H275" s="319" t="str">
        <f>IF(AND(COUNTIF(Logs!H$447:H$456, "Detour")=0,COUNTIF(Logs!H$447:H$456, "Road Block")=0), COUNTA(Logs!H$447:H$456), "")</f>
        <v/>
      </c>
      <c r="I275" s="319" t="str">
        <f>IF(AND(COUNTIF(Logs!I$447:I$456, "Detour")=0,COUNTIF(Logs!I$447:I$456, "Road Block")=0), COUNTA(Logs!I$447:I$456), "")</f>
        <v/>
      </c>
      <c r="J275" s="319" t="str">
        <f>IF(AND(COUNTIF(Logs!J$447:J$456, "Detour")=0,COUNTIF(Logs!J$447:J$456, "Road Block")=0), COUNTA(Logs!J$447:J$456), "")</f>
        <v/>
      </c>
      <c r="K275" s="319" t="str">
        <f>IF(AND(COUNTIF(Logs!K$447:K$456, "Detour")=0,COUNTIF(Logs!K$447:K$456, "Road Block")=0), COUNTA(Logs!K$447:K$456), "")</f>
        <v/>
      </c>
      <c r="L275" s="319" t="str">
        <f>IF(AND(COUNTIF(Logs!L$447:L$456, "Detour")=0,COUNTIF(Logs!L$447:L$456, "Road Block")=0), COUNTA(Logs!L$447:L$456), "")</f>
        <v/>
      </c>
      <c r="M275" s="319" t="str">
        <f>IF(AND(COUNTIF(Logs!M$447:M$456, "Detour")=0,COUNTIF(Logs!M$447:M$456, "Road Block")=0), COUNTA(Logs!M$447:M$456), "")</f>
        <v/>
      </c>
      <c r="N275" s="319" t="str">
        <f>IF(AND(COUNTIF(Logs!N$447:N$456, "Detour")=0,COUNTIF(Logs!N$447:N$456, "Road Block")=0), COUNTA(Logs!N$447:N$456), "")</f>
        <v/>
      </c>
      <c r="O275" s="319" t="str">
        <f>IF(COUNTA(Logs!O$447:O$456)=0, "", IF(AND(COUNTIF(Logs!O$447:O$456, "Detour")=0,COUNTIF(Logs!O$447:O$456, "Road Block")=0), COUNTA(Logs!O$447:O$4570), ""))</f>
        <v/>
      </c>
      <c r="P275" s="319"/>
      <c r="Q275" s="319"/>
      <c r="R275" s="319"/>
      <c r="S275" s="319"/>
      <c r="T275" s="319"/>
      <c r="U275" s="319"/>
      <c r="V275" s="319"/>
      <c r="W275" s="319"/>
      <c r="X275" s="319"/>
      <c r="Y275" s="319"/>
      <c r="Z275" s="319"/>
      <c r="AA275" s="319"/>
    </row>
    <row r="276" spans="2:27">
      <c r="B276" s="90" t="s">
        <v>104</v>
      </c>
      <c r="C276" s="319" t="str">
        <f>IF(AND(COUNTIF(Logs!C$465:C$474, "Detour")=0,COUNTIF(Logs!C$465:C$474, "Road Block")=0), COUNTA(Logs!C$465:C$474), "")</f>
        <v/>
      </c>
      <c r="D276" s="319" t="str">
        <f>IF(AND(COUNTIF(Logs!D$465:D$474, "Detour")=0,COUNTIF(Logs!D$465:D$474, "Road Block")=0), COUNTA(Logs!D$465:D$474), "")</f>
        <v/>
      </c>
      <c r="E276" s="319" t="str">
        <f>IF(AND(COUNTIF(Logs!E$465:E$474, "Detour")=0,COUNTIF(Logs!E$465:E$474, "Road Block")=0), COUNTA(Logs!E$465:E$474), "")</f>
        <v/>
      </c>
      <c r="F276" s="319" t="str">
        <f>IF(AND(COUNTIF(Logs!F$465:F$474, "Detour")=0,COUNTIF(Logs!F$465:F$474, "Road Block")=0), COUNTA(Logs!F$465:F$474), "")</f>
        <v/>
      </c>
      <c r="G276" s="319" t="str">
        <f>IF(AND(COUNTIF(Logs!G$465:G$474, "Detour")=0,COUNTIF(Logs!G$465:G$474, "Road Block")=0), COUNTA(Logs!G$465:G$474), "")</f>
        <v/>
      </c>
      <c r="H276" s="319" t="str">
        <f>IF(AND(COUNTIF(Logs!H$465:H$474, "Detour")=0,COUNTIF(Logs!H$465:H$474, "Road Block")=0), COUNTA(Logs!H$465:H$474), "")</f>
        <v/>
      </c>
      <c r="I276" s="319" t="str">
        <f>IF(AND(COUNTIF(Logs!I$465:I$474, "Detour")=0,COUNTIF(Logs!I$465:I$474, "Road Block")=0), COUNTA(Logs!I$465:I$474), "")</f>
        <v/>
      </c>
      <c r="J276" s="319" t="str">
        <f>IF(AND(COUNTIF(Logs!J$465:J$474, "Detour")=0,COUNTIF(Logs!J$465:J$474, "Road Block")=0), COUNTA(Logs!J$465:J$474), "")</f>
        <v/>
      </c>
      <c r="K276" s="319" t="str">
        <f>IF(AND(COUNTIF(Logs!K$465:K$474, "Detour")=0,COUNTIF(Logs!K$465:K$474, "Road Block")=0), COUNTA(Logs!K$465:K$474), "")</f>
        <v/>
      </c>
      <c r="L276" s="319" t="str">
        <f>IF(AND(COUNTIF(Logs!L$465:L$474, "Detour")=0,COUNTIF(Logs!L$465:L$474, "Road Block")=0), COUNTA(Logs!L$465:L$474), "")</f>
        <v/>
      </c>
      <c r="M276" s="319" t="str">
        <f>IF(AND(COUNTIF(Logs!M$465:M$474, "Detour")=0,COUNTIF(Logs!M$465:M$474, "Road Block")=0), COUNTA(Logs!M$465:M$474), "")</f>
        <v/>
      </c>
      <c r="N276" s="319" t="str">
        <f>IF(AND(COUNTIF(Logs!N$465:N$474, "Detour")=0,COUNTIF(Logs!N$465:N$474, "Road Block")=0), COUNTA(Logs!N$465:N$474), "")</f>
        <v/>
      </c>
      <c r="O276" s="319" t="str">
        <f>IF(COUNTA(Logs!O$465:O$474)=0, "", IF(AND(COUNTIF(Logs!O$465:O$474, "Detour")=0,COUNTIF(Logs!O$465:O$474, "Road Block")=0), COUNTA(Logs!O$465:O$474), ""))</f>
        <v/>
      </c>
      <c r="P276" s="319"/>
      <c r="Q276" s="319"/>
      <c r="R276" s="319"/>
      <c r="S276" s="319"/>
      <c r="T276" s="319"/>
      <c r="U276" s="319"/>
      <c r="V276" s="319"/>
      <c r="W276" s="319"/>
      <c r="X276" s="319"/>
      <c r="Y276" s="319"/>
      <c r="Z276" s="319"/>
      <c r="AA276" s="319"/>
    </row>
    <row r="277" spans="2:27">
      <c r="B277" s="90" t="s">
        <v>95</v>
      </c>
      <c r="C277" s="319" t="str">
        <f>IF(AND(COUNTIF(Logs!C$483:C$492, "Detour")=0,COUNTIF(Logs!C$483:C$492, "Road Block")=0), COUNTA(Logs!C$483:C$492), "")</f>
        <v/>
      </c>
      <c r="D277" s="319" t="str">
        <f>IF(AND(COUNTIF(Logs!D$483:D$492, "Detour")=0,COUNTIF(Logs!D$483:D$492, "Road Block")=0), COUNTA(Logs!D$483:D$492), "")</f>
        <v/>
      </c>
      <c r="E277" s="319" t="str">
        <f>IF(AND(COUNTIF(Logs!E$483:E$492, "Detour")=0,COUNTIF(Logs!E$483:E$492, "Road Block")=0), COUNTA(Logs!E$483:E$492), "")</f>
        <v/>
      </c>
      <c r="F277" s="319" t="str">
        <f>IF(AND(COUNTIF(Logs!F$483:F$492, "Detour")=0,COUNTIF(Logs!F$483:F$492, "Road Block")=0), COUNTA(Logs!F$483:F$492), "")</f>
        <v/>
      </c>
      <c r="G277" s="319" t="str">
        <f>IF(AND(COUNTIF(Logs!G$483:G$492, "Detour")=0,COUNTIF(Logs!G$483:G$492, "Road Block")=0), COUNTA(Logs!G$483:G$492), "")</f>
        <v/>
      </c>
      <c r="H277" s="319" t="str">
        <f>IF(AND(COUNTIF(Logs!H$483:H$492, "Detour")=0,COUNTIF(Logs!H$483:H$492, "Road Block")=0), COUNTA(Logs!H$483:H$492), "")</f>
        <v/>
      </c>
      <c r="I277" s="319" t="str">
        <f>IF(AND(COUNTIF(Logs!I$483:I$492, "Detour")=0,COUNTIF(Logs!I$483:I$492, "Road Block")=0), COUNTA(Logs!I$483:I$492), "")</f>
        <v/>
      </c>
      <c r="J277" s="319" t="str">
        <f>IF(AND(COUNTIF(Logs!J$483:J$492, "Detour")=0,COUNTIF(Logs!J$483:J$492, "Road Block")=0), COUNTA(Logs!J$483:J$492), "")</f>
        <v/>
      </c>
      <c r="K277" s="319" t="str">
        <f>IF(AND(COUNTIF(Logs!K$483:K$492, "Detour")=0,COUNTIF(Logs!K$483:K$492, "Road Block")=0), COUNTA(Logs!K$483:K$492), "")</f>
        <v/>
      </c>
      <c r="L277" s="319" t="str">
        <f>IF(AND(COUNTIF(Logs!L$483:L$492, "Detour")=0,COUNTIF(Logs!L$483:L$492, "Road Block")=0), COUNTA(Logs!L$483:L$492), "")</f>
        <v/>
      </c>
      <c r="M277" s="319" t="str">
        <f>IF(AND(COUNTIF(Logs!M$483:M$492, "Detour")=0,COUNTIF(Logs!M$483:M$492, "Road Block")=0), COUNTA(Logs!M$483:M$492), "")</f>
        <v/>
      </c>
      <c r="N277" s="319" t="str">
        <f>IF(AND(COUNTIF(Logs!N$483:N$492, "Detour")=0,COUNTIF(Logs!N$483:N$492, "Road Block")=0), COUNTA(Logs!N$483:N$492), "")</f>
        <v/>
      </c>
      <c r="O277" s="319" t="str">
        <f>IF(COUNTA(Logs!O$483:O$492)=0, "", IF(AND(COUNTIF(Logs!O$483:O$492, "Detour")=0,COUNTIF(Logs!O$483:O$492, "Road Block")=0), COUNTA(Logs!O$483:O$492), ""))</f>
        <v/>
      </c>
      <c r="P277" s="319"/>
      <c r="Q277" s="319"/>
      <c r="R277" s="319"/>
      <c r="S277" s="319"/>
      <c r="T277" s="319"/>
      <c r="U277" s="319"/>
      <c r="V277" s="319"/>
      <c r="W277" s="319"/>
      <c r="X277" s="319"/>
      <c r="Y277" s="319"/>
      <c r="Z277" s="319"/>
      <c r="AA277" s="319"/>
    </row>
    <row r="278" spans="2:27">
      <c r="B278" s="90" t="s">
        <v>85</v>
      </c>
      <c r="C278" s="319" t="str">
        <f>IF(AND(COUNTIF(Logs!C$501:C$510, "Detour")=0,COUNTIF(Logs!C$501:C$510, "Road Block")=0), COUNTA(Logs!C$501:C$510), "")</f>
        <v/>
      </c>
      <c r="D278" s="319" t="str">
        <f>IF(AND(COUNTIF(Logs!D$501:D$510, "Detour")=0,COUNTIF(Logs!D$501:D$510, "Road Block")=0), COUNTA(Logs!D$501:D$510), "")</f>
        <v/>
      </c>
      <c r="E278" s="319" t="str">
        <f>IF(AND(COUNTIF(Logs!E$501:E$510, "Detour")=0,COUNTIF(Logs!E$501:E$510, "Road Block")=0), COUNTA(Logs!E$501:E$510), "")</f>
        <v/>
      </c>
      <c r="F278" s="319" t="str">
        <f>IF(AND(COUNTIF(Logs!F$501:F$510, "Detour")=0,COUNTIF(Logs!F$501:F$510, "Road Block")=0), COUNTA(Logs!F$501:F$510), "")</f>
        <v/>
      </c>
      <c r="G278" s="319" t="str">
        <f>IF(AND(COUNTIF(Logs!G$501:G$510, "Detour")=0,COUNTIF(Logs!G$501:G$510, "Road Block")=0), COUNTA(Logs!G$501:G$510), "")</f>
        <v/>
      </c>
      <c r="H278" s="319" t="str">
        <f>IF(AND(COUNTIF(Logs!H$501:H$510, "Detour")=0,COUNTIF(Logs!H$501:H$510, "Road Block")=0), COUNTA(Logs!H$501:H$510), "")</f>
        <v/>
      </c>
      <c r="I278" s="319" t="str">
        <f>IF(AND(COUNTIF(Logs!I$501:I$510, "Detour")=0,COUNTIF(Logs!I$501:I$510, "Road Block")=0), COUNTA(Logs!I$501:I$510), "")</f>
        <v/>
      </c>
      <c r="J278" s="319" t="str">
        <f>IF(AND(COUNTIF(Logs!J$501:J$510, "Detour")=0,COUNTIF(Logs!J$501:J$510, "Road Block")=0), COUNTA(Logs!J$501:J$510), "")</f>
        <v/>
      </c>
      <c r="K278" s="319" t="str">
        <f>IF(AND(COUNTIF(Logs!K$501:K$510, "Detour")=0,COUNTIF(Logs!K$501:K$510, "Road Block")=0), COUNTA(Logs!K$501:K$510), "")</f>
        <v/>
      </c>
      <c r="L278" s="319" t="str">
        <f>IF(AND(COUNTIF(Logs!L$501:L$510, "Detour")=0,COUNTIF(Logs!L$501:L$510, "Road Block")=0), COUNTA(Logs!L$501:L$510), "")</f>
        <v/>
      </c>
      <c r="M278" s="319" t="str">
        <f>IF(AND(COUNTIF(Logs!M$501:M$510, "Detour")=0,COUNTIF(Logs!M$501:M$510, "Road Block")=0), COUNTA(Logs!M$501:M$510), "")</f>
        <v/>
      </c>
      <c r="N278" s="319" t="str">
        <f>IF(AND(COUNTIF(Logs!N$501:N$510, "Detour")=0,COUNTIF(Logs!N$501:N$510, "Road Block")=0), COUNTA(Logs!N$501:N$510), "")</f>
        <v/>
      </c>
      <c r="O278" s="319" t="str">
        <f>IF(COUNTA(Logs!O$501:O$510)=0, "", IF(AND(COUNTIF(Logs!O$501:O$510, "Detour")=0,COUNTIF(Logs!O$501:O$5110, "Road Block")=0), COUNTA(Logs!O$501:O$510), ""))</f>
        <v/>
      </c>
      <c r="P278" s="319"/>
      <c r="Q278" s="319"/>
      <c r="R278" s="319"/>
      <c r="S278" s="319"/>
      <c r="T278" s="319"/>
      <c r="U278" s="319"/>
      <c r="V278" s="319"/>
      <c r="W278" s="319"/>
      <c r="X278" s="319"/>
      <c r="Y278" s="319"/>
      <c r="Z278" s="319"/>
      <c r="AA278" s="319"/>
    </row>
    <row r="279" spans="2:27">
      <c r="B279" s="90" t="s">
        <v>66</v>
      </c>
      <c r="C279" s="319" t="str">
        <f>IF(AND(COUNTIF(Logs!C$519:C$528, "Detour")=0,COUNTIF(Logs!C$519:C$528, "Road Block")=0), COUNTA(Logs!C$519:C$528), "")</f>
        <v/>
      </c>
      <c r="D279" s="319" t="str">
        <f>IF(AND(COUNTIF(Logs!D$519:D$528, "Detour")=0,COUNTIF(Logs!D$519:D$528, "Road Block")=0), COUNTA(Logs!D$519:D$528), "")</f>
        <v/>
      </c>
      <c r="E279" s="319" t="str">
        <f>IF(AND(COUNTIF(Logs!E$519:E$528, "Detour")=0,COUNTIF(Logs!E$519:E$528, "Road Block")=0), COUNTA(Logs!E$519:E$528), "")</f>
        <v/>
      </c>
      <c r="F279" s="319" t="str">
        <f>IF(AND(COUNTIF(Logs!F$519:F$528, "Detour")=0,COUNTIF(Logs!F$519:F$528, "Road Block")=0), COUNTA(Logs!F$519:F$528), "")</f>
        <v/>
      </c>
      <c r="G279" s="319" t="str">
        <f>IF(AND(COUNTIF(Logs!G$519:G$528, "Detour")=0,COUNTIF(Logs!G$519:G$528, "Road Block")=0), COUNTA(Logs!G$519:G$528), "")</f>
        <v/>
      </c>
      <c r="H279" s="319" t="str">
        <f>IF(AND(COUNTIF(Logs!H$519:H$528, "Detour")=0,COUNTIF(Logs!H$519:H$528, "Road Block")=0), COUNTA(Logs!H$519:H$528), "")</f>
        <v/>
      </c>
      <c r="I279" s="319" t="str">
        <f>IF(AND(COUNTIF(Logs!I$519:I$528, "Detour")=0,COUNTIF(Logs!I$519:I$528, "Road Block")=0), COUNTA(Logs!I$519:I$528), "")</f>
        <v/>
      </c>
      <c r="J279" s="319" t="str">
        <f>IF(AND(COUNTIF(Logs!J$519:J$528, "Detour")=0,COUNTIF(Logs!J$519:J$528, "Road Block")=0), COUNTA(Logs!J$519:J$528), "")</f>
        <v/>
      </c>
      <c r="K279" s="319" t="str">
        <f>IF(AND(COUNTIF(Logs!K$519:K$528, "Detour")=0,COUNTIF(Logs!K$519:K$528, "Road Block")=0), COUNTA(Logs!K$519:K$528), "")</f>
        <v/>
      </c>
      <c r="L279" s="319" t="str">
        <f>IF(AND(COUNTIF(Logs!L$519:L$528, "Detour")=0,COUNTIF(Logs!L$519:L$528, "Road Block")=0), COUNTA(Logs!L$519:L$528), "")</f>
        <v/>
      </c>
      <c r="M279" s="319" t="str">
        <f>IF(AND(COUNTIF(Logs!M$519:M$528, "Detour")=0,COUNTIF(Logs!M$519:M$528, "Road Block")=0), COUNTA(Logs!M$519:M$528), "")</f>
        <v/>
      </c>
      <c r="N279" s="319">
        <f>IF(AND(COUNTIF(Logs!N$519:N$528, "Detour")=0,COUNTIF(Logs!N$519:N$528, "Road Block")=0), COUNTA(Logs!N$519:N$528), "")</f>
        <v>9</v>
      </c>
      <c r="O279" s="319" t="str">
        <f>IF(COUNTA(Logs!O$519:O$528)=0, "", IF(AND(COUNTIF(Logs!O$519:O$528, "Detour")=0,COUNTIF(Logs!O$519:O$528, "Road Block")=0), COUNTA(Logs!O$519:O$528), ""))</f>
        <v/>
      </c>
      <c r="P279" s="319"/>
      <c r="Q279" s="319"/>
      <c r="R279" s="319"/>
      <c r="S279" s="319"/>
      <c r="T279" s="319"/>
      <c r="U279" s="319"/>
      <c r="V279" s="319"/>
      <c r="W279" s="319"/>
      <c r="X279" s="319"/>
      <c r="Y279" s="319"/>
      <c r="Z279" s="319"/>
      <c r="AA279" s="319"/>
    </row>
    <row r="280" spans="2:27">
      <c r="B280" s="90" t="s">
        <v>65</v>
      </c>
      <c r="C280" s="319" t="str">
        <f>IF(AND(COUNTIF(Logs!C$537:C$546, "Detour")=0,COUNTIF(Logs!C$537:C$546, "Road Block")=0), COUNTA(Logs!C$537:C$546), "")</f>
        <v/>
      </c>
      <c r="D280" s="319" t="str">
        <f>IF(AND(COUNTIF(Logs!D$537:D$546, "Detour")=0,COUNTIF(Logs!D$537:D$546, "Road Block")=0), COUNTA(Logs!D$537:D$546), "")</f>
        <v/>
      </c>
      <c r="E280" s="319" t="str">
        <f>IF(AND(COUNTIF(Logs!E$537:E$546, "Detour")=0,COUNTIF(Logs!E$537:E$546, "Road Block")=0), COUNTA(Logs!E$537:E$546), "")</f>
        <v/>
      </c>
      <c r="F280" s="319" t="str">
        <f>IF(AND(COUNTIF(Logs!F$537:F$546, "Detour")=0,COUNTIF(Logs!F$537:F$546, "Road Block")=0), COUNTA(Logs!F$537:F$546), "")</f>
        <v/>
      </c>
      <c r="G280" s="319" t="str">
        <f>IF(AND(COUNTIF(Logs!G$537:G$546, "Detour")=0,COUNTIF(Logs!G$537:G$546, "Road Block")=0), COUNTA(Logs!G$537:G$546), "")</f>
        <v/>
      </c>
      <c r="H280" s="319" t="str">
        <f>IF(AND(COUNTIF(Logs!H$537:H$546, "Detour")=0,COUNTIF(Logs!H$537:H$546, "Road Block")=0), COUNTA(Logs!H$537:H$546), "")</f>
        <v/>
      </c>
      <c r="I280" s="319" t="str">
        <f>IF(AND(COUNTIF(Logs!I$537:I$546, "Detour")=0,COUNTIF(Logs!I$537:I$546, "Road Block")=0), COUNTA(Logs!I$537:I$546), "")</f>
        <v/>
      </c>
      <c r="J280" s="319" t="str">
        <f>IF(AND(COUNTIF(Logs!J$537:J$546, "Detour")=0,COUNTIF(Logs!J$537:J$546, "Road Block")=0), COUNTA(Logs!J$537:J$546), "")</f>
        <v/>
      </c>
      <c r="K280" s="319">
        <f>IF(AND(COUNTIF(Logs!K$537:K$546, "Detour")=0,COUNTIF(Logs!K$537:K$546, "Road Block")=0), COUNTA(Logs!K$537:K$546), "")</f>
        <v>9</v>
      </c>
      <c r="L280" s="319" t="str">
        <f>IF(AND(COUNTIF(Logs!L$537:L$546, "Detour")=0,COUNTIF(Logs!L$537:L$546, "Road Block")=0), COUNTA(Logs!L$537:L$546), "")</f>
        <v/>
      </c>
      <c r="M280" s="319" t="str">
        <f>IF(AND(COUNTIF(Logs!M$537:M$546, "Detour")=0,COUNTIF(Logs!M$537:M$546, "Road Block")=0), COUNTA(Logs!M$537:M$546), "")</f>
        <v/>
      </c>
      <c r="N280" s="319" t="str">
        <f>IF(AND(COUNTIF(Logs!N$537:N$546, "Detour")=0,COUNTIF(Logs!N$537:N$546, "Road Block")=0), COUNTA(Logs!N$537:N$546), "")</f>
        <v/>
      </c>
      <c r="O280" s="319" t="str">
        <f>IF(COUNTA(Logs!O$537:O$546)=0, "", IF(AND(COUNTIF(Logs!O$537:O$546, "Detour")=0,COUNTIF(Logs!O$537:O$546, "Road Block")=0), COUNTA(Logs!O$537:O$546), ""))</f>
        <v/>
      </c>
      <c r="P280" s="319"/>
      <c r="Q280" s="319"/>
      <c r="R280" s="319"/>
      <c r="S280" s="319"/>
      <c r="T280" s="319"/>
      <c r="U280" s="319"/>
      <c r="V280" s="319"/>
      <c r="W280" s="319"/>
      <c r="X280" s="319"/>
      <c r="Y280" s="319"/>
      <c r="Z280" s="319"/>
      <c r="AA280" s="319"/>
    </row>
    <row r="281" spans="2:27">
      <c r="B281" s="90" t="s">
        <v>60</v>
      </c>
      <c r="C281" s="319" t="str">
        <f>IF(AND(COUNTIF(Logs!C$555:C$564, "Detour")=0,COUNTIF(Logs!C$555:C$564, "Road Block")=0), COUNTA(Logs!C$555:C$564), "")</f>
        <v/>
      </c>
      <c r="D281" s="319" t="str">
        <f>IF(AND(COUNTIF(Logs!D$555:D$564, "Detour")=0,COUNTIF(Logs!D$555:D$564, "Road Block")=0), COUNTA(Logs!D$555:D$564), "")</f>
        <v/>
      </c>
      <c r="E281" s="319" t="str">
        <f>IF(AND(COUNTIF(Logs!E$555:E$564, "Detour")=0,COUNTIF(Logs!E$555:E$564, "Road Block")=0), COUNTA(Logs!E$555:E$564), "")</f>
        <v/>
      </c>
      <c r="F281" s="319" t="str">
        <f>IF(AND(COUNTIF(Logs!F$555:F$564, "Detour")=0,COUNTIF(Logs!F$555:F$564, "Road Block")=0), COUNTA(Logs!F$555:F$564), "")</f>
        <v/>
      </c>
      <c r="G281" s="319" t="str">
        <f>IF(AND(COUNTIF(Logs!G$555:G$564, "Detour")=0,COUNTIF(Logs!G$555:G$564, "Road Block")=0), COUNTA(Logs!G$555:G$564), "")</f>
        <v/>
      </c>
      <c r="H281" s="319" t="str">
        <f>IF(AND(COUNTIF(Logs!H$555:H$564, "Detour")=0,COUNTIF(Logs!H$555:H$564, "Road Block")=0), COUNTA(Logs!H$555:H$564), "")</f>
        <v/>
      </c>
      <c r="I281" s="319" t="str">
        <f>IF(AND(COUNTIF(Logs!I$555:I$564, "Detour")=0,COUNTIF(Logs!I$555:I$564, "Road Block")=0), COUNTA(Logs!I$555:I$564), "")</f>
        <v/>
      </c>
      <c r="J281" s="319" t="str">
        <f>IF(AND(COUNTIF(Logs!J$555:J$564, "Detour")=0,COUNTIF(Logs!J$555:J$564, "Road Block")=0), COUNTA(Logs!J$555:J$564), "")</f>
        <v/>
      </c>
      <c r="K281" s="319" t="str">
        <f>IF(AND(COUNTIF(Logs!K$555:K$564, "Detour")=0,COUNTIF(Logs!K$555:K$564, "Road Block")=0), COUNTA(Logs!K$555:K$564), "")</f>
        <v/>
      </c>
      <c r="L281" s="319" t="str">
        <f>IF(AND(COUNTIF(Logs!L$555:L$564, "Detour")=0,COUNTIF(Logs!L$555:L$564, "Road Block")=0), COUNTA(Logs!L$555:L$564), "")</f>
        <v/>
      </c>
      <c r="M281" s="319" t="str">
        <f>IF(AND(COUNTIF(Logs!M$555:M$564, "Detour")=0,COUNTIF(Logs!M$555:M$564, "Road Block")=0), COUNTA(Logs!M$555:M$564), "")</f>
        <v/>
      </c>
      <c r="N281" s="319" t="str">
        <f>IF(AND(COUNTIF(Logs!N$555:N$564, "Detour")=0,COUNTIF(Logs!N$555:N$564, "Road Block")=0), COUNTA(Logs!N$555:N$564), "")</f>
        <v/>
      </c>
      <c r="O281" s="319" t="str">
        <f>IF(COUNTA(Logs!O$564:O$1556)=0, "", IF(AND(COUNTIF(Logs!O$555:O$564, "Detour")=0,COUNTIF(Logs!O$555:O$564, "Road Block")=0), COUNTA(Logs!O$555:O$564), ""))</f>
        <v/>
      </c>
      <c r="P281" s="319"/>
      <c r="Q281" s="319"/>
      <c r="R281" s="319"/>
      <c r="S281" s="319"/>
      <c r="T281" s="319"/>
      <c r="U281" s="319"/>
      <c r="V281" s="319"/>
      <c r="W281" s="319"/>
      <c r="X281" s="319"/>
      <c r="Y281" s="319"/>
      <c r="Z281" s="319"/>
      <c r="AA281" s="319"/>
    </row>
    <row r="282" spans="2:27">
      <c r="B282" s="90" t="s">
        <v>35</v>
      </c>
      <c r="C282" s="319" t="str">
        <f>IF(AND(COUNTIF(Logs!C$572:C$583, "Detour")=0,COUNTIF(Logs!C$572:C$583, "Road Block")=0), COUNTA(Logs!C$572:C$583), "")</f>
        <v/>
      </c>
      <c r="D282" s="319" t="str">
        <f>IF(AND(COUNTIF(Logs!D$572:D$583, "Detour")=0,COUNTIF(Logs!D$572:D$583, "Road Block")=0), COUNTA(Logs!D$572:D$583), "")</f>
        <v/>
      </c>
      <c r="E282" s="319" t="str">
        <f>IF(AND(COUNTIF(Logs!E$572:E$583, "Detour")=0,COUNTIF(Logs!E$572:E$583, "Road Block")=0), COUNTA(Logs!E$572:E$583), "")</f>
        <v/>
      </c>
      <c r="F282" s="319" t="str">
        <f>IF(AND(COUNTIF(Logs!F$574:F$583, "Detour")=0,COUNTIF(Logs!F$574:F$583, "Road Block")=0), COUNTA(Logs!F$574:F$583), "")</f>
        <v/>
      </c>
      <c r="G282" s="319" t="str">
        <f>IF(AND(COUNTIF(Logs!G$574:G$583, "Detour")=0,COUNTIF(Logs!G$574:G$583, "Road Block")=0), COUNTA(Logs!G$574:G$583), "")</f>
        <v/>
      </c>
      <c r="H282" s="319" t="str">
        <f>IF(AND(COUNTIF(Logs!H$572:H$583, "Detour")=0,COUNTIF(Logs!H$572:H$583, "Road Block")=0), COUNTA(Logs!H$572:H$583), "")</f>
        <v/>
      </c>
      <c r="I282" s="319" t="str">
        <f>IF(AND(COUNTIF(Logs!I$572:I$583, "Detour")=0,COUNTIF(Logs!I$572:I$583, "Road Block")=0), COUNTA(Logs!I$572:I$583), "")</f>
        <v/>
      </c>
      <c r="J282" s="319" t="str">
        <f>IF(AND(COUNTIF(Logs!J$572:J$583, "Detour")=0,COUNTIF(Logs!J$572:J$583, "Road Block")=0), COUNTA(Logs!J$572:J$583), "")</f>
        <v/>
      </c>
      <c r="K282" s="319" t="str">
        <f>IF(AND(COUNTIF(Logs!K$572:K$583, "Detour")=0,COUNTIF(Logs!K$572:K$583, "Road Block")=0), COUNTA(Logs!K$572:K$583), "")</f>
        <v/>
      </c>
      <c r="L282" s="319">
        <f>IF(AND(COUNTIF(Logs!L$572:L$583, "Detour")=0,COUNTIF(Logs!L$572:L$583, "Road Block")=0), COUNTA(Logs!L$572:L$583), "")</f>
        <v>11</v>
      </c>
      <c r="M282" s="319" t="str">
        <f>IF(AND(COUNTIF(Logs!M$572:M$583, "Detour")=0,COUNTIF(Logs!M$572:M$583, "Road Block")=0), COUNTA(Logs!M$572:M$583), "")</f>
        <v/>
      </c>
      <c r="N282" s="319" t="str">
        <f>IF(COUNTA(Logs!N$572:N$583)=0, "", IF(AND(COUNTIF(Logs!N$572:N$583, "Detour")=0,COUNTIF(Logs!N$572:N$583, "Road Block")=0), COUNTA(Logs!N$572:N$583), ""))</f>
        <v/>
      </c>
      <c r="O282" s="319" t="str">
        <f>IF(COUNTA(Logs!O$572:O$583)=0, "", IF(AND(COUNTIF(Logs!O$572:O$583, "Detour")=0,COUNTIF(Logs!O$572:O$583,"Road Block")=0), COUNTA(Logs!O$572:O$583), ""))</f>
        <v/>
      </c>
      <c r="P282" s="319"/>
      <c r="Q282" s="319"/>
      <c r="R282" s="319"/>
      <c r="S282" s="319"/>
      <c r="T282" s="319"/>
      <c r="U282" s="319"/>
      <c r="V282" s="319"/>
      <c r="W282" s="319"/>
      <c r="X282" s="319"/>
      <c r="Y282" s="319"/>
      <c r="Z282" s="319"/>
      <c r="AA282" s="319"/>
    </row>
    <row r="283" spans="2:27">
      <c r="B283" s="90" t="s">
        <v>11</v>
      </c>
      <c r="C283" s="319" t="str">
        <f>IF(AND(COUNTIF(Logs!C$591:C$600, "Detour")=0,COUNTIF(Logs!C$591:C$600, "Road Block")=0), COUNTA(Logs!C$591:C$600), "")</f>
        <v/>
      </c>
      <c r="D283" s="319" t="str">
        <f>IF(AND(COUNTIF(Logs!D$591:D$600, "Detour")=0,COUNTIF(Logs!D$591:D$600, "Road Block")=0), COUNTA(Logs!D$591:D$600), "")</f>
        <v/>
      </c>
      <c r="E283" s="319" t="str">
        <f>IF(AND(COUNTIF(Logs!E$591:E$600, "Detour")=0,COUNTIF(Logs!E$591:E$600, "Road Block")=0), COUNTA(Logs!E$591:E$600), "")</f>
        <v/>
      </c>
      <c r="F283" s="319" t="str">
        <f>IF(AND(COUNTIF(Logs!F$591:F$600, "Detour")=0,COUNTIF(Logs!F$591:F$600, "Road Block")=0), COUNTA(Logs!F$591:F$600), "")</f>
        <v/>
      </c>
      <c r="G283" s="319" t="str">
        <f>IF(AND(COUNTIF(Logs!G$591:G$600, "Detour")=0,COUNTIF(Logs!G$591:G$600, "Road Block")=0), COUNTA(Logs!G$591:G$600), "")</f>
        <v/>
      </c>
      <c r="H283" s="319" t="str">
        <f>IF(AND(COUNTIF(Logs!H$591:H$600, "Detour")=0,COUNTIF(Logs!H$591:H$600, "Road Block")=0), COUNTA(Logs!H$591:H$600), "")</f>
        <v/>
      </c>
      <c r="I283" s="319" t="str">
        <f>IF(AND(COUNTIF(Logs!I$591:I$600, "Detour")=0,COUNTIF(Logs!I$591:I$600, "Road Block")=0), COUNTA(Logs!I$591:I$600), "")</f>
        <v/>
      </c>
      <c r="J283" s="319" t="str">
        <f>IF(AND(COUNTIF(Logs!J$591:J$600, "Detour")=0,COUNTIF(Logs!J$591:J$600, "Road Block")=0), COUNTA(Logs!J$591:J$600), "")</f>
        <v/>
      </c>
      <c r="K283" s="319" t="str">
        <f>IF(AND(COUNTIF(Logs!K$591:K$600, "Detour")=0,COUNTIF(Logs!K$591:K$600, "Road Block")=0), COUNTA(Logs!K$591:K$600), "")</f>
        <v/>
      </c>
      <c r="L283" s="319" t="str">
        <f>IF(AND(COUNTIF(Logs!L$591:L$600, "Detour")=0,COUNTIF(Logs!L$591:L$600, "Road Block")=0), COUNTA(Logs!L$591:L$600), "")</f>
        <v/>
      </c>
      <c r="M283" s="319">
        <f>IF(AND(COUNTIF(Logs!M$591:M$600, "Detour")=0,COUNTIF(Logs!M$591:M$600, "Road Block")=0), COUNTA(Logs!M$591:M$600), "")</f>
        <v>8</v>
      </c>
      <c r="N283" s="319" t="str">
        <f>IF(COUNTA(Logs!N$591:N$600)=0, "", IF(AND(COUNTIF(Logs!N$591:N$600, "Detour")=0,COUNTIF(Logs!N$591:N$600,"Road Block")=0), COUNTA(Logs!N$591:N$600), ""))</f>
        <v/>
      </c>
      <c r="O283" s="319" t="str">
        <f>IF(COUNTA(Logs!O$591:O$600)=0, "", IF(AND(COUNTIF(Logs!O$591:O$600, "Detour")=0,COUNTIF(Logs!O$591:O$600,"Road Block")=0), COUNTA(Logs!O$591:O$600), ""))</f>
        <v/>
      </c>
      <c r="P283" s="319"/>
      <c r="Q283" s="319"/>
      <c r="R283" s="319"/>
      <c r="S283" s="319"/>
      <c r="T283" s="319"/>
      <c r="U283" s="319"/>
      <c r="V283" s="319"/>
      <c r="W283" s="319"/>
      <c r="X283" s="319"/>
      <c r="Y283" s="319"/>
      <c r="Z283" s="319"/>
      <c r="AA283" s="319"/>
    </row>
    <row r="284" spans="2:27">
      <c r="B284" s="90" t="s">
        <v>198</v>
      </c>
      <c r="C284" s="319" t="str">
        <f>IF(AND(COUNTIF(Logs!C$607:C$616, "Detour")=0,COUNTIF(Logs!C$607:C$616, "Road Block")=0), COUNTA(Logs!C$607:C$616), "")</f>
        <v/>
      </c>
      <c r="D284" s="319" t="str">
        <f>IF(AND(COUNTIF(Logs!D$607:D$616, "Detour")=0,COUNTIF(Logs!D$607:D$616, "Road Block")=0), COUNTA(Logs!D$607:D$616), "")</f>
        <v/>
      </c>
      <c r="E284" s="319" t="str">
        <f>IF(AND(COUNTIF(Logs!E$607:E$616, "Detour")=0,COUNTIF(Logs!E$607:E$616, "Road Block")=0), COUNTA(Logs!E$607:E$616), "")</f>
        <v/>
      </c>
      <c r="F284" s="319" t="str">
        <f>IF(AND(COUNTIF(Logs!F$607:F$616, "Detour")=0,COUNTIF(Logs!F$607:F$616, "Road Block")=0), COUNTA(Logs!F$607:F$616), "")</f>
        <v/>
      </c>
      <c r="G284" s="319" t="str">
        <f>IF(AND(COUNTIF(Logs!G$607:G$616, "Detour")=0,COUNTIF(Logs!G$607:G$616, "Road Block")=0), COUNTA(Logs!G$607:G$616), "")</f>
        <v/>
      </c>
      <c r="H284" s="319" t="str">
        <f>IF(AND(COUNTIF(Logs!H$607:H$616, "Detour")=0,COUNTIF(Logs!H$607:H$616, "Road Block")=0), COUNTA(Logs!H$607:H$616), "")</f>
        <v/>
      </c>
      <c r="I284" s="319" t="str">
        <f>IF(AND(COUNTIF(Logs!I$607:I$616, "Detour")=0,COUNTIF(Logs!I$607:I$616, "Road Block")=0), COUNTA(Logs!I$607:I$616), "")</f>
        <v/>
      </c>
      <c r="J284" s="319" t="str">
        <f>IF(AND(COUNTIF(Logs!J$607:J$616, "Detour")=0,COUNTIF(Logs!J$607:J$616, "Road Block")=0), COUNTA(Logs!J$607:J$616), "")</f>
        <v/>
      </c>
      <c r="K284" s="319" t="str">
        <f>IF(AND(COUNTIF(Logs!K$607:K$616, "Detour")=0,COUNTIF(Logs!K$607:K$616, "Road Block")=0), COUNTA(Logs!K$607:K$616), "")</f>
        <v/>
      </c>
      <c r="L284" s="319" t="str">
        <f>IF(AND(COUNTIF(Logs!L$607:L$616, "Detour")=0,COUNTIF(Logs!L$607:L$616, "Road Block")=0), COUNTA(Logs!L$607:L$616), "")</f>
        <v/>
      </c>
      <c r="M284" s="319" t="str">
        <f>IF(COUNTA(Logs!M$607:M$616)=0, "", IF(AND(COUNTIF(Logs!M$607:M$616, "Detour")=0,COUNTIF(Logs!M$607:M$616,"Road Block")=0), COUNTA(Logs!M$607:M$616), ""))</f>
        <v/>
      </c>
      <c r="N284" s="319" t="str">
        <f>IF(COUNTA(Logs!N$607:N$616)=0, "", IF(AND(COUNTIF(Logs!N$607:N$616, "Detour")=0,COUNTIF(Logs!N$607:N$616,"Road Block")=0), COUNTA(Logs!N$607:N$616), ""))</f>
        <v/>
      </c>
      <c r="O284" s="319" t="str">
        <f>IF(COUNTA(Logs!O$607:O$616)=0, "", IF(AND(COUNTIF(Logs!O$607:O$616, "Detour")=0,COUNTIF(Logs!O$607:O$616, "Road Block")=0), COUNTA(Logs!O$607:O$616), ""))</f>
        <v/>
      </c>
      <c r="P284" s="319"/>
      <c r="Q284" s="319"/>
      <c r="R284" s="319"/>
      <c r="S284" s="319"/>
      <c r="T284" s="319"/>
      <c r="U284" s="319"/>
      <c r="V284" s="319"/>
      <c r="W284" s="319"/>
      <c r="X284" s="319"/>
      <c r="Y284" s="319"/>
      <c r="Z284" s="319"/>
      <c r="AA284" s="319"/>
    </row>
    <row r="285" spans="2:27">
      <c r="B285" s="90" t="s">
        <v>184</v>
      </c>
      <c r="C285" s="319" t="str">
        <f>IF(AND(COUNTIF(Logs!C$623:C$632, "Detour")=0,COUNTIF(Logs!C$623:C$632, "Road Block")=0), COUNTA(Logs!C$623:C$632), "")</f>
        <v/>
      </c>
      <c r="D285" s="319" t="str">
        <f>IF(AND(COUNTIF(Logs!D$623:D$632, "Detour")=0,COUNTIF(Logs!D$623:D$632, "Road Block")=0), COUNTA(Logs!D$623:D$632), "")</f>
        <v/>
      </c>
      <c r="E285" s="319" t="str">
        <f>IF(AND(COUNTIF(Logs!E$623:E$632, "Detour")=0,COUNTIF(Logs!E$623:E$632, "Road Block")=0), COUNTA(Logs!E$623:E$632), "")</f>
        <v/>
      </c>
      <c r="F285" s="319" t="str">
        <f>IF(AND(COUNTIF(Logs!F$623:F$632, "Detour")=0,COUNTIF(Logs!F$623:F$632, "Road Block")=0), COUNTA(Logs!F$623:F$632), "")</f>
        <v/>
      </c>
      <c r="G285" s="319" t="str">
        <f>IF(AND(COUNTIF(Logs!G$623:G$632, "Detour")=0,COUNTIF(Logs!G$623:G$632, "Road Block")=0), COUNTA(Logs!G$623:G$632), "")</f>
        <v/>
      </c>
      <c r="H285" s="319" t="str">
        <f>IF(AND(COUNTIF(Logs!H$623:H$632, "Detour")=0,COUNTIF(Logs!H$623:H$632, "Road Block")=0), COUNTA(Logs!H$623:H$632), "")</f>
        <v/>
      </c>
      <c r="I285" s="319" t="str">
        <f>IF(AND(COUNTIF(Logs!I$623:I$632, "Detour")=0,COUNTIF(Logs!I$623:I$632, "Road Block")=0), COUNTA(Logs!I$623:I$632), "")</f>
        <v/>
      </c>
      <c r="J285" s="319" t="str">
        <f>IF(AND(COUNTIF(Logs!J$623:J$632, "Detour")=0,COUNTIF(Logs!J$623:J$632, "Road Block")=0), COUNTA(Logs!J$623:J$632), "")</f>
        <v/>
      </c>
      <c r="K285" s="319" t="str">
        <f>IF(AND(COUNTIF(Logs!K$623:K$632, "Detour")=0,COUNTIF(Logs!K$623:K$632, "Road Block")=0), COUNTA(Logs!K$623:K$632), "")</f>
        <v/>
      </c>
      <c r="L285" s="319" t="str">
        <f>IF(AND(COUNTIF(Logs!L$623:L$632, "Detour")=0,COUNTIF(Logs!L$623:L$632, "Road Block")=0), COUNTA(Logs!L$623:L$632), "")</f>
        <v/>
      </c>
      <c r="M285" s="319" t="str">
        <f>IF(AND(COUNTIF(Logs!M$623:M$632, "Detour")=0,COUNTIF(Logs!M$623:M$632, "Road Block")=0), COUNTA(Logs!M$623:M$632), "")</f>
        <v/>
      </c>
      <c r="N285" s="319">
        <f>IF(AND(COUNTIF(Logs!N$623:N$632, "Detour")=0,COUNTIF(Logs!N$623:N$632, "Road Block")=0), COUNTA(Logs!N$623:N$632), "")</f>
        <v>8</v>
      </c>
      <c r="O285" s="319" t="str">
        <f>IF(COUNTA(Logs!O$623:O$632)=0, "", IF(AND(COUNTIF(Logs!O$623:O$632, "Detour")=0,COUNTIF(Logs!O$623:O$632, "Road Block")=0), COUNTA(Logs!O$623:O$632), ""))</f>
        <v/>
      </c>
      <c r="P285" s="319"/>
      <c r="Q285" s="319"/>
      <c r="R285" s="319"/>
      <c r="S285" s="319"/>
      <c r="T285" s="319"/>
      <c r="U285" s="319"/>
      <c r="V285" s="319"/>
      <c r="W285" s="319"/>
      <c r="X285" s="319"/>
      <c r="Y285" s="319"/>
      <c r="Z285" s="319"/>
      <c r="AA285" s="319"/>
    </row>
    <row r="286" spans="2:27">
      <c r="B286" s="90" t="s">
        <v>563</v>
      </c>
      <c r="C286" s="319" t="str">
        <f>IF(AND(COUNTIF(Logs!C$640:C$649, "Detour")=0,COUNTIF(Logs!C$640:C$649, "Road Block")=0), COUNTA(Logs!C$640:C$649), "")</f>
        <v/>
      </c>
      <c r="D286" s="319" t="str">
        <f>IF(AND(COUNTIF(Logs!D$640:D$649, "Detour")=0,COUNTIF(Logs!D$640:D$649, "Road Block")=0), COUNTA(Logs!D$640:D$649), "")</f>
        <v/>
      </c>
      <c r="E286" s="319" t="str">
        <f>IF(AND(COUNTIF(Logs!E$640:E$649, "Detour")=0,COUNTIF(Logs!E$640:E$649, "Road Block")=0), COUNTA(Logs!E$640:E$649), "")</f>
        <v/>
      </c>
      <c r="F286" s="319" t="str">
        <f>IF(AND(COUNTIF(Logs!F$640:F$649, "Detour")=0,COUNTIF(Logs!F$640:F$649, "Road Block")=0), COUNTA(Logs!F$640:F$649), "")</f>
        <v/>
      </c>
      <c r="G286" s="319" t="str">
        <f>IF(AND(COUNTIF(Logs!G$640:G$649, "Detour")=0,COUNTIF(Logs!G$640:G$649, "Road Block")=0), COUNTA(Logs!G$640:G$649), "")</f>
        <v/>
      </c>
      <c r="H286" s="319" t="str">
        <f>IF(AND(COUNTIF(Logs!H$640:H$649, "Detour")=0,COUNTIF(Logs!H$640:H$649, "Road Block")=0), COUNTA(Logs!H$640:H$649), "")</f>
        <v/>
      </c>
      <c r="I286" s="319" t="str">
        <f>IF(AND(COUNTIF(Logs!I$640:I$649, "Detour")=0,COUNTIF(Logs!I$640:I$649, "Road Block")=0), COUNTA(Logs!I$640:I$649), "")</f>
        <v/>
      </c>
      <c r="J286" s="319" t="str">
        <f>IF(AND(COUNTIF(Logs!J$640:J$649, "Detour")=0,COUNTIF(Logs!J$640:J$649, "Road Block")=0), COUNTA(Logs!J$640:J$649), "")</f>
        <v/>
      </c>
      <c r="K286" s="319" t="str">
        <f>IF(AND(COUNTIF(Logs!K$640:K$649, "Detour")=0,COUNTIF(Logs!K$640:K$649, "Road Block")=0), COUNTA(Logs!K$640:K$649), "")</f>
        <v/>
      </c>
      <c r="L286" s="319" t="str">
        <f>IF(AND(COUNTIF(Logs!L$641:L$649, "Detour")=0,COUNTIF(Logs!L$641:L$649, "Road Block")=0), COUNTA(Logs!L$641:L$649), "")</f>
        <v/>
      </c>
      <c r="M286" s="319" t="str">
        <f>IF(AND(COUNTIF(Logs!M$640:M$649, "Detour")=0,COUNTIF(Logs!M$640:M$649, "Road Block")=0), COUNTA(Logs!M$640:M$649), "")</f>
        <v/>
      </c>
      <c r="N286" s="319" t="str">
        <f>IF(COUNTA(Logs!N$640:N$649)=0, "", IF(AND(COUNTIF(Logs!N$640:N$649, "Detour")=0,COUNTIF(Logs!N$640:N$649, "Road Block")=0), COUNTA(Logs!N$640:N$649), ""))</f>
        <v/>
      </c>
      <c r="O286" s="319" t="str">
        <f>IF(COUNTA(Logs!O$640:O$649)=0, "", IF(AND(COUNTIF(Logs!O$640:O$649, "Detour")=0,COUNTIF(Logs!O$640:O$649, "Road Block")=0), COUNTA(Logs!O$640:O$649), ""))</f>
        <v/>
      </c>
      <c r="P286" s="319"/>
      <c r="Q286" s="319"/>
      <c r="R286" s="319"/>
      <c r="S286" s="319"/>
      <c r="T286" s="319"/>
      <c r="U286" s="319"/>
      <c r="V286" s="319"/>
      <c r="W286" s="319"/>
      <c r="X286" s="319"/>
      <c r="Y286" s="319"/>
      <c r="Z286" s="319"/>
      <c r="AA286" s="319"/>
    </row>
    <row r="287" spans="2:27">
      <c r="B287" s="90" t="s">
        <v>1742</v>
      </c>
      <c r="C287" s="319" t="str">
        <f>IF(AND(COUNTIF(Logs!C$655:C$664, "Detour")=0,COUNTIF(Logs!C$655:C$664, "Road Block")=0), COUNTA(Logs!C$655:C$664), "")</f>
        <v/>
      </c>
      <c r="D287" s="319" t="str">
        <f>IF(AND(COUNTIF(Logs!D$655:D$664, "Detour")=0,COUNTIF(Logs!D$655:D$664, "Road Block")=0), COUNTA(Logs!D$655:D$664), "")</f>
        <v/>
      </c>
      <c r="E287" s="319" t="str">
        <f>IF(AND(COUNTIF(Logs!E$655:E$664, "Detour")=0,COUNTIF(Logs!E$655:E$664, "Road Block")=0), COUNTA(Logs!E$655:E$664), "")</f>
        <v/>
      </c>
      <c r="F287" s="319" t="str">
        <f>IF(AND(COUNTIF(Logs!F$655:F$664, "Detour")=0,COUNTIF(Logs!F$655:F$664, "Road Block")=0), COUNTA(Logs!F$655:F$664), "")</f>
        <v/>
      </c>
      <c r="G287" s="319" t="str">
        <f>IF(AND(COUNTIF(Logs!G$655:G$664, "Detour")=0,COUNTIF(Logs!G$655:G$664, "Road Block")=0), COUNTA(Logs!G$655:G$664), "")</f>
        <v/>
      </c>
      <c r="H287" s="319" t="str">
        <f>IF(AND(COUNTIF(Logs!H$655:H$664, "Detour")=0,COUNTIF(Logs!H$655:H$664, "Road Block")=0), COUNTA(Logs!H$655:H$664), "")</f>
        <v/>
      </c>
      <c r="I287" s="319" t="str">
        <f>IF(AND(COUNTIF(Logs!I$655:I$664, "Detour")=0,COUNTIF(Logs!I$655:I$664, "Road Block")=0), COUNTA(Logs!I$655:I$664), "")</f>
        <v/>
      </c>
      <c r="J287" s="319" t="str">
        <f>IF(AND(COUNTIF(Logs!J$656:J$664, "Detour")=0,COUNTIF(Logs!J$656:J$664, "Road Block")=0), COUNTA(Logs!J$656:J$664), "")</f>
        <v/>
      </c>
      <c r="K287" s="319" t="str">
        <f>IF(AND(COUNTIF(Logs!K$655:K$664, "Detour")=0,COUNTIF(Logs!K$655:K$664, "Road Block")=0), COUNTA(Logs!K$655:K$664), "")</f>
        <v/>
      </c>
      <c r="L287" s="319" t="str">
        <f>IF(AND(COUNTIF(Logs!L$655:L$664, "Detour")=0,COUNTIF(Logs!L$655:L$664, "Road Block")=0), COUNTA(Logs!L$655:L$664), "")</f>
        <v/>
      </c>
      <c r="M287" s="319" t="str">
        <f>IF(AND(COUNTIF(Logs!M$655:M$664, "Detour")=0,COUNTIF(Logs!M$655:M$664, "Road Block")=0), COUNTA(Logs!M$655:M$664), "")</f>
        <v/>
      </c>
      <c r="N287" s="319" t="str">
        <f>IF(AND(COUNTIF(Logs!N$655:N$664, "Detour")=0,COUNTIF(Logs!N$655:N$664, "Road Block")=0), COUNTA(Logs!N$655:N$664), "")</f>
        <v/>
      </c>
      <c r="O287" s="319" t="str">
        <f>IF(COUNTA(Logs!O$655:O$664)=0, "", IF(AND(COUNTIF(Logs!O$655:O$664, "Detour")=0,COUNTIF(Logs!O$655:O$664, "Road Block")=0), COUNTA(Logs!O$655:O$664), ""))</f>
        <v/>
      </c>
      <c r="P287" s="319"/>
      <c r="Q287" s="319"/>
      <c r="R287" s="319"/>
      <c r="S287" s="319"/>
      <c r="T287" s="319"/>
      <c r="U287" s="319"/>
      <c r="V287" s="319"/>
      <c r="W287" s="319"/>
      <c r="X287" s="319"/>
      <c r="Y287" s="319"/>
      <c r="Z287" s="319"/>
      <c r="AA287" s="319"/>
    </row>
    <row r="288" spans="2:27">
      <c r="B288" s="90" t="s">
        <v>2056</v>
      </c>
      <c r="C288" s="319" t="str">
        <f>IF(AND(COUNTIF(Logs!C$671:C$680, "Detour")=0,COUNTIF(Logs!C$671:C$680, "Road Block")=0), COUNTA(Logs!C$671:C$680), "")</f>
        <v/>
      </c>
      <c r="D288" s="319" t="str">
        <f>IF(AND(COUNTIF(Logs!D$671:D$681, "Detour")=0,COUNTIF(Logs!D$671:D$681, "Road Block")=0), COUNTA(Logs!D$671:D$681), "")</f>
        <v/>
      </c>
      <c r="E288" s="319" t="str">
        <f>IF(AND(COUNTIF(Logs!E$671:E$681, "Detour")=0,COUNTIF(Logs!E$671:E$681, "Road Block")=0), COUNTA(Logs!E$671:E$681), "")</f>
        <v/>
      </c>
      <c r="F288" s="319" t="str">
        <f>IF(AND(COUNTIF(Logs!F$671:F$681, "Detour")=0,COUNTIF(Logs!F$671:F$681, "Road Block")=0), COUNTA(Logs!F$671:F$681), "")</f>
        <v/>
      </c>
      <c r="G288" s="319" t="str">
        <f>IF(AND(COUNTIF(Logs!G$671:G$681, "Detour")=0,COUNTIF(Logs!G$671:G$681, "Road Block")=0), COUNTA(Logs!G$671:G$681), "")</f>
        <v/>
      </c>
      <c r="H288" s="319" t="str">
        <f>IF(AND(COUNTIF(Logs!H$671:H$681, "Detour")=0,COUNTIF(Logs!H$671:H$681, "Road Block")=0), COUNTA(Logs!H$671:H$681), "")</f>
        <v/>
      </c>
      <c r="I288" s="319" t="str">
        <f>IF(AND(COUNTIF(Logs!I$671:I$681, "Detour")=0,COUNTIF(Logs!I$671:I$681, "Road Block")=0), COUNTA(Logs!I$671:I$681), "")</f>
        <v/>
      </c>
      <c r="J288" s="319" t="str">
        <f>IF(AND(COUNTIF(Logs!J$671:J$681, "Detour")=0,COUNTIF(Logs!J$671:J$681, "Road Block")=0), COUNTA(Logs!J$671:J$681), "")</f>
        <v/>
      </c>
      <c r="K288" s="319" t="str">
        <f>IF(AND(COUNTIF(Logs!K$671:K$681, "Detour")=0,COUNTIF(Logs!K$671:K$681, "Road Block")=0), COUNTA(Logs!K$671:K$681), "")</f>
        <v/>
      </c>
      <c r="L288" s="319" t="str">
        <f>IF(AND(COUNTIF(Logs!L$671:L$681, "Detour")=0,COUNTIF(Logs!L$671:L$681, "Road Block")=0), COUNTA(Logs!L$671:L$681), "")</f>
        <v/>
      </c>
      <c r="M288" s="319" t="str">
        <f>IF(AND(COUNTIF(Logs!M$671:M$681, "Detour")=0,COUNTIF(Logs!M$671:M$681, "Road Block")=0), COUNTA(Logs!M$671:M$681), "")</f>
        <v/>
      </c>
      <c r="N288" s="319">
        <f>IF(AND(COUNTIF(Logs!N$671:N$681, "Detour")=0,COUNTIF(Logs!N$671:N$681, "Road Block")=0), COUNTA(Logs!N$671:N$681), "")</f>
        <v>8</v>
      </c>
      <c r="O288" s="319" t="str">
        <f>IF(COUNTA(Logs!O$671:O$681)=0, "", IF(AND(COUNTIF(Logs!O$671:O$681, "Detour")=0,COUNTIF(Logs!O$671:O$681, "Road Block")=0), COUNTA(Logs!O$671:O$681), ""))</f>
        <v/>
      </c>
      <c r="P288" s="319"/>
      <c r="Q288" s="319"/>
      <c r="R288" s="319"/>
      <c r="S288" s="319"/>
      <c r="T288" s="319"/>
      <c r="U288" s="319"/>
      <c r="V288" s="319"/>
      <c r="W288" s="319"/>
      <c r="X288" s="319"/>
      <c r="Y288" s="319"/>
      <c r="Z288" s="319"/>
      <c r="AA288" s="319"/>
    </row>
    <row r="289" spans="2:27">
      <c r="B289" s="287" t="s">
        <v>1495</v>
      </c>
      <c r="C289" s="405" t="str">
        <f>IF(COUNTIF(C251:C288, "")=COUNTA(C251:C288), "", AVERAGE(C251:C288))</f>
        <v/>
      </c>
      <c r="D289" s="405" t="str">
        <f t="shared" ref="D289:O289" si="22">IF(COUNTIF(D251:D288, "")=COUNTA(D251:D288), "", AVERAGE(D251:D288))</f>
        <v/>
      </c>
      <c r="E289" s="405" t="str">
        <f t="shared" si="22"/>
        <v/>
      </c>
      <c r="F289" s="405" t="str">
        <f t="shared" si="22"/>
        <v/>
      </c>
      <c r="G289" s="405" t="str">
        <f t="shared" si="22"/>
        <v/>
      </c>
      <c r="H289" s="405" t="str">
        <f t="shared" si="22"/>
        <v/>
      </c>
      <c r="I289" s="405" t="str">
        <f t="shared" si="22"/>
        <v/>
      </c>
      <c r="J289" s="405" t="str">
        <f t="shared" si="22"/>
        <v/>
      </c>
      <c r="K289" s="405">
        <f t="shared" si="22"/>
        <v>9</v>
      </c>
      <c r="L289" s="405">
        <f t="shared" si="22"/>
        <v>11</v>
      </c>
      <c r="M289" s="405">
        <f t="shared" si="22"/>
        <v>8</v>
      </c>
      <c r="N289" s="780">
        <f t="shared" si="22"/>
        <v>8.3333333333333339</v>
      </c>
      <c r="O289" s="405" t="str">
        <f t="shared" si="22"/>
        <v/>
      </c>
      <c r="P289" s="319"/>
      <c r="Q289" s="319"/>
      <c r="R289" s="319"/>
      <c r="S289" s="319"/>
      <c r="T289" s="319"/>
      <c r="U289" s="319"/>
      <c r="V289" s="319"/>
      <c r="W289" s="319"/>
      <c r="X289" s="319"/>
      <c r="Y289" s="319"/>
      <c r="Z289" s="319"/>
      <c r="AA289" s="319"/>
    </row>
    <row r="290" spans="2:27">
      <c r="B290" s="287"/>
      <c r="C290" s="559"/>
      <c r="D290" s="559"/>
      <c r="E290" s="559"/>
      <c r="F290" s="559"/>
      <c r="G290" s="559"/>
      <c r="H290" s="559"/>
      <c r="I290" s="559"/>
      <c r="J290" s="559"/>
      <c r="K290" s="559"/>
      <c r="L290" s="559"/>
      <c r="M290" s="559"/>
      <c r="N290" s="559"/>
      <c r="O290" s="559"/>
      <c r="P290" s="319"/>
      <c r="Q290" s="319"/>
      <c r="R290" s="319"/>
      <c r="S290" s="319"/>
      <c r="T290" s="319"/>
      <c r="U290" s="319"/>
      <c r="V290" s="319"/>
      <c r="W290" s="319"/>
      <c r="X290" s="319"/>
      <c r="Y290" s="319"/>
      <c r="Z290" s="319"/>
      <c r="AA290" s="319"/>
    </row>
    <row r="291" spans="2:27" ht="18.75">
      <c r="B291" s="68" t="s">
        <v>1545</v>
      </c>
      <c r="N291" s="319"/>
      <c r="O291" s="319"/>
    </row>
    <row r="292" spans="2:27">
      <c r="B292" s="35" t="s">
        <v>1986</v>
      </c>
      <c r="J292" s="326"/>
      <c r="K292" s="326"/>
      <c r="L292" s="326"/>
      <c r="M292" s="326"/>
      <c r="N292" s="326"/>
      <c r="O292" s="326"/>
    </row>
    <row r="293" spans="2:27">
      <c r="B293" s="57" t="s">
        <v>126</v>
      </c>
      <c r="H293" s="57" t="s">
        <v>127</v>
      </c>
      <c r="N293" s="57" t="s">
        <v>128</v>
      </c>
      <c r="T293" s="57" t="s">
        <v>129</v>
      </c>
    </row>
    <row r="294" spans="2:27">
      <c r="B294" s="243" t="s">
        <v>1110</v>
      </c>
      <c r="C294" s="308" t="s">
        <v>12</v>
      </c>
      <c r="D294" s="309" t="s">
        <v>14</v>
      </c>
      <c r="E294" s="310" t="s">
        <v>13</v>
      </c>
      <c r="F294" s="311" t="s">
        <v>71</v>
      </c>
      <c r="G294" s="57"/>
      <c r="H294" s="243" t="s">
        <v>1110</v>
      </c>
      <c r="I294" s="308" t="s">
        <v>12</v>
      </c>
      <c r="J294" s="309" t="s">
        <v>14</v>
      </c>
      <c r="K294" s="310" t="s">
        <v>13</v>
      </c>
      <c r="L294" s="311" t="s">
        <v>71</v>
      </c>
      <c r="M294" s="57"/>
      <c r="N294" s="243" t="s">
        <v>1110</v>
      </c>
      <c r="O294" s="308" t="s">
        <v>12</v>
      </c>
      <c r="P294" s="309" t="s">
        <v>14</v>
      </c>
      <c r="Q294" s="310" t="s">
        <v>13</v>
      </c>
      <c r="R294" s="311" t="s">
        <v>71</v>
      </c>
      <c r="S294" s="57"/>
      <c r="T294" s="243" t="s">
        <v>1110</v>
      </c>
      <c r="U294" s="308" t="s">
        <v>12</v>
      </c>
      <c r="V294" s="309" t="s">
        <v>14</v>
      </c>
      <c r="W294" s="310" t="s">
        <v>13</v>
      </c>
      <c r="X294" s="311" t="s">
        <v>71</v>
      </c>
      <c r="Y294" s="57"/>
    </row>
    <row r="295" spans="2:27">
      <c r="B295" s="163" t="s">
        <v>1</v>
      </c>
      <c r="C295" s="319">
        <f>COUNTIF(Logs!$C$9:$C$18, C$294)</f>
        <v>4</v>
      </c>
      <c r="D295" s="8">
        <f>COUNTIF(Logs!$C$9:$C$18, D$294)</f>
        <v>0</v>
      </c>
      <c r="E295" s="33">
        <f>COUNTIF(Logs!$C$9:$C$18, E$294)</f>
        <v>1</v>
      </c>
      <c r="F295" s="326">
        <f>COUNTIF(Logs!$C$9:$C$18, F$294)</f>
        <v>1</v>
      </c>
      <c r="H295" s="163" t="s">
        <v>1</v>
      </c>
      <c r="I295" s="319">
        <f>COUNTIF(Logs!C$27:C$36, I$294)</f>
        <v>4</v>
      </c>
      <c r="J295" s="8">
        <f>COUNTIF(Logs!C$27:C$36, $J$294)</f>
        <v>0</v>
      </c>
      <c r="K295" s="33">
        <f>COUNTIF(Logs!C$27:C$36,$K$294)</f>
        <v>1</v>
      </c>
      <c r="L295" s="326">
        <f>COUNTIF(Logs!C$27:C$36, $L$294)</f>
        <v>1</v>
      </c>
      <c r="N295" s="163" t="s">
        <v>1</v>
      </c>
      <c r="O295" s="319">
        <f>COUNTIF(Logs!C$45:C$54, $O$294)</f>
        <v>4</v>
      </c>
      <c r="P295" s="8">
        <f>COUNTIF(Logs!C$45:C$54, $P$294)</f>
        <v>0</v>
      </c>
      <c r="Q295" s="33">
        <f>COUNTIF(Logs!C$45:C$54,$Q$294)</f>
        <v>1</v>
      </c>
      <c r="R295" s="326">
        <f>COUNTIF(Logs!C$45:C$54, $R$294)</f>
        <v>1</v>
      </c>
      <c r="T295" s="358" t="s">
        <v>1</v>
      </c>
      <c r="U295" s="319">
        <f>COUNTIF(Logs!C$63:C$72, $U$294)</f>
        <v>4</v>
      </c>
      <c r="V295" s="8">
        <f>COUNTIF(Logs!C$63:C$72, $V$294)</f>
        <v>0</v>
      </c>
      <c r="W295" s="33">
        <f>COUNTIF(Logs!C$63:C$72, $W$294)</f>
        <v>1</v>
      </c>
      <c r="X295" s="326">
        <f>COUNTIF(Logs!C$63:C$72, $X$294)</f>
        <v>1</v>
      </c>
      <c r="Z295" s="319"/>
      <c r="AA295" s="319"/>
    </row>
    <row r="296" spans="2:27">
      <c r="B296" s="163" t="s">
        <v>2</v>
      </c>
      <c r="C296" s="319">
        <f>COUNTIF(Logs!$D$9:$D$18, C$294)</f>
        <v>2</v>
      </c>
      <c r="D296" s="8">
        <f>COUNTIF(Logs!$D$9:$D$18, D$294)</f>
        <v>1</v>
      </c>
      <c r="E296" s="33">
        <f>COUNTIF(Logs!$D$9:$D$18, E$294)</f>
        <v>1</v>
      </c>
      <c r="F296" s="326">
        <f>COUNTIF(Logs!$D$9:$D$18, F$294)</f>
        <v>1</v>
      </c>
      <c r="H296" s="163" t="s">
        <v>2</v>
      </c>
      <c r="I296" s="319">
        <f>COUNTIF(Logs!D$27:D$36, I$294)</f>
        <v>5</v>
      </c>
      <c r="J296" s="8">
        <f>COUNTIF(Logs!D$27:D$36, $J$294)</f>
        <v>1</v>
      </c>
      <c r="K296" s="33">
        <f>COUNTIF(Logs!D$27:D$36,$K$294)</f>
        <v>1</v>
      </c>
      <c r="L296" s="326">
        <f>COUNTIF(Logs!D$27:D$36, $L$294)</f>
        <v>1</v>
      </c>
      <c r="N296" s="163" t="s">
        <v>2</v>
      </c>
      <c r="O296" s="319">
        <f>COUNTIF(Logs!D$45:D$54, $O$294)</f>
        <v>4</v>
      </c>
      <c r="P296" s="8">
        <f>COUNTIF(Logs!D$45:D$54, $P$294)</f>
        <v>1</v>
      </c>
      <c r="Q296" s="33">
        <f>COUNTIF(Logs!D$45:D$54,$Q$294)</f>
        <v>1</v>
      </c>
      <c r="R296" s="326">
        <f>COUNTIF(Logs!D$45:D$54, $R$294)</f>
        <v>1</v>
      </c>
      <c r="T296" s="163" t="s">
        <v>2</v>
      </c>
      <c r="U296" s="319">
        <f>COUNTIF(Logs!D$63:D$72, $U$294)</f>
        <v>4</v>
      </c>
      <c r="V296" s="8">
        <f>COUNTIF(Logs!D$63:D$72, $V$294)</f>
        <v>1</v>
      </c>
      <c r="W296" s="33">
        <f>COUNTIF(Logs!D$63:D$72, $W$294)</f>
        <v>1</v>
      </c>
      <c r="X296" s="326">
        <f>COUNTIF(Logs!D$63:D$72, $X$294)</f>
        <v>1</v>
      </c>
    </row>
    <row r="297" spans="2:27">
      <c r="B297" s="163" t="s">
        <v>3</v>
      </c>
      <c r="C297" s="319">
        <f>COUNTIF(Logs!$E$9:$E$18, C$294)</f>
        <v>3</v>
      </c>
      <c r="D297" s="8">
        <f>COUNTIF(Logs!$E$9:$E$18, D$294)</f>
        <v>1</v>
      </c>
      <c r="E297" s="33">
        <f>COUNTIF(Logs!$E$9:$E$18, E$294)</f>
        <v>1</v>
      </c>
      <c r="F297" s="326">
        <f>COUNTIF(Logs!$E$9:$E$18, F$294)</f>
        <v>1</v>
      </c>
      <c r="H297" s="163" t="s">
        <v>3</v>
      </c>
      <c r="I297" s="319">
        <f>COUNTIF(Logs!E$27:E$36, I$294)</f>
        <v>3</v>
      </c>
      <c r="J297" s="8">
        <f>COUNTIF(Logs!E$27:E$36, $J$294)</f>
        <v>1</v>
      </c>
      <c r="K297" s="33">
        <f>COUNTIF(Logs!E$27:E$36,$K$294)</f>
        <v>1</v>
      </c>
      <c r="L297" s="326">
        <f>COUNTIF(Logs!E$27:E$36, $L$294)</f>
        <v>1</v>
      </c>
      <c r="N297" s="163" t="s">
        <v>3</v>
      </c>
      <c r="O297" s="319">
        <f>COUNTIF(Logs!E$45:E$54, $O$294)</f>
        <v>3</v>
      </c>
      <c r="P297" s="8">
        <f>COUNTIF(Logs!E$45:E$54, $P$294)</f>
        <v>1</v>
      </c>
      <c r="Q297" s="33">
        <f>COUNTIF(Logs!E$45:E$54,$Q$294)</f>
        <v>1</v>
      </c>
      <c r="R297" s="326">
        <f>COUNTIF(Logs!E$45:E$54, $R$294)</f>
        <v>1</v>
      </c>
      <c r="T297" s="163" t="s">
        <v>3</v>
      </c>
      <c r="U297" s="319">
        <f>COUNTIF(Logs!E$63:E$72, $U$294)</f>
        <v>4</v>
      </c>
      <c r="V297" s="8">
        <f>COUNTIF(Logs!E$63:E$72, $V$294)</f>
        <v>1</v>
      </c>
      <c r="W297" s="33">
        <f>COUNTIF(Logs!E$63:E$72, $W$294)</f>
        <v>1</v>
      </c>
      <c r="X297" s="326">
        <f>COUNTIF(Logs!E$63:E$72, $X$294)</f>
        <v>1</v>
      </c>
    </row>
    <row r="298" spans="2:27">
      <c r="B298" s="163" t="s">
        <v>4</v>
      </c>
      <c r="C298" s="319">
        <f>COUNTIF(Logs!$F$9:$F$18, C$294)</f>
        <v>2</v>
      </c>
      <c r="D298" s="8">
        <f>COUNTIF(Logs!$F$9:$F$18, D$294)</f>
        <v>1</v>
      </c>
      <c r="E298" s="33">
        <f>COUNTIF(Logs!$F$9:$F$18, E$294)</f>
        <v>1</v>
      </c>
      <c r="F298" s="326">
        <f>COUNTIF(Logs!$F$9:$F$18, F$294)</f>
        <v>1</v>
      </c>
      <c r="H298" s="163" t="s">
        <v>4</v>
      </c>
      <c r="I298" s="319">
        <f>COUNTIF(Logs!F$27:F$36, I$294)</f>
        <v>7</v>
      </c>
      <c r="J298" s="8">
        <f>COUNTIF(Logs!F$27:F$36, $J$294)</f>
        <v>1</v>
      </c>
      <c r="K298" s="33">
        <f>COUNTIF(Logs!F$27:F$36,$K$294)</f>
        <v>1</v>
      </c>
      <c r="L298" s="326">
        <f>COUNTIF(Logs!F$27:F$36, $L$294)</f>
        <v>1</v>
      </c>
      <c r="N298" s="163" t="s">
        <v>4</v>
      </c>
      <c r="O298" s="319">
        <f>COUNTIF(Logs!F$45:F$54, $O$294)</f>
        <v>4</v>
      </c>
      <c r="P298" s="8">
        <f>COUNTIF(Logs!F$45:F$54, $P$294)</f>
        <v>1</v>
      </c>
      <c r="Q298" s="33">
        <f>COUNTIF(Logs!F$45:F$54,$Q$294)</f>
        <v>1</v>
      </c>
      <c r="R298" s="326">
        <f>COUNTIF(Logs!F$45:F$54, $R$294)</f>
        <v>1</v>
      </c>
      <c r="T298" s="163" t="s">
        <v>4</v>
      </c>
      <c r="U298" s="319">
        <f>COUNTIF(Logs!F$63:F$72, $U$294)</f>
        <v>4</v>
      </c>
      <c r="V298" s="8">
        <f>COUNTIF(Logs!F$63:F$72, $V$294)</f>
        <v>1</v>
      </c>
      <c r="W298" s="33">
        <f>COUNTIF(Logs!F$63:F$72, $W$294)</f>
        <v>1</v>
      </c>
      <c r="X298" s="326">
        <f>COUNTIF(Logs!F$63:F$72, $X$294)</f>
        <v>1</v>
      </c>
    </row>
    <row r="299" spans="2:27">
      <c r="B299" s="163" t="s">
        <v>5</v>
      </c>
      <c r="C299" s="319">
        <f>COUNTIF(Logs!$G$9:$G$18, C$294)</f>
        <v>3</v>
      </c>
      <c r="D299" s="8">
        <f>COUNTIF(Logs!$G$9:$G$18, D$294)</f>
        <v>1</v>
      </c>
      <c r="E299" s="33">
        <f>COUNTIF(Logs!$G$9:$G$18, E$294)</f>
        <v>1</v>
      </c>
      <c r="F299" s="326">
        <f>COUNTIF(Logs!$G$9:$G$18, F$294)</f>
        <v>1</v>
      </c>
      <c r="H299" s="163" t="s">
        <v>5</v>
      </c>
      <c r="I299" s="319">
        <f>COUNTIF(Logs!G$27:G$36, I$294)</f>
        <v>3</v>
      </c>
      <c r="J299" s="8">
        <f>COUNTIF(Logs!G$27:G$36, $J$294)</f>
        <v>1</v>
      </c>
      <c r="K299" s="33">
        <f>COUNTIF(Logs!G$27:G$36,$K$294)</f>
        <v>1</v>
      </c>
      <c r="L299" s="326">
        <f>COUNTIF(Logs!G$27:G$36, $L$294)</f>
        <v>1</v>
      </c>
      <c r="N299" s="163" t="s">
        <v>5</v>
      </c>
      <c r="O299" s="319">
        <f>COUNTIF(Logs!G$45:G$54, $O$294)</f>
        <v>4</v>
      </c>
      <c r="P299" s="8">
        <f>COUNTIF(Logs!G$45:G$54, $P$294)</f>
        <v>1</v>
      </c>
      <c r="Q299" s="33">
        <f>COUNTIF(Logs!G$45:G$54,$Q$294)</f>
        <v>1</v>
      </c>
      <c r="R299" s="326">
        <f>COUNTIF(Logs!G$45:G$54, $R$294)</f>
        <v>1</v>
      </c>
      <c r="T299" s="163" t="s">
        <v>5</v>
      </c>
      <c r="U299" s="319">
        <f>COUNTIF(Logs!G$63:G$72, $U$294)</f>
        <v>4</v>
      </c>
      <c r="V299" s="8">
        <f>COUNTIF(Logs!G$63:G$72, $V$294)</f>
        <v>1</v>
      </c>
      <c r="W299" s="33">
        <f>COUNTIF(Logs!G$63:G$72, $W$294)</f>
        <v>1</v>
      </c>
      <c r="X299" s="326">
        <f>COUNTIF(Logs!G$63:G$72, $X$294)</f>
        <v>1</v>
      </c>
    </row>
    <row r="300" spans="2:27">
      <c r="B300" s="163" t="s">
        <v>6</v>
      </c>
      <c r="C300" s="319">
        <f>COUNTIF(Logs!$H$9:$H$18, C$294)</f>
        <v>3</v>
      </c>
      <c r="D300" s="8">
        <f>COUNTIF(Logs!$H$9:$H$18, D$294)</f>
        <v>1</v>
      </c>
      <c r="E300" s="33">
        <f>COUNTIF(Logs!$H$9:$H$18, E$294)</f>
        <v>1</v>
      </c>
      <c r="F300" s="326">
        <f>COUNTIF(Logs!$H$9:$H$18, F$294)</f>
        <v>1</v>
      </c>
      <c r="H300" s="163" t="s">
        <v>6</v>
      </c>
      <c r="I300" s="319">
        <f>COUNTIF(Logs!H$27:H$36, I$294)</f>
        <v>3</v>
      </c>
      <c r="J300" s="8">
        <f>COUNTIF(Logs!H$27:H$36, $J$294)</f>
        <v>1</v>
      </c>
      <c r="K300" s="33">
        <f>COUNTIF(Logs!H$27:H$36,$K$294)</f>
        <v>1</v>
      </c>
      <c r="L300" s="326">
        <f>COUNTIF(Logs!H$27:H$36, $L$294)</f>
        <v>1</v>
      </c>
      <c r="N300" s="163" t="s">
        <v>6</v>
      </c>
      <c r="O300" s="319">
        <f>COUNTIF(Logs!H$45:H$54, $O$294)</f>
        <v>4</v>
      </c>
      <c r="P300" s="8">
        <f>COUNTIF(Logs!H$45:H$54, $P$294)</f>
        <v>1</v>
      </c>
      <c r="Q300" s="33">
        <f>COUNTIF(Logs!H$45:H$54,$Q$294)</f>
        <v>1</v>
      </c>
      <c r="R300" s="326">
        <f>COUNTIF(Logs!H$45:H$54, $R$294)</f>
        <v>1</v>
      </c>
      <c r="T300" s="163" t="s">
        <v>6</v>
      </c>
      <c r="U300" s="319">
        <f>COUNTIF(Logs!H$63:H$72, $U$294)</f>
        <v>4</v>
      </c>
      <c r="V300" s="8">
        <f>COUNTIF(Logs!H$63:H$72, $V$294)</f>
        <v>1</v>
      </c>
      <c r="W300" s="33">
        <f>COUNTIF(Logs!H$63:H$72, $W$294)</f>
        <v>1</v>
      </c>
      <c r="X300" s="326">
        <f>COUNTIF(Logs!H$63:H$72, $X$294)</f>
        <v>1</v>
      </c>
    </row>
    <row r="301" spans="2:27">
      <c r="B301" s="163" t="s">
        <v>7</v>
      </c>
      <c r="C301" s="319">
        <f>COUNTIF(Logs!$I$9:$I$18, C$294)</f>
        <v>2</v>
      </c>
      <c r="D301" s="8">
        <f>COUNTIF(Logs!$I$9:$I$18, D$294)</f>
        <v>1</v>
      </c>
      <c r="E301" s="33">
        <f>COUNTIF(Logs!$I$9:$I$18, E$294)</f>
        <v>1</v>
      </c>
      <c r="F301" s="326">
        <f>COUNTIF(Logs!$I$9:$I$18, F$294)</f>
        <v>1</v>
      </c>
      <c r="H301" s="163" t="s">
        <v>7</v>
      </c>
      <c r="I301" s="319">
        <f>COUNTIF(Logs!I$27:I$36, I$294)</f>
        <v>5</v>
      </c>
      <c r="J301" s="8">
        <f>COUNTIF(Logs!I$27:I$36, $J$294)</f>
        <v>1</v>
      </c>
      <c r="K301" s="33">
        <f>COUNTIF(Logs!I$27:I$36,$K$294)</f>
        <v>1</v>
      </c>
      <c r="L301" s="326">
        <f>COUNTIF(Logs!I$27:I$36, $L$294)</f>
        <v>1</v>
      </c>
      <c r="N301" s="163" t="s">
        <v>7</v>
      </c>
      <c r="O301" s="319">
        <f>COUNTIF(Logs!I$45:I$54, $O$294)</f>
        <v>4</v>
      </c>
      <c r="P301" s="8">
        <f>COUNTIF(Logs!I$45:I$54, $P$294)</f>
        <v>1</v>
      </c>
      <c r="Q301" s="33">
        <f>COUNTIF(Logs!I$45:I$54,$Q$294)</f>
        <v>1</v>
      </c>
      <c r="R301" s="326">
        <f>COUNTIF(Logs!I$45:I$54, $R$294)</f>
        <v>1</v>
      </c>
      <c r="T301" s="163" t="s">
        <v>7</v>
      </c>
      <c r="U301" s="319">
        <f>COUNTIF(Logs!I$63:I$72, $U$294)</f>
        <v>4</v>
      </c>
      <c r="V301" s="8">
        <f>COUNTIF(Logs!I$63:I$72, $V$294)</f>
        <v>1</v>
      </c>
      <c r="W301" s="33">
        <f>COUNTIF(Logs!I$63:I$72, $W$294)</f>
        <v>1</v>
      </c>
      <c r="X301" s="326">
        <f>COUNTIF(Logs!I$63:I$72, $X$294)</f>
        <v>1</v>
      </c>
    </row>
    <row r="302" spans="2:27">
      <c r="B302" s="163" t="s">
        <v>8</v>
      </c>
      <c r="C302" s="319">
        <f>COUNTIF(Logs!$J$9:$J$18, C$294)</f>
        <v>4</v>
      </c>
      <c r="D302" s="8">
        <f>COUNTIF(Logs!$J$9:$J$18, D$294)</f>
        <v>1</v>
      </c>
      <c r="E302" s="33">
        <f>COUNTIF(Logs!$J$9:$J$18, E$294)</f>
        <v>1</v>
      </c>
      <c r="F302" s="326">
        <f>COUNTIF(Logs!$J$9:$J$18, F$294)</f>
        <v>1</v>
      </c>
      <c r="H302" s="163" t="s">
        <v>8</v>
      </c>
      <c r="I302" s="319">
        <f>COUNTIF(Logs!J$27:J$36, I$294)</f>
        <v>4</v>
      </c>
      <c r="J302" s="8">
        <f>COUNTIF(Logs!J$27:J$36, $J$294)</f>
        <v>1</v>
      </c>
      <c r="K302" s="33">
        <f>COUNTIF(Logs!J$27:J$36,$K$294)</f>
        <v>1</v>
      </c>
      <c r="L302" s="326">
        <f>COUNTIF(Logs!J$27:J$36, $L$294)</f>
        <v>1</v>
      </c>
      <c r="N302" s="163" t="s">
        <v>8</v>
      </c>
      <c r="O302" s="319">
        <f>COUNTIF(Logs!J$45:J$54, $O$294)</f>
        <v>5</v>
      </c>
      <c r="P302" s="8">
        <f>COUNTIF(Logs!J$45:J$54, $P$294)</f>
        <v>1</v>
      </c>
      <c r="Q302" s="33">
        <f>COUNTIF(Logs!J$45:J$54,$Q$294)</f>
        <v>1</v>
      </c>
      <c r="R302" s="326">
        <f>COUNTIF(Logs!J$45:J$54, $R$294)</f>
        <v>1</v>
      </c>
      <c r="T302" s="163" t="s">
        <v>8</v>
      </c>
      <c r="U302" s="319">
        <f>COUNTIF(Logs!J$63:J$72, $U$294)</f>
        <v>3</v>
      </c>
      <c r="V302" s="8">
        <f>COUNTIF(Logs!J$63:J$72, $V$294)</f>
        <v>1</v>
      </c>
      <c r="W302" s="33">
        <f>COUNTIF(Logs!J$63:J$72, $W$294)</f>
        <v>1</v>
      </c>
      <c r="X302" s="326">
        <f>COUNTIF(Logs!J$63:J$72, $X$294)</f>
        <v>1</v>
      </c>
    </row>
    <row r="303" spans="2:27">
      <c r="B303" s="163" t="s">
        <v>9</v>
      </c>
      <c r="C303" s="319">
        <f>COUNTIF(Logs!$K$9:$K$18, C$294)</f>
        <v>2</v>
      </c>
      <c r="D303" s="8">
        <f>COUNTIF(Logs!$K$9:$K$18, D$294)</f>
        <v>1</v>
      </c>
      <c r="E303" s="33">
        <f>COUNTIF(Logs!$K$9:$K$18, E$294)</f>
        <v>1</v>
      </c>
      <c r="F303" s="326">
        <f>COUNTIF(Logs!$K$9:$K$18, F$294)</f>
        <v>1</v>
      </c>
      <c r="H303" s="163" t="s">
        <v>9</v>
      </c>
      <c r="I303" s="319">
        <f>COUNTIF(Logs!K$27:K$36, I$294)</f>
        <v>4</v>
      </c>
      <c r="J303" s="8">
        <f>COUNTIF(Logs!K$27:K$36, $J$294)</f>
        <v>1</v>
      </c>
      <c r="K303" s="33">
        <f>COUNTIF(Logs!K$27:K$36,$K$294)</f>
        <v>1</v>
      </c>
      <c r="L303" s="326">
        <f>COUNTIF(Logs!K$27:K$36, $L$294)</f>
        <v>1</v>
      </c>
      <c r="N303" s="163" t="s">
        <v>9</v>
      </c>
      <c r="O303" s="319">
        <f>COUNTIF(Logs!K$45:K$54, $O$294)</f>
        <v>4</v>
      </c>
      <c r="P303" s="8">
        <f>COUNTIF(Logs!K$45:K$54, $P$294)</f>
        <v>1</v>
      </c>
      <c r="Q303" s="33">
        <f>COUNTIF(Logs!K$45:K$54,$Q$294)</f>
        <v>1</v>
      </c>
      <c r="R303" s="326">
        <f>COUNTIF(Logs!K$45:K$54, $R$294)</f>
        <v>1</v>
      </c>
      <c r="T303" s="163" t="s">
        <v>9</v>
      </c>
      <c r="U303" s="319">
        <f>COUNTIF(Logs!K$63:K$72, $U$294)</f>
        <v>4</v>
      </c>
      <c r="V303" s="8">
        <f>COUNTIF(Logs!K$63:K$72, $V$294)</f>
        <v>1</v>
      </c>
      <c r="W303" s="33">
        <f>COUNTIF(Logs!K$63:K$72, $W$294)</f>
        <v>1</v>
      </c>
      <c r="X303" s="326">
        <f>COUNTIF(Logs!K$63:K$72, $X$294)</f>
        <v>1</v>
      </c>
    </row>
    <row r="304" spans="2:27">
      <c r="B304" s="163" t="s">
        <v>10</v>
      </c>
      <c r="C304" s="319">
        <f>COUNTIF(Logs!$L$9:$L$18, C$294)</f>
        <v>4</v>
      </c>
      <c r="D304" s="8">
        <f>COUNTIF(Logs!$L$9:$L$18, D$294)</f>
        <v>1</v>
      </c>
      <c r="E304" s="33">
        <f>COUNTIF(Logs!$L$9:$L$18, E$294)</f>
        <v>1</v>
      </c>
      <c r="F304" s="326">
        <f>COUNTIF(Logs!$L$9:$L$18, F$294)</f>
        <v>1</v>
      </c>
      <c r="H304" s="163" t="s">
        <v>10</v>
      </c>
      <c r="I304" s="319">
        <f>COUNTIF(Logs!L$27:L$36, I$294)</f>
        <v>3</v>
      </c>
      <c r="J304" s="8">
        <f>COUNTIF(Logs!L$27:L$36, $J$294)</f>
        <v>1</v>
      </c>
      <c r="K304" s="33">
        <f>COUNTIF(Logs!L$27:L$36,$K$294)</f>
        <v>1</v>
      </c>
      <c r="L304" s="326">
        <f>COUNTIF(Logs!L$27:L$36, $L$294)</f>
        <v>1</v>
      </c>
      <c r="N304" s="163" t="s">
        <v>10</v>
      </c>
      <c r="O304" s="319">
        <f>COUNTIF(Logs!L$45:L$54, $O$294)</f>
        <v>6</v>
      </c>
      <c r="P304" s="8">
        <f>COUNTIF(Logs!L$45:L$54, $P$294)</f>
        <v>1</v>
      </c>
      <c r="Q304" s="33">
        <f>COUNTIF(Logs!L$45:L$54,$Q$294)</f>
        <v>1</v>
      </c>
      <c r="R304" s="326">
        <f>COUNTIF(Logs!L$45:L$54, $R$294)</f>
        <v>1</v>
      </c>
      <c r="T304" s="163" t="s">
        <v>10</v>
      </c>
      <c r="U304" s="319">
        <f>COUNTIF(Logs!L$63:L$72, $U$294)</f>
        <v>5</v>
      </c>
      <c r="V304" s="8">
        <f>COUNTIF(Logs!L$63:L$72, $V$294)</f>
        <v>1</v>
      </c>
      <c r="W304" s="33">
        <f>COUNTIF(Logs!L$63:L$72, $W$294)</f>
        <v>1</v>
      </c>
      <c r="X304" s="326">
        <f>COUNTIF(Logs!L$63:L$72, $X$294)</f>
        <v>1</v>
      </c>
    </row>
    <row r="305" spans="2:28">
      <c r="B305" s="163" t="s">
        <v>36</v>
      </c>
      <c r="C305" s="319">
        <f>COUNTIF(Logs!$M$10:$M$18, C$294)</f>
        <v>3</v>
      </c>
      <c r="D305" s="8">
        <f>COUNTIF(Logs!$M$10:$M$18, D$294)</f>
        <v>1</v>
      </c>
      <c r="E305" s="33">
        <f>COUNTIF(Logs!$M$10:$M$18, E$294)</f>
        <v>1</v>
      </c>
      <c r="F305" s="326">
        <f>COUNTIF(Logs!$M$10:$M$18, F$294)</f>
        <v>0</v>
      </c>
      <c r="H305" s="163" t="s">
        <v>36</v>
      </c>
      <c r="I305" s="319">
        <f>COUNTIF(Logs!M$27:M$36, I$294)</f>
        <v>4</v>
      </c>
      <c r="J305" s="8">
        <f>COUNTIF(Logs!M$27:M$36, $J$294)</f>
        <v>1</v>
      </c>
      <c r="K305" s="33">
        <f>COUNTIF(Logs!M$27:M$36,$K$294)</f>
        <v>1</v>
      </c>
      <c r="L305" s="326">
        <f>COUNTIF(Logs!M$27:M$36, $L$294)</f>
        <v>1</v>
      </c>
      <c r="N305" s="163" t="s">
        <v>36</v>
      </c>
      <c r="O305" s="319">
        <f>COUNTIF(Logs!M$45:M$54, $O$294)</f>
        <v>3</v>
      </c>
      <c r="P305" s="8">
        <f>COUNTIF(Logs!M$45:M$54, $P$294)</f>
        <v>1</v>
      </c>
      <c r="Q305" s="33">
        <f>COUNTIF(Logs!M$45:M$54,$Q$294)</f>
        <v>1</v>
      </c>
      <c r="R305" s="326">
        <f>COUNTIF(Logs!M$45:M$54, $R$294)</f>
        <v>1</v>
      </c>
      <c r="T305" s="163" t="s">
        <v>36</v>
      </c>
      <c r="U305" s="319">
        <f>COUNTIF(Logs!M$63:M$72, $U$294)</f>
        <v>4</v>
      </c>
      <c r="V305" s="8">
        <f>COUNTIF(Logs!M$63:M$72, $V$294)</f>
        <v>1</v>
      </c>
      <c r="W305" s="33">
        <f>COUNTIF(Logs!M$63:M$72, $W$294)</f>
        <v>1</v>
      </c>
      <c r="X305" s="326">
        <f>COUNTIF(Logs!M$63:M$72, $X$294)</f>
        <v>1</v>
      </c>
    </row>
    <row r="306" spans="2:28">
      <c r="B306" s="163" t="s">
        <v>37</v>
      </c>
      <c r="C306" s="319">
        <f>COUNTIF(Logs!$N$9:$N$18, C$294)</f>
        <v>6</v>
      </c>
      <c r="D306" s="8">
        <f>COUNTIF(Logs!$N$9:$N$18, D$294)</f>
        <v>1</v>
      </c>
      <c r="E306" s="33">
        <f>COUNTIF(Logs!$N$9:$N$18, E$294)</f>
        <v>1</v>
      </c>
      <c r="F306" s="326">
        <f>COUNTIF(Logs!$N$9:$N$18, F$294)</f>
        <v>0</v>
      </c>
      <c r="H306" s="163" t="s">
        <v>37</v>
      </c>
      <c r="I306" s="319">
        <f>COUNTIF(Logs!N$27:N$36, I$294)</f>
        <v>5</v>
      </c>
      <c r="J306" s="8">
        <f>COUNTIF(Logs!N$27:N$36, $J$294)</f>
        <v>1</v>
      </c>
      <c r="K306" s="33">
        <f>COUNTIF(Logs!N$27:N$36,$K$294)</f>
        <v>1</v>
      </c>
      <c r="L306" s="326">
        <f>COUNTIF(Logs!N$27:N$36, $L$294)</f>
        <v>0</v>
      </c>
      <c r="N306" s="163" t="s">
        <v>37</v>
      </c>
      <c r="O306" s="319">
        <f>COUNTIF(Logs!N$45:N$54, $O$294)</f>
        <v>4</v>
      </c>
      <c r="P306" s="8">
        <f>COUNTIF(Logs!N$45:N$54, $P$294)</f>
        <v>1</v>
      </c>
      <c r="Q306" s="33">
        <f>COUNTIF(Logs!N$45:N$54,$Q$294)</f>
        <v>1</v>
      </c>
      <c r="R306" s="326">
        <f>COUNTIF(Logs!N$45:N$54, $R$294)</f>
        <v>0</v>
      </c>
      <c r="T306" s="163" t="s">
        <v>37</v>
      </c>
      <c r="U306" s="319">
        <f>COUNTIF(Logs!N$63:N$72, $U$294)</f>
        <v>6</v>
      </c>
      <c r="V306" s="8">
        <f>COUNTIF(Logs!N$63:N$72, $V$294)</f>
        <v>1</v>
      </c>
      <c r="W306" s="33">
        <f>COUNTIF(Logs!N$63:N$72, $W$294)</f>
        <v>1</v>
      </c>
      <c r="X306" s="326">
        <f>COUNTIF(Logs!N$63:N$72, $X$294)</f>
        <v>0</v>
      </c>
    </row>
    <row r="307" spans="2:28">
      <c r="B307" s="163" t="s">
        <v>344</v>
      </c>
      <c r="C307" s="319">
        <f>COUNTIF(Logs!$O$9:$O$18, C$294)</f>
        <v>3</v>
      </c>
      <c r="D307" s="8">
        <f>COUNTIF(Logs!$O$9:$O$18, D$294)</f>
        <v>1</v>
      </c>
      <c r="E307" s="33">
        <f>COUNTIF(Logs!$O$9:$O$18, E$294)</f>
        <v>1</v>
      </c>
      <c r="F307" s="326">
        <f>COUNTIF(Logs!$O$9:$O$18, F$294)</f>
        <v>0</v>
      </c>
      <c r="H307" s="163" t="s">
        <v>344</v>
      </c>
      <c r="I307" s="319">
        <f>COUNTIF(Logs!O$27:O$36, I$294)</f>
        <v>8</v>
      </c>
      <c r="J307" s="8">
        <f>COUNTIF(Logs!O$27:O$36, $J$294)</f>
        <v>1</v>
      </c>
      <c r="K307" s="33">
        <f>COUNTIF(Logs!O$27:O$36,$K$294)</f>
        <v>0</v>
      </c>
      <c r="L307" s="326">
        <f>COUNTIF(Logs!O$27:O$36, $L$294)</f>
        <v>0</v>
      </c>
      <c r="N307" s="273" t="s">
        <v>344</v>
      </c>
      <c r="O307" s="319">
        <f>COUNTIF(Logs!O$45:O$54, $O$294)</f>
        <v>7</v>
      </c>
      <c r="P307" s="8">
        <f>COUNTIF(Logs!O$45:O$54, $P$294)</f>
        <v>1</v>
      </c>
      <c r="Q307" s="33">
        <f>COUNTIF(Logs!O$45:O$54,$Q$294)</f>
        <v>1</v>
      </c>
      <c r="R307" s="326">
        <f>COUNTIF(Logs!O$45:O$54, $R$294)</f>
        <v>0</v>
      </c>
      <c r="T307" s="273" t="s">
        <v>344</v>
      </c>
      <c r="U307" s="319">
        <f>COUNTIF(Logs!O$63:O$72, $U$294)</f>
        <v>8</v>
      </c>
      <c r="V307" s="8">
        <f>COUNTIF(Logs!O$63:O$72, $V$294)</f>
        <v>1</v>
      </c>
      <c r="W307" s="33">
        <f>COUNTIF(Logs!O$63:O$72, $W$294)</f>
        <v>1</v>
      </c>
      <c r="X307" s="326">
        <f>COUNTIF(Logs!O$63:O$72, $X$294)</f>
        <v>0</v>
      </c>
    </row>
    <row r="308" spans="2:28">
      <c r="B308" s="318" t="s">
        <v>200</v>
      </c>
      <c r="C308" s="321">
        <f>SUM(C$295:C$307)</f>
        <v>41</v>
      </c>
      <c r="D308" s="323">
        <f>SUM(D$295:D$307)</f>
        <v>12</v>
      </c>
      <c r="E308" s="324">
        <f>SUM(E$295:E$307)</f>
        <v>13</v>
      </c>
      <c r="F308" s="328">
        <f>SUM(F$295:F$307)</f>
        <v>10</v>
      </c>
      <c r="H308" s="318" t="s">
        <v>200</v>
      </c>
      <c r="I308" s="321">
        <f>SUM(I$295:I$307)</f>
        <v>58</v>
      </c>
      <c r="J308" s="323">
        <f>SUM(J$295:J$307)</f>
        <v>12</v>
      </c>
      <c r="K308" s="324">
        <f>SUM(K$295:K$307)</f>
        <v>12</v>
      </c>
      <c r="L308" s="328">
        <f>SUM(L$295:L$307)</f>
        <v>11</v>
      </c>
      <c r="N308" s="272" t="s">
        <v>200</v>
      </c>
      <c r="O308" s="356">
        <f>SUM(O$295:O$307)</f>
        <v>56</v>
      </c>
      <c r="P308" s="323">
        <f>SUM(P$295:P$307)</f>
        <v>12</v>
      </c>
      <c r="Q308" s="324">
        <f>SUM(Q$295:Q$307)</f>
        <v>13</v>
      </c>
      <c r="R308" s="328">
        <f>SUM(R$295:R$307)</f>
        <v>11</v>
      </c>
      <c r="T308" s="272" t="s">
        <v>200</v>
      </c>
      <c r="U308" s="356">
        <f>SUM(U$291:U$307)</f>
        <v>58</v>
      </c>
      <c r="V308" s="323">
        <f>SUM(V$295:V$307)</f>
        <v>12</v>
      </c>
      <c r="W308" s="324">
        <f>SUM(W$295:W$307)</f>
        <v>13</v>
      </c>
      <c r="X308" s="328">
        <f>SUM(X$295:X$307)</f>
        <v>11</v>
      </c>
    </row>
    <row r="309" spans="2:28">
      <c r="C309" s="326"/>
      <c r="D309" s="326"/>
      <c r="E309" s="326"/>
      <c r="F309" s="326"/>
      <c r="G309" s="326"/>
      <c r="H309" s="326"/>
      <c r="I309" s="326"/>
      <c r="J309" s="326"/>
      <c r="K309" s="326"/>
      <c r="L309" s="326"/>
      <c r="M309" s="326"/>
      <c r="N309" s="326"/>
      <c r="O309" s="326"/>
      <c r="P309" s="326"/>
      <c r="Q309" s="326"/>
      <c r="R309" s="326"/>
      <c r="S309" s="326"/>
      <c r="T309" s="326"/>
      <c r="U309" s="326"/>
      <c r="V309" s="326"/>
      <c r="W309" s="326"/>
      <c r="X309" s="326"/>
      <c r="Y309" s="326"/>
      <c r="Z309" s="326"/>
      <c r="AA309" s="326"/>
      <c r="AB309" s="319"/>
    </row>
    <row r="310" spans="2:28">
      <c r="B310" s="57" t="s">
        <v>130</v>
      </c>
      <c r="H310" s="57" t="s">
        <v>131</v>
      </c>
      <c r="N310" s="57" t="s">
        <v>132</v>
      </c>
      <c r="T310" s="57" t="s">
        <v>133</v>
      </c>
    </row>
    <row r="311" spans="2:28">
      <c r="B311" s="243" t="s">
        <v>1110</v>
      </c>
      <c r="C311" s="308" t="s">
        <v>12</v>
      </c>
      <c r="D311" s="309" t="s">
        <v>14</v>
      </c>
      <c r="E311" s="310" t="s">
        <v>13</v>
      </c>
      <c r="F311" s="311" t="s">
        <v>71</v>
      </c>
      <c r="G311" s="57"/>
      <c r="H311" s="243" t="s">
        <v>1110</v>
      </c>
      <c r="I311" s="308" t="s">
        <v>12</v>
      </c>
      <c r="J311" s="309" t="s">
        <v>14</v>
      </c>
      <c r="K311" s="310" t="s">
        <v>13</v>
      </c>
      <c r="L311" s="311" t="s">
        <v>71</v>
      </c>
      <c r="M311" s="57"/>
      <c r="N311" s="243" t="s">
        <v>1110</v>
      </c>
      <c r="O311" s="308" t="s">
        <v>12</v>
      </c>
      <c r="P311" s="309" t="s">
        <v>14</v>
      </c>
      <c r="Q311" s="310" t="s">
        <v>13</v>
      </c>
      <c r="R311" s="311" t="s">
        <v>71</v>
      </c>
      <c r="S311" s="57"/>
      <c r="T311" s="243" t="s">
        <v>1110</v>
      </c>
      <c r="U311" s="308" t="s">
        <v>12</v>
      </c>
      <c r="V311" s="309" t="s">
        <v>14</v>
      </c>
      <c r="W311" s="310" t="s">
        <v>13</v>
      </c>
      <c r="X311" s="311" t="s">
        <v>71</v>
      </c>
      <c r="Y311" s="57"/>
    </row>
    <row r="312" spans="2:28">
      <c r="B312" s="163" t="s">
        <v>1</v>
      </c>
      <c r="C312" s="319">
        <f>COUNTIF(Logs!C$81:C$90, $C$311)</f>
        <v>7</v>
      </c>
      <c r="D312" s="8">
        <f>COUNTIF(Logs!C$81:C$90, $D$311)</f>
        <v>0</v>
      </c>
      <c r="E312" s="33">
        <f>COUNTIF(Logs!C$81:C$90, $E$311)</f>
        <v>1</v>
      </c>
      <c r="F312" s="326">
        <f>COUNTIF(Logs!C$81:C$90, $F$311)</f>
        <v>0</v>
      </c>
      <c r="H312" s="163" t="s">
        <v>1</v>
      </c>
      <c r="I312" s="319">
        <f>COUNTIF(Logs!C$100:C$112, $I$311)</f>
        <v>7</v>
      </c>
      <c r="J312" s="8">
        <f>COUNTIF(Logs!C$100:C$112, $J$311)</f>
        <v>0</v>
      </c>
      <c r="K312" s="33">
        <f>COUNTIF(Logs!C$100:C$112, $K$311)</f>
        <v>1</v>
      </c>
      <c r="L312" s="326">
        <f>COUNTIF(Logs!C$100:C$112, $L$311)</f>
        <v>0</v>
      </c>
      <c r="N312" s="163" t="s">
        <v>1</v>
      </c>
      <c r="O312" s="319">
        <f>COUNTIF(Logs!C$120:C$129, $O$311)</f>
        <v>7</v>
      </c>
      <c r="P312" s="8">
        <f>COUNTIF(Logs!C$120:C$129, $P$311)</f>
        <v>0</v>
      </c>
      <c r="Q312" s="33">
        <f>COUNTIF(Logs!C$120:C$129, $Q$311)</f>
        <v>1</v>
      </c>
      <c r="R312" s="326">
        <f>COUNTIF(Logs!C$120:C$129, $R$311)</f>
        <v>0</v>
      </c>
      <c r="T312" s="163" t="s">
        <v>1</v>
      </c>
      <c r="U312" s="319">
        <f>COUNTIF(Logs!C$139:C$150, $U$311)</f>
        <v>7</v>
      </c>
      <c r="V312" s="8">
        <f>COUNTIF(Logs!C$139:C$150, $V$311)</f>
        <v>0</v>
      </c>
      <c r="W312" s="33">
        <f>COUNTIF(Logs!C$139:C$150, $W$311)</f>
        <v>1</v>
      </c>
      <c r="X312" s="326">
        <f>COUNTIF(Logs!C$139:C$150, $X$311)</f>
        <v>0</v>
      </c>
    </row>
    <row r="313" spans="2:28">
      <c r="B313" s="163" t="s">
        <v>2</v>
      </c>
      <c r="C313" s="319">
        <f>COUNTIF(Logs!D$81:D$90, $C$311)</f>
        <v>4</v>
      </c>
      <c r="D313" s="8">
        <f>COUNTIF(Logs!D$81:D$90, $D$311)</f>
        <v>1</v>
      </c>
      <c r="E313" s="33">
        <f>COUNTIF(Logs!D$81:D$90, $E$311)</f>
        <v>1</v>
      </c>
      <c r="F313" s="326">
        <f>COUNTIF(Logs!D$81:D$90, $F$311)</f>
        <v>0</v>
      </c>
      <c r="H313" s="163" t="s">
        <v>2</v>
      </c>
      <c r="I313" s="319">
        <f>COUNTIF(Logs!D$100:D$112, $I$311)</f>
        <v>6</v>
      </c>
      <c r="J313" s="8">
        <f>COUNTIF(Logs!D$100:D$112, $J$311)</f>
        <v>1</v>
      </c>
      <c r="K313" s="33">
        <f>COUNTIF(Logs!D$100:D$112, $K$311)</f>
        <v>1</v>
      </c>
      <c r="L313" s="326">
        <f>COUNTIF(Logs!D$100:D$112, $L$311)</f>
        <v>0</v>
      </c>
      <c r="N313" s="163" t="s">
        <v>2</v>
      </c>
      <c r="O313" s="319">
        <f>COUNTIF(Logs!D$120:D$129, $O$311)</f>
        <v>3</v>
      </c>
      <c r="P313" s="8">
        <f>COUNTIF(Logs!D$120:D$129, $P$311)</f>
        <v>1</v>
      </c>
      <c r="Q313" s="33">
        <f>COUNTIF(Logs!D$120:D$129, $Q$311)</f>
        <v>1</v>
      </c>
      <c r="R313" s="326">
        <f>COUNTIF(Logs!D$120:D$129, $R$311)</f>
        <v>0</v>
      </c>
      <c r="T313" s="163" t="s">
        <v>2</v>
      </c>
      <c r="U313" s="319">
        <f>COUNTIF(Logs!D$139:D$150, $U$311)</f>
        <v>4</v>
      </c>
      <c r="V313" s="8">
        <f>COUNTIF(Logs!D$139:D$150, $V$311)</f>
        <v>1</v>
      </c>
      <c r="W313" s="33">
        <f>COUNTIF(Logs!D$139:D$150, $W$311)</f>
        <v>1</v>
      </c>
      <c r="X313" s="326">
        <f>COUNTIF(Logs!D$139:D$150, $X$311)</f>
        <v>0</v>
      </c>
    </row>
    <row r="314" spans="2:28">
      <c r="B314" s="163" t="s">
        <v>3</v>
      </c>
      <c r="C314" s="319">
        <f>COUNTIF(Logs!E$81:E$90, $C$311)</f>
        <v>4</v>
      </c>
      <c r="D314" s="8">
        <f>COUNTIF(Logs!E$81:E$90, $D$311)</f>
        <v>1</v>
      </c>
      <c r="E314" s="33">
        <f>COUNTIF(Logs!E$81:E$90, $E$311)</f>
        <v>1</v>
      </c>
      <c r="F314" s="326">
        <f>COUNTIF(Logs!E$81:E$90, $F$311)</f>
        <v>0</v>
      </c>
      <c r="H314" s="163" t="s">
        <v>3</v>
      </c>
      <c r="I314" s="319">
        <f>COUNTIF(Logs!E$100:E$112, $I$311)</f>
        <v>5</v>
      </c>
      <c r="J314" s="8">
        <f>COUNTIF(Logs!E$100:E$112, $J$311)</f>
        <v>1</v>
      </c>
      <c r="K314" s="33">
        <f>COUNTIF(Logs!E$100:E$112, $K$311)</f>
        <v>1</v>
      </c>
      <c r="L314" s="326">
        <f>COUNTIF(Logs!E$100:E$112, $L$311)</f>
        <v>0</v>
      </c>
      <c r="N314" s="163" t="s">
        <v>3</v>
      </c>
      <c r="O314" s="319">
        <f>COUNTIF(Logs!E$120:E$129, $O$311)</f>
        <v>3</v>
      </c>
      <c r="P314" s="8">
        <f>COUNTIF(Logs!E$120:E$129, $P$311)</f>
        <v>1</v>
      </c>
      <c r="Q314" s="33">
        <f>COUNTIF(Logs!E$120:E$129, $Q$311)</f>
        <v>1</v>
      </c>
      <c r="R314" s="326">
        <f>COUNTIF(Logs!E$120:E$129, $R$311)</f>
        <v>0</v>
      </c>
      <c r="T314" s="163" t="s">
        <v>3</v>
      </c>
      <c r="U314" s="319">
        <f>COUNTIF(Logs!E$139:E$150, $U$311)</f>
        <v>5</v>
      </c>
      <c r="V314" s="8">
        <f>COUNTIF(Logs!E$139:E$150, $V$311)</f>
        <v>1</v>
      </c>
      <c r="W314" s="33">
        <f>COUNTIF(Logs!E$139:E$150, $W$311)</f>
        <v>1</v>
      </c>
      <c r="X314" s="326">
        <f>COUNTIF(Logs!E$139:E$150, $X$311)</f>
        <v>0</v>
      </c>
    </row>
    <row r="315" spans="2:28">
      <c r="B315" s="163" t="s">
        <v>4</v>
      </c>
      <c r="C315" s="319">
        <f>COUNTIF(Logs!F$81:F$90, $C$311)</f>
        <v>4</v>
      </c>
      <c r="D315" s="8">
        <f>COUNTIF(Logs!F$81:F$90, $D$311)</f>
        <v>1</v>
      </c>
      <c r="E315" s="33">
        <f>COUNTIF(Logs!F$81:F$90, $E$311)</f>
        <v>1</v>
      </c>
      <c r="F315" s="326">
        <f>COUNTIF(Logs!F$81:F$90, $F$311)</f>
        <v>0</v>
      </c>
      <c r="H315" s="163" t="s">
        <v>4</v>
      </c>
      <c r="I315" s="319">
        <f>COUNTIF(Logs!F$100:F$112, $I$311)</f>
        <v>6</v>
      </c>
      <c r="J315" s="8">
        <f>COUNTIF(Logs!F$100:F$112, $J$311)</f>
        <v>1</v>
      </c>
      <c r="K315" s="33">
        <f>COUNTIF(Logs!F$100:F$112, $K$311)</f>
        <v>1</v>
      </c>
      <c r="L315" s="326">
        <f>COUNTIF(Logs!F$100:F$112, $L$311)</f>
        <v>0</v>
      </c>
      <c r="N315" s="163" t="s">
        <v>4</v>
      </c>
      <c r="O315" s="319">
        <f>COUNTIF(Logs!F$120:F$129, $O$311)</f>
        <v>4</v>
      </c>
      <c r="P315" s="8">
        <f>COUNTIF(Logs!F$120:F$129, $P$311)</f>
        <v>1</v>
      </c>
      <c r="Q315" s="33">
        <f>COUNTIF(Logs!F$120:F$129, $Q$311)</f>
        <v>1</v>
      </c>
      <c r="R315" s="326">
        <f>COUNTIF(Logs!F$120:F$129, $R$311)</f>
        <v>0</v>
      </c>
      <c r="T315" s="163" t="s">
        <v>4</v>
      </c>
      <c r="U315" s="319">
        <f>COUNTIF(Logs!F$139:F$150, $U$311)</f>
        <v>8</v>
      </c>
      <c r="V315" s="8">
        <f>COUNTIF(Logs!F$139:F$150, $V$311)</f>
        <v>1</v>
      </c>
      <c r="W315" s="33">
        <f>COUNTIF(Logs!F$139:F$150, $W$311)</f>
        <v>1</v>
      </c>
      <c r="X315" s="326">
        <f>COUNTIF(Logs!F$139:F$150, $X$311)</f>
        <v>0</v>
      </c>
    </row>
    <row r="316" spans="2:28">
      <c r="B316" s="163" t="s">
        <v>5</v>
      </c>
      <c r="C316" s="319">
        <f>COUNTIF(Logs!G$81:G$90, $C$311)</f>
        <v>5</v>
      </c>
      <c r="D316" s="8">
        <f>COUNTIF(Logs!G$81:G$90, $D$311)</f>
        <v>1</v>
      </c>
      <c r="E316" s="33">
        <f>COUNTIF(Logs!G$81:G$90, $E$311)</f>
        <v>1</v>
      </c>
      <c r="F316" s="326">
        <f>COUNTIF(Logs!G$81:G$90, $F$311)</f>
        <v>1</v>
      </c>
      <c r="H316" s="163" t="s">
        <v>5</v>
      </c>
      <c r="I316" s="319">
        <f>COUNTIF(Logs!G$100:G$112, $I$311)</f>
        <v>5</v>
      </c>
      <c r="J316" s="8">
        <f>COUNTIF(Logs!G$100:G$112, $J$311)</f>
        <v>1</v>
      </c>
      <c r="K316" s="33">
        <f>COUNTIF(Logs!G$100:G$112, $K$311)</f>
        <v>1</v>
      </c>
      <c r="L316" s="326">
        <f>COUNTIF(Logs!G$100:G$112, $L$311)</f>
        <v>0</v>
      </c>
      <c r="N316" s="163" t="s">
        <v>5</v>
      </c>
      <c r="O316" s="319">
        <f>COUNTIF(Logs!G$120:G$129, $O$311)</f>
        <v>4</v>
      </c>
      <c r="P316" s="8">
        <f>COUNTIF(Logs!G$120:G$129, $P$311)</f>
        <v>1</v>
      </c>
      <c r="Q316" s="33">
        <f>COUNTIF(Logs!G$120:G$129, $Q$311)</f>
        <v>1</v>
      </c>
      <c r="R316" s="326">
        <f>COUNTIF(Logs!G$120:G$129, $R$311)</f>
        <v>1</v>
      </c>
      <c r="T316" s="163" t="s">
        <v>5</v>
      </c>
      <c r="U316" s="319">
        <f>COUNTIF(Logs!G$139:G$150, $U$311)</f>
        <v>3</v>
      </c>
      <c r="V316" s="8">
        <f>COUNTIF(Logs!G$139:G$150, $V$311)</f>
        <v>1</v>
      </c>
      <c r="W316" s="33">
        <f>COUNTIF(Logs!G$139:G$150, $W$311)</f>
        <v>1</v>
      </c>
      <c r="X316" s="326">
        <f>COUNTIF(Logs!G$139:G$150, $X$311)</f>
        <v>1</v>
      </c>
    </row>
    <row r="317" spans="2:28">
      <c r="B317" s="163" t="s">
        <v>6</v>
      </c>
      <c r="C317" s="319">
        <f>COUNTIF(Logs!H$81:H$90, $C$311)</f>
        <v>4</v>
      </c>
      <c r="D317" s="8">
        <f>COUNTIF(Logs!H$81:H$90, $D$311)</f>
        <v>1</v>
      </c>
      <c r="E317" s="33">
        <f>COUNTIF(Logs!H$81:H$90, $E$311)</f>
        <v>1</v>
      </c>
      <c r="F317" s="326">
        <f>COUNTIF(Logs!H$81:H$90, $F$311)</f>
        <v>0</v>
      </c>
      <c r="H317" s="272" t="s">
        <v>6</v>
      </c>
      <c r="I317" s="319">
        <f>COUNTIF(Logs!H$100:H$112, $I$311)</f>
        <v>8</v>
      </c>
      <c r="J317" s="8">
        <f>COUNTIF(Logs!H$100:H$112, $J$311)</f>
        <v>2</v>
      </c>
      <c r="K317" s="33">
        <f>COUNTIF(Logs!H$100:H$112, $K$311)</f>
        <v>2</v>
      </c>
      <c r="L317" s="326">
        <f>COUNTIF(Logs!H$100:H$112, $L$311)</f>
        <v>1</v>
      </c>
      <c r="N317" s="163" t="s">
        <v>6</v>
      </c>
      <c r="O317" s="319">
        <f>COUNTIF(Logs!H$120:H$129, $O$311)</f>
        <v>4</v>
      </c>
      <c r="P317" s="8">
        <f>COUNTIF(Logs!H$120:H$129, $P$311)</f>
        <v>1</v>
      </c>
      <c r="Q317" s="33">
        <f>COUNTIF(Logs!H$120:H$129, $Q$311)</f>
        <v>1</v>
      </c>
      <c r="R317" s="326">
        <f>COUNTIF(Logs!H$120:H$129, $R$311)</f>
        <v>0</v>
      </c>
      <c r="T317" s="163" t="s">
        <v>6</v>
      </c>
      <c r="U317" s="319">
        <f>COUNTIF(Logs!H$139:H$150, $U$311)</f>
        <v>4</v>
      </c>
      <c r="V317" s="8">
        <f>COUNTIF(Logs!H$139:H$150, $V$311)</f>
        <v>1</v>
      </c>
      <c r="W317" s="33">
        <f>COUNTIF(Logs!H$139:H$150, $W$311)</f>
        <v>1</v>
      </c>
      <c r="X317" s="326">
        <f>COUNTIF(Logs!H$139:H$150, $X$311)</f>
        <v>0</v>
      </c>
    </row>
    <row r="318" spans="2:28">
      <c r="B318" s="163" t="s">
        <v>7</v>
      </c>
      <c r="C318" s="319">
        <f>COUNTIF(Logs!I$81:I$90, $C$311)</f>
        <v>4</v>
      </c>
      <c r="D318" s="8">
        <f>COUNTIF(Logs!I$81:I$90, $D$311)</f>
        <v>1</v>
      </c>
      <c r="E318" s="33">
        <f>COUNTIF(Logs!I$81:I$90, $E$311)</f>
        <v>1</v>
      </c>
      <c r="F318" s="326">
        <f>COUNTIF(Logs!I$81:I$90, $F$311)</f>
        <v>0</v>
      </c>
      <c r="H318" s="163" t="s">
        <v>7</v>
      </c>
      <c r="I318" s="319">
        <f>COUNTIF(Logs!I$100:I$112, $I$311)</f>
        <v>5</v>
      </c>
      <c r="J318" s="8">
        <f>COUNTIF(Logs!I$100:I$112, $J$311)</f>
        <v>1</v>
      </c>
      <c r="K318" s="33">
        <f>COUNTIF(Logs!I$100:I$112, $K$311)</f>
        <v>1</v>
      </c>
      <c r="L318" s="326">
        <f>COUNTIF(Logs!I$100:I$112, $L$311)</f>
        <v>1</v>
      </c>
      <c r="N318" s="163" t="s">
        <v>7</v>
      </c>
      <c r="O318" s="319">
        <f>COUNTIF(Logs!I$120:I$129, $O$311)</f>
        <v>3</v>
      </c>
      <c r="P318" s="8">
        <f>COUNTIF(Logs!I$120:I$129, $P$311)</f>
        <v>1</v>
      </c>
      <c r="Q318" s="33">
        <f>COUNTIF(Logs!I$120:I$129, $Q$311)</f>
        <v>1</v>
      </c>
      <c r="R318" s="326">
        <f>COUNTIF(Logs!I$120:I$129, $R$311)</f>
        <v>0</v>
      </c>
      <c r="T318" s="163" t="s">
        <v>7</v>
      </c>
      <c r="U318" s="319">
        <f>COUNTIF(Logs!I$139:I$150, $U$311)</f>
        <v>4</v>
      </c>
      <c r="V318" s="8">
        <f>COUNTIF(Logs!I$139:I$150, $V$311)</f>
        <v>1</v>
      </c>
      <c r="W318" s="33">
        <f>COUNTIF(Logs!I$139:I$150, $W$311)</f>
        <v>1</v>
      </c>
      <c r="X318" s="326">
        <f>COUNTIF(Logs!I$139:I$150, $X$311)</f>
        <v>0</v>
      </c>
    </row>
    <row r="319" spans="2:28">
      <c r="B319" s="163" t="s">
        <v>8</v>
      </c>
      <c r="C319" s="319">
        <f>COUNTIF(Logs!J$81:J$90, $C$311)</f>
        <v>4</v>
      </c>
      <c r="D319" s="8">
        <f>COUNTIF(Logs!J$81:J$90, $D$311)</f>
        <v>1</v>
      </c>
      <c r="E319" s="33">
        <f>COUNTIF(Logs!J$81:J$90, $E$311)</f>
        <v>1</v>
      </c>
      <c r="F319" s="326">
        <f>COUNTIF(Logs!J$81:J$90, $F$311)</f>
        <v>0</v>
      </c>
      <c r="H319" s="163" t="s">
        <v>8</v>
      </c>
      <c r="I319" s="319">
        <f>COUNTIF(Logs!J$100:J$112, $I$311)</f>
        <v>5</v>
      </c>
      <c r="J319" s="8">
        <f>COUNTIF(Logs!J$100:J$112, $J$311)</f>
        <v>1</v>
      </c>
      <c r="K319" s="33">
        <f>COUNTIF(Logs!J$100:J$112, $K$311)</f>
        <v>1</v>
      </c>
      <c r="L319" s="326">
        <f>COUNTIF(Logs!J$100:J$112, $L$311)</f>
        <v>0</v>
      </c>
      <c r="N319" s="163" t="s">
        <v>8</v>
      </c>
      <c r="O319" s="319">
        <f>COUNTIF(Logs!J$120:J$129, $O$311)</f>
        <v>4</v>
      </c>
      <c r="P319" s="8">
        <f>COUNTIF(Logs!J$120:J$129, $P$311)</f>
        <v>1</v>
      </c>
      <c r="Q319" s="33">
        <f>COUNTIF(Logs!J$120:J$129, $Q$311)</f>
        <v>1</v>
      </c>
      <c r="R319" s="326">
        <f>COUNTIF(Logs!J$120:J$129, $R$311)</f>
        <v>0</v>
      </c>
      <c r="T319" s="163" t="s">
        <v>8</v>
      </c>
      <c r="U319" s="319">
        <f>COUNTIF(Logs!J$139:J$150, $U$311)</f>
        <v>4</v>
      </c>
      <c r="V319" s="8">
        <f>COUNTIF(Logs!J$139:J$150, $V$311)</f>
        <v>1</v>
      </c>
      <c r="W319" s="33">
        <f>COUNTIF(Logs!J$139:J$150, $W$311)</f>
        <v>1</v>
      </c>
      <c r="X319" s="326">
        <f>COUNTIF(Logs!J$139:J$150, $X$311)</f>
        <v>0</v>
      </c>
    </row>
    <row r="320" spans="2:28">
      <c r="B320" s="163" t="s">
        <v>9</v>
      </c>
      <c r="C320" s="319">
        <f>COUNTIF(Logs!K$81:K$90, $C$311)</f>
        <v>6</v>
      </c>
      <c r="D320" s="8">
        <f>COUNTIF(Logs!K$81:K$90, $D$311)</f>
        <v>1</v>
      </c>
      <c r="E320" s="33">
        <f>COUNTIF(Logs!K$81:K$90, $E$311)</f>
        <v>1</v>
      </c>
      <c r="F320" s="326">
        <f>COUNTIF(Logs!K$81:K$90, $F$311)</f>
        <v>1</v>
      </c>
      <c r="H320" s="163" t="s">
        <v>9</v>
      </c>
      <c r="I320" s="319">
        <f>COUNTIF(Logs!K$100:K$112, $I$311)</f>
        <v>5</v>
      </c>
      <c r="J320" s="8">
        <f>COUNTIF(Logs!K$100:K$112, $J$311)</f>
        <v>1</v>
      </c>
      <c r="K320" s="33">
        <f>COUNTIF(Logs!K$100:K$112, $K$311)</f>
        <v>1</v>
      </c>
      <c r="L320" s="326">
        <f>COUNTIF(Logs!K$100:K$112, $L$311)</f>
        <v>0</v>
      </c>
      <c r="N320" s="163" t="s">
        <v>9</v>
      </c>
      <c r="O320" s="319">
        <f>COUNTIF(Logs!K$120:K$129, $O$311)</f>
        <v>5</v>
      </c>
      <c r="P320" s="8">
        <f>COUNTIF(Logs!K$120:K$129, $P$311)</f>
        <v>1</v>
      </c>
      <c r="Q320" s="33">
        <f>COUNTIF(Logs!K$120:K$129, $Q$311)</f>
        <v>1</v>
      </c>
      <c r="R320" s="326">
        <f>COUNTIF(Logs!K$120:K$129, $R$311)</f>
        <v>1</v>
      </c>
      <c r="T320" s="163" t="s">
        <v>9</v>
      </c>
      <c r="U320" s="319">
        <f>COUNTIF(Logs!K$139:K$150, $U$311)</f>
        <v>7</v>
      </c>
      <c r="V320" s="8">
        <f>COUNTIF(Logs!K$139:K$150, $V$311)</f>
        <v>1</v>
      </c>
      <c r="W320" s="33">
        <f>COUNTIF(Logs!K$139:K$150, $W$311)</f>
        <v>1</v>
      </c>
      <c r="X320" s="326">
        <f>COUNTIF(Logs!K$139:K$150, $X$311)</f>
        <v>0</v>
      </c>
    </row>
    <row r="321" spans="2:27">
      <c r="B321" s="163" t="s">
        <v>10</v>
      </c>
      <c r="C321" s="319">
        <f>COUNTIF(Logs!L$81:L$90, $C$311)</f>
        <v>2</v>
      </c>
      <c r="D321" s="8">
        <f>COUNTIF(Logs!L$81:L$90, $D$311)</f>
        <v>1</v>
      </c>
      <c r="E321" s="33">
        <f>COUNTIF(Logs!L$81:L$90, $E$311)</f>
        <v>1</v>
      </c>
      <c r="F321" s="326">
        <f>COUNTIF(Logs!L$81:L$90, $F$311)</f>
        <v>0</v>
      </c>
      <c r="H321" s="163" t="s">
        <v>10</v>
      </c>
      <c r="I321" s="319">
        <f>COUNTIF(Logs!L$100:L$112, $I$311)</f>
        <v>5</v>
      </c>
      <c r="J321" s="8">
        <f>COUNTIF(Logs!L$100:L$112, $J$311)</f>
        <v>1</v>
      </c>
      <c r="K321" s="33">
        <f>COUNTIF(Logs!L$100:L$112, $K$311)</f>
        <v>1</v>
      </c>
      <c r="L321" s="326">
        <f>COUNTIF(Logs!L$100:L$112, $L$311)</f>
        <v>0</v>
      </c>
      <c r="N321" s="163" t="s">
        <v>10</v>
      </c>
      <c r="O321" s="319">
        <f>COUNTIF(Logs!L$120:L$129, $O$311)</f>
        <v>4</v>
      </c>
      <c r="P321" s="8">
        <f>COUNTIF(Logs!L$120:L$129, $P$311)</f>
        <v>1</v>
      </c>
      <c r="Q321" s="33">
        <f>COUNTIF(Logs!L$120:L$129, $Q$311)</f>
        <v>1</v>
      </c>
      <c r="R321" s="326">
        <f>COUNTIF(Logs!L$120:L$129, $R$311)</f>
        <v>0</v>
      </c>
      <c r="T321" s="163" t="s">
        <v>10</v>
      </c>
      <c r="U321" s="319">
        <f>COUNTIF(Logs!L$139:L$150, $U$311)</f>
        <v>8</v>
      </c>
      <c r="V321" s="8">
        <f>COUNTIF(Logs!L$139:L$150, $V$311)</f>
        <v>1</v>
      </c>
      <c r="W321" s="33">
        <f>COUNTIF(Logs!L$139:L$150, $W$311)</f>
        <v>1</v>
      </c>
      <c r="X321" s="326">
        <f>COUNTIF(Logs!L$139:L$150, $X$311)</f>
        <v>0</v>
      </c>
    </row>
    <row r="322" spans="2:27">
      <c r="B322" s="163" t="s">
        <v>36</v>
      </c>
      <c r="C322" s="319">
        <f>COUNTIF(Logs!M$81:M$90, $C$311)</f>
        <v>5</v>
      </c>
      <c r="D322" s="8">
        <f>COUNTIF(Logs!M$81:M$90, $D$311)</f>
        <v>1</v>
      </c>
      <c r="E322" s="33">
        <f>COUNTIF(Logs!M$81:M$90, $E$311)</f>
        <v>1</v>
      </c>
      <c r="F322" s="326">
        <f>COUNTIF(Logs!M$81:M$90, $F$311)</f>
        <v>0</v>
      </c>
      <c r="H322" s="163" t="s">
        <v>36</v>
      </c>
      <c r="I322" s="319">
        <f>COUNTIF(Logs!M$100:M$112, $I$311)</f>
        <v>4</v>
      </c>
      <c r="J322" s="8">
        <f>COUNTIF(Logs!M$100:M$112, $J$311)</f>
        <v>1</v>
      </c>
      <c r="K322" s="33">
        <f>COUNTIF(Logs!M$100:M$112, $K$311)</f>
        <v>1</v>
      </c>
      <c r="L322" s="326">
        <f>COUNTIF(Logs!M$100:M$112, $L$311)</f>
        <v>0</v>
      </c>
      <c r="N322" s="163" t="s">
        <v>36</v>
      </c>
      <c r="O322" s="319">
        <f>COUNTIF(Logs!M$120:M$129, $O$311)</f>
        <v>5</v>
      </c>
      <c r="P322" s="8">
        <f>COUNTIF(Logs!M$120:M$129, $P$311)</f>
        <v>1</v>
      </c>
      <c r="Q322" s="33">
        <f>COUNTIF(Logs!M$120:M$129, $Q$311)</f>
        <v>1</v>
      </c>
      <c r="R322" s="326">
        <f>COUNTIF(Logs!M$120:M$129, $R$311)</f>
        <v>0</v>
      </c>
      <c r="T322" s="163" t="s">
        <v>36</v>
      </c>
      <c r="U322" s="319">
        <f>COUNTIF(Logs!M$139:M$150, $U$311)</f>
        <v>4</v>
      </c>
      <c r="V322" s="8">
        <f>COUNTIF(Logs!M$139:M$150, $V$311)</f>
        <v>1</v>
      </c>
      <c r="W322" s="33">
        <f>COUNTIF(Logs!M$139:M$150, $W$311)</f>
        <v>1</v>
      </c>
      <c r="X322" s="326">
        <f>COUNTIF(Logs!M$139:M$150, $X$311)</f>
        <v>0</v>
      </c>
    </row>
    <row r="323" spans="2:27">
      <c r="B323" s="163" t="s">
        <v>37</v>
      </c>
      <c r="C323" s="319">
        <f>COUNTIF(Logs!N$81:N$90, $C$311)</f>
        <v>6</v>
      </c>
      <c r="D323" s="8">
        <f>COUNTIF(Logs!N$81:N$90, $D$311)</f>
        <v>1</v>
      </c>
      <c r="E323" s="33">
        <f>COUNTIF(Logs!N$81:N$90, $E$311)</f>
        <v>0</v>
      </c>
      <c r="F323" s="326">
        <f>COUNTIF(Logs!N$81:N$90, $F$311)</f>
        <v>0</v>
      </c>
      <c r="H323" s="163" t="s">
        <v>37</v>
      </c>
      <c r="I323" s="319">
        <f>COUNTIF(Logs!N$100:N$112, $I$311)</f>
        <v>5</v>
      </c>
      <c r="J323" s="8">
        <f>COUNTIF(Logs!N$100:N$112, $J$311)</f>
        <v>1</v>
      </c>
      <c r="K323" s="33">
        <f>COUNTIF(Logs!N$100:N$112, $K$311)</f>
        <v>1</v>
      </c>
      <c r="L323" s="326">
        <f>COUNTIF(Logs!N$100:N$112, $L$311)</f>
        <v>0</v>
      </c>
      <c r="N323" s="163" t="s">
        <v>37</v>
      </c>
      <c r="O323" s="319">
        <f>COUNTIF(Logs!N$120:N$129, $O$311)</f>
        <v>3</v>
      </c>
      <c r="P323" s="8">
        <f>COUNTIF(Logs!N$120:N$129, $P$311)</f>
        <v>1</v>
      </c>
      <c r="Q323" s="33">
        <f>COUNTIF(Logs!N$120:N$129, $Q$311)</f>
        <v>1</v>
      </c>
      <c r="R323" s="326">
        <f>COUNTIF(Logs!N$120:N$129, $R$311)</f>
        <v>0</v>
      </c>
      <c r="T323" s="163" t="s">
        <v>37</v>
      </c>
      <c r="U323" s="319">
        <f>COUNTIF(Logs!N$139:N$150, $U$311)</f>
        <v>8</v>
      </c>
      <c r="V323" s="8">
        <f>COUNTIF(Logs!N$139:N$150, $V$311)</f>
        <v>2</v>
      </c>
      <c r="W323" s="33">
        <f>COUNTIF(Logs!N$139:N$150, $W$311)</f>
        <v>2</v>
      </c>
      <c r="X323" s="326">
        <f>COUNTIF(Logs!N$139:N$150, $X$311)</f>
        <v>0</v>
      </c>
    </row>
    <row r="324" spans="2:27">
      <c r="B324" s="273" t="s">
        <v>344</v>
      </c>
      <c r="C324" s="319">
        <f>COUNTIF(Logs!O$81:O$90, $C$311)</f>
        <v>7</v>
      </c>
      <c r="D324" s="8">
        <f>COUNTIF(Logs!O$81:O$90, $D$311)</f>
        <v>1</v>
      </c>
      <c r="E324" s="33">
        <f>COUNTIF(Logs!O$81:O$90, $E$311)</f>
        <v>1</v>
      </c>
      <c r="F324" s="326">
        <f>COUNTIF(Logs!O$81:O$90, $F$311)</f>
        <v>0</v>
      </c>
      <c r="H324" s="318" t="s">
        <v>200</v>
      </c>
      <c r="I324" s="321">
        <f>SUM(I312:I323)</f>
        <v>66</v>
      </c>
      <c r="J324" s="323">
        <f>SUM(J312:J323)</f>
        <v>12</v>
      </c>
      <c r="K324" s="324">
        <f>SUM(K312:K323)</f>
        <v>13</v>
      </c>
      <c r="L324" s="328">
        <f>SUM(L312:L323)</f>
        <v>2</v>
      </c>
      <c r="N324" s="273" t="s">
        <v>344</v>
      </c>
      <c r="O324" s="319">
        <f>COUNTIF(Logs!O$120:O$129, $O$311)</f>
        <v>7</v>
      </c>
      <c r="P324" s="8">
        <f>COUNTIF(Logs!O$120:O$129, $P$311)</f>
        <v>1</v>
      </c>
      <c r="Q324" s="33">
        <f>COUNTIF(Logs!O$120:O$129, $Q$311)</f>
        <v>1</v>
      </c>
      <c r="R324" s="326">
        <f>COUNTIF(Logs!O$120:O$129, $R$311)</f>
        <v>0</v>
      </c>
      <c r="T324" s="318" t="s">
        <v>200</v>
      </c>
      <c r="U324" s="321">
        <f>SUM(U312:U323)</f>
        <v>66</v>
      </c>
      <c r="V324" s="323">
        <f>SUM(V312:V323)</f>
        <v>12</v>
      </c>
      <c r="W324" s="324">
        <f>SUM(W312:W323)</f>
        <v>13</v>
      </c>
      <c r="X324" s="328">
        <f>SUM(X312:X323)</f>
        <v>1</v>
      </c>
    </row>
    <row r="325" spans="2:27">
      <c r="B325" s="272" t="s">
        <v>200</v>
      </c>
      <c r="C325" s="356">
        <f>SUM(C$309:C$324)</f>
        <v>62</v>
      </c>
      <c r="D325" s="323">
        <f>SUM(D$312:D$324)</f>
        <v>12</v>
      </c>
      <c r="E325" s="324">
        <f>SUM(E$312:E$324)</f>
        <v>12</v>
      </c>
      <c r="F325" s="328">
        <f>SUM(F$312:F$324)</f>
        <v>2</v>
      </c>
      <c r="N325" s="272" t="s">
        <v>200</v>
      </c>
      <c r="O325" s="356">
        <f>SUM(O$312:O$324)</f>
        <v>56</v>
      </c>
      <c r="P325" s="323">
        <f>SUM(P$312:P$324)</f>
        <v>12</v>
      </c>
      <c r="Q325" s="324">
        <f>SUM(Q$312:Q$324)</f>
        <v>13</v>
      </c>
      <c r="R325" s="328">
        <f>SUM(R$312:R$324)</f>
        <v>2</v>
      </c>
    </row>
    <row r="326" spans="2:27">
      <c r="C326" s="326"/>
      <c r="D326" s="326"/>
      <c r="E326" s="326"/>
      <c r="F326" s="326"/>
      <c r="G326" s="326"/>
      <c r="H326" s="326"/>
      <c r="I326" s="326"/>
      <c r="J326" s="326"/>
      <c r="K326" s="326"/>
      <c r="L326" s="326"/>
      <c r="M326" s="326"/>
      <c r="N326" s="326"/>
      <c r="O326" s="326"/>
      <c r="P326" s="329"/>
      <c r="Q326" s="329"/>
      <c r="R326" s="329"/>
      <c r="S326" s="329"/>
      <c r="T326" s="329"/>
      <c r="U326" s="329"/>
      <c r="V326" s="329"/>
      <c r="W326" s="329"/>
      <c r="X326" s="329"/>
      <c r="Y326" s="329"/>
      <c r="Z326" s="329"/>
      <c r="AA326" s="319"/>
    </row>
    <row r="327" spans="2:27">
      <c r="B327" s="57" t="s">
        <v>134</v>
      </c>
      <c r="H327" s="57" t="s">
        <v>135</v>
      </c>
      <c r="N327" s="57" t="s">
        <v>136</v>
      </c>
      <c r="T327" s="57" t="s">
        <v>137</v>
      </c>
    </row>
    <row r="328" spans="2:27">
      <c r="B328" s="243" t="s">
        <v>1110</v>
      </c>
      <c r="C328" s="308" t="s">
        <v>12</v>
      </c>
      <c r="D328" s="309" t="s">
        <v>14</v>
      </c>
      <c r="E328" s="310" t="s">
        <v>13</v>
      </c>
      <c r="F328" s="311" t="s">
        <v>71</v>
      </c>
      <c r="G328" s="57"/>
      <c r="H328" s="243" t="s">
        <v>1110</v>
      </c>
      <c r="I328" s="308" t="s">
        <v>12</v>
      </c>
      <c r="J328" s="309" t="s">
        <v>14</v>
      </c>
      <c r="K328" s="310" t="s">
        <v>13</v>
      </c>
      <c r="L328" s="311" t="s">
        <v>71</v>
      </c>
      <c r="M328" s="57"/>
      <c r="N328" s="243" t="s">
        <v>1110</v>
      </c>
      <c r="O328" s="308" t="s">
        <v>12</v>
      </c>
      <c r="P328" s="309" t="s">
        <v>14</v>
      </c>
      <c r="Q328" s="310" t="s">
        <v>13</v>
      </c>
      <c r="R328" s="311" t="s">
        <v>71</v>
      </c>
      <c r="S328" s="57"/>
      <c r="T328" s="243" t="s">
        <v>1110</v>
      </c>
      <c r="U328" s="308" t="s">
        <v>12</v>
      </c>
      <c r="V328" s="309" t="s">
        <v>14</v>
      </c>
      <c r="W328" s="310" t="s">
        <v>13</v>
      </c>
      <c r="X328" s="311" t="s">
        <v>71</v>
      </c>
      <c r="Y328" s="312" t="s">
        <v>49</v>
      </c>
      <c r="Z328" s="57"/>
    </row>
    <row r="329" spans="2:27">
      <c r="B329" s="163" t="s">
        <v>1</v>
      </c>
      <c r="C329" s="319">
        <f>COUNTIF(Logs!C$159:C$168, $C$328)</f>
        <v>4</v>
      </c>
      <c r="D329" s="8">
        <f>COUNTIF(Logs!C$159:C$168, $D$328)</f>
        <v>0</v>
      </c>
      <c r="E329" s="33">
        <f>COUNTIF(Logs!C$159:C$168, $E$328)</f>
        <v>1</v>
      </c>
      <c r="F329" s="326">
        <f>COUNTIF(Logs!C$159:C$168, $F$328)</f>
        <v>0</v>
      </c>
      <c r="H329" s="163" t="s">
        <v>1</v>
      </c>
      <c r="I329" s="319">
        <f>COUNTIF(Logs!C$177:C$189, $I$328)</f>
        <v>4</v>
      </c>
      <c r="J329" s="8">
        <f>COUNTIF(Logs!C$177:C$189, $J$328)</f>
        <v>1</v>
      </c>
      <c r="K329" s="33">
        <f>COUNTIF(Logs!C$177:C$189, $K$328)</f>
        <v>1</v>
      </c>
      <c r="L329" s="326">
        <f>COUNTIF(Logs!C$177:C$189, $L$328)</f>
        <v>0</v>
      </c>
      <c r="N329" s="163" t="s">
        <v>1</v>
      </c>
      <c r="O329" s="319">
        <f>COUNTIF(Logs!C$198:C$207, $O$328)</f>
        <v>4</v>
      </c>
      <c r="P329" s="8">
        <f>COUNTIF(Logs!C$198:C$207, $P$328)</f>
        <v>0</v>
      </c>
      <c r="Q329" s="33">
        <f>COUNTIF(Logs!C$198:C$207, $Q$328)</f>
        <v>1</v>
      </c>
      <c r="R329" s="326">
        <f>COUNTIF(Logs!C$198:C$207, $R$328)</f>
        <v>0</v>
      </c>
      <c r="T329" s="163" t="s">
        <v>1</v>
      </c>
      <c r="U329" s="319">
        <f>COUNTIF(Logs!$C$213:$C$224, U$328)</f>
        <v>4</v>
      </c>
      <c r="V329" s="8">
        <f>COUNTIF(Logs!C$213:C$224, $V$328)</f>
        <v>1</v>
      </c>
      <c r="W329" s="33">
        <f>COUNTIF(Logs!C$213:C$224, $W$328)</f>
        <v>0</v>
      </c>
      <c r="X329" s="326">
        <f>COUNTIF(Logs!C$213:C$224, $X$328)</f>
        <v>0</v>
      </c>
      <c r="Y329" s="329">
        <f>COUNTIF(Logs!C$213:C$224, $Y$328)</f>
        <v>0</v>
      </c>
    </row>
    <row r="330" spans="2:27">
      <c r="B330" s="163" t="s">
        <v>2</v>
      </c>
      <c r="C330" s="319">
        <f>COUNTIF(Logs!D$159:D$168, $C$328)</f>
        <v>3</v>
      </c>
      <c r="D330" s="8">
        <f>COUNTIF(Logs!D$159:D$168, $D$328)</f>
        <v>1</v>
      </c>
      <c r="E330" s="33">
        <f>COUNTIF(Logs!D$159:D$168, $E$328)</f>
        <v>1</v>
      </c>
      <c r="F330" s="326">
        <f>COUNTIF(Logs!D$159:D$168, $F$328)</f>
        <v>0</v>
      </c>
      <c r="H330" s="163" t="s">
        <v>2</v>
      </c>
      <c r="I330" s="319">
        <f>COUNTIF(Logs!D$177:D$189, $I$328)</f>
        <v>3</v>
      </c>
      <c r="J330" s="8">
        <f>COUNTIF(Logs!D$177:D$189, $J$328)</f>
        <v>1</v>
      </c>
      <c r="K330" s="33">
        <f>COUNTIF(Logs!D$177:D$189, $K$328)</f>
        <v>1</v>
      </c>
      <c r="L330" s="326">
        <f>COUNTIF(Logs!D$177:D$189, $L$328)</f>
        <v>0</v>
      </c>
      <c r="N330" s="163" t="s">
        <v>2</v>
      </c>
      <c r="O330" s="319">
        <f>COUNTIF(Logs!D$198:D$207, $O$328)</f>
        <v>3</v>
      </c>
      <c r="P330" s="8">
        <f>COUNTIF(Logs!D$198:D$207, $P$328)</f>
        <v>1</v>
      </c>
      <c r="Q330" s="33">
        <f>COUNTIF(Logs!D$198:D$207, $Q$328)</f>
        <v>1</v>
      </c>
      <c r="R330" s="326">
        <f>COUNTIF(Logs!D$198:D$207, $R$328)</f>
        <v>0</v>
      </c>
      <c r="T330" s="163" t="s">
        <v>2</v>
      </c>
      <c r="U330" s="319">
        <f>COUNTIF(Logs!D$213:D$224, $U$328)</f>
        <v>3</v>
      </c>
      <c r="V330" s="8">
        <f>COUNTIF(Logs!D$213:D$224, $V$328)</f>
        <v>1</v>
      </c>
      <c r="W330" s="33">
        <f>COUNTIF(Logs!D$213:D$224, $W$328)</f>
        <v>1</v>
      </c>
      <c r="X330" s="326">
        <f>COUNTIF(Logs!D$213:D$224, $X$328)</f>
        <v>0</v>
      </c>
      <c r="Y330" s="329">
        <f>COUNTIF(Logs!D$213:D$224, $Y$328)</f>
        <v>0</v>
      </c>
    </row>
    <row r="331" spans="2:27">
      <c r="B331" s="163" t="s">
        <v>3</v>
      </c>
      <c r="C331" s="319">
        <f>COUNTIF(Logs!E$159:E$168, $C$328)</f>
        <v>4</v>
      </c>
      <c r="D331" s="8">
        <f>COUNTIF(Logs!E$159:E$168, $D$328)</f>
        <v>1</v>
      </c>
      <c r="E331" s="33">
        <f>COUNTIF(Logs!E$159:E$168, $E$328)</f>
        <v>1</v>
      </c>
      <c r="F331" s="326">
        <f>COUNTIF(Logs!E$159:E$168, $F$328)</f>
        <v>0</v>
      </c>
      <c r="H331" s="163" t="s">
        <v>3</v>
      </c>
      <c r="I331" s="319">
        <f>COUNTIF(Logs!E$177:E$189, $I$328)</f>
        <v>5</v>
      </c>
      <c r="J331" s="8">
        <f>COUNTIF(Logs!E$177:E$189, $J$328)</f>
        <v>1</v>
      </c>
      <c r="K331" s="33">
        <f>COUNTIF(Logs!E$177:E$189, $K$328)</f>
        <v>1</v>
      </c>
      <c r="L331" s="326">
        <f>COUNTIF(Logs!E$177:E$189, $L$328)</f>
        <v>0</v>
      </c>
      <c r="N331" s="163" t="s">
        <v>3</v>
      </c>
      <c r="O331" s="319">
        <f>COUNTIF(Logs!E$198:E$207, $O$328)</f>
        <v>4</v>
      </c>
      <c r="P331" s="8">
        <f>COUNTIF(Logs!E$198:E$207, $P$328)</f>
        <v>1</v>
      </c>
      <c r="Q331" s="33">
        <f>COUNTIF(Logs!E$198:E$207, $Q$328)</f>
        <v>1</v>
      </c>
      <c r="R331" s="326">
        <f>COUNTIF(Logs!E$198:E$207, $R$328)</f>
        <v>0</v>
      </c>
      <c r="T331" s="163" t="s">
        <v>3</v>
      </c>
      <c r="U331" s="319">
        <f>COUNTIF(Logs!E$213:E$224, $U$328)</f>
        <v>4</v>
      </c>
      <c r="V331" s="8">
        <f>COUNTIF(Logs!E$213:E$224, $V$328)</f>
        <v>1</v>
      </c>
      <c r="W331" s="33">
        <f>COUNTIF(Logs!E$213:E$224, $W$328)</f>
        <v>1</v>
      </c>
      <c r="X331" s="326">
        <f>COUNTIF(Logs!E$213:E$224, $X$328)</f>
        <v>0</v>
      </c>
      <c r="Y331" s="329">
        <f>COUNTIF(Logs!E$213:E$224, $Y$328)</f>
        <v>0</v>
      </c>
    </row>
    <row r="332" spans="2:27">
      <c r="B332" s="163" t="s">
        <v>4</v>
      </c>
      <c r="C332" s="319">
        <f>COUNTIF(Logs!F$159:F$168, $C$328)</f>
        <v>5</v>
      </c>
      <c r="D332" s="8">
        <f>COUNTIF(Logs!F$159:F$168, $D$328)</f>
        <v>1</v>
      </c>
      <c r="E332" s="33">
        <f>COUNTIF(Logs!F$159:F$168, $E$328)</f>
        <v>1</v>
      </c>
      <c r="F332" s="326">
        <f>COUNTIF(Logs!F$159:F$168, $F$328)</f>
        <v>0</v>
      </c>
      <c r="H332" s="163" t="s">
        <v>4</v>
      </c>
      <c r="I332" s="319">
        <f>COUNTIF(Logs!F$177:F$189, $I$328)</f>
        <v>4</v>
      </c>
      <c r="J332" s="8">
        <f>COUNTIF(Logs!F$177:F$189, $J$328)</f>
        <v>1</v>
      </c>
      <c r="K332" s="33">
        <f>COUNTIF(Logs!F$177:F$189, $K$328)</f>
        <v>1</v>
      </c>
      <c r="L332" s="326">
        <f>COUNTIF(Logs!F$177:F$189, $L$328)</f>
        <v>0</v>
      </c>
      <c r="N332" s="163" t="s">
        <v>4</v>
      </c>
      <c r="O332" s="319">
        <f>COUNTIF(Logs!F$198:F$207, $O$328)</f>
        <v>4</v>
      </c>
      <c r="P332" s="8">
        <f>COUNTIF(Logs!F$198:F$207, $P$328)</f>
        <v>1</v>
      </c>
      <c r="Q332" s="33">
        <f>COUNTIF(Logs!F$198:F$207, $Q$328)</f>
        <v>1</v>
      </c>
      <c r="R332" s="326">
        <f>COUNTIF(Logs!F$198:F$207, $R$328)</f>
        <v>0</v>
      </c>
      <c r="T332" s="163" t="s">
        <v>4</v>
      </c>
      <c r="U332" s="319">
        <f>COUNTIF(Logs!F$213:F$224, $U$328)</f>
        <v>5</v>
      </c>
      <c r="V332" s="8">
        <f>COUNTIF(Logs!F$213:F$224, $V$328)</f>
        <v>1</v>
      </c>
      <c r="W332" s="33">
        <f>COUNTIF(Logs!F$213:F$224, $W$328)</f>
        <v>1</v>
      </c>
      <c r="X332" s="326">
        <f>COUNTIF(Logs!F$213:F$224, $X$328)</f>
        <v>0</v>
      </c>
      <c r="Y332" s="329">
        <f>COUNTIF(Logs!F$213:F$224, $Y$328)</f>
        <v>0</v>
      </c>
    </row>
    <row r="333" spans="2:27">
      <c r="B333" s="163" t="s">
        <v>5</v>
      </c>
      <c r="C333" s="319">
        <f>COUNTIF(Logs!G$159:G$168, $C$328)</f>
        <v>4</v>
      </c>
      <c r="D333" s="8">
        <f>COUNTIF(Logs!G$159:G$168, $D$328)</f>
        <v>1</v>
      </c>
      <c r="E333" s="33">
        <f>COUNTIF(Logs!G$159:G$168, $E$328)</f>
        <v>1</v>
      </c>
      <c r="F333" s="326">
        <f>COUNTIF(Logs!G$159:G$168, $F$328)</f>
        <v>0</v>
      </c>
      <c r="H333" s="163" t="s">
        <v>5</v>
      </c>
      <c r="I333" s="319">
        <f>COUNTIF(Logs!G$177:G$189, $I$328)</f>
        <v>4</v>
      </c>
      <c r="J333" s="8">
        <f>COUNTIF(Logs!G$177:G$189, $J$328)</f>
        <v>1</v>
      </c>
      <c r="K333" s="33">
        <f>COUNTIF(Logs!G$177:G$189, $K$328)</f>
        <v>1</v>
      </c>
      <c r="L333" s="326">
        <f>COUNTIF(Logs!G$177:G$189, $L$328)</f>
        <v>0</v>
      </c>
      <c r="N333" s="163" t="s">
        <v>5</v>
      </c>
      <c r="O333" s="319">
        <f>COUNTIF(Logs!G$198:G$207, $O$328)</f>
        <v>4</v>
      </c>
      <c r="P333" s="8">
        <f>COUNTIF(Logs!G$198:G$207, $P$328)</f>
        <v>1</v>
      </c>
      <c r="Q333" s="33">
        <f>COUNTIF(Logs!G$198:G$207, $Q$328)</f>
        <v>1</v>
      </c>
      <c r="R333" s="326">
        <f>COUNTIF(Logs!G$198:G$207, $R$328)</f>
        <v>0</v>
      </c>
      <c r="T333" s="163" t="s">
        <v>5</v>
      </c>
      <c r="U333" s="319">
        <f>COUNTIF(Logs!G$213:G$224, $U$328)</f>
        <v>4</v>
      </c>
      <c r="V333" s="8">
        <f>COUNTIF(Logs!G$213:G$224, $V$328)</f>
        <v>1</v>
      </c>
      <c r="W333" s="33">
        <f>COUNTIF(Logs!G$213:G$224, $W$328)</f>
        <v>1</v>
      </c>
      <c r="X333" s="326">
        <f>COUNTIF(Logs!G$213:G$224, $X$328)</f>
        <v>0</v>
      </c>
      <c r="Y333" s="329">
        <f>COUNTIF(Logs!G$213:G$224, $Y$328)</f>
        <v>0</v>
      </c>
    </row>
    <row r="334" spans="2:27">
      <c r="B334" s="163" t="s">
        <v>6</v>
      </c>
      <c r="C334" s="319">
        <f>COUNTIF(Logs!H$159:H$168, $C$328)</f>
        <v>4</v>
      </c>
      <c r="D334" s="8">
        <f>COUNTIF(Logs!H$159:H$168, $D$328)</f>
        <v>1</v>
      </c>
      <c r="E334" s="33">
        <f>COUNTIF(Logs!H$159:H$168, $E$328)</f>
        <v>1</v>
      </c>
      <c r="F334" s="326">
        <f>COUNTIF(Logs!H$159:H$168, $F$328)</f>
        <v>0</v>
      </c>
      <c r="H334" s="163" t="s">
        <v>6</v>
      </c>
      <c r="I334" s="319">
        <f>COUNTIF(Logs!H$177:H$189, $I$328)</f>
        <v>3</v>
      </c>
      <c r="J334" s="8">
        <f>COUNTIF(Logs!H$177:H$189, $J$328)</f>
        <v>1</v>
      </c>
      <c r="K334" s="33">
        <f>COUNTIF(Logs!H$177:H$189, $K$328)</f>
        <v>1</v>
      </c>
      <c r="L334" s="326">
        <f>COUNTIF(Logs!H$177:H$189, $L$328)</f>
        <v>1</v>
      </c>
      <c r="N334" s="163" t="s">
        <v>6</v>
      </c>
      <c r="O334" s="319">
        <f>COUNTIF(Logs!H$198:H$207, $O$328)</f>
        <v>3</v>
      </c>
      <c r="P334" s="8">
        <f>COUNTIF(Logs!H$198:H$207, $P$328)</f>
        <v>1</v>
      </c>
      <c r="Q334" s="33">
        <f>COUNTIF(Logs!H$198:H$207, $Q$328)</f>
        <v>1</v>
      </c>
      <c r="R334" s="326">
        <f>COUNTIF(Logs!H$198:H$207, $R$328)</f>
        <v>0</v>
      </c>
      <c r="T334" s="163" t="s">
        <v>6</v>
      </c>
      <c r="U334" s="319">
        <f>COUNTIF(Logs!H$213:H$224, $U$328)</f>
        <v>3</v>
      </c>
      <c r="V334" s="8">
        <f>COUNTIF(Logs!H$213:H$224, $V$328)</f>
        <v>1</v>
      </c>
      <c r="W334" s="33">
        <f>COUNTIF(Logs!H$213:H$224, $W$328)</f>
        <v>1</v>
      </c>
      <c r="X334" s="326">
        <f>COUNTIF(Logs!H$213:H$224, $X$328)</f>
        <v>0</v>
      </c>
      <c r="Y334" s="329">
        <f>COUNTIF(Logs!H$213:H$224, $Y$328)</f>
        <v>0</v>
      </c>
    </row>
    <row r="335" spans="2:27">
      <c r="B335" s="163" t="s">
        <v>7</v>
      </c>
      <c r="C335" s="319">
        <f>COUNTIF(Logs!I$159:I$168, $C$328)</f>
        <v>5</v>
      </c>
      <c r="D335" s="8">
        <f>COUNTIF(Logs!I$159:I$168, $D$328)</f>
        <v>1</v>
      </c>
      <c r="E335" s="33">
        <f>COUNTIF(Logs!I$159:I$168, $E$328)</f>
        <v>1</v>
      </c>
      <c r="F335" s="326">
        <f>COUNTIF(Logs!I$159:I$168, $F$328)</f>
        <v>1</v>
      </c>
      <c r="H335" s="163" t="s">
        <v>7</v>
      </c>
      <c r="I335" s="319">
        <f>COUNTIF(Logs!I$177:I$189, $I$328)</f>
        <v>4</v>
      </c>
      <c r="J335" s="8">
        <f>COUNTIF(Logs!I$177:I$189, $J$328)</f>
        <v>1</v>
      </c>
      <c r="K335" s="33">
        <f>COUNTIF(Logs!I$177:I$189, $K$328)</f>
        <v>1</v>
      </c>
      <c r="L335" s="326">
        <f>COUNTIF(Logs!I$177:I$189, $L$328)</f>
        <v>0</v>
      </c>
      <c r="N335" s="163" t="s">
        <v>7</v>
      </c>
      <c r="O335" s="319">
        <f>COUNTIF(Logs!I$198:I$207, $O$328)</f>
        <v>3</v>
      </c>
      <c r="P335" s="8">
        <f>COUNTIF(Logs!I$198:I$207, $P$328)</f>
        <v>1</v>
      </c>
      <c r="Q335" s="33">
        <f>COUNTIF(Logs!I$198:I$207, $Q$328)</f>
        <v>1</v>
      </c>
      <c r="R335" s="326">
        <f>COUNTIF(Logs!I$198:I$207, $R$328)</f>
        <v>0</v>
      </c>
      <c r="T335" s="163" t="s">
        <v>7</v>
      </c>
      <c r="U335" s="319">
        <f>COUNTIF(Logs!I$213:I$224, $U$328)</f>
        <v>4</v>
      </c>
      <c r="V335" s="8">
        <f>COUNTIF(Logs!I$213:I$224, $V$328)</f>
        <v>1</v>
      </c>
      <c r="W335" s="33">
        <f>COUNTIF(Logs!I$213:I$224, $W$328)</f>
        <v>1</v>
      </c>
      <c r="X335" s="326">
        <f>COUNTIF(Logs!I$213:I$224, $X$328)</f>
        <v>1</v>
      </c>
      <c r="Y335" s="329">
        <f>COUNTIF(Logs!I$213:I$224, $Y$328)</f>
        <v>0</v>
      </c>
    </row>
    <row r="336" spans="2:27">
      <c r="B336" s="163" t="s">
        <v>8</v>
      </c>
      <c r="C336" s="319">
        <f>COUNTIF(Logs!J$159:J$168, $C$328)</f>
        <v>4</v>
      </c>
      <c r="D336" s="8">
        <f>COUNTIF(Logs!J$159:J$168, $D$328)</f>
        <v>1</v>
      </c>
      <c r="E336" s="33">
        <f>COUNTIF(Logs!J$159:J$168, $E$328)</f>
        <v>1</v>
      </c>
      <c r="F336" s="326">
        <f>COUNTIF(Logs!J$159:J$168, $F$328)</f>
        <v>0</v>
      </c>
      <c r="H336" s="163" t="s">
        <v>8</v>
      </c>
      <c r="I336" s="319">
        <f>COUNTIF(Logs!J$177:J$189, $I$328)</f>
        <v>2</v>
      </c>
      <c r="J336" s="8">
        <f>COUNTIF(Logs!J$177:J$189, $J$328)</f>
        <v>1</v>
      </c>
      <c r="K336" s="33">
        <f>COUNTIF(Logs!J$177:J$189, $K$328)</f>
        <v>1</v>
      </c>
      <c r="L336" s="326">
        <f>COUNTIF(Logs!J$177:J$189, $L$328)</f>
        <v>1</v>
      </c>
      <c r="N336" s="163" t="s">
        <v>8</v>
      </c>
      <c r="O336" s="319">
        <f>COUNTIF(Logs!J$198:J$207, $O$328)</f>
        <v>3</v>
      </c>
      <c r="P336" s="8">
        <f>COUNTIF(Logs!J$198:J$207, $P$328)</f>
        <v>1</v>
      </c>
      <c r="Q336" s="33">
        <f>COUNTIF(Logs!J$198:J$207, $Q$328)</f>
        <v>1</v>
      </c>
      <c r="R336" s="326">
        <f>COUNTIF(Logs!J$198:J$207, $R$328)</f>
        <v>1</v>
      </c>
      <c r="T336" s="163" t="s">
        <v>8</v>
      </c>
      <c r="U336" s="319">
        <f>COUNTIF(Logs!J$213:J$224, $U$328)</f>
        <v>5</v>
      </c>
      <c r="V336" s="8">
        <f>COUNTIF(Logs!J$213:J$224, $V$328)</f>
        <v>1</v>
      </c>
      <c r="W336" s="33">
        <f>COUNTIF(Logs!J$213:J$224, $W$328)</f>
        <v>1</v>
      </c>
      <c r="X336" s="326">
        <f>COUNTIF(Logs!J$213:J$224, $X$328)</f>
        <v>0</v>
      </c>
      <c r="Y336" s="329">
        <f>COUNTIF(Logs!J$213:J$224, $Y$328)</f>
        <v>1</v>
      </c>
    </row>
    <row r="337" spans="2:29">
      <c r="B337" s="163" t="s">
        <v>9</v>
      </c>
      <c r="C337" s="319">
        <f>COUNTIF(Logs!K$159:K$168, $C$328)</f>
        <v>4</v>
      </c>
      <c r="D337" s="8">
        <f>COUNTIF(Logs!K$159:K$168, $D$328)</f>
        <v>1</v>
      </c>
      <c r="E337" s="33">
        <f>COUNTIF(Logs!K$159:K$168, $E$328)</f>
        <v>1</v>
      </c>
      <c r="F337" s="326">
        <f>COUNTIF(Logs!K$159:K$168, $F$328)</f>
        <v>0</v>
      </c>
      <c r="H337" s="272" t="s">
        <v>9</v>
      </c>
      <c r="I337" s="319">
        <f>COUNTIF(Logs!K$177:K$189, $I$328)</f>
        <v>9</v>
      </c>
      <c r="J337" s="8">
        <f>COUNTIF(Logs!K$177:K$189, $J$328)</f>
        <v>2</v>
      </c>
      <c r="K337" s="33">
        <f>COUNTIF(Logs!K$177:K$189, $K$328)</f>
        <v>2</v>
      </c>
      <c r="L337" s="326">
        <f>COUNTIF(Logs!K$177:K$189, $L$328)</f>
        <v>0</v>
      </c>
      <c r="N337" s="163" t="s">
        <v>9</v>
      </c>
      <c r="O337" s="319">
        <f>COUNTIF(Logs!K$198:K$207, $O$328)</f>
        <v>4</v>
      </c>
      <c r="P337" s="8">
        <f>COUNTIF(Logs!K$198:K$207, $P$328)</f>
        <v>1</v>
      </c>
      <c r="Q337" s="33">
        <f>COUNTIF(Logs!K$198:K$207, $Q$328)</f>
        <v>1</v>
      </c>
      <c r="R337" s="326">
        <f>COUNTIF(Logs!K$198:K$207, $R$328)</f>
        <v>0</v>
      </c>
      <c r="T337" s="163" t="s">
        <v>9</v>
      </c>
      <c r="U337" s="319">
        <f>COUNTIF(Logs!K$213:K$224, $U$328)</f>
        <v>4</v>
      </c>
      <c r="V337" s="8">
        <f>COUNTIF(Logs!K$213:K$224, $V$328)</f>
        <v>1</v>
      </c>
      <c r="W337" s="33">
        <f>COUNTIF(Logs!K$213:K$224, $W$328)</f>
        <v>1</v>
      </c>
      <c r="X337" s="326">
        <f>COUNTIF(Logs!K$213:K$224, $X$328)</f>
        <v>0</v>
      </c>
      <c r="Y337" s="329">
        <f>COUNTIF(Logs!K$213:K$224, $Y$328)</f>
        <v>0</v>
      </c>
    </row>
    <row r="338" spans="2:29">
      <c r="B338" s="163" t="s">
        <v>10</v>
      </c>
      <c r="C338" s="319">
        <f>COUNTIF(Logs!L$159:L$168, $C$328)</f>
        <v>5</v>
      </c>
      <c r="D338" s="8">
        <f>COUNTIF(Logs!L$159:L$168, $D$328)</f>
        <v>1</v>
      </c>
      <c r="E338" s="33">
        <f>COUNTIF(Logs!L$159:L$168, $E$328)</f>
        <v>1</v>
      </c>
      <c r="F338" s="326">
        <f>COUNTIF(Logs!L$159:L$168, $F$328)</f>
        <v>0</v>
      </c>
      <c r="H338" s="163" t="s">
        <v>10</v>
      </c>
      <c r="I338" s="319">
        <f>COUNTIF(Logs!L$177:L$189, $I$328)</f>
        <v>4</v>
      </c>
      <c r="J338" s="8">
        <f>COUNTIF(Logs!L$177:L$189, $J$328)</f>
        <v>1</v>
      </c>
      <c r="K338" s="33">
        <f>COUNTIF(Logs!L$177:L$189, $K$328)</f>
        <v>1</v>
      </c>
      <c r="L338" s="326">
        <f>COUNTIF(Logs!L$177:L$189, $L$328)</f>
        <v>0</v>
      </c>
      <c r="N338" s="163" t="s">
        <v>10</v>
      </c>
      <c r="O338" s="319">
        <f>COUNTIF(Logs!L$198:L$207, $O$328)</f>
        <v>4</v>
      </c>
      <c r="P338" s="8">
        <f>COUNTIF(Logs!L$198:L$207, $P$328)</f>
        <v>1</v>
      </c>
      <c r="Q338" s="33">
        <f>COUNTIF(Logs!L$198:L$207, $Q$328)</f>
        <v>1</v>
      </c>
      <c r="R338" s="326">
        <f>COUNTIF(Logs!L$198:L$207, $R$328)</f>
        <v>1</v>
      </c>
      <c r="T338" s="163" t="s">
        <v>10</v>
      </c>
      <c r="U338" s="319">
        <f>COUNTIF(Logs!L$213:L$224, $U$328)</f>
        <v>6</v>
      </c>
      <c r="V338" s="8">
        <f>COUNTIF(Logs!L$213:L$224, $V$328)</f>
        <v>1</v>
      </c>
      <c r="W338" s="33">
        <f>COUNTIF(Logs!L$213:L$224, $W$328)</f>
        <v>1</v>
      </c>
      <c r="X338" s="326">
        <f>COUNTIF(Logs!L$213:L$224, $X$328)</f>
        <v>0</v>
      </c>
      <c r="Y338" s="329">
        <f>COUNTIF(Logs!L$213:L$224, $Y$328)</f>
        <v>1</v>
      </c>
    </row>
    <row r="339" spans="2:29">
      <c r="B339" s="163" t="s">
        <v>36</v>
      </c>
      <c r="C339" s="319">
        <f>COUNTIF(Logs!M$159:M$168, $C$328)</f>
        <v>3</v>
      </c>
      <c r="D339" s="8">
        <f>COUNTIF(Logs!M$159:M$168, $D$328)</f>
        <v>1</v>
      </c>
      <c r="E339" s="33">
        <f>COUNTIF(Logs!M$159:M$168, $E$328)</f>
        <v>1</v>
      </c>
      <c r="F339" s="326">
        <f>COUNTIF(Logs!M$159:M$168, $F$328)</f>
        <v>1</v>
      </c>
      <c r="H339" s="163" t="s">
        <v>36</v>
      </c>
      <c r="I339" s="319">
        <f>COUNTIF(Logs!M$177:M$189, $I$328)</f>
        <v>3</v>
      </c>
      <c r="J339" s="8">
        <f>COUNTIF(Logs!M$177:M$189, $J$328)</f>
        <v>1</v>
      </c>
      <c r="K339" s="33">
        <f>COUNTIF(Logs!M$177:M$189, $K$328)</f>
        <v>1</v>
      </c>
      <c r="L339" s="326">
        <f>COUNTIF(Logs!M$177:M$189, $L$328)</f>
        <v>0</v>
      </c>
      <c r="N339" s="163" t="s">
        <v>36</v>
      </c>
      <c r="O339" s="319">
        <f>COUNTIF(Logs!M$198:M$207, $O$328)</f>
        <v>5</v>
      </c>
      <c r="P339" s="8">
        <f>COUNTIF(Logs!M$198:M$207, $P$328)</f>
        <v>1</v>
      </c>
      <c r="Q339" s="33">
        <f>COUNTIF(Logs!M$198:M$207, $Q$328)</f>
        <v>1</v>
      </c>
      <c r="R339" s="326">
        <f>COUNTIF(Logs!M$198:M$207, $R$328)</f>
        <v>0</v>
      </c>
      <c r="T339" s="163" t="s">
        <v>36</v>
      </c>
      <c r="U339" s="319">
        <f>COUNTIF(Logs!M$213:M$224, $U$328)</f>
        <v>7</v>
      </c>
      <c r="V339" s="8">
        <f>COUNTIF(Logs!M$213:M$224, $V$328)</f>
        <v>1</v>
      </c>
      <c r="W339" s="33">
        <f>COUNTIF(Logs!M$213:M$224, $W$328)</f>
        <v>1</v>
      </c>
      <c r="X339" s="326">
        <f>COUNTIF(Logs!M$213:M$224, $X$328)</f>
        <v>0</v>
      </c>
      <c r="Y339" s="329">
        <f>COUNTIF(Logs!M$213:M$224, $Y$328)</f>
        <v>0</v>
      </c>
    </row>
    <row r="340" spans="2:29">
      <c r="B340" s="163" t="s">
        <v>37</v>
      </c>
      <c r="C340" s="319">
        <f>COUNTIF(Logs!N$159:N$168, $C$328)</f>
        <v>6</v>
      </c>
      <c r="D340" s="8">
        <f>COUNTIF(Logs!N$159:N$168, $D$328)</f>
        <v>1</v>
      </c>
      <c r="E340" s="33">
        <f>COUNTIF(Logs!N$159:N$168, $E$328)</f>
        <v>1</v>
      </c>
      <c r="F340" s="326">
        <f>COUNTIF(Logs!N$159:N$168, $F$328)</f>
        <v>0</v>
      </c>
      <c r="H340" s="163" t="s">
        <v>37</v>
      </c>
      <c r="I340" s="319">
        <f>COUNTIF(Logs!N$177:N$189, $I$328)</f>
        <v>7</v>
      </c>
      <c r="J340" s="8">
        <f>COUNTIF(Logs!N$177:N$189, $J$328)</f>
        <v>1</v>
      </c>
      <c r="K340" s="33">
        <f>COUNTIF(Logs!N$177:N$189, $K$328)</f>
        <v>1</v>
      </c>
      <c r="L340" s="326">
        <f>COUNTIF(Logs!N$177:N$189, $L$328)</f>
        <v>0</v>
      </c>
      <c r="N340" s="163" t="s">
        <v>37</v>
      </c>
      <c r="O340" s="319">
        <f>COUNTIF(Logs!N$198:N$207, $O$328)</f>
        <v>3</v>
      </c>
      <c r="P340" s="8">
        <f>COUNTIF(Logs!N$198:N$207, $P$328)</f>
        <v>1</v>
      </c>
      <c r="Q340" s="33">
        <f>COUNTIF(Logs!N$198:N$207, $Q$328)</f>
        <v>1</v>
      </c>
      <c r="R340" s="326">
        <f>COUNTIF(Logs!N$198:N$207, $R$328)</f>
        <v>0</v>
      </c>
      <c r="T340" s="318" t="s">
        <v>200</v>
      </c>
      <c r="U340" s="321">
        <f>SUM(U$329:U$339)</f>
        <v>49</v>
      </c>
      <c r="V340" s="323">
        <f>SUM(V$329:V$339)</f>
        <v>11</v>
      </c>
      <c r="W340" s="324">
        <f>SUM(W$329:W$339)</f>
        <v>10</v>
      </c>
      <c r="X340" s="328">
        <f>SUM(X$329:X$339)</f>
        <v>1</v>
      </c>
      <c r="Y340" s="330">
        <f>SUM(Y$329:Y$339)</f>
        <v>2</v>
      </c>
    </row>
    <row r="341" spans="2:29">
      <c r="B341" s="273" t="s">
        <v>344</v>
      </c>
      <c r="C341" s="319">
        <f>COUNTIF(Logs!O$159:O$168, $C$328)</f>
        <v>5</v>
      </c>
      <c r="D341" s="8">
        <f>COUNTIF(Logs!O$159:O$168, $D$328)</f>
        <v>1</v>
      </c>
      <c r="E341" s="33">
        <f>COUNTIF(Logs!O$159:O$168, $E$328)</f>
        <v>1</v>
      </c>
      <c r="F341" s="326">
        <f>COUNTIF(Logs!O$159:O$168, $F$328)</f>
        <v>0</v>
      </c>
      <c r="H341" s="318" t="s">
        <v>200</v>
      </c>
      <c r="I341" s="321">
        <f>SUM(I329:I340)</f>
        <v>52</v>
      </c>
      <c r="J341" s="323">
        <f>SUM(J329:J340)</f>
        <v>13</v>
      </c>
      <c r="K341" s="324">
        <f>SUM(K329:K340)</f>
        <v>13</v>
      </c>
      <c r="L341" s="328">
        <f>SUM(L329:L340)</f>
        <v>2</v>
      </c>
      <c r="N341" s="273" t="s">
        <v>344</v>
      </c>
      <c r="O341" s="319">
        <f>COUNTIF(Logs!O$198:O$207, $O$328)</f>
        <v>6</v>
      </c>
      <c r="P341" s="8">
        <f>COUNTIF(Logs!O$198:O$207, $P$328)</f>
        <v>1</v>
      </c>
      <c r="Q341" s="33">
        <f>COUNTIF(Logs!O$198:O$207, $Q$328)</f>
        <v>1</v>
      </c>
      <c r="R341" s="326">
        <f>COUNTIF(Logs!O$198:O$207, $R$328)</f>
        <v>0</v>
      </c>
      <c r="T341" s="90"/>
      <c r="U341" s="319"/>
      <c r="V341" s="8"/>
      <c r="W341" s="33"/>
      <c r="X341" s="326"/>
    </row>
    <row r="342" spans="2:29">
      <c r="B342" s="272" t="s">
        <v>200</v>
      </c>
      <c r="C342" s="356">
        <f>SUM(C$326:C$341)</f>
        <v>56</v>
      </c>
      <c r="D342" s="323">
        <f>SUM(D$329:D$341)</f>
        <v>12</v>
      </c>
      <c r="E342" s="324">
        <f>SUM(E$329:E$341)</f>
        <v>13</v>
      </c>
      <c r="F342" s="328">
        <f>SUM(F$329:F$341)</f>
        <v>2</v>
      </c>
      <c r="N342" s="272" t="s">
        <v>200</v>
      </c>
      <c r="O342" s="356">
        <f>SUM(O$329:O$341)</f>
        <v>50</v>
      </c>
      <c r="P342" s="323">
        <f>SUM(P$329:P$341)</f>
        <v>12</v>
      </c>
      <c r="Q342" s="324">
        <f>SUM(Q$329:Q$341)</f>
        <v>13</v>
      </c>
      <c r="R342" s="328">
        <f>SUM(R$329:R$341)</f>
        <v>2</v>
      </c>
    </row>
    <row r="343" spans="2:29">
      <c r="C343" s="329"/>
      <c r="D343" s="329"/>
      <c r="E343" s="329"/>
      <c r="F343" s="329"/>
      <c r="G343" s="329"/>
      <c r="H343" s="329"/>
      <c r="I343" s="329"/>
      <c r="J343" s="326"/>
      <c r="K343" s="326"/>
      <c r="L343" s="326"/>
      <c r="M343" s="326"/>
      <c r="N343" s="326"/>
      <c r="O343" s="329"/>
      <c r="P343" s="329"/>
      <c r="Q343" s="329"/>
      <c r="R343" s="329"/>
      <c r="S343" s="329"/>
      <c r="T343" s="329"/>
      <c r="U343" s="329"/>
      <c r="V343" s="329"/>
      <c r="W343" s="329"/>
      <c r="X343" s="329"/>
      <c r="Y343" s="329"/>
      <c r="Z343" s="329"/>
      <c r="AA343" s="319"/>
    </row>
    <row r="344" spans="2:29">
      <c r="B344" s="57" t="s">
        <v>138</v>
      </c>
      <c r="I344" s="57" t="s">
        <v>139</v>
      </c>
      <c r="P344" s="57" t="s">
        <v>140</v>
      </c>
      <c r="W344" s="57" t="s">
        <v>141</v>
      </c>
    </row>
    <row r="345" spans="2:29">
      <c r="B345" s="243" t="s">
        <v>1110</v>
      </c>
      <c r="C345" s="308" t="s">
        <v>12</v>
      </c>
      <c r="D345" s="309" t="s">
        <v>14</v>
      </c>
      <c r="E345" s="310" t="s">
        <v>13</v>
      </c>
      <c r="F345" s="311" t="s">
        <v>71</v>
      </c>
      <c r="G345" s="312" t="s">
        <v>49</v>
      </c>
      <c r="H345" s="57"/>
      <c r="I345" s="243" t="s">
        <v>1110</v>
      </c>
      <c r="J345" s="308" t="s">
        <v>12</v>
      </c>
      <c r="K345" s="309" t="s">
        <v>14</v>
      </c>
      <c r="L345" s="310" t="s">
        <v>13</v>
      </c>
      <c r="M345" s="311" t="s">
        <v>71</v>
      </c>
      <c r="N345" s="312" t="s">
        <v>49</v>
      </c>
      <c r="O345" s="57"/>
      <c r="P345" s="243" t="s">
        <v>1110</v>
      </c>
      <c r="Q345" s="308" t="s">
        <v>12</v>
      </c>
      <c r="R345" s="309" t="s">
        <v>14</v>
      </c>
      <c r="S345" s="310" t="s">
        <v>13</v>
      </c>
      <c r="T345" s="311" t="s">
        <v>71</v>
      </c>
      <c r="U345" s="312" t="s">
        <v>49</v>
      </c>
      <c r="V345" s="57"/>
      <c r="W345" s="243" t="s">
        <v>1110</v>
      </c>
      <c r="X345" s="308" t="s">
        <v>12</v>
      </c>
      <c r="Y345" s="309" t="s">
        <v>14</v>
      </c>
      <c r="Z345" s="310" t="s">
        <v>13</v>
      </c>
      <c r="AA345" s="311" t="s">
        <v>71</v>
      </c>
      <c r="AB345" s="312" t="s">
        <v>49</v>
      </c>
      <c r="AC345" s="57"/>
    </row>
    <row r="346" spans="2:29">
      <c r="B346" s="163" t="s">
        <v>1</v>
      </c>
      <c r="C346" s="319">
        <f>COUNTIF(Logs!$C$233:$C$242, C$345)</f>
        <v>5</v>
      </c>
      <c r="D346" s="8">
        <f>COUNTIF(Logs!C$233:C$242, $D$345)</f>
        <v>0</v>
      </c>
      <c r="E346" s="33">
        <f>COUNTIF(Logs!C$233:C$242, $E$345)</f>
        <v>1</v>
      </c>
      <c r="F346" s="326">
        <f>COUNTIF(Logs!C$233:C$242, $F$345)</f>
        <v>0</v>
      </c>
      <c r="G346" s="329">
        <f>COUNTIF(Logs!C$233:C$242, $G$345)</f>
        <v>0</v>
      </c>
      <c r="I346" s="163" t="s">
        <v>1</v>
      </c>
      <c r="J346" s="319">
        <f>COUNTIF(Logs!C$250:C$259, $J$345)</f>
        <v>5</v>
      </c>
      <c r="K346" s="8">
        <f>COUNTIF(Logs!C$250:C$259, $K$345)</f>
        <v>1</v>
      </c>
      <c r="L346" s="33">
        <f>COUNTIF(Logs!C$250:C$259, $L$345)</f>
        <v>0</v>
      </c>
      <c r="M346" s="326">
        <f>COUNTIF(Logs!C$250:C$259, $M$345)</f>
        <v>0</v>
      </c>
      <c r="N346" s="329">
        <f>COUNTIF(Logs!C$250:C$259, $N$345)</f>
        <v>0</v>
      </c>
      <c r="P346" s="163" t="s">
        <v>1</v>
      </c>
      <c r="Q346" s="319">
        <f>COUNTIF(Logs!C$267:C$276, $Q$345)</f>
        <v>2</v>
      </c>
      <c r="R346" s="8">
        <f>COUNTIF(Logs!C$267:C$276, $R$345)</f>
        <v>1</v>
      </c>
      <c r="S346" s="33">
        <f>COUNTIF(Logs!C$267:C$276, $S$345)</f>
        <v>0</v>
      </c>
      <c r="T346" s="326">
        <f>COUNTIF(Logs!C$267:C$276, $T$345)</f>
        <v>0</v>
      </c>
      <c r="U346" s="329">
        <f>COUNTIF(Logs!C$267:C$276, $U$345)</f>
        <v>0</v>
      </c>
      <c r="W346" s="163" t="s">
        <v>1</v>
      </c>
      <c r="X346" s="319">
        <f>COUNTIF(Logs!C$285:C$294, $X$345)</f>
        <v>4</v>
      </c>
      <c r="Y346" s="8">
        <f>COUNTIF(Logs!C$285:C$294, $Y$345)</f>
        <v>1</v>
      </c>
      <c r="Z346" s="33">
        <f>COUNTIF(Logs!C$285:C$294, $Z$345)</f>
        <v>0</v>
      </c>
      <c r="AA346" s="326">
        <f>COUNTIF(Logs!C$285:C$294, $AA$345)</f>
        <v>0</v>
      </c>
      <c r="AB346" s="329">
        <f>COUNTIF(Logs!C$285:C$294, $AB$345)</f>
        <v>0</v>
      </c>
    </row>
    <row r="347" spans="2:29">
      <c r="B347" s="163" t="s">
        <v>2</v>
      </c>
      <c r="C347" s="319">
        <f>COUNTIF(Logs!D$233:D$242, $C$345)</f>
        <v>4</v>
      </c>
      <c r="D347" s="8">
        <f>COUNTIF(Logs!D$233:D$242, $D$345)</f>
        <v>1</v>
      </c>
      <c r="E347" s="33">
        <f>COUNTIF(Logs!D$233:D$242, $E$345)</f>
        <v>1</v>
      </c>
      <c r="F347" s="326">
        <f>COUNTIF(Logs!D$233:D$242, $F$345)</f>
        <v>0</v>
      </c>
      <c r="G347" s="329">
        <f>COUNTIF(Logs!D$233:D$242, $G$345)</f>
        <v>0</v>
      </c>
      <c r="I347" s="163" t="s">
        <v>2</v>
      </c>
      <c r="J347" s="319">
        <f>COUNTIF(Logs!D$250:D$259, $J$345)</f>
        <v>4</v>
      </c>
      <c r="K347" s="8">
        <f>COUNTIF(Logs!D$250:D$259, $K$345)</f>
        <v>1</v>
      </c>
      <c r="L347" s="33">
        <f>COUNTIF(Logs!D$250:D$259, $L$345)</f>
        <v>1</v>
      </c>
      <c r="M347" s="326">
        <f>COUNTIF(Logs!D$250:D$259, $M$345)</f>
        <v>0</v>
      </c>
      <c r="N347" s="329">
        <f>COUNTIF(Logs!D$250:D$259, $N$345)</f>
        <v>0</v>
      </c>
      <c r="P347" s="163" t="s">
        <v>2</v>
      </c>
      <c r="Q347" s="319">
        <f>COUNTIF(Logs!D$267:D$276, $Q$345)</f>
        <v>4</v>
      </c>
      <c r="R347" s="8">
        <f>COUNTIF(Logs!D$267:D$276, $R$345)</f>
        <v>1</v>
      </c>
      <c r="S347" s="33">
        <f>COUNTIF(Logs!D$267:D$276, $S$345)</f>
        <v>0</v>
      </c>
      <c r="T347" s="326">
        <f>COUNTIF(Logs!D$267:D$276, $T$345)</f>
        <v>0</v>
      </c>
      <c r="U347" s="329">
        <f>COUNTIF(Logs!D$267:D$276, $U$345)</f>
        <v>1</v>
      </c>
      <c r="W347" s="163" t="s">
        <v>2</v>
      </c>
      <c r="X347" s="319">
        <f>COUNTIF(Logs!D$285:D$294, $X$345)</f>
        <v>3</v>
      </c>
      <c r="Y347" s="8">
        <f>COUNTIF(Logs!D$285:D$294, $Y$345)</f>
        <v>1</v>
      </c>
      <c r="Z347" s="33">
        <f>COUNTIF(Logs!D$285:D$294, $Z$345)</f>
        <v>1</v>
      </c>
      <c r="AA347" s="326">
        <f>COUNTIF(Logs!D$285:D$294, $AA$345)</f>
        <v>0</v>
      </c>
      <c r="AB347" s="329">
        <f>COUNTIF(Logs!D$285:D$294, $AB$345)</f>
        <v>0</v>
      </c>
    </row>
    <row r="348" spans="2:29">
      <c r="B348" s="163" t="s">
        <v>3</v>
      </c>
      <c r="C348" s="319">
        <f>COUNTIF(Logs!E$233:E$242, $C$345)</f>
        <v>4</v>
      </c>
      <c r="D348" s="8">
        <f>COUNTIF(Logs!E$233:E$242, $D$345)</f>
        <v>1</v>
      </c>
      <c r="E348" s="33">
        <f>COUNTIF(Logs!E$233:E$242, $E$345)</f>
        <v>1</v>
      </c>
      <c r="F348" s="326">
        <f>COUNTIF(Logs!E$233:E$242, $F$345)</f>
        <v>0</v>
      </c>
      <c r="G348" s="329">
        <f>COUNTIF(Logs!E$233:E$242, $G$345)</f>
        <v>0</v>
      </c>
      <c r="I348" s="163" t="s">
        <v>3</v>
      </c>
      <c r="J348" s="319">
        <f>COUNTIF(Logs!E$250:E$259, $J$345)</f>
        <v>3</v>
      </c>
      <c r="K348" s="8">
        <f>COUNTIF(Logs!E$250:E$259, $K$345)</f>
        <v>1</v>
      </c>
      <c r="L348" s="33">
        <f>COUNTIF(Logs!E$250:E$259, $L$345)</f>
        <v>1</v>
      </c>
      <c r="M348" s="326">
        <f>COUNTIF(Logs!E$250:E$259, $M$345)</f>
        <v>0</v>
      </c>
      <c r="N348" s="329">
        <f>COUNTIF(Logs!E$250:E$259, $N$345)</f>
        <v>0</v>
      </c>
      <c r="P348" s="163" t="s">
        <v>3</v>
      </c>
      <c r="Q348" s="319">
        <f>COUNTIF(Logs!E$267:E$276, $Q$345)</f>
        <v>4</v>
      </c>
      <c r="R348" s="8">
        <f>COUNTIF(Logs!E$267:E$276, $R$345)</f>
        <v>1</v>
      </c>
      <c r="S348" s="33">
        <f>COUNTIF(Logs!E$267:E$276, $S$345)</f>
        <v>1</v>
      </c>
      <c r="T348" s="326">
        <f>COUNTIF(Logs!E$267:E$276, $T$345)</f>
        <v>0</v>
      </c>
      <c r="U348" s="329">
        <f>COUNTIF(Logs!E$267:E$276, $U$345)</f>
        <v>0</v>
      </c>
      <c r="W348" s="163" t="s">
        <v>3</v>
      </c>
      <c r="X348" s="319">
        <f>COUNTIF(Logs!E$285:E$294, $X$345)</f>
        <v>4</v>
      </c>
      <c r="Y348" s="8">
        <f>COUNTIF(Logs!E$285:E$294, $Y$345)</f>
        <v>1</v>
      </c>
      <c r="Z348" s="33">
        <f>COUNTIF(Logs!E$285:E$294, $Z$345)</f>
        <v>1</v>
      </c>
      <c r="AA348" s="326">
        <f>COUNTIF(Logs!E$285:E$294, $AA$345)</f>
        <v>0</v>
      </c>
      <c r="AB348" s="329">
        <f>COUNTIF(Logs!E$285:E$294, $AB$345)</f>
        <v>0</v>
      </c>
    </row>
    <row r="349" spans="2:29">
      <c r="B349" s="163" t="s">
        <v>4</v>
      </c>
      <c r="C349" s="319">
        <f>COUNTIF(Logs!F$233:F$242, $C$345)</f>
        <v>6</v>
      </c>
      <c r="D349" s="8">
        <f>COUNTIF(Logs!F$233:F$242, $D$345)</f>
        <v>1</v>
      </c>
      <c r="E349" s="33">
        <f>COUNTIF(Logs!F$233:F$242, $E$345)</f>
        <v>1</v>
      </c>
      <c r="F349" s="326">
        <f>COUNTIF(Logs!F$233:F$242, $F$345)</f>
        <v>1</v>
      </c>
      <c r="G349" s="329">
        <f>COUNTIF(Logs!F$233:F$242, $G$345)</f>
        <v>0</v>
      </c>
      <c r="I349" s="163" t="s">
        <v>4</v>
      </c>
      <c r="J349" s="319">
        <f>COUNTIF(Logs!F$250:F$259, $J$345)</f>
        <v>5</v>
      </c>
      <c r="K349" s="8">
        <f>COUNTIF(Logs!F$250:F$259, $K$345)</f>
        <v>1</v>
      </c>
      <c r="L349" s="33">
        <f>COUNTIF(Logs!F$250:F$259, $L$345)</f>
        <v>1</v>
      </c>
      <c r="M349" s="326">
        <f>COUNTIF(Logs!F$250:F$259, $M$345)</f>
        <v>0</v>
      </c>
      <c r="N349" s="329">
        <f>COUNTIF(Logs!F$250:F$259, $N$345)</f>
        <v>0</v>
      </c>
      <c r="P349" s="163" t="s">
        <v>4</v>
      </c>
      <c r="Q349" s="319">
        <f>COUNTIF(Logs!F$267:F$276, $Q$345)</f>
        <v>4</v>
      </c>
      <c r="R349" s="8">
        <f>COUNTIF(Logs!F$267:F$276, $R$345)</f>
        <v>1</v>
      </c>
      <c r="S349" s="33">
        <f>COUNTIF(Logs!F$267:F$276, $S$345)</f>
        <v>1</v>
      </c>
      <c r="T349" s="326">
        <f>COUNTIF(Logs!F$267:F$276, $T$345)</f>
        <v>0</v>
      </c>
      <c r="U349" s="329">
        <f>COUNTIF(Logs!F$267:F$276, $U$345)</f>
        <v>0</v>
      </c>
      <c r="W349" s="163" t="s">
        <v>4</v>
      </c>
      <c r="X349" s="319">
        <f>COUNTIF(Logs!F$285:F$294, $X$345)</f>
        <v>4</v>
      </c>
      <c r="Y349" s="8">
        <f>COUNTIF(Logs!F$285:F$294, $Y$345)</f>
        <v>1</v>
      </c>
      <c r="Z349" s="33">
        <f>COUNTIF(Logs!F$285:F$294, $Z$345)</f>
        <v>1</v>
      </c>
      <c r="AA349" s="326">
        <f>COUNTIF(Logs!F$285:F$294, $AA$345)</f>
        <v>0</v>
      </c>
      <c r="AB349" s="329">
        <f>COUNTIF(Logs!F$285:F$294, $AB$345)</f>
        <v>0</v>
      </c>
    </row>
    <row r="350" spans="2:29">
      <c r="B350" s="163" t="s">
        <v>5</v>
      </c>
      <c r="C350" s="319">
        <f>COUNTIF(Logs!G$233:G$242, $C$345)</f>
        <v>5</v>
      </c>
      <c r="D350" s="8">
        <f>COUNTIF(Logs!G$233:G$242, $D$345)</f>
        <v>1</v>
      </c>
      <c r="E350" s="33">
        <f>COUNTIF(Logs!G$233:G$242, $E$345)</f>
        <v>1</v>
      </c>
      <c r="F350" s="326">
        <f>COUNTIF(Logs!G$233:G$242, $F$345)</f>
        <v>0</v>
      </c>
      <c r="G350" s="329">
        <f>COUNTIF(Logs!G$233:G$242, $G$345)</f>
        <v>0</v>
      </c>
      <c r="I350" s="163" t="s">
        <v>5</v>
      </c>
      <c r="J350" s="319">
        <f>COUNTIF(Logs!G$250:G$259, $J$345)</f>
        <v>2</v>
      </c>
      <c r="K350" s="8">
        <f>COUNTIF(Logs!G$250:G$259, $K$345)</f>
        <v>1</v>
      </c>
      <c r="L350" s="33">
        <f>COUNTIF(Logs!G$250:G$259, $L$345)</f>
        <v>1</v>
      </c>
      <c r="M350" s="326">
        <f>COUNTIF(Logs!G$250:G$259, $M$345)</f>
        <v>0</v>
      </c>
      <c r="N350" s="329">
        <f>COUNTIF(Logs!G$250:G$259, $N$345)</f>
        <v>0</v>
      </c>
      <c r="P350" s="163" t="s">
        <v>5</v>
      </c>
      <c r="Q350" s="319">
        <f>COUNTIF(Logs!G$267:G$276, $Q$345)</f>
        <v>4</v>
      </c>
      <c r="R350" s="8">
        <f>COUNTIF(Logs!G$267:G$276, $R$345)</f>
        <v>1</v>
      </c>
      <c r="S350" s="33">
        <f>COUNTIF(Logs!G$267:G$276, $S$345)</f>
        <v>1</v>
      </c>
      <c r="T350" s="326">
        <f>COUNTIF(Logs!G$267:G$276, $T$345)</f>
        <v>1</v>
      </c>
      <c r="U350" s="329">
        <f>COUNTIF(Logs!G$267:G$276, $U$345)</f>
        <v>0</v>
      </c>
      <c r="W350" s="163" t="s">
        <v>5</v>
      </c>
      <c r="X350" s="319">
        <f>COUNTIF(Logs!G$285:G$294, $X$345)</f>
        <v>5</v>
      </c>
      <c r="Y350" s="8">
        <f>COUNTIF(Logs!G$285:G$294, $Y$345)</f>
        <v>0</v>
      </c>
      <c r="Z350" s="33">
        <f>COUNTIF(Logs!G$285:G$294, $Z$345)</f>
        <v>1</v>
      </c>
      <c r="AA350" s="326">
        <f>COUNTIF(Logs!G$285:G$294, $AA$345)</f>
        <v>0</v>
      </c>
      <c r="AB350" s="329">
        <f>COUNTIF(Logs!G$285:G$294, $AB$345)</f>
        <v>1</v>
      </c>
    </row>
    <row r="351" spans="2:29">
      <c r="B351" s="163" t="s">
        <v>6</v>
      </c>
      <c r="C351" s="319">
        <f>COUNTIF(Logs!H$233:H$242, $C$345)</f>
        <v>3</v>
      </c>
      <c r="D351" s="8">
        <f>COUNTIF(Logs!H$233:H$242, $D$345)</f>
        <v>1</v>
      </c>
      <c r="E351" s="33">
        <f>COUNTIF(Logs!H$233:H$242, $E$345)</f>
        <v>1</v>
      </c>
      <c r="F351" s="326">
        <f>COUNTIF(Logs!H$233:H$242, $F$345)</f>
        <v>0</v>
      </c>
      <c r="G351" s="329">
        <f>COUNTIF(Logs!H$233:H$242, $G$345)</f>
        <v>0</v>
      </c>
      <c r="I351" s="163" t="s">
        <v>6</v>
      </c>
      <c r="J351" s="319">
        <f>COUNTIF(Logs!H$250:H$259, $J$345)</f>
        <v>4</v>
      </c>
      <c r="K351" s="8">
        <f>COUNTIF(Logs!H$250:H$259, $K$345)</f>
        <v>1</v>
      </c>
      <c r="L351" s="33">
        <f>COUNTIF(Logs!H$250:H$259, $L$345)</f>
        <v>1</v>
      </c>
      <c r="M351" s="326">
        <f>COUNTIF(Logs!H$250:H$259, $M$345)</f>
        <v>0</v>
      </c>
      <c r="N351" s="329">
        <f>COUNTIF(Logs!H$250:H$259, $N$345)</f>
        <v>1</v>
      </c>
      <c r="P351" s="163" t="s">
        <v>6</v>
      </c>
      <c r="Q351" s="319">
        <f>COUNTIF(Logs!H$267:H$276, $Q$345)</f>
        <v>4</v>
      </c>
      <c r="R351" s="8">
        <f>COUNTIF(Logs!H$267:H$276, $R$345)</f>
        <v>1</v>
      </c>
      <c r="S351" s="33">
        <f>COUNTIF(Logs!H$267:H$276, $S$345)</f>
        <v>1</v>
      </c>
      <c r="T351" s="326">
        <f>COUNTIF(Logs!H$267:H$276, $T$345)</f>
        <v>0</v>
      </c>
      <c r="U351" s="329">
        <f>COUNTIF(Logs!H$267:H$276, $U$345)</f>
        <v>0</v>
      </c>
      <c r="W351" s="163" t="s">
        <v>6</v>
      </c>
      <c r="X351" s="319">
        <f>COUNTIF(Logs!H$285:H$294, $X$345)</f>
        <v>4</v>
      </c>
      <c r="Y351" s="8">
        <f>COUNTIF(Logs!H$285:H$294, $Y$345)</f>
        <v>1</v>
      </c>
      <c r="Z351" s="33">
        <f>COUNTIF(Logs!H$285:H$294, $Z$345)</f>
        <v>1</v>
      </c>
      <c r="AA351" s="326">
        <f>COUNTIF(Logs!H$285:H$294, $AA$345)</f>
        <v>0</v>
      </c>
      <c r="AB351" s="329">
        <f>COUNTIF(Logs!H$285:H$294, $AB$345)</f>
        <v>0</v>
      </c>
    </row>
    <row r="352" spans="2:29">
      <c r="B352" s="163" t="s">
        <v>7</v>
      </c>
      <c r="C352" s="319">
        <f>COUNTIF(Logs!I$233:I$242, $C$345)</f>
        <v>3</v>
      </c>
      <c r="D352" s="8">
        <f>COUNTIF(Logs!I$233:I$242, $D$345)</f>
        <v>1</v>
      </c>
      <c r="E352" s="33">
        <f>COUNTIF(Logs!I$233:I$242, $E$345)</f>
        <v>1</v>
      </c>
      <c r="F352" s="326">
        <f>COUNTIF(Logs!I$233:I$242, $F$345)</f>
        <v>0</v>
      </c>
      <c r="G352" s="329">
        <f>COUNTIF(Logs!I$233:I$242, $G$345)</f>
        <v>1</v>
      </c>
      <c r="I352" s="163" t="s">
        <v>7</v>
      </c>
      <c r="J352" s="319">
        <f>COUNTIF(Logs!I$250:I$259, $J$345)</f>
        <v>4</v>
      </c>
      <c r="K352" s="8">
        <f>COUNTIF(Logs!I$250:I$259, $K$345)</f>
        <v>0</v>
      </c>
      <c r="L352" s="33">
        <f>COUNTIF(Logs!I$250:I$259, $L$345)</f>
        <v>1</v>
      </c>
      <c r="M352" s="326">
        <f>COUNTIF(Logs!I$250:I$259, $M$345)</f>
        <v>1</v>
      </c>
      <c r="N352" s="329">
        <f>COUNTIF(Logs!I$250:I$259, $N$345)</f>
        <v>0</v>
      </c>
      <c r="P352" s="163" t="s">
        <v>7</v>
      </c>
      <c r="Q352" s="319">
        <f>COUNTIF(Logs!I$267:I$276, $Q$345)</f>
        <v>4</v>
      </c>
      <c r="R352" s="8">
        <f>COUNTIF(Logs!I$267:I$276, $R$345)</f>
        <v>1</v>
      </c>
      <c r="S352" s="33">
        <f>COUNTIF(Logs!I$267:I$276, $S$345)</f>
        <v>1</v>
      </c>
      <c r="T352" s="326">
        <f>COUNTIF(Logs!I$267:I$276, $T$345)</f>
        <v>0</v>
      </c>
      <c r="U352" s="329">
        <f>COUNTIF(Logs!I$267:I$276, $U$345)</f>
        <v>0</v>
      </c>
      <c r="W352" s="163" t="s">
        <v>7</v>
      </c>
      <c r="X352" s="319">
        <f>COUNTIF(Logs!I$285:I$294, $X$345)</f>
        <v>4</v>
      </c>
      <c r="Y352" s="8">
        <f>COUNTIF(Logs!I$285:I$294, $Y$345)</f>
        <v>1</v>
      </c>
      <c r="Z352" s="33">
        <f>COUNTIF(Logs!I$285:I$294, $Z$345)</f>
        <v>1</v>
      </c>
      <c r="AA352" s="326">
        <f>COUNTIF(Logs!I$285:I$294, $AA$345)</f>
        <v>0</v>
      </c>
      <c r="AB352" s="329">
        <f>COUNTIF(Logs!I$285:I$294, $AB$345)</f>
        <v>0</v>
      </c>
    </row>
    <row r="353" spans="2:30">
      <c r="B353" s="163" t="s">
        <v>8</v>
      </c>
      <c r="C353" s="319">
        <f>COUNTIF(Logs!J$233:J$242, $C$345)</f>
        <v>3</v>
      </c>
      <c r="D353" s="8">
        <f>COUNTIF(Logs!J$233:J$242, $D$345)</f>
        <v>1</v>
      </c>
      <c r="E353" s="33">
        <f>COUNTIF(Logs!J$233:J$242, $E$345)</f>
        <v>1</v>
      </c>
      <c r="F353" s="326">
        <f>COUNTIF(Logs!J$233:J$242, $F$345)</f>
        <v>1</v>
      </c>
      <c r="G353" s="329">
        <f>COUNTIF(Logs!J$233:J$242, $G$345)</f>
        <v>0</v>
      </c>
      <c r="I353" s="163" t="s">
        <v>8</v>
      </c>
      <c r="J353" s="319">
        <f>COUNTIF(Logs!J$250:J$259, $J$345)</f>
        <v>3</v>
      </c>
      <c r="K353" s="8">
        <f>COUNTIF(Logs!J$250:J$259, $K$345)</f>
        <v>1</v>
      </c>
      <c r="L353" s="33">
        <f>COUNTIF(Logs!J$250:J$259, $L$345)</f>
        <v>1</v>
      </c>
      <c r="M353" s="326">
        <f>COUNTIF(Logs!J$250:J$259, $M$345)</f>
        <v>0</v>
      </c>
      <c r="N353" s="329">
        <f>COUNTIF(Logs!J$250:J$259, $N$345)</f>
        <v>0</v>
      </c>
      <c r="P353" s="163" t="s">
        <v>8</v>
      </c>
      <c r="Q353" s="319">
        <f>COUNTIF(Logs!J$267:J$276, $Q$345)</f>
        <v>4</v>
      </c>
      <c r="R353" s="8">
        <f>COUNTIF(Logs!J$267:J$276, $R$345)</f>
        <v>1</v>
      </c>
      <c r="S353" s="33">
        <f>COUNTIF(Logs!J$267:J$276, $S$345)</f>
        <v>1</v>
      </c>
      <c r="T353" s="326">
        <f>COUNTIF(Logs!J$267:J$276, $T$345)</f>
        <v>0</v>
      </c>
      <c r="U353" s="329">
        <f>COUNTIF(Logs!J$267:J$276, $U$345)</f>
        <v>0</v>
      </c>
      <c r="W353" s="163" t="s">
        <v>8</v>
      </c>
      <c r="X353" s="319">
        <f>COUNTIF(Logs!J$285:J$294, $X$345)</f>
        <v>3</v>
      </c>
      <c r="Y353" s="8">
        <f>COUNTIF(Logs!J$285:J$294, $Y$345)</f>
        <v>1</v>
      </c>
      <c r="Z353" s="33">
        <f>COUNTIF(Logs!J$285:J$294, $Z$345)</f>
        <v>1</v>
      </c>
      <c r="AA353" s="326">
        <f>COUNTIF(Logs!J$285:J$294, $AA$345)</f>
        <v>0</v>
      </c>
      <c r="AB353" s="329">
        <f>COUNTIF(Logs!J$285:J$294, $AB$345)</f>
        <v>1</v>
      </c>
    </row>
    <row r="354" spans="2:30">
      <c r="B354" s="163" t="s">
        <v>9</v>
      </c>
      <c r="C354" s="319">
        <f>COUNTIF(Logs!K$233:K$242, $C$345)</f>
        <v>4</v>
      </c>
      <c r="D354" s="8">
        <f>COUNTIF(Logs!K$233:K$242, $D$345)</f>
        <v>1</v>
      </c>
      <c r="E354" s="33">
        <f>COUNTIF(Logs!K$233:K$242, $E$345)</f>
        <v>1</v>
      </c>
      <c r="F354" s="326">
        <f>COUNTIF(Logs!K$233:K$242, $F$345)</f>
        <v>0</v>
      </c>
      <c r="G354" s="329">
        <f>COUNTIF(Logs!K$233:K$242, $G$345)</f>
        <v>0</v>
      </c>
      <c r="I354" s="163" t="s">
        <v>9</v>
      </c>
      <c r="J354" s="319">
        <f>COUNTIF(Logs!K$250:K$259, $J$345)</f>
        <v>3</v>
      </c>
      <c r="K354" s="8">
        <f>COUNTIF(Logs!K$250:K$259, $K$345)</f>
        <v>1</v>
      </c>
      <c r="L354" s="33">
        <f>COUNTIF(Logs!K$250:K$259, $L$345)</f>
        <v>1</v>
      </c>
      <c r="M354" s="326">
        <f>COUNTIF(Logs!K$250:K$259, $M$345)</f>
        <v>0</v>
      </c>
      <c r="N354" s="329">
        <f>COUNTIF(Logs!K$250:K$259, $N$345)</f>
        <v>1</v>
      </c>
      <c r="P354" s="163" t="s">
        <v>9</v>
      </c>
      <c r="Q354" s="319">
        <f>COUNTIF(Logs!K$267:K$276, $Q$345)</f>
        <v>3</v>
      </c>
      <c r="R354" s="8">
        <f>COUNTIF(Logs!K$267:K$276, $R$345)</f>
        <v>1</v>
      </c>
      <c r="S354" s="33">
        <f>COUNTIF(Logs!K$267:K$276, $S$345)</f>
        <v>1</v>
      </c>
      <c r="T354" s="326">
        <f>COUNTIF(Logs!K$267:K$276, $T$345)</f>
        <v>0</v>
      </c>
      <c r="U354" s="329">
        <f>COUNTIF(Logs!K$267:K$276, $U$345)</f>
        <v>1</v>
      </c>
      <c r="W354" s="163" t="s">
        <v>9</v>
      </c>
      <c r="X354" s="319">
        <f>COUNTIF(Logs!K$285:K$294, $X$345)</f>
        <v>6</v>
      </c>
      <c r="Y354" s="8">
        <f>COUNTIF(Logs!K$285:K$294, $Y$345)</f>
        <v>1</v>
      </c>
      <c r="Z354" s="33">
        <f>COUNTIF(Logs!K$285:K$294, $Z$345)</f>
        <v>1</v>
      </c>
      <c r="AA354" s="326">
        <f>COUNTIF(Logs!K$285:K$294, $AA$345)</f>
        <v>1</v>
      </c>
      <c r="AB354" s="329">
        <f>COUNTIF(Logs!K$285:K$294, $AB$345)</f>
        <v>0</v>
      </c>
    </row>
    <row r="355" spans="2:30">
      <c r="B355" s="163" t="s">
        <v>10</v>
      </c>
      <c r="C355" s="319">
        <f>COUNTIF(Logs!L$233:L$242, $C$345)</f>
        <v>4</v>
      </c>
      <c r="D355" s="8">
        <f>COUNTIF(Logs!L$233:L$242, $D$345)</f>
        <v>1</v>
      </c>
      <c r="E355" s="33">
        <f>COUNTIF(Logs!L$233:L$242, $E$345)</f>
        <v>1</v>
      </c>
      <c r="F355" s="326">
        <f>COUNTIF(Logs!L$233:L$242, $F$345)</f>
        <v>0</v>
      </c>
      <c r="G355" s="329">
        <f>COUNTIF(Logs!L$233:L$242, $G$345)</f>
        <v>1</v>
      </c>
      <c r="I355" s="163" t="s">
        <v>10</v>
      </c>
      <c r="J355" s="319">
        <f>COUNTIF(Logs!L$250:L$259, $J$345)</f>
        <v>3</v>
      </c>
      <c r="K355" s="8">
        <f>COUNTIF(Logs!L$250:L$259, $K$345)</f>
        <v>1</v>
      </c>
      <c r="L355" s="33">
        <f>COUNTIF(Logs!L$250:L$259, $L$345)</f>
        <v>1</v>
      </c>
      <c r="M355" s="326">
        <f>COUNTIF(Logs!L$250:L$259, $M$345)</f>
        <v>0</v>
      </c>
      <c r="N355" s="329">
        <f>COUNTIF(Logs!L$250:L$259, $N$345)</f>
        <v>0</v>
      </c>
      <c r="P355" s="163" t="s">
        <v>10</v>
      </c>
      <c r="Q355" s="319">
        <f>COUNTIF(Logs!L$267:L$276, $Q$345)</f>
        <v>4</v>
      </c>
      <c r="R355" s="8">
        <f>COUNTIF(Logs!L$267:L$276, $R$345)</f>
        <v>1</v>
      </c>
      <c r="S355" s="33">
        <f>COUNTIF(Logs!L$267:L$276, $S$345)</f>
        <v>1</v>
      </c>
      <c r="T355" s="326">
        <f>COUNTIF(Logs!L$267:L$276, $T$345)</f>
        <v>0</v>
      </c>
      <c r="U355" s="329">
        <f>COUNTIF(Logs!L$267:L$276, $U$345)</f>
        <v>0</v>
      </c>
      <c r="W355" s="163" t="s">
        <v>10</v>
      </c>
      <c r="X355" s="319">
        <f>COUNTIF(Logs!L$285:L$294, $X$345)</f>
        <v>5</v>
      </c>
      <c r="Y355" s="8">
        <f>COUNTIF(Logs!L$285:L$294, $Y$345)</f>
        <v>2</v>
      </c>
      <c r="Z355" s="33">
        <f>COUNTIF(Logs!L$285:L$294, $Z$345)</f>
        <v>0</v>
      </c>
      <c r="AA355" s="326">
        <f>COUNTIF(Logs!L$285:L$294, $AA$345)</f>
        <v>0</v>
      </c>
      <c r="AB355" s="329">
        <f>COUNTIF(Logs!L$285:L$294, $AB$345)</f>
        <v>0</v>
      </c>
    </row>
    <row r="356" spans="2:30">
      <c r="B356" s="163" t="s">
        <v>36</v>
      </c>
      <c r="C356" s="319">
        <f>COUNTIF(Logs!M$233:M$242, $C$345)</f>
        <v>7</v>
      </c>
      <c r="D356" s="8">
        <f>COUNTIF(Logs!M$233:M$242, $D$345)</f>
        <v>0</v>
      </c>
      <c r="E356" s="33">
        <f>COUNTIF(Logs!M$233:M$242, $E$345)</f>
        <v>1</v>
      </c>
      <c r="F356" s="326">
        <f>COUNTIF(Logs!M$233:M$242, $F$345)</f>
        <v>0</v>
      </c>
      <c r="G356" s="329">
        <f>COUNTIF(Logs!M$233:M$242, $G$345)</f>
        <v>0</v>
      </c>
      <c r="I356" s="163" t="s">
        <v>36</v>
      </c>
      <c r="J356" s="319">
        <f>COUNTIF(Logs!M$250:M$259, $J$345)</f>
        <v>6</v>
      </c>
      <c r="K356" s="8">
        <f>COUNTIF(Logs!M$250:M$259, $K$345)</f>
        <v>1</v>
      </c>
      <c r="L356" s="33">
        <f>COUNTIF(Logs!M$250:M$259, $L$345)</f>
        <v>1</v>
      </c>
      <c r="M356" s="326">
        <f>COUNTIF(Logs!M$250:M$259, $M$345)</f>
        <v>0</v>
      </c>
      <c r="N356" s="329">
        <f>COUNTIF(Logs!M$250:M$259, $N$345)</f>
        <v>0</v>
      </c>
      <c r="P356" s="163" t="s">
        <v>36</v>
      </c>
      <c r="Q356" s="319">
        <f>COUNTIF(Logs!M$267:M$276, $Q$345)</f>
        <v>6</v>
      </c>
      <c r="R356" s="8">
        <f>COUNTIF(Logs!M$267:M$276, $R$345)</f>
        <v>2</v>
      </c>
      <c r="S356" s="33">
        <f>COUNTIF(Logs!M$267:M$276, $S$345)</f>
        <v>1</v>
      </c>
      <c r="T356" s="326">
        <f>COUNTIF(Logs!M$267:M$276, $T$345)</f>
        <v>0</v>
      </c>
      <c r="U356" s="329">
        <f>COUNTIF(Logs!M$267:M$276, $U$345)</f>
        <v>0</v>
      </c>
      <c r="W356" s="163" t="s">
        <v>36</v>
      </c>
      <c r="X356" s="319">
        <f>COUNTIF(Logs!M$285:M$294, $X$345)</f>
        <v>4</v>
      </c>
      <c r="Y356" s="8">
        <f>COUNTIF(Logs!M$285:M$294, $Y$345)</f>
        <v>1</v>
      </c>
      <c r="Z356" s="33">
        <f>COUNTIF(Logs!M$285:M$294, $Z$345)</f>
        <v>1</v>
      </c>
      <c r="AA356" s="326">
        <f>COUNTIF(Logs!M$285:M$294, $AA$345)</f>
        <v>0</v>
      </c>
      <c r="AB356" s="329">
        <f>COUNTIF(Logs!M$285:M$294, $AB$345)</f>
        <v>1</v>
      </c>
    </row>
    <row r="357" spans="2:30">
      <c r="B357" s="318" t="s">
        <v>200</v>
      </c>
      <c r="C357" s="321">
        <f>SUM(C$343:C$356)</f>
        <v>48</v>
      </c>
      <c r="D357" s="323">
        <f>SUM(D$346:D$356)</f>
        <v>9</v>
      </c>
      <c r="E357" s="324">
        <f>SUM(E$346:E$356)</f>
        <v>11</v>
      </c>
      <c r="F357" s="328">
        <f>SUM(F$346:F$356)</f>
        <v>2</v>
      </c>
      <c r="G357" s="330">
        <f>SUM(G$346:G$356)</f>
        <v>2</v>
      </c>
      <c r="I357" s="163" t="s">
        <v>37</v>
      </c>
      <c r="J357" s="319">
        <f>COUNTIF(Logs!N$250:N$259, $J$345)</f>
        <v>4</v>
      </c>
      <c r="K357" s="8">
        <f>COUNTIF(Logs!N$250:N$259, $K$345)</f>
        <v>1</v>
      </c>
      <c r="L357" s="33">
        <f>COUNTIF(Logs!N$250:N$259, $L$345)</f>
        <v>0</v>
      </c>
      <c r="M357" s="326">
        <f>COUNTIF(Logs!N$250:N$259, $M$345)</f>
        <v>0</v>
      </c>
      <c r="N357" s="329">
        <f>COUNTIF(Logs!N$250:N$259, $N$345)</f>
        <v>0</v>
      </c>
      <c r="P357" s="163" t="s">
        <v>37</v>
      </c>
      <c r="Q357" s="319">
        <f>COUNTIF(Logs!N$267:N$276, $Q$345)</f>
        <v>8</v>
      </c>
      <c r="R357" s="8">
        <f>COUNTIF(Logs!N$267:N$276, $R$345)</f>
        <v>1</v>
      </c>
      <c r="S357" s="33">
        <f>COUNTIF(Logs!N$267:N$276, $S$345)</f>
        <v>0</v>
      </c>
      <c r="T357" s="326">
        <f>COUNTIF(Logs!N$267:N$276, $T$345)</f>
        <v>0</v>
      </c>
      <c r="U357" s="329">
        <f>COUNTIF(Logs!N$267:N$276, $U$345)</f>
        <v>0</v>
      </c>
      <c r="W357" s="163" t="s">
        <v>37</v>
      </c>
      <c r="X357" s="319">
        <f>COUNTIF(Logs!N$285:N$294, $X$345)</f>
        <v>8</v>
      </c>
      <c r="Y357" s="8">
        <f>COUNTIF(Logs!N$285:N$294, $Y$345)</f>
        <v>1</v>
      </c>
      <c r="Z357" s="33">
        <f>COUNTIF(Logs!N$285:N$294, $Z$345)</f>
        <v>0</v>
      </c>
      <c r="AA357" s="326">
        <f>COUNTIF(Logs!N$285:N$294, $AA$345)</f>
        <v>0</v>
      </c>
      <c r="AB357" s="329">
        <f>COUNTIF(Logs!N$285:N$294, $AB$345)</f>
        <v>0</v>
      </c>
      <c r="AD357" s="319"/>
    </row>
    <row r="358" spans="2:30">
      <c r="I358" s="318" t="s">
        <v>200</v>
      </c>
      <c r="J358" s="321">
        <f>SUM(J$346:J$357)</f>
        <v>46</v>
      </c>
      <c r="K358" s="323">
        <f>SUM(K$346:K$357)</f>
        <v>11</v>
      </c>
      <c r="L358" s="324">
        <f>SUM(L$346:L$357)</f>
        <v>10</v>
      </c>
      <c r="M358" s="328">
        <f>SUM(M$346:M$357)</f>
        <v>1</v>
      </c>
      <c r="N358" s="330">
        <f>SUM(N$346:N$357)</f>
        <v>2</v>
      </c>
      <c r="P358" s="318" t="s">
        <v>200</v>
      </c>
      <c r="Q358" s="321">
        <f>SUM(Q$346:Q$357)</f>
        <v>51</v>
      </c>
      <c r="R358" s="323">
        <f>SUM(R$346:R$357)</f>
        <v>13</v>
      </c>
      <c r="S358" s="324">
        <f>SUM(S$346:S$357)</f>
        <v>9</v>
      </c>
      <c r="T358" s="328">
        <f>SUM(T$346:T$357)</f>
        <v>1</v>
      </c>
      <c r="U358" s="330">
        <f>SUM(U$346:U$357)</f>
        <v>2</v>
      </c>
      <c r="W358" s="318" t="s">
        <v>200</v>
      </c>
      <c r="X358" s="321">
        <f>SUM(X$346:X$357)</f>
        <v>54</v>
      </c>
      <c r="Y358" s="323">
        <f>SUM(Y$346:Y$357)</f>
        <v>12</v>
      </c>
      <c r="Z358" s="324">
        <f>SUM(Z$346:Z$357)</f>
        <v>9</v>
      </c>
      <c r="AA358" s="328">
        <f>SUM(AA$346:AA$357)</f>
        <v>1</v>
      </c>
      <c r="AB358" s="330">
        <f>SUM(AB$346:AB$357)</f>
        <v>3</v>
      </c>
    </row>
    <row r="359" spans="2:30">
      <c r="C359" s="329"/>
      <c r="D359" s="329"/>
      <c r="E359" s="329"/>
      <c r="F359" s="329"/>
      <c r="G359" s="329"/>
      <c r="H359" s="329"/>
      <c r="I359" s="329"/>
      <c r="J359" s="329"/>
      <c r="K359" s="329"/>
      <c r="L359" s="329"/>
      <c r="M359" s="329"/>
      <c r="N359" s="329"/>
      <c r="O359" s="329"/>
      <c r="P359" s="329"/>
      <c r="Q359" s="329"/>
      <c r="R359" s="329"/>
      <c r="S359" s="329"/>
      <c r="T359" s="329"/>
      <c r="U359" s="329"/>
      <c r="V359" s="329"/>
      <c r="W359" s="329"/>
      <c r="X359" s="329"/>
      <c r="Y359" s="329"/>
      <c r="Z359" s="329"/>
      <c r="AA359" s="329"/>
      <c r="AB359" s="329"/>
      <c r="AC359" s="329"/>
    </row>
    <row r="360" spans="2:30">
      <c r="B360" s="57" t="s">
        <v>142</v>
      </c>
      <c r="I360" s="57" t="s">
        <v>143</v>
      </c>
      <c r="O360" s="57" t="s">
        <v>144</v>
      </c>
      <c r="V360" s="57" t="s">
        <v>145</v>
      </c>
    </row>
    <row r="361" spans="2:30">
      <c r="B361" s="243" t="s">
        <v>1110</v>
      </c>
      <c r="C361" s="308" t="s">
        <v>12</v>
      </c>
      <c r="D361" s="309" t="s">
        <v>14</v>
      </c>
      <c r="E361" s="310" t="s">
        <v>13</v>
      </c>
      <c r="F361" s="311" t="s">
        <v>71</v>
      </c>
      <c r="G361" s="312" t="s">
        <v>49</v>
      </c>
      <c r="H361" s="57"/>
      <c r="I361" s="243" t="s">
        <v>1110</v>
      </c>
      <c r="J361" s="308" t="s">
        <v>12</v>
      </c>
      <c r="K361" s="309" t="s">
        <v>14</v>
      </c>
      <c r="L361" s="310" t="s">
        <v>13</v>
      </c>
      <c r="M361" s="312" t="s">
        <v>49</v>
      </c>
      <c r="N361" s="57"/>
      <c r="O361" s="243" t="s">
        <v>1110</v>
      </c>
      <c r="P361" s="308" t="s">
        <v>12</v>
      </c>
      <c r="Q361" s="309" t="s">
        <v>14</v>
      </c>
      <c r="R361" s="310" t="s">
        <v>13</v>
      </c>
      <c r="S361" s="312" t="s">
        <v>49</v>
      </c>
      <c r="T361" s="332" t="s">
        <v>231</v>
      </c>
      <c r="U361" s="57"/>
      <c r="V361" s="243" t="s">
        <v>1110</v>
      </c>
      <c r="W361" s="308" t="s">
        <v>12</v>
      </c>
      <c r="X361" s="309" t="s">
        <v>14</v>
      </c>
      <c r="Y361" s="310" t="s">
        <v>13</v>
      </c>
      <c r="Z361" s="311" t="s">
        <v>71</v>
      </c>
      <c r="AA361" s="312" t="s">
        <v>49</v>
      </c>
      <c r="AB361" s="57"/>
    </row>
    <row r="362" spans="2:30">
      <c r="B362" s="163" t="s">
        <v>1</v>
      </c>
      <c r="C362" s="319">
        <f>COUNTIF(Logs!C$302:C$311, $C$361)</f>
        <v>4</v>
      </c>
      <c r="D362" s="8">
        <f>COUNTIF(Logs!C$302:C$311, $D$361)</f>
        <v>1</v>
      </c>
      <c r="E362" s="33">
        <f>COUNTIF(Logs!C$302:C$311, $E$361)</f>
        <v>0</v>
      </c>
      <c r="F362" s="326">
        <f>COUNTIF(Logs!C$302:C$311, $F$361)</f>
        <v>0</v>
      </c>
      <c r="G362" s="329">
        <f>COUNTIF(Logs!C$302:C$311, $G$361)</f>
        <v>0</v>
      </c>
      <c r="I362" s="163" t="s">
        <v>1</v>
      </c>
      <c r="J362" s="319">
        <f>COUNTIF(Logs!C$320:C$329, $J$361)</f>
        <v>4</v>
      </c>
      <c r="K362" s="8">
        <f>COUNTIF(Logs!C$320:C$329, $K$361)</f>
        <v>1</v>
      </c>
      <c r="L362" s="33">
        <f>COUNTIF(Logs!C$320:C$329,$L$361)</f>
        <v>0</v>
      </c>
      <c r="M362" s="329">
        <f>COUNTIF(Logs!C$320:C$329, $M$361)</f>
        <v>0</v>
      </c>
      <c r="O362" s="163" t="s">
        <v>1</v>
      </c>
      <c r="P362" s="319">
        <f>COUNTIF(Logs!C$338:C$347, $P$361)</f>
        <v>6</v>
      </c>
      <c r="Q362" s="8">
        <f>COUNTIF(Logs!C$338:C$347, $Q$361)</f>
        <v>1</v>
      </c>
      <c r="R362" s="33">
        <f>COUNTIF(Logs!C$338:C$347, $R$361)</f>
        <v>0</v>
      </c>
      <c r="S362" s="329">
        <f>COUNTIF(Logs!C$338:C$347, $S$361)</f>
        <v>0</v>
      </c>
      <c r="T362">
        <f>COUNTIF(Logs!$C$338:$C$347, T$361)</f>
        <v>1</v>
      </c>
      <c r="V362" s="163" t="s">
        <v>1</v>
      </c>
      <c r="W362" s="319">
        <f>COUNTIF(Logs!C$356:C$365, $W$361)</f>
        <v>5</v>
      </c>
      <c r="X362" s="8">
        <f>COUNTIF(Logs!C$356:C$365, $X$361)</f>
        <v>1</v>
      </c>
      <c r="Y362" s="33">
        <f>COUNTIF(Logs!C$356:C$365, $Y$361)</f>
        <v>0</v>
      </c>
      <c r="Z362" s="326">
        <f>COUNTIF(Logs!C$356:C$365, $Z$361)</f>
        <v>0</v>
      </c>
      <c r="AA362" s="329">
        <f>COUNTIF(Logs!C$356:C$365, $AA$361)</f>
        <v>0</v>
      </c>
    </row>
    <row r="363" spans="2:30">
      <c r="B363" s="163" t="s">
        <v>2</v>
      </c>
      <c r="C363" s="319">
        <f>COUNTIF(Logs!D$302:D$311, $C$361)</f>
        <v>4</v>
      </c>
      <c r="D363" s="8">
        <f>COUNTIF(Logs!D$302:D$311, $D$361)</f>
        <v>1</v>
      </c>
      <c r="E363" s="33">
        <f>COUNTIF(Logs!D$302:D$311, $E$361)</f>
        <v>1</v>
      </c>
      <c r="F363" s="326">
        <f>COUNTIF(Logs!D$302:D$311, $F$361)</f>
        <v>0</v>
      </c>
      <c r="G363" s="329">
        <f>COUNTIF(Logs!D$302:D$311, $G$361)</f>
        <v>0</v>
      </c>
      <c r="I363" s="163" t="s">
        <v>2</v>
      </c>
      <c r="J363" s="319">
        <f>COUNTIF(Logs!D$320:D$329, $J$361)</f>
        <v>6</v>
      </c>
      <c r="K363" s="8">
        <f>COUNTIF(Logs!D$320:D$329, $K$361)</f>
        <v>0</v>
      </c>
      <c r="L363" s="33">
        <f>COUNTIF(Logs!D$320:D$329,$L$361)</f>
        <v>1</v>
      </c>
      <c r="M363" s="329">
        <f>COUNTIF(Logs!D$320:D$329, $M$361)</f>
        <v>0</v>
      </c>
      <c r="O363" s="163" t="s">
        <v>2</v>
      </c>
      <c r="P363" s="319">
        <f>COUNTIF(Logs!D$338:D$347, $P$361)</f>
        <v>3</v>
      </c>
      <c r="Q363" s="8">
        <f>COUNTIF(Logs!D$338:D$347, $Q$361)</f>
        <v>1</v>
      </c>
      <c r="R363" s="33">
        <f>COUNTIF(Logs!D$338:D$347, $R$361)</f>
        <v>1</v>
      </c>
      <c r="S363" s="329">
        <f>COUNTIF(Logs!D$338:D$347, $S$361)</f>
        <v>1</v>
      </c>
      <c r="V363" s="163" t="s">
        <v>2</v>
      </c>
      <c r="W363" s="319">
        <f>COUNTIF(Logs!D$356:D$365, $W$361)</f>
        <v>3</v>
      </c>
      <c r="X363" s="8">
        <f>COUNTIF(Logs!D$356:D$365, $X$361)</f>
        <v>1</v>
      </c>
      <c r="Y363" s="33">
        <f>COUNTIF(Logs!D$356:D$365, $Y$361)</f>
        <v>1</v>
      </c>
      <c r="Z363" s="326">
        <f>COUNTIF(Logs!D$356:D$365, $Z$361)</f>
        <v>0</v>
      </c>
      <c r="AA363" s="329">
        <f>COUNTIF(Logs!D$356:D$365, $AA$361)</f>
        <v>0</v>
      </c>
    </row>
    <row r="364" spans="2:30">
      <c r="B364" s="163" t="s">
        <v>3</v>
      </c>
      <c r="C364" s="319">
        <f>COUNTIF(Logs!E$302:E$311, $C$361)</f>
        <v>5</v>
      </c>
      <c r="D364" s="8">
        <f>COUNTIF(Logs!E$302:E$311, $D$361)</f>
        <v>1</v>
      </c>
      <c r="E364" s="33">
        <f>COUNTIF(Logs!E$302:E$311, $E$361)</f>
        <v>1</v>
      </c>
      <c r="F364" s="326">
        <f>COUNTIF(Logs!E$302:E$311, $F$361)</f>
        <v>0</v>
      </c>
      <c r="G364" s="329">
        <f>COUNTIF(Logs!E$302:E$311, $G$361)</f>
        <v>0</v>
      </c>
      <c r="I364" s="163" t="s">
        <v>3</v>
      </c>
      <c r="J364" s="319">
        <f>COUNTIF(Logs!E$320:E$329, $J$361)</f>
        <v>4</v>
      </c>
      <c r="K364" s="8">
        <f>COUNTIF(Logs!E$320:E$329, $K$361)</f>
        <v>1</v>
      </c>
      <c r="L364" s="33">
        <f>COUNTIF(Logs!E$320:E$329,$L$361)</f>
        <v>1</v>
      </c>
      <c r="M364" s="329">
        <f>COUNTIF(Logs!E$320:E$329, $M$361)</f>
        <v>0</v>
      </c>
      <c r="O364" s="163" t="s">
        <v>3</v>
      </c>
      <c r="P364" s="319">
        <f>COUNTIF(Logs!E$338:E$347, $P$361)</f>
        <v>4</v>
      </c>
      <c r="Q364" s="8">
        <f>COUNTIF(Logs!E$338:E$347, $Q$361)</f>
        <v>1</v>
      </c>
      <c r="R364" s="33">
        <f>COUNTIF(Logs!E$338:E$347, $R$361)</f>
        <v>1</v>
      </c>
      <c r="S364" s="329">
        <f>COUNTIF(Logs!E$338:E$347, $S$361)</f>
        <v>0</v>
      </c>
      <c r="V364" s="163" t="s">
        <v>3</v>
      </c>
      <c r="W364" s="319">
        <f>COUNTIF(Logs!E$356:E$365, $W$361)</f>
        <v>3</v>
      </c>
      <c r="X364" s="8">
        <f>COUNTIF(Logs!E$356:E$365, $X$361)</f>
        <v>1</v>
      </c>
      <c r="Y364" s="33">
        <f>COUNTIF(Logs!E$356:E$365, $Y$361)</f>
        <v>1</v>
      </c>
      <c r="Z364" s="326">
        <f>COUNTIF(Logs!E$356:E$365, $Z$361)</f>
        <v>0</v>
      </c>
      <c r="AA364" s="329">
        <f>COUNTIF(Logs!E$356:E$365, $AA$361)</f>
        <v>0</v>
      </c>
    </row>
    <row r="365" spans="2:30">
      <c r="B365" s="163" t="s">
        <v>4</v>
      </c>
      <c r="C365" s="319">
        <f>COUNTIF(Logs!F$302:F$311, $C$361)</f>
        <v>4</v>
      </c>
      <c r="D365" s="8">
        <f>COUNTIF(Logs!F$302:F$311, $D$361)</f>
        <v>1</v>
      </c>
      <c r="E365" s="33">
        <f>COUNTIF(Logs!F$302:F$311, $E$361)</f>
        <v>1</v>
      </c>
      <c r="F365" s="326">
        <f>COUNTIF(Logs!F$302:F$311, $F$361)</f>
        <v>0</v>
      </c>
      <c r="G365" s="329">
        <f>COUNTIF(Logs!F$302:F$311, $G$361)</f>
        <v>1</v>
      </c>
      <c r="I365" s="163" t="s">
        <v>4</v>
      </c>
      <c r="J365" s="319">
        <f>COUNTIF(Logs!F$320:F$329, $J$361)</f>
        <v>6</v>
      </c>
      <c r="K365" s="8">
        <f>COUNTIF(Logs!F$320:F$329, $K$361)</f>
        <v>1</v>
      </c>
      <c r="L365" s="33">
        <f>COUNTIF(Logs!F$320:F$329,$L$361)</f>
        <v>1</v>
      </c>
      <c r="M365" s="329">
        <f>COUNTIF(Logs!F$320:F$329, $M$361)</f>
        <v>0</v>
      </c>
      <c r="O365" s="163" t="s">
        <v>4</v>
      </c>
      <c r="P365" s="319">
        <f>COUNTIF(Logs!F$338:F$347, $P$361)</f>
        <v>3</v>
      </c>
      <c r="Q365" s="8">
        <f>COUNTIF(Logs!F$338:F$347, $Q$361)</f>
        <v>1</v>
      </c>
      <c r="R365" s="33">
        <f>COUNTIF(Logs!F$338:F$347, $R$361)</f>
        <v>1</v>
      </c>
      <c r="S365" s="329">
        <f>COUNTIF(Logs!F$338:F$347, $S$361)</f>
        <v>0</v>
      </c>
      <c r="V365" s="163" t="s">
        <v>4</v>
      </c>
      <c r="W365" s="319">
        <f>COUNTIF(Logs!F$356:F$365, $W$361)</f>
        <v>4</v>
      </c>
      <c r="X365" s="8">
        <f>COUNTIF(Logs!F$356:F$365, $X$361)</f>
        <v>1</v>
      </c>
      <c r="Y365" s="33">
        <f>COUNTIF(Logs!F$356:F$365, $Y$361)</f>
        <v>1</v>
      </c>
      <c r="Z365" s="326">
        <f>COUNTIF(Logs!F$356:F$365, $Z$361)</f>
        <v>1</v>
      </c>
      <c r="AA365" s="329">
        <f>COUNTIF(Logs!F$356:F$365, $AA$361)</f>
        <v>0</v>
      </c>
    </row>
    <row r="366" spans="2:30">
      <c r="B366" s="163" t="s">
        <v>5</v>
      </c>
      <c r="C366" s="319">
        <f>COUNTIF(Logs!G$302:G$311, $C$361)</f>
        <v>4</v>
      </c>
      <c r="D366" s="8">
        <f>COUNTIF(Logs!G$302:G$311, $D$361)</f>
        <v>1</v>
      </c>
      <c r="E366" s="33">
        <f>COUNTIF(Logs!G$302:G$311, $E$361)</f>
        <v>1</v>
      </c>
      <c r="F366" s="326">
        <f>COUNTIF(Logs!G$302:G$311, $F$361)</f>
        <v>1</v>
      </c>
      <c r="G366" s="329">
        <f>COUNTIF(Logs!G$302:G$311, $G$361)</f>
        <v>0</v>
      </c>
      <c r="I366" s="163" t="s">
        <v>5</v>
      </c>
      <c r="J366" s="319">
        <f>COUNTIF(Logs!G$320:G$329, $J$361)</f>
        <v>5</v>
      </c>
      <c r="K366" s="8">
        <f>COUNTIF(Logs!G$320:G$329, $K$361)</f>
        <v>1</v>
      </c>
      <c r="L366" s="33">
        <f>COUNTIF(Logs!G$320:G$329,$L$361)</f>
        <v>1</v>
      </c>
      <c r="M366" s="329">
        <f>COUNTIF(Logs!G$320:G$329, $M$361)</f>
        <v>0</v>
      </c>
      <c r="O366" s="163" t="s">
        <v>5</v>
      </c>
      <c r="P366" s="319">
        <f>COUNTIF(Logs!G$338:G$347, $P$361)</f>
        <v>4</v>
      </c>
      <c r="Q366" s="8">
        <f>COUNTIF(Logs!G$338:G$347, $Q$361)</f>
        <v>2</v>
      </c>
      <c r="R366" s="33">
        <f>COUNTIF(Logs!G$338:G$347, $R$361)</f>
        <v>0</v>
      </c>
      <c r="S366" s="329">
        <f>COUNTIF(Logs!G$338:G$347, $S$361)</f>
        <v>1</v>
      </c>
      <c r="V366" s="163" t="s">
        <v>5</v>
      </c>
      <c r="W366" s="319">
        <f>COUNTIF(Logs!G$356:G$365, $W$361)</f>
        <v>4</v>
      </c>
      <c r="X366" s="8">
        <f>COUNTIF(Logs!G$356:G$365, $X$361)</f>
        <v>1</v>
      </c>
      <c r="Y366" s="33">
        <f>COUNTIF(Logs!G$356:G$365, $Y$361)</f>
        <v>1</v>
      </c>
      <c r="Z366" s="326">
        <f>COUNTIF(Logs!G$356:G$365, $Z$361)</f>
        <v>0</v>
      </c>
      <c r="AA366" s="329">
        <f>COUNTIF(Logs!G$356:G$365, $AA$361)</f>
        <v>1</v>
      </c>
    </row>
    <row r="367" spans="2:30">
      <c r="B367" s="163" t="s">
        <v>6</v>
      </c>
      <c r="C367" s="319">
        <f>COUNTIF(Logs!H$302:H$311, $C$361)</f>
        <v>4</v>
      </c>
      <c r="D367" s="8">
        <f>COUNTIF(Logs!H$302:H$311, $D$361)</f>
        <v>1</v>
      </c>
      <c r="E367" s="33">
        <f>COUNTIF(Logs!H$302:H$311, $E$361)</f>
        <v>1</v>
      </c>
      <c r="F367" s="326">
        <f>COUNTIF(Logs!H$302:H$311, $F$361)</f>
        <v>0</v>
      </c>
      <c r="G367" s="329">
        <f>COUNTIF(Logs!H$302:H$311, $G$361)</f>
        <v>0</v>
      </c>
      <c r="I367" s="163" t="s">
        <v>6</v>
      </c>
      <c r="J367" s="319">
        <f>COUNTIF(Logs!H$320:H$329, $J$361)</f>
        <v>4</v>
      </c>
      <c r="K367" s="8">
        <f>COUNTIF(Logs!H$320:H$329, $K$361)</f>
        <v>1</v>
      </c>
      <c r="L367" s="33">
        <f>COUNTIF(Logs!H$320:H$329,$L$361)</f>
        <v>1</v>
      </c>
      <c r="M367" s="329">
        <f>COUNTIF(Logs!H$320:H$329, $M$361)</f>
        <v>0</v>
      </c>
      <c r="O367" s="163" t="s">
        <v>6</v>
      </c>
      <c r="P367" s="319">
        <f>COUNTIF(Logs!H$338:H$347, $P$361)</f>
        <v>4</v>
      </c>
      <c r="Q367" s="8">
        <f>COUNTIF(Logs!H$338:H$347, $Q$361)</f>
        <v>1</v>
      </c>
      <c r="R367" s="33">
        <f>COUNTIF(Logs!H$338:H$347, $R$361)</f>
        <v>1</v>
      </c>
      <c r="S367" s="329">
        <f>COUNTIF(Logs!H$338:H$347, $S$361)</f>
        <v>0</v>
      </c>
      <c r="V367" s="163" t="s">
        <v>6</v>
      </c>
      <c r="W367" s="319">
        <f>COUNTIF(Logs!H$356:H$365, $W$361)</f>
        <v>4</v>
      </c>
      <c r="X367" s="8">
        <f>COUNTIF(Logs!H$356:H$365, $X$361)</f>
        <v>1</v>
      </c>
      <c r="Y367" s="33">
        <f>COUNTIF(Logs!H$356:H$365, $Y$361)</f>
        <v>1</v>
      </c>
      <c r="Z367" s="326">
        <f>COUNTIF(Logs!H$356:H$365, $Z$361)</f>
        <v>1</v>
      </c>
      <c r="AA367" s="329">
        <f>COUNTIF(Logs!H$356:H$365, $AA$361)</f>
        <v>0</v>
      </c>
    </row>
    <row r="368" spans="2:30">
      <c r="B368" s="163" t="s">
        <v>7</v>
      </c>
      <c r="C368" s="319">
        <f>COUNTIF(Logs!I$302:I$311, $C$361)</f>
        <v>5</v>
      </c>
      <c r="D368" s="8">
        <f>COUNTIF(Logs!I$302:I$311, $D$361)</f>
        <v>1</v>
      </c>
      <c r="E368" s="33">
        <f>COUNTIF(Logs!I$302:I$311, $E$361)</f>
        <v>1</v>
      </c>
      <c r="F368" s="326">
        <f>COUNTIF(Logs!I$302:I$311, $F$361)</f>
        <v>0</v>
      </c>
      <c r="G368" s="329">
        <f>COUNTIF(Logs!I$302:I$311, $G$361)</f>
        <v>0</v>
      </c>
      <c r="I368" s="163" t="s">
        <v>7</v>
      </c>
      <c r="J368" s="319">
        <f>COUNTIF(Logs!I$320:I$329, $J$361)</f>
        <v>3</v>
      </c>
      <c r="K368" s="8">
        <f>COUNTIF(Logs!I$320:I$329, $K$361)</f>
        <v>1</v>
      </c>
      <c r="L368" s="33">
        <f>COUNTIF(Logs!I$320:I$329,$L$361)</f>
        <v>1</v>
      </c>
      <c r="M368" s="329">
        <f>COUNTIF(Logs!I$320:I$329, $M$361)</f>
        <v>0</v>
      </c>
      <c r="O368" s="163" t="s">
        <v>7</v>
      </c>
      <c r="P368" s="319">
        <f>COUNTIF(Logs!I$338:I$347, $P$361)</f>
        <v>3</v>
      </c>
      <c r="Q368" s="8">
        <f>COUNTIF(Logs!I$338:I$347, $Q$361)</f>
        <v>1</v>
      </c>
      <c r="R368" s="33">
        <f>COUNTIF(Logs!I$338:I$347, $R$361)</f>
        <v>1</v>
      </c>
      <c r="S368" s="329">
        <f>COUNTIF(Logs!I$338:I$347, $S$361)</f>
        <v>1</v>
      </c>
      <c r="V368" s="163" t="s">
        <v>7</v>
      </c>
      <c r="W368" s="319">
        <f>COUNTIF(Logs!I$356:I$365, $W$361)</f>
        <v>4</v>
      </c>
      <c r="X368" s="8">
        <f>COUNTIF(Logs!I$356:I$365, $X$361)</f>
        <v>0</v>
      </c>
      <c r="Y368" s="33">
        <f>COUNTIF(Logs!I$356:I$365, $Y$361)</f>
        <v>1</v>
      </c>
      <c r="Z368" s="326">
        <f>COUNTIF(Logs!I$356:I$365, $Z$361)</f>
        <v>0</v>
      </c>
      <c r="AA368" s="329">
        <f>COUNTIF(Logs!I$356:I$365, $AA$361)</f>
        <v>0</v>
      </c>
    </row>
    <row r="369" spans="2:28">
      <c r="B369" s="163" t="s">
        <v>8</v>
      </c>
      <c r="C369" s="319">
        <f>COUNTIF(Logs!J$302:J$311, $C$361)</f>
        <v>5</v>
      </c>
      <c r="D369" s="8">
        <f>COUNTIF(Logs!J$302:J$311, $D$361)</f>
        <v>1</v>
      </c>
      <c r="E369" s="33">
        <f>COUNTIF(Logs!J$302:J$311, $E$361)</f>
        <v>1</v>
      </c>
      <c r="F369" s="326">
        <f>COUNTIF(Logs!J$302:J$311, $F$361)</f>
        <v>0</v>
      </c>
      <c r="G369" s="329">
        <f>COUNTIF(Logs!J$302:J$311, $G$361)</f>
        <v>0</v>
      </c>
      <c r="I369" s="163" t="s">
        <v>8</v>
      </c>
      <c r="J369" s="319">
        <f>COUNTIF(Logs!J$320:J$329, $J$361)</f>
        <v>5</v>
      </c>
      <c r="K369" s="8">
        <f>COUNTIF(Logs!J$320:J$329, $K$361)</f>
        <v>1</v>
      </c>
      <c r="L369" s="33">
        <f>COUNTIF(Logs!J$320:J$329,$L$361)</f>
        <v>1</v>
      </c>
      <c r="M369" s="329">
        <f>COUNTIF(Logs!J$320:J$329, $M$361)</f>
        <v>0</v>
      </c>
      <c r="O369" s="163" t="s">
        <v>8</v>
      </c>
      <c r="P369" s="319">
        <f>COUNTIF(Logs!J$338:J$347, $P$361)</f>
        <v>5</v>
      </c>
      <c r="Q369" s="8">
        <f>COUNTIF(Logs!J$338:J$347, $Q$361)</f>
        <v>1</v>
      </c>
      <c r="R369" s="33">
        <f>COUNTIF(Logs!J$338:J$347, $R$361)</f>
        <v>1</v>
      </c>
      <c r="S369" s="329">
        <f>COUNTIF(Logs!J$338:J$347, $S$361)</f>
        <v>0</v>
      </c>
      <c r="V369" s="163" t="s">
        <v>8</v>
      </c>
      <c r="W369" s="319">
        <f>COUNTIF(Logs!J$356:J$365, $W$361)</f>
        <v>4</v>
      </c>
      <c r="X369" s="8">
        <f>COUNTIF(Logs!J$356:J$365, $X$361)</f>
        <v>1</v>
      </c>
      <c r="Y369" s="33">
        <f>COUNTIF(Logs!J$356:J$365, $Y$361)</f>
        <v>1</v>
      </c>
      <c r="Z369" s="326">
        <f>COUNTIF(Logs!J$356:J$365, $Z$361)</f>
        <v>0</v>
      </c>
      <c r="AA369" s="329">
        <f>COUNTIF(Logs!J$356:J$365, $AA$361)</f>
        <v>1</v>
      </c>
    </row>
    <row r="370" spans="2:28">
      <c r="B370" s="163" t="s">
        <v>9</v>
      </c>
      <c r="C370" s="319">
        <f>COUNTIF(Logs!K$302:K$311, $C$361)</f>
        <v>4</v>
      </c>
      <c r="D370" s="8">
        <f>COUNTIF(Logs!K$302:K$311, $D$361)</f>
        <v>1</v>
      </c>
      <c r="E370" s="33">
        <f>COUNTIF(Logs!K$302:K$311, $E$361)</f>
        <v>1</v>
      </c>
      <c r="F370" s="326">
        <f>COUNTIF(Logs!K$302:K$311, $F$361)</f>
        <v>0</v>
      </c>
      <c r="G370" s="329">
        <f>COUNTIF(Logs!K$302:K$311, $G$361)</f>
        <v>0</v>
      </c>
      <c r="I370" s="163" t="s">
        <v>9</v>
      </c>
      <c r="J370" s="319">
        <f>COUNTIF(Logs!K$320:K$329, $J$361)</f>
        <v>4</v>
      </c>
      <c r="K370" s="8">
        <f>COUNTIF(Logs!K$320:K$329, $K$361)</f>
        <v>1</v>
      </c>
      <c r="L370" s="33">
        <f>COUNTIF(Logs!K$320:K$329,$L$361)</f>
        <v>1</v>
      </c>
      <c r="M370" s="329">
        <f>COUNTIF(Logs!K$320:K$329, $M$361)</f>
        <v>1</v>
      </c>
      <c r="O370" s="163" t="s">
        <v>9</v>
      </c>
      <c r="P370" s="319">
        <f>COUNTIF(Logs!K$338:K$347, $P$361)</f>
        <v>7</v>
      </c>
      <c r="Q370" s="8">
        <f>COUNTIF(Logs!K$338:K$347, $Q$361)</f>
        <v>1</v>
      </c>
      <c r="R370" s="33">
        <f>COUNTIF(Logs!K$338:K$347, $R$361)</f>
        <v>0</v>
      </c>
      <c r="S370" s="329">
        <f>COUNTIF(Logs!K$338:K$347, $S$361)</f>
        <v>0</v>
      </c>
      <c r="V370" s="163" t="s">
        <v>9</v>
      </c>
      <c r="W370" s="319">
        <f>COUNTIF(Logs!K$356:K$365, $W$361)</f>
        <v>3</v>
      </c>
      <c r="X370" s="8">
        <f>COUNTIF(Logs!K$356:K$365, $X$361)</f>
        <v>1</v>
      </c>
      <c r="Y370" s="33">
        <f>COUNTIF(Logs!K$356:K$365, $Y$361)</f>
        <v>1</v>
      </c>
      <c r="Z370" s="326">
        <f>COUNTIF(Logs!K$356:K$365, $Z$361)</f>
        <v>0</v>
      </c>
      <c r="AA370" s="329">
        <f>COUNTIF(Logs!K$356:K$365, $AA$361)</f>
        <v>0</v>
      </c>
    </row>
    <row r="371" spans="2:28">
      <c r="B371" s="163" t="s">
        <v>10</v>
      </c>
      <c r="C371" s="319">
        <f>COUNTIF(Logs!L$302:L$311, $C$361)</f>
        <v>4</v>
      </c>
      <c r="D371" s="8">
        <f>COUNTIF(Logs!L$302:L$311, $D$361)</f>
        <v>1</v>
      </c>
      <c r="E371" s="33">
        <f>COUNTIF(Logs!L$302:L$311, $E$361)</f>
        <v>1</v>
      </c>
      <c r="F371" s="326">
        <f>COUNTIF(Logs!L$302:L$311, $F$361)</f>
        <v>0</v>
      </c>
      <c r="G371" s="329">
        <f>COUNTIF(Logs!L$302:L$311, $G$361)</f>
        <v>0</v>
      </c>
      <c r="I371" s="163" t="s">
        <v>10</v>
      </c>
      <c r="J371" s="319">
        <f>COUNTIF(Logs!L$320:L$329, $J$361)</f>
        <v>3</v>
      </c>
      <c r="K371" s="8">
        <f>COUNTIF(Logs!L$320:L$329, $K$361)</f>
        <v>1</v>
      </c>
      <c r="L371" s="33">
        <f>COUNTIF(Logs!L$320:L$329,$L$361)</f>
        <v>1</v>
      </c>
      <c r="M371" s="329">
        <f>COUNTIF(Logs!L$320:L$329, $M$361)</f>
        <v>0</v>
      </c>
      <c r="O371" s="163" t="s">
        <v>10</v>
      </c>
      <c r="P371" s="319">
        <f>COUNTIF(Logs!L$338:L$347, $P$361)</f>
        <v>5</v>
      </c>
      <c r="Q371" s="8">
        <f>COUNTIF(Logs!L$338:L$347, $Q$361)</f>
        <v>1</v>
      </c>
      <c r="R371" s="33">
        <f>COUNTIF(Logs!L$338:L$347, $R$361)</f>
        <v>1</v>
      </c>
      <c r="S371" s="329">
        <f>COUNTIF(Logs!L$338:L$347, $S$361)</f>
        <v>0</v>
      </c>
      <c r="V371" s="163" t="s">
        <v>10</v>
      </c>
      <c r="W371" s="319">
        <f>COUNTIF(Logs!L$356:L$365, $W$361)</f>
        <v>4</v>
      </c>
      <c r="X371" s="8">
        <f>COUNTIF(Logs!L$356:L$365, $X$361)</f>
        <v>1</v>
      </c>
      <c r="Y371" s="33">
        <f>COUNTIF(Logs!L$356:L$365, $Y$361)</f>
        <v>1</v>
      </c>
      <c r="Z371" s="326">
        <f>COUNTIF(Logs!L$356:L$365, $Z$361)</f>
        <v>1</v>
      </c>
      <c r="AA371" s="329">
        <f>COUNTIF(Logs!L$356:L$365, $AA$361)</f>
        <v>1</v>
      </c>
    </row>
    <row r="372" spans="2:28">
      <c r="B372" s="163" t="s">
        <v>36</v>
      </c>
      <c r="C372" s="319">
        <f>COUNTIF(Logs!M$302:M$311, $C$361)</f>
        <v>5</v>
      </c>
      <c r="D372" s="8">
        <f>COUNTIF(Logs!M$302:M$311, $D$361)</f>
        <v>1</v>
      </c>
      <c r="E372" s="33">
        <f>COUNTIF(Logs!M$302:M$311, $E$361)</f>
        <v>1</v>
      </c>
      <c r="F372" s="326">
        <f>COUNTIF(Logs!M$302:M$311, $F$361)</f>
        <v>0</v>
      </c>
      <c r="G372" s="329">
        <f>COUNTIF(Logs!M$302:M$311, $G$361)</f>
        <v>1</v>
      </c>
      <c r="I372" s="163" t="s">
        <v>36</v>
      </c>
      <c r="J372" s="319">
        <f>COUNTIF(Logs!M$320:M$329, $J$361)</f>
        <v>5</v>
      </c>
      <c r="K372" s="8">
        <f>COUNTIF(Logs!M$320:M$329, $K$361)</f>
        <v>1</v>
      </c>
      <c r="L372" s="33">
        <f>COUNTIF(Logs!M$320:M$329,$L$361)</f>
        <v>1</v>
      </c>
      <c r="M372" s="329">
        <f>COUNTIF(Logs!M$320:M$329, $M$361)</f>
        <v>0</v>
      </c>
      <c r="O372" s="163" t="s">
        <v>36</v>
      </c>
      <c r="P372" s="319">
        <f>COUNTIF(Logs!M$338:M$347, $P$361)</f>
        <v>5</v>
      </c>
      <c r="Q372" s="8">
        <f>COUNTIF(Logs!M$338:M$347, $Q$361)</f>
        <v>1</v>
      </c>
      <c r="R372" s="33">
        <f>COUNTIF(Logs!M$338:M$347, $R$361)</f>
        <v>1</v>
      </c>
      <c r="S372" s="329">
        <f>COUNTIF(Logs!M$338:M$347, $S$361)</f>
        <v>0</v>
      </c>
      <c r="V372" s="163" t="s">
        <v>36</v>
      </c>
      <c r="W372" s="319">
        <f>COUNTIF(Logs!M$356:M$365, $W$361)</f>
        <v>4</v>
      </c>
      <c r="X372" s="8">
        <f>COUNTIF(Logs!M$356:M$365, $X$361)</f>
        <v>1</v>
      </c>
      <c r="Y372" s="33">
        <f>COUNTIF(Logs!M$356:M$365, $Y$361)</f>
        <v>1</v>
      </c>
      <c r="Z372" s="326">
        <f>COUNTIF(Logs!M$356:M$365, $Z$361)</f>
        <v>0</v>
      </c>
      <c r="AA372" s="329">
        <f>COUNTIF(Logs!M$356:M$365, $AA$361)</f>
        <v>0</v>
      </c>
    </row>
    <row r="373" spans="2:28">
      <c r="B373" s="163" t="s">
        <v>37</v>
      </c>
      <c r="C373" s="319">
        <f>COUNTIF(Logs!N$302:N$311, $C$361)</f>
        <v>6</v>
      </c>
      <c r="D373" s="8">
        <f>COUNTIF(Logs!N$302:N$311, $D$361)</f>
        <v>1</v>
      </c>
      <c r="E373" s="33">
        <f>COUNTIF(Logs!N$302:N$311, $E$361)</f>
        <v>0</v>
      </c>
      <c r="F373" s="326">
        <f>COUNTIF(Logs!N$302:N$311, $F$361)</f>
        <v>0</v>
      </c>
      <c r="G373" s="329">
        <f>COUNTIF(Logs!N$302:N$311, $G$361)</f>
        <v>0</v>
      </c>
      <c r="I373" s="163" t="s">
        <v>37</v>
      </c>
      <c r="J373" s="319">
        <f>COUNTIF(Logs!N$320:N$329, $J$361)</f>
        <v>7</v>
      </c>
      <c r="K373" s="8">
        <f>COUNTIF(Logs!N$320:N$329, $K$361)</f>
        <v>2</v>
      </c>
      <c r="L373" s="33">
        <f>COUNTIF(Logs!N$320:N$329,$L$361)</f>
        <v>0</v>
      </c>
      <c r="M373" s="329">
        <f>COUNTIF(Logs!N$320:N$329, $M$361)</f>
        <v>0</v>
      </c>
      <c r="O373" s="163" t="s">
        <v>37</v>
      </c>
      <c r="P373" s="319">
        <f>COUNTIF(Logs!N$338:N$347, $P$361)</f>
        <v>6</v>
      </c>
      <c r="Q373" s="8">
        <f>COUNTIF(Logs!N$338:N$347, $Q$361)</f>
        <v>1</v>
      </c>
      <c r="R373" s="33">
        <f>COUNTIF(Logs!N$338:N$347, $R$361)</f>
        <v>0</v>
      </c>
      <c r="S373" s="329">
        <f>COUNTIF(Logs!N$338:N$347, $S$361)</f>
        <v>0</v>
      </c>
      <c r="V373" s="163" t="s">
        <v>37</v>
      </c>
      <c r="W373" s="319">
        <f>COUNTIF(Logs!N$356:N$365, $W$361)</f>
        <v>6</v>
      </c>
      <c r="X373" s="8">
        <f>COUNTIF(Logs!N$356:N$365, $X$361)</f>
        <v>2</v>
      </c>
      <c r="Y373" s="33">
        <f>COUNTIF(Logs!N$356:N$365, $Y$361)</f>
        <v>0</v>
      </c>
      <c r="Z373" s="326">
        <f>COUNTIF(Logs!N$356:N$365, $Z$361)</f>
        <v>0</v>
      </c>
      <c r="AA373" s="329">
        <f>COUNTIF(Logs!N$356:N$365, $AA$361)</f>
        <v>0</v>
      </c>
    </row>
    <row r="374" spans="2:28">
      <c r="B374" s="318" t="s">
        <v>200</v>
      </c>
      <c r="C374" s="321">
        <f>SUM(C$359:C$373)</f>
        <v>54</v>
      </c>
      <c r="D374" s="323">
        <f>SUM(D$362:D$373)</f>
        <v>12</v>
      </c>
      <c r="E374" s="324">
        <f>SUM(E$362:E$373)</f>
        <v>10</v>
      </c>
      <c r="F374" s="328">
        <f>SUM(F$362:F$373)</f>
        <v>1</v>
      </c>
      <c r="G374" s="330">
        <f>SUM(G$362:G$373)</f>
        <v>2</v>
      </c>
      <c r="I374" s="318" t="s">
        <v>200</v>
      </c>
      <c r="J374" s="321">
        <f>SUM(J$362:J$373)</f>
        <v>56</v>
      </c>
      <c r="K374" s="323">
        <f>SUM(K$362:K$373)</f>
        <v>12</v>
      </c>
      <c r="L374" s="324">
        <f>SUM(L$362:L$373)</f>
        <v>10</v>
      </c>
      <c r="M374" s="330">
        <f>SUM(M$362:M$373)</f>
        <v>1</v>
      </c>
      <c r="O374" s="318" t="s">
        <v>200</v>
      </c>
      <c r="P374" s="321">
        <f>SUM(P$362:P$373)</f>
        <v>55</v>
      </c>
      <c r="Q374" s="323">
        <f>SUM(Q$362:Q$373)</f>
        <v>13</v>
      </c>
      <c r="R374" s="324">
        <f>SUM(R$362:R$373)</f>
        <v>8</v>
      </c>
      <c r="S374" s="330">
        <f>SUM(S$362:S$373)</f>
        <v>3</v>
      </c>
      <c r="T374" s="331">
        <f>SUM(T$362:T$373)</f>
        <v>1</v>
      </c>
      <c r="V374" s="318" t="s">
        <v>200</v>
      </c>
      <c r="W374" s="321">
        <f>SUM(W$362:W$373)</f>
        <v>48</v>
      </c>
      <c r="X374" s="323">
        <f>SUM(X$362:X$373)</f>
        <v>12</v>
      </c>
      <c r="Y374" s="324">
        <f>SUM(Y$362:Y$373)</f>
        <v>10</v>
      </c>
      <c r="Z374" s="328">
        <f>SUM(Z$362:Z$373)</f>
        <v>3</v>
      </c>
      <c r="AA374" s="330">
        <f>SUM(AA$362:AA$373)</f>
        <v>3</v>
      </c>
    </row>
    <row r="375" spans="2:28">
      <c r="C375" s="329"/>
      <c r="D375" s="329"/>
      <c r="E375" s="329"/>
      <c r="F375" s="329"/>
      <c r="G375" s="329"/>
      <c r="H375" s="329"/>
      <c r="I375" s="329"/>
      <c r="J375" s="329"/>
      <c r="K375" s="329"/>
      <c r="L375" s="329"/>
      <c r="M375" s="329"/>
      <c r="N375" s="329"/>
      <c r="O375" s="329"/>
      <c r="P375" s="329"/>
      <c r="Q375" s="329"/>
      <c r="R375" s="329"/>
      <c r="S375" s="329"/>
      <c r="T375" s="329"/>
      <c r="U375" s="329"/>
      <c r="V375" s="329"/>
      <c r="W375" s="329"/>
      <c r="X375" s="329"/>
      <c r="Y375" s="329"/>
      <c r="Z375" s="329"/>
      <c r="AA375" s="319"/>
    </row>
    <row r="376" spans="2:28">
      <c r="B376" s="57" t="s">
        <v>146</v>
      </c>
      <c r="I376" s="57" t="s">
        <v>147</v>
      </c>
      <c r="P376" s="57" t="s">
        <v>148</v>
      </c>
      <c r="W376" s="57" t="s">
        <v>125</v>
      </c>
    </row>
    <row r="377" spans="2:28">
      <c r="B377" s="243" t="s">
        <v>1110</v>
      </c>
      <c r="C377" s="308" t="s">
        <v>12</v>
      </c>
      <c r="D377" s="309" t="s">
        <v>14</v>
      </c>
      <c r="E377" s="310" t="s">
        <v>13</v>
      </c>
      <c r="F377" s="311" t="s">
        <v>71</v>
      </c>
      <c r="G377" s="312" t="s">
        <v>49</v>
      </c>
      <c r="H377" s="57"/>
      <c r="I377" s="243" t="s">
        <v>1110</v>
      </c>
      <c r="J377" s="308" t="s">
        <v>12</v>
      </c>
      <c r="K377" s="309" t="s">
        <v>14</v>
      </c>
      <c r="L377" s="310" t="s">
        <v>13</v>
      </c>
      <c r="M377" s="311" t="s">
        <v>71</v>
      </c>
      <c r="N377" s="312" t="s">
        <v>49</v>
      </c>
      <c r="O377" s="57"/>
      <c r="P377" s="243" t="s">
        <v>1110</v>
      </c>
      <c r="Q377" s="308" t="s">
        <v>12</v>
      </c>
      <c r="R377" s="309" t="s">
        <v>14</v>
      </c>
      <c r="S377" s="310" t="s">
        <v>13</v>
      </c>
      <c r="T377" s="311" t="s">
        <v>71</v>
      </c>
      <c r="U377" s="312" t="s">
        <v>49</v>
      </c>
      <c r="V377" s="57"/>
      <c r="W377" s="243" t="s">
        <v>1110</v>
      </c>
      <c r="X377" s="308" t="s">
        <v>12</v>
      </c>
      <c r="Y377" s="309" t="s">
        <v>14</v>
      </c>
      <c r="Z377" s="310" t="s">
        <v>13</v>
      </c>
      <c r="AA377" s="312" t="s">
        <v>49</v>
      </c>
      <c r="AB377" s="57"/>
    </row>
    <row r="378" spans="2:28">
      <c r="B378" s="163" t="s">
        <v>1</v>
      </c>
      <c r="C378" s="319">
        <f>COUNTIF(Logs!C$374:C$383, $C$377)</f>
        <v>5</v>
      </c>
      <c r="D378" s="8">
        <f>COUNTIF(Logs!C$374:C$383, $D$377)</f>
        <v>2</v>
      </c>
      <c r="E378" s="33">
        <f>COUNTIF(Logs!C$374:C$383, $E$377)</f>
        <v>0</v>
      </c>
      <c r="F378" s="326">
        <f>COUNTIF(Logs!C$374:C$383, $F$377)</f>
        <v>0</v>
      </c>
      <c r="G378" s="329">
        <f>COUNTIF(Logs!C$374:C$383, $G$377)</f>
        <v>0</v>
      </c>
      <c r="I378" s="163" t="s">
        <v>1</v>
      </c>
      <c r="J378" s="319">
        <f>COUNTIF(Logs!C$393:C$402, $J$377)</f>
        <v>5</v>
      </c>
      <c r="K378" s="8">
        <f>COUNTIF(Logs!C$393:C$402, $K$377)</f>
        <v>2</v>
      </c>
      <c r="L378" s="33">
        <f>COUNTIF(Logs!C$393:C$402, $L$377)</f>
        <v>0</v>
      </c>
      <c r="M378" s="326">
        <f>COUNTIF(Logs!C$393:C$402, $M$377)</f>
        <v>0</v>
      </c>
      <c r="N378" s="329">
        <f>COUNTIF(Logs!C$393:C$402, $N$377)</f>
        <v>0</v>
      </c>
      <c r="P378" s="163" t="s">
        <v>1</v>
      </c>
      <c r="Q378" s="319">
        <f>COUNTIF(Logs!C$411:C$420, $Q$377)</f>
        <v>4</v>
      </c>
      <c r="R378" s="8">
        <f>COUNTIF(Logs!C$411:C$420, $R$377)</f>
        <v>2</v>
      </c>
      <c r="S378" s="33">
        <f>COUNTIF(Logs!C$411:C$420, $S$377)</f>
        <v>0</v>
      </c>
      <c r="T378" s="326">
        <f>COUNTIF(Logs!C$411:C$420, $T$377)</f>
        <v>0</v>
      </c>
      <c r="U378" s="329">
        <f>COUNTIF(Logs!C$411:C$420, $U$377)</f>
        <v>0</v>
      </c>
      <c r="W378" s="163" t="s">
        <v>1</v>
      </c>
      <c r="X378" s="319">
        <f>COUNTIF(Logs!C$429:C$438, $X$377)</f>
        <v>5</v>
      </c>
      <c r="Y378" s="8">
        <f>COUNTIF(Logs!C$429:C$438, $Y$377)</f>
        <v>1</v>
      </c>
      <c r="Z378" s="33">
        <f>COUNTIF(Logs!C$429:C$438, $Z$377)</f>
        <v>0</v>
      </c>
      <c r="AA378" s="329">
        <f>COUNTIF(Logs!C$429:C$438, $AA$377)</f>
        <v>0</v>
      </c>
    </row>
    <row r="379" spans="2:28">
      <c r="B379" s="163" t="s">
        <v>2</v>
      </c>
      <c r="C379" s="319">
        <f>COUNTIF(Logs!D$374:D$383, $C$377)</f>
        <v>5</v>
      </c>
      <c r="D379" s="8">
        <f>COUNTIF(Logs!D$374:D$383, $D$377)</f>
        <v>1</v>
      </c>
      <c r="E379" s="33">
        <f>COUNTIF(Logs!D$374:D$383, $E$377)</f>
        <v>1</v>
      </c>
      <c r="F379" s="326">
        <f>COUNTIF(Logs!D$374:D$383, $F$377)</f>
        <v>0</v>
      </c>
      <c r="G379" s="329">
        <f>COUNTIF(Logs!D$374:D$383, $G$377)</f>
        <v>0</v>
      </c>
      <c r="I379" s="163" t="s">
        <v>2</v>
      </c>
      <c r="J379" s="319">
        <f>COUNTIF(Logs!D$393:D$402, $J$377)</f>
        <v>2</v>
      </c>
      <c r="K379" s="8">
        <f>COUNTIF(Logs!D$393:D$402, $K$377)</f>
        <v>1</v>
      </c>
      <c r="L379" s="33">
        <f>COUNTIF(Logs!D$393:D$402, $L$377)</f>
        <v>1</v>
      </c>
      <c r="M379" s="326">
        <f>COUNTIF(Logs!D$393:D$402, $M$377)</f>
        <v>0</v>
      </c>
      <c r="N379" s="329">
        <f>COUNTIF(Logs!D$393:D$402, $N$377)</f>
        <v>0</v>
      </c>
      <c r="P379" s="163" t="s">
        <v>2</v>
      </c>
      <c r="Q379" s="319">
        <f>COUNTIF(Logs!D$411:D$420, $Q$377)</f>
        <v>4</v>
      </c>
      <c r="R379" s="8">
        <f>COUNTIF(Logs!D$411:D$420, $R$377)</f>
        <v>1</v>
      </c>
      <c r="S379" s="33">
        <f>COUNTIF(Logs!D$411:D$420, $S$377)</f>
        <v>1</v>
      </c>
      <c r="T379" s="326">
        <f>COUNTIF(Logs!D$411:D$420, $T$377)</f>
        <v>0</v>
      </c>
      <c r="U379" s="329">
        <f>COUNTIF(Logs!D$411:D$420, $U$377)</f>
        <v>0</v>
      </c>
      <c r="W379" s="163" t="s">
        <v>2</v>
      </c>
      <c r="X379" s="319">
        <f>COUNTIF(Logs!D$429:D$438, $X$377)</f>
        <v>4</v>
      </c>
      <c r="Y379" s="8">
        <f>COUNTIF(Logs!D$429:D$438, $Y$377)</f>
        <v>1</v>
      </c>
      <c r="Z379" s="33">
        <f>COUNTIF(Logs!D$429:D$438, $Z$377)</f>
        <v>1</v>
      </c>
      <c r="AA379" s="329">
        <f>COUNTIF(Logs!D$429:D$438, $AA$377)</f>
        <v>0</v>
      </c>
    </row>
    <row r="380" spans="2:28">
      <c r="B380" s="163" t="s">
        <v>3</v>
      </c>
      <c r="C380" s="319">
        <f>COUNTIF(Logs!E$374:E$383, $C$377)</f>
        <v>4</v>
      </c>
      <c r="D380" s="8">
        <f>COUNTIF(Logs!E$374:E$383, $D$377)</f>
        <v>1</v>
      </c>
      <c r="E380" s="33">
        <f>COUNTIF(Logs!E$374:E$383, $E$377)</f>
        <v>1</v>
      </c>
      <c r="F380" s="326">
        <f>COUNTIF(Logs!E$374:E$383, $F$377)</f>
        <v>0</v>
      </c>
      <c r="G380" s="329">
        <f>COUNTIF(Logs!E$374:E$383, $G$377)</f>
        <v>0</v>
      </c>
      <c r="I380" s="163" t="s">
        <v>3</v>
      </c>
      <c r="J380" s="319">
        <f>COUNTIF(Logs!E$393:E$402, $J$377)</f>
        <v>4</v>
      </c>
      <c r="K380" s="8">
        <f>COUNTIF(Logs!E$393:E$402, $K$377)</f>
        <v>1</v>
      </c>
      <c r="L380" s="33">
        <f>COUNTIF(Logs!E$393:E$402, $L$377)</f>
        <v>1</v>
      </c>
      <c r="M380" s="326">
        <f>COUNTIF(Logs!E$393:E$402, $M$377)</f>
        <v>0</v>
      </c>
      <c r="N380" s="329">
        <f>COUNTIF(Logs!E$393:E$402, $N$377)</f>
        <v>0</v>
      </c>
      <c r="P380" s="163" t="s">
        <v>3</v>
      </c>
      <c r="Q380" s="319">
        <f>COUNTIF(Logs!E$411:E$420, $Q$377)</f>
        <v>4</v>
      </c>
      <c r="R380" s="8">
        <f>COUNTIF(Logs!E$411:E$420, $R$377)</f>
        <v>1</v>
      </c>
      <c r="S380" s="33">
        <f>COUNTIF(Logs!E$411:E$420, $S$377)</f>
        <v>1</v>
      </c>
      <c r="T380" s="326">
        <f>COUNTIF(Logs!E$411:E$420, $T$377)</f>
        <v>0</v>
      </c>
      <c r="U380" s="329">
        <f>COUNTIF(Logs!E$411:E$420, $U$377)</f>
        <v>0</v>
      </c>
      <c r="W380" s="163" t="s">
        <v>3</v>
      </c>
      <c r="X380" s="319">
        <f>COUNTIF(Logs!E$429:E$438, $X$377)</f>
        <v>3</v>
      </c>
      <c r="Y380" s="8">
        <f>COUNTIF(Logs!E$429:E$438, $Y$377)</f>
        <v>1</v>
      </c>
      <c r="Z380" s="33">
        <f>COUNTIF(Logs!E$429:E$438, $Z$377)</f>
        <v>1</v>
      </c>
      <c r="AA380" s="329">
        <f>COUNTIF(Logs!E$429:E$438, $AA$377)</f>
        <v>0</v>
      </c>
    </row>
    <row r="381" spans="2:28">
      <c r="B381" s="163" t="s">
        <v>4</v>
      </c>
      <c r="C381" s="319">
        <f>COUNTIF(Logs!F$374:F$383, $C$377)</f>
        <v>3</v>
      </c>
      <c r="D381" s="8">
        <f>COUNTIF(Logs!F$374:F$383, $D$377)</f>
        <v>1</v>
      </c>
      <c r="E381" s="33">
        <f>COUNTIF(Logs!F$374:F$383, $E$377)</f>
        <v>1</v>
      </c>
      <c r="F381" s="326">
        <f>COUNTIF(Logs!F$374:F$383, $F$377)</f>
        <v>1</v>
      </c>
      <c r="G381" s="329">
        <f>COUNTIF(Logs!F$374:F$383, $G$377)</f>
        <v>0</v>
      </c>
      <c r="I381" s="163" t="s">
        <v>4</v>
      </c>
      <c r="J381" s="319">
        <f>COUNTIF(Logs!F$393:F$402, $J$377)</f>
        <v>2</v>
      </c>
      <c r="K381" s="8">
        <f>COUNTIF(Logs!F$393:F$402, $K$377)</f>
        <v>1</v>
      </c>
      <c r="L381" s="33">
        <f>COUNTIF(Logs!F$393:F$402, $L$377)</f>
        <v>1</v>
      </c>
      <c r="M381" s="326">
        <f>COUNTIF(Logs!F$393:F$402, $M$377)</f>
        <v>0</v>
      </c>
      <c r="N381" s="329">
        <f>COUNTIF(Logs!F$393:F$402, $N$377)</f>
        <v>0</v>
      </c>
      <c r="P381" s="163" t="s">
        <v>4</v>
      </c>
      <c r="Q381" s="319">
        <f>COUNTIF(Logs!F$411:F$420, $Q$377)</f>
        <v>4</v>
      </c>
      <c r="R381" s="8">
        <f>COUNTIF(Logs!F$411:F$420, $R$377)</f>
        <v>1</v>
      </c>
      <c r="S381" s="33">
        <f>COUNTIF(Logs!F$411:F$420, $S$377)</f>
        <v>1</v>
      </c>
      <c r="T381" s="326">
        <f>COUNTIF(Logs!F$411:F$420, $T$377)</f>
        <v>0</v>
      </c>
      <c r="U381" s="329">
        <f>COUNTIF(Logs!F$411:F$420, $U$377)</f>
        <v>0</v>
      </c>
      <c r="W381" s="163" t="s">
        <v>4</v>
      </c>
      <c r="X381" s="319">
        <f>COUNTIF(Logs!F$429:F$438, $X$377)</f>
        <v>3</v>
      </c>
      <c r="Y381" s="8">
        <f>COUNTIF(Logs!F$429:F$438, $Y$377)</f>
        <v>1</v>
      </c>
      <c r="Z381" s="33">
        <f>COUNTIF(Logs!F$429:F$438, $Z$377)</f>
        <v>1</v>
      </c>
      <c r="AA381" s="329">
        <f>COUNTIF(Logs!F$429:F$438, $AA$377)</f>
        <v>0</v>
      </c>
    </row>
    <row r="382" spans="2:28">
      <c r="B382" s="163" t="s">
        <v>5</v>
      </c>
      <c r="C382" s="319">
        <f>COUNTIF(Logs!G$374:G$383, $C$377)</f>
        <v>3</v>
      </c>
      <c r="D382" s="8">
        <f>COUNTIF(Logs!G$374:G$383, $D$377)</f>
        <v>1</v>
      </c>
      <c r="E382" s="33">
        <f>COUNTIF(Logs!G$374:G$383, $E$377)</f>
        <v>1</v>
      </c>
      <c r="F382" s="326">
        <f>COUNTIF(Logs!G$374:G$383, $F$377)</f>
        <v>0</v>
      </c>
      <c r="G382" s="329">
        <f>COUNTIF(Logs!G$374:G$383, $G$377)</f>
        <v>0</v>
      </c>
      <c r="I382" s="163" t="s">
        <v>5</v>
      </c>
      <c r="J382" s="319">
        <f>COUNTIF(Logs!G$393:G$402, $J$377)</f>
        <v>3</v>
      </c>
      <c r="K382" s="8">
        <f>COUNTIF(Logs!G$393:G$402, $K$377)</f>
        <v>1</v>
      </c>
      <c r="L382" s="33">
        <f>COUNTIF(Logs!G$393:G$402, $L$377)</f>
        <v>1</v>
      </c>
      <c r="M382" s="326">
        <f>COUNTIF(Logs!G$393:G$402, $M$377)</f>
        <v>0</v>
      </c>
      <c r="N382" s="329">
        <f>COUNTIF(Logs!G$393:G$402, $N$377)</f>
        <v>0</v>
      </c>
      <c r="P382" s="163" t="s">
        <v>5</v>
      </c>
      <c r="Q382" s="319">
        <f>COUNTIF(Logs!G$411:G$420, $Q$377)</f>
        <v>5</v>
      </c>
      <c r="R382" s="8">
        <f>COUNTIF(Logs!G$411:G$420, $R$377)</f>
        <v>1</v>
      </c>
      <c r="S382" s="33">
        <f>COUNTIF(Logs!G$411:G$420, $S$377)</f>
        <v>1</v>
      </c>
      <c r="T382" s="326">
        <f>COUNTIF(Logs!G$411:G$420, $T$377)</f>
        <v>0</v>
      </c>
      <c r="U382" s="329">
        <f>COUNTIF(Logs!G$411:G$420, $U$377)</f>
        <v>0</v>
      </c>
      <c r="W382" s="163" t="s">
        <v>5</v>
      </c>
      <c r="X382" s="319">
        <f>COUNTIF(Logs!G$429:G$438, $X$377)</f>
        <v>4</v>
      </c>
      <c r="Y382" s="8">
        <f>COUNTIF(Logs!G$429:G$438, $Y$377)</f>
        <v>1</v>
      </c>
      <c r="Z382" s="33">
        <f>COUNTIF(Logs!G$429:G$438, $Z$377)</f>
        <v>1</v>
      </c>
      <c r="AA382" s="329">
        <f>COUNTIF(Logs!G$429:G$438, $AA$377)</f>
        <v>1</v>
      </c>
    </row>
    <row r="383" spans="2:28">
      <c r="B383" s="163" t="s">
        <v>6</v>
      </c>
      <c r="C383" s="319">
        <f>COUNTIF(Logs!H$374:H$383, $C$377)</f>
        <v>5</v>
      </c>
      <c r="D383" s="8">
        <f>COUNTIF(Logs!H$374:H$383, $D$377)</f>
        <v>1</v>
      </c>
      <c r="E383" s="33">
        <f>COUNTIF(Logs!H$374:H$383, $E$377)</f>
        <v>1</v>
      </c>
      <c r="F383" s="326">
        <f>COUNTIF(Logs!H$374:H$383, $F$377)</f>
        <v>0</v>
      </c>
      <c r="G383" s="329">
        <f>COUNTIF(Logs!H$374:H$383, $G$377)</f>
        <v>1</v>
      </c>
      <c r="I383" s="163" t="s">
        <v>6</v>
      </c>
      <c r="J383" s="319">
        <f>COUNTIF(Logs!H$393:H$402, $J$377)</f>
        <v>4</v>
      </c>
      <c r="K383" s="8">
        <f>COUNTIF(Logs!H$393:H$402, $K$377)</f>
        <v>1</v>
      </c>
      <c r="L383" s="33">
        <f>COUNTIF(Logs!H$393:H$402, $L$377)</f>
        <v>1</v>
      </c>
      <c r="M383" s="326">
        <f>COUNTIF(Logs!H$393:H$402, $M$377)</f>
        <v>0</v>
      </c>
      <c r="N383" s="329">
        <f>COUNTIF(Logs!H$393:H$402, $N$377)</f>
        <v>0</v>
      </c>
      <c r="P383" s="163" t="s">
        <v>6</v>
      </c>
      <c r="Q383" s="319">
        <f>COUNTIF(Logs!H$411:H$420, $Q$377)</f>
        <v>4</v>
      </c>
      <c r="R383" s="8">
        <f>COUNTIF(Logs!H$411:H$420, $R$377)</f>
        <v>1</v>
      </c>
      <c r="S383" s="33">
        <f>COUNTIF(Logs!H$411:H$420, $S$377)</f>
        <v>1</v>
      </c>
      <c r="T383" s="326">
        <f>COUNTIF(Logs!H$411:H$420, $T$377)</f>
        <v>1</v>
      </c>
      <c r="U383" s="329">
        <f>COUNTIF(Logs!H$411:H$420, $U$377)</f>
        <v>0</v>
      </c>
      <c r="W383" s="163" t="s">
        <v>6</v>
      </c>
      <c r="X383" s="319">
        <f>COUNTIF(Logs!H$429:H$438, $X$377)</f>
        <v>5</v>
      </c>
      <c r="Y383" s="8">
        <f>COUNTIF(Logs!H$429:H$438, $Y$377)</f>
        <v>1</v>
      </c>
      <c r="Z383" s="33">
        <f>COUNTIF(Logs!H$429:H$438, $Z$377)</f>
        <v>1</v>
      </c>
      <c r="AA383" s="329">
        <f>COUNTIF(Logs!H$429:H$438, $AA$377)</f>
        <v>0</v>
      </c>
    </row>
    <row r="384" spans="2:28">
      <c r="B384" s="163" t="s">
        <v>7</v>
      </c>
      <c r="C384" s="319">
        <f>COUNTIF(Logs!I$374:I$383, $C$377)</f>
        <v>4</v>
      </c>
      <c r="D384" s="8">
        <f>COUNTIF(Logs!I$374:I$383, $D$377)</f>
        <v>1</v>
      </c>
      <c r="E384" s="33">
        <f>COUNTIF(Logs!I$374:I$383, $E$377)</f>
        <v>1</v>
      </c>
      <c r="F384" s="326">
        <f>COUNTIF(Logs!I$374:I$383, $F$377)</f>
        <v>0</v>
      </c>
      <c r="G384" s="329">
        <f>COUNTIF(Logs!I$374:I$383, $G$377)</f>
        <v>0</v>
      </c>
      <c r="I384" s="163" t="s">
        <v>7</v>
      </c>
      <c r="J384" s="319">
        <f>COUNTIF(Logs!I$393:I$402, $J$377)</f>
        <v>3</v>
      </c>
      <c r="K384" s="8">
        <f>COUNTIF(Logs!I$393:I$402, $K$377)</f>
        <v>1</v>
      </c>
      <c r="L384" s="33">
        <f>COUNTIF(Logs!I$393:I$402, $L$377)</f>
        <v>1</v>
      </c>
      <c r="M384" s="326">
        <f>COUNTIF(Logs!I$393:I$402, $M$377)</f>
        <v>1</v>
      </c>
      <c r="N384" s="329">
        <f>COUNTIF(Logs!I$393:I$402, $N$377)</f>
        <v>1</v>
      </c>
      <c r="P384" s="163" t="s">
        <v>7</v>
      </c>
      <c r="Q384" s="319">
        <f>COUNTIF(Logs!I$411:I$420, $Q$377)</f>
        <v>4</v>
      </c>
      <c r="R384" s="8">
        <f>COUNTIF(Logs!I$411:I$420, $R$377)</f>
        <v>1</v>
      </c>
      <c r="S384" s="33">
        <f>COUNTIF(Logs!I$411:I$420, $S$377)</f>
        <v>1</v>
      </c>
      <c r="T384" s="326">
        <f>COUNTIF(Logs!I$411:I$420, $T$377)</f>
        <v>0</v>
      </c>
      <c r="U384" s="329">
        <f>COUNTIF(Logs!I$411:I$420, $U$377)</f>
        <v>0</v>
      </c>
      <c r="W384" s="163" t="s">
        <v>7</v>
      </c>
      <c r="X384" s="319">
        <f>COUNTIF(Logs!I$429:I$438, $X$377)</f>
        <v>3</v>
      </c>
      <c r="Y384" s="8">
        <f>COUNTIF(Logs!I$429:I$438, $Y$377)</f>
        <v>1</v>
      </c>
      <c r="Z384" s="33">
        <f>COUNTIF(Logs!I$429:I$438, $Z$377)</f>
        <v>1</v>
      </c>
      <c r="AA384" s="329">
        <f>COUNTIF(Logs!I$429:I$438, $AA$377)</f>
        <v>1</v>
      </c>
    </row>
    <row r="385" spans="2:27">
      <c r="B385" s="163" t="s">
        <v>8</v>
      </c>
      <c r="C385" s="319">
        <f>COUNTIF(Logs!J$374:J$383, $C$377)</f>
        <v>2</v>
      </c>
      <c r="D385" s="8">
        <f>COUNTIF(Logs!J$374:J$383, $D$377)</f>
        <v>1</v>
      </c>
      <c r="E385" s="33">
        <f>COUNTIF(Logs!J$374:J$383, $E$377)</f>
        <v>1</v>
      </c>
      <c r="F385" s="326">
        <f>COUNTIF(Logs!J$374:J$383, $F$377)</f>
        <v>0</v>
      </c>
      <c r="G385" s="329">
        <f>COUNTIF(Logs!J$374:J$383, $G$377)</f>
        <v>1</v>
      </c>
      <c r="I385" s="163" t="s">
        <v>8</v>
      </c>
      <c r="J385" s="319">
        <f>COUNTIF(Logs!J$393:J$402, $J$377)</f>
        <v>7</v>
      </c>
      <c r="K385" s="8">
        <f>COUNTIF(Logs!J$393:J$402, $K$377)</f>
        <v>1</v>
      </c>
      <c r="L385" s="33">
        <f>COUNTIF(Logs!J$393:J$402, $L$377)</f>
        <v>0</v>
      </c>
      <c r="M385" s="326">
        <f>COUNTIF(Logs!J$393:J$402, $M$377)</f>
        <v>0</v>
      </c>
      <c r="N385" s="329">
        <f>COUNTIF(Logs!J$393:J$402, $N$377)</f>
        <v>0</v>
      </c>
      <c r="P385" s="163" t="s">
        <v>8</v>
      </c>
      <c r="Q385" s="319">
        <f>COUNTIF(Logs!J$411:J$420, $Q$377)</f>
        <v>5</v>
      </c>
      <c r="R385" s="8">
        <f>COUNTIF(Logs!J$411:J$420, $R$377)</f>
        <v>1</v>
      </c>
      <c r="S385" s="33">
        <f>COUNTIF(Logs!J$411:J$420, $S$377)</f>
        <v>1</v>
      </c>
      <c r="T385" s="326">
        <f>COUNTIF(Logs!J$411:J$420, $T$377)</f>
        <v>0</v>
      </c>
      <c r="U385" s="329">
        <f>COUNTIF(Logs!J$411:J$420, $U$377)</f>
        <v>1</v>
      </c>
      <c r="W385" s="163" t="s">
        <v>8</v>
      </c>
      <c r="X385" s="319">
        <f>COUNTIF(Logs!J$429:J$438, $X$377)</f>
        <v>4</v>
      </c>
      <c r="Y385" s="8">
        <f>COUNTIF(Logs!J$429:J$438, $Y$377)</f>
        <v>1</v>
      </c>
      <c r="Z385" s="33">
        <f>COUNTIF(Logs!J$429:J$438, $Z$377)</f>
        <v>1</v>
      </c>
      <c r="AA385" s="329">
        <f>COUNTIF(Logs!J$429:J$438, $AA$377)</f>
        <v>0</v>
      </c>
    </row>
    <row r="386" spans="2:27">
      <c r="B386" s="163" t="s">
        <v>9</v>
      </c>
      <c r="C386" s="319">
        <f>COUNTIF(Logs!K$374:K$383, $C$377)</f>
        <v>5</v>
      </c>
      <c r="D386" s="8">
        <f>COUNTIF(Logs!K$374:K$383, $D$377)</f>
        <v>1</v>
      </c>
      <c r="E386" s="33">
        <f>COUNTIF(Logs!K$374:K$383, $E$377)</f>
        <v>1</v>
      </c>
      <c r="F386" s="326">
        <f>COUNTIF(Logs!K$374:K$383, $F$377)</f>
        <v>1</v>
      </c>
      <c r="G386" s="329">
        <f>COUNTIF(Logs!K$374:K$383, $G$377)</f>
        <v>0</v>
      </c>
      <c r="I386" s="163" t="s">
        <v>9</v>
      </c>
      <c r="J386" s="319">
        <f>COUNTIF(Logs!K$393:K$402, $J$377)</f>
        <v>5</v>
      </c>
      <c r="K386" s="8">
        <f>COUNTIF(Logs!K$393:K$402, $K$377)</f>
        <v>1</v>
      </c>
      <c r="L386" s="33">
        <f>COUNTIF(Logs!K$393:K$402, $L$377)</f>
        <v>1</v>
      </c>
      <c r="M386" s="326">
        <f>COUNTIF(Logs!K$393:K$402, $M$377)</f>
        <v>0</v>
      </c>
      <c r="N386" s="329">
        <f>COUNTIF(Logs!K$393:K$402, $N$377)</f>
        <v>0</v>
      </c>
      <c r="P386" s="163" t="s">
        <v>9</v>
      </c>
      <c r="Q386" s="319">
        <f>COUNTIF(Logs!K$411:K$420, $Q$377)</f>
        <v>5</v>
      </c>
      <c r="R386" s="8">
        <f>COUNTIF(Logs!K$411:K$420, $R$377)</f>
        <v>1</v>
      </c>
      <c r="S386" s="33">
        <f>COUNTIF(Logs!K$411:K$420, $S$377)</f>
        <v>1</v>
      </c>
      <c r="T386" s="326">
        <f>COUNTIF(Logs!K$411:K$420, $T$377)</f>
        <v>0</v>
      </c>
      <c r="U386" s="329">
        <f>COUNTIF(Logs!K$411:K$420, $U$377)</f>
        <v>0</v>
      </c>
      <c r="W386" s="163" t="s">
        <v>9</v>
      </c>
      <c r="X386" s="319">
        <f>COUNTIF(Logs!K$429:K$438, $X$377)</f>
        <v>7</v>
      </c>
      <c r="Y386" s="8">
        <f>COUNTIF(Logs!K$429:K$438, $Y$377)</f>
        <v>1</v>
      </c>
      <c r="Z386" s="33">
        <f>COUNTIF(Logs!K$429:K$438, $Z$377)</f>
        <v>0</v>
      </c>
      <c r="AA386" s="329">
        <f>COUNTIF(Logs!K$429:K$438, $AA$377)</f>
        <v>0</v>
      </c>
    </row>
    <row r="387" spans="2:27">
      <c r="B387" s="163" t="s">
        <v>10</v>
      </c>
      <c r="C387" s="319">
        <f>COUNTIF(Logs!L$374:L$383, $C$377)</f>
        <v>4</v>
      </c>
      <c r="D387" s="8">
        <f>COUNTIF(Logs!L$374:L$383, $D$377)</f>
        <v>1</v>
      </c>
      <c r="E387" s="33">
        <f>COUNTIF(Logs!L$374:L$383, $E$377)</f>
        <v>1</v>
      </c>
      <c r="F387" s="326">
        <f>COUNTIF(Logs!L$374:L$383, $F$377)</f>
        <v>0</v>
      </c>
      <c r="G387" s="329">
        <f>COUNTIF(Logs!L$374:L$383, $G$377)</f>
        <v>0</v>
      </c>
      <c r="I387" s="163" t="s">
        <v>10</v>
      </c>
      <c r="J387" s="319">
        <f>COUNTIF(Logs!L$393:L$402, $J$377)</f>
        <v>4</v>
      </c>
      <c r="K387" s="8">
        <f>COUNTIF(Logs!L$393:L$402, $K$377)</f>
        <v>1</v>
      </c>
      <c r="L387" s="33">
        <f>COUNTIF(Logs!L$393:L$402, $L$377)</f>
        <v>1</v>
      </c>
      <c r="M387" s="326">
        <f>COUNTIF(Logs!L$393:L$402, $M$377)</f>
        <v>0</v>
      </c>
      <c r="N387" s="329">
        <f>COUNTIF(Logs!L$393:L$402, $N$377)</f>
        <v>1</v>
      </c>
      <c r="P387" s="163" t="s">
        <v>10</v>
      </c>
      <c r="Q387" s="319">
        <f>COUNTIF(Logs!L$411:L$420, $Q$377)</f>
        <v>3</v>
      </c>
      <c r="R387" s="8">
        <f>COUNTIF(Logs!L$411:L$420, $R$377)</f>
        <v>1</v>
      </c>
      <c r="S387" s="33">
        <f>COUNTIF(Logs!L$411:L$420, $S$377)</f>
        <v>1</v>
      </c>
      <c r="T387" s="326">
        <f>COUNTIF(Logs!L$411:L$420, $T$377)</f>
        <v>0</v>
      </c>
      <c r="U387" s="329">
        <f>COUNTIF(Logs!L$411:L$420, $U$377)</f>
        <v>0</v>
      </c>
      <c r="W387" s="163" t="s">
        <v>10</v>
      </c>
      <c r="X387" s="319">
        <f>COUNTIF(Logs!L$429:L$438, $X$377)</f>
        <v>5</v>
      </c>
      <c r="Y387" s="8">
        <f>COUNTIF(Logs!L$429:L$438, $Y$377)</f>
        <v>1</v>
      </c>
      <c r="Z387" s="33">
        <f>COUNTIF(Logs!L$429:L$438, $Z$377)</f>
        <v>1</v>
      </c>
      <c r="AA387" s="329">
        <f>COUNTIF(Logs!L$429:L$438, $AA$377)</f>
        <v>1</v>
      </c>
    </row>
    <row r="388" spans="2:27">
      <c r="B388" s="163" t="s">
        <v>36</v>
      </c>
      <c r="C388" s="319">
        <f>COUNTIF(Logs!M$374:M$383, $C$377)</f>
        <v>5</v>
      </c>
      <c r="D388" s="8">
        <f>COUNTIF(Logs!M$374:M$383, $D$377)</f>
        <v>1</v>
      </c>
      <c r="E388" s="33">
        <f>COUNTIF(Logs!M$374:M$383, $E$377)</f>
        <v>1</v>
      </c>
      <c r="F388" s="326">
        <f>COUNTIF(Logs!M$374:M$383, $F$377)</f>
        <v>0</v>
      </c>
      <c r="G388" s="329">
        <f>COUNTIF(Logs!M$374:M$383, $G$377)</f>
        <v>1</v>
      </c>
      <c r="I388" s="163" t="s">
        <v>36</v>
      </c>
      <c r="J388" s="319">
        <f>COUNTIF(Logs!M$393:M$402, $J$377)</f>
        <v>3</v>
      </c>
      <c r="K388" s="8">
        <f>COUNTIF(Logs!M$393:M$402, $K$377)</f>
        <v>1</v>
      </c>
      <c r="L388" s="33">
        <f>COUNTIF(Logs!M$393:M$402, $L$377)</f>
        <v>1</v>
      </c>
      <c r="M388" s="326">
        <f>COUNTIF(Logs!M$393:M$402, $M$377)</f>
        <v>0</v>
      </c>
      <c r="N388" s="329">
        <f>COUNTIF(Logs!M$393:M$402, $N$377)</f>
        <v>0</v>
      </c>
      <c r="P388" s="163" t="s">
        <v>36</v>
      </c>
      <c r="Q388" s="319">
        <f>COUNTIF(Logs!M$411:M$420, $Q$377)</f>
        <v>4</v>
      </c>
      <c r="R388" s="8">
        <f>COUNTIF(Logs!M$411:M$420, $R$377)</f>
        <v>1</v>
      </c>
      <c r="S388" s="33">
        <f>COUNTIF(Logs!M$411:M$420, $S$377)</f>
        <v>1</v>
      </c>
      <c r="T388" s="326">
        <f>COUNTIF(Logs!M$411:M$420, $T$377)</f>
        <v>0</v>
      </c>
      <c r="U388" s="329">
        <f>COUNTIF(Logs!M$411:M$420, $U$377)</f>
        <v>1</v>
      </c>
      <c r="W388" s="163" t="s">
        <v>36</v>
      </c>
      <c r="X388" s="319">
        <f>COUNTIF(Logs!M$429:M$438, $X$377)</f>
        <v>4</v>
      </c>
      <c r="Y388" s="8">
        <f>COUNTIF(Logs!M$429:M$438, $Y$377)</f>
        <v>1</v>
      </c>
      <c r="Z388" s="33">
        <f>COUNTIF(Logs!M$429:M$438, $Z$377)</f>
        <v>1</v>
      </c>
      <c r="AA388" s="329">
        <f>COUNTIF(Logs!M$429:M$438, $AA$377)</f>
        <v>0</v>
      </c>
    </row>
    <row r="389" spans="2:27">
      <c r="B389" s="163" t="s">
        <v>37</v>
      </c>
      <c r="C389" s="319">
        <f>COUNTIF(Logs!N$374:N$383, $C$377)</f>
        <v>5</v>
      </c>
      <c r="D389" s="8">
        <f>COUNTIF(Logs!N$374:N$383, $D$377)</f>
        <v>2</v>
      </c>
      <c r="E389" s="33">
        <f>COUNTIF(Logs!N$374:N$383, $E$377)</f>
        <v>0</v>
      </c>
      <c r="F389" s="326">
        <f>COUNTIF(Logs!N$374:N$383, $F$377)</f>
        <v>0</v>
      </c>
      <c r="G389" s="329">
        <f>COUNTIF(Logs!N$374:N$383, $G$377)</f>
        <v>0</v>
      </c>
      <c r="I389" s="163" t="s">
        <v>37</v>
      </c>
      <c r="J389" s="319">
        <f>COUNTIF(Logs!N$393:N$402, $J$377)</f>
        <v>9</v>
      </c>
      <c r="K389" s="8">
        <f>COUNTIF(Logs!N$393:N$402, $K$377)</f>
        <v>1</v>
      </c>
      <c r="L389" s="33">
        <f>COUNTIF(Logs!N$393:N$402, $L$377)</f>
        <v>0</v>
      </c>
      <c r="M389" s="326">
        <f>COUNTIF(Logs!N$393:N$402, $M$377)</f>
        <v>0</v>
      </c>
      <c r="N389" s="329">
        <f>COUNTIF(Logs!N$393:N$402, $N$377)</f>
        <v>0</v>
      </c>
      <c r="P389" s="163" t="s">
        <v>37</v>
      </c>
      <c r="Q389" s="319">
        <f>COUNTIF(Logs!N$411:N$420, $Q$377)</f>
        <v>6</v>
      </c>
      <c r="R389" s="8">
        <f>COUNTIF(Logs!N$411:N$420, $R$377)</f>
        <v>1</v>
      </c>
      <c r="S389" s="33">
        <f>COUNTIF(Logs!N$411:N$420, $S$377)</f>
        <v>0</v>
      </c>
      <c r="T389" s="326">
        <f>COUNTIF(Logs!N$411:N$420, $T$377)</f>
        <v>0</v>
      </c>
      <c r="U389" s="329">
        <f>COUNTIF(Logs!N$411:N$420, $U$377)</f>
        <v>0</v>
      </c>
      <c r="W389" s="163" t="s">
        <v>37</v>
      </c>
      <c r="X389" s="319">
        <f>COUNTIF(Logs!N$429:N$438, $X$377)</f>
        <v>6</v>
      </c>
      <c r="Y389" s="8">
        <f>COUNTIF(Logs!N$429:N$438, $Y$377)</f>
        <v>1</v>
      </c>
      <c r="Z389" s="33">
        <f>COUNTIF(Logs!N$429:N$438, $Z$377)</f>
        <v>0</v>
      </c>
      <c r="AA389" s="329">
        <f>COUNTIF(Logs!N$429:N$438, $AA$377)</f>
        <v>0</v>
      </c>
    </row>
    <row r="390" spans="2:27">
      <c r="B390" s="318" t="s">
        <v>200</v>
      </c>
      <c r="C390" s="321">
        <f>SUM(C$375:C$389)</f>
        <v>50</v>
      </c>
      <c r="D390" s="323">
        <f>SUM(D$378:D$389)</f>
        <v>14</v>
      </c>
      <c r="E390" s="324">
        <f>SUM(E$378:E$389)</f>
        <v>10</v>
      </c>
      <c r="F390" s="328">
        <f>SUM(F$378:F$389)</f>
        <v>2</v>
      </c>
      <c r="G390" s="330">
        <f>SUM(G$378:G$389)</f>
        <v>3</v>
      </c>
      <c r="I390" s="318" t="s">
        <v>200</v>
      </c>
      <c r="J390" s="321">
        <f>SUM(J$378:J$389)</f>
        <v>51</v>
      </c>
      <c r="K390" s="323">
        <f>SUM(K$378:K$389)</f>
        <v>13</v>
      </c>
      <c r="L390" s="324">
        <f>SUM(L$378:L$389)</f>
        <v>9</v>
      </c>
      <c r="M390" s="328">
        <f>SUM(M$378:M$389)</f>
        <v>1</v>
      </c>
      <c r="N390" s="330">
        <f>SUM(N$378:N$389)</f>
        <v>2</v>
      </c>
      <c r="P390" s="318" t="s">
        <v>200</v>
      </c>
      <c r="Q390" s="321">
        <f>SUM(Q$378:Q$389)</f>
        <v>52</v>
      </c>
      <c r="R390" s="323">
        <f>SUM(R$378:R$389)</f>
        <v>13</v>
      </c>
      <c r="S390" s="324">
        <f>SUM(S$378:S$389)</f>
        <v>10</v>
      </c>
      <c r="T390" s="328">
        <f>SUM(T$378:T$389)</f>
        <v>1</v>
      </c>
      <c r="U390" s="330">
        <f>SUM(U$378:U$389)</f>
        <v>2</v>
      </c>
      <c r="W390" s="318" t="s">
        <v>200</v>
      </c>
      <c r="X390" s="321">
        <f>SUM(X$378:X$389)</f>
        <v>53</v>
      </c>
      <c r="Y390" s="323">
        <f>SUM(Y$378:Y$389)</f>
        <v>12</v>
      </c>
      <c r="Z390" s="324">
        <f>SUM(Z$378:Z$389)</f>
        <v>9</v>
      </c>
      <c r="AA390" s="330">
        <f>SUM(AA$378:AA$389)</f>
        <v>3</v>
      </c>
    </row>
    <row r="391" spans="2:27">
      <c r="C391" s="329"/>
      <c r="D391" s="329"/>
      <c r="E391" s="329"/>
      <c r="F391" s="329"/>
      <c r="G391" s="329"/>
      <c r="H391" s="329"/>
      <c r="I391" s="329"/>
      <c r="J391" s="329"/>
      <c r="K391" s="329"/>
      <c r="L391" s="329"/>
      <c r="M391" s="329"/>
      <c r="N391" s="329"/>
      <c r="O391" s="329"/>
      <c r="P391" s="329"/>
      <c r="Q391" s="329"/>
      <c r="R391" s="329"/>
      <c r="S391" s="329"/>
      <c r="T391" s="329"/>
      <c r="U391" s="329"/>
      <c r="V391" s="329"/>
      <c r="W391" s="319"/>
    </row>
    <row r="392" spans="2:27">
      <c r="B392" s="57" t="s">
        <v>116</v>
      </c>
      <c r="I392" s="57" t="s">
        <v>104</v>
      </c>
      <c r="O392" s="57" t="s">
        <v>95</v>
      </c>
      <c r="V392" s="57" t="s">
        <v>85</v>
      </c>
    </row>
    <row r="393" spans="2:27">
      <c r="B393" s="243" t="s">
        <v>1110</v>
      </c>
      <c r="C393" s="308" t="s">
        <v>12</v>
      </c>
      <c r="D393" s="309" t="s">
        <v>14</v>
      </c>
      <c r="E393" s="310" t="s">
        <v>13</v>
      </c>
      <c r="F393" s="311" t="s">
        <v>71</v>
      </c>
      <c r="G393" s="312" t="s">
        <v>49</v>
      </c>
      <c r="H393" s="57"/>
      <c r="I393" s="243" t="s">
        <v>1110</v>
      </c>
      <c r="J393" s="308" t="s">
        <v>12</v>
      </c>
      <c r="K393" s="309" t="s">
        <v>14</v>
      </c>
      <c r="L393" s="310" t="s">
        <v>13</v>
      </c>
      <c r="M393" s="312" t="s">
        <v>49</v>
      </c>
      <c r="N393" s="57"/>
      <c r="O393" s="243" t="s">
        <v>1110</v>
      </c>
      <c r="P393" s="308" t="s">
        <v>12</v>
      </c>
      <c r="Q393" s="309" t="s">
        <v>14</v>
      </c>
      <c r="R393" s="310" t="s">
        <v>13</v>
      </c>
      <c r="S393" s="311" t="s">
        <v>71</v>
      </c>
      <c r="T393" s="312" t="s">
        <v>49</v>
      </c>
      <c r="U393" s="57"/>
      <c r="V393" s="243" t="s">
        <v>1110</v>
      </c>
      <c r="W393" s="308" t="s">
        <v>12</v>
      </c>
      <c r="X393" s="309" t="s">
        <v>14</v>
      </c>
      <c r="Y393" s="310" t="s">
        <v>13</v>
      </c>
      <c r="Z393" s="312" t="s">
        <v>49</v>
      </c>
      <c r="AA393" s="57"/>
    </row>
    <row r="394" spans="2:27">
      <c r="B394" s="163" t="s">
        <v>1</v>
      </c>
      <c r="C394" s="319">
        <f>COUNTIF(Logs!C$447:C$456, $C$393)</f>
        <v>5</v>
      </c>
      <c r="D394" s="8">
        <f>COUNTIF(Logs!C$447:C$456, $D$393)</f>
        <v>1</v>
      </c>
      <c r="E394" s="33">
        <f>COUNTIF(Logs!C$447:C$456, $E$393)</f>
        <v>0</v>
      </c>
      <c r="F394" s="326">
        <f>COUNTIF(Logs!C$447:C$456, $F$393)</f>
        <v>0</v>
      </c>
      <c r="G394" s="329">
        <f>COUNTIF(Logs!C$447:C$456, $G$393)</f>
        <v>0</v>
      </c>
      <c r="I394" s="163" t="s">
        <v>1</v>
      </c>
      <c r="J394" s="319">
        <f>COUNTIF(Logs!C$465:C$474, $J$393)</f>
        <v>3</v>
      </c>
      <c r="K394" s="8">
        <f>COUNTIF(Logs!C$465:C$474, $K$393)</f>
        <v>0</v>
      </c>
      <c r="L394" s="33">
        <f>COUNTIF(Logs!C$465:C$474, $L$393)</f>
        <v>1</v>
      </c>
      <c r="M394" s="329">
        <f>COUNTIF(Logs!C$465:C$474, $M$393)</f>
        <v>0</v>
      </c>
      <c r="O394" s="163" t="s">
        <v>1</v>
      </c>
      <c r="P394" s="319">
        <f>COUNTIF(Logs!C$483:C$492, $P$393)</f>
        <v>4</v>
      </c>
      <c r="Q394" s="8">
        <f>COUNTIF(Logs!C$483:C$492, $Q$393)</f>
        <v>0</v>
      </c>
      <c r="R394" s="33">
        <f>COUNTIF(Logs!C$483:C$492, $R$393)</f>
        <v>1</v>
      </c>
      <c r="S394" s="403">
        <f>COUNTIF(Logs!C$483:C$492, $S$393)</f>
        <v>1</v>
      </c>
      <c r="T394" s="329">
        <f>COUNTIF(Logs!C$483:C$492, $T$393)</f>
        <v>0</v>
      </c>
      <c r="V394" s="163" t="s">
        <v>1</v>
      </c>
      <c r="W394" s="319">
        <f>COUNTIF(Logs!C$501:C$510, $W$393)</f>
        <v>3</v>
      </c>
      <c r="X394" s="8">
        <f>COUNTIF(Logs!C$501:C$510, $X$393)</f>
        <v>1</v>
      </c>
      <c r="Y394" s="33">
        <f>COUNTIF(Logs!C$501:C$510, $Y$393)</f>
        <v>1</v>
      </c>
      <c r="Z394" s="329">
        <f>COUNTIF(Logs!C$501:C$510, $Z$393)</f>
        <v>0</v>
      </c>
    </row>
    <row r="395" spans="2:27">
      <c r="B395" s="163" t="s">
        <v>2</v>
      </c>
      <c r="C395" s="319">
        <f>COUNTIF(Logs!D$447:D$456, $C$393)</f>
        <v>5</v>
      </c>
      <c r="D395" s="8">
        <f>COUNTIF(Logs!D$447:D$456, $D$393)</f>
        <v>0</v>
      </c>
      <c r="E395" s="33">
        <f>COUNTIF(Logs!D$447:D$456, $E$393)</f>
        <v>1</v>
      </c>
      <c r="F395" s="326">
        <f>COUNTIF(Logs!D$447:D$456, $F$393)</f>
        <v>0</v>
      </c>
      <c r="G395" s="329">
        <f>COUNTIF(Logs!D$447:D$456, $G$393)</f>
        <v>0</v>
      </c>
      <c r="I395" s="163" t="s">
        <v>2</v>
      </c>
      <c r="J395" s="319">
        <f>COUNTIF(Logs!D$465:D$474, $J$393)</f>
        <v>3</v>
      </c>
      <c r="K395" s="8">
        <f>COUNTIF(Logs!D$465:D$474, $K$393)</f>
        <v>1</v>
      </c>
      <c r="L395" s="33">
        <f>COUNTIF(Logs!D$465:D$474, $L$393)</f>
        <v>1</v>
      </c>
      <c r="M395" s="329">
        <f>COUNTIF(Logs!D$465:D$474, $M$393)</f>
        <v>0</v>
      </c>
      <c r="O395" s="163" t="s">
        <v>2</v>
      </c>
      <c r="P395" s="319">
        <f>COUNTIF(Logs!D$483:D$492, $P$393)</f>
        <v>3</v>
      </c>
      <c r="Q395" s="8">
        <f>COUNTIF(Logs!D$483:D$492, $Q$393)</f>
        <v>1</v>
      </c>
      <c r="R395" s="33">
        <f>COUNTIF(Logs!D$483:D$492, $R$393)</f>
        <v>1</v>
      </c>
      <c r="S395" s="403">
        <f>COUNTIF(Logs!D$483:D$492, $S$393)</f>
        <v>0</v>
      </c>
      <c r="T395" s="329">
        <f>COUNTIF(Logs!D$483:D$492, $T$393)</f>
        <v>0</v>
      </c>
      <c r="V395" s="163" t="s">
        <v>2</v>
      </c>
      <c r="W395" s="319">
        <f>COUNTIF(Logs!D$501:D$510, $W$393)</f>
        <v>3</v>
      </c>
      <c r="X395" s="8">
        <f>COUNTIF(Logs!D$501:D$510, $X$393)</f>
        <v>1</v>
      </c>
      <c r="Y395" s="33">
        <f>COUNTIF(Logs!D$501:D$510, $Y$393)</f>
        <v>1</v>
      </c>
      <c r="Z395" s="329">
        <f>COUNTIF(Logs!D$501:D$510, $Z$393)</f>
        <v>1</v>
      </c>
    </row>
    <row r="396" spans="2:27">
      <c r="B396" s="163" t="s">
        <v>3</v>
      </c>
      <c r="C396" s="319">
        <f>COUNTIF(Logs!E$447:E$456, $C$393)</f>
        <v>5</v>
      </c>
      <c r="D396" s="8">
        <f>COUNTIF(Logs!E$447:E$456, $D$393)</f>
        <v>0</v>
      </c>
      <c r="E396" s="33">
        <f>COUNTIF(Logs!E$447:E$456, $E$393)</f>
        <v>1</v>
      </c>
      <c r="F396" s="326">
        <f>COUNTIF(Logs!E$447:E$456, $F$393)</f>
        <v>0</v>
      </c>
      <c r="G396" s="329">
        <f>COUNTIF(Logs!E$447:E$456, $G$393)</f>
        <v>0</v>
      </c>
      <c r="I396" s="163" t="s">
        <v>3</v>
      </c>
      <c r="J396" s="319">
        <f>COUNTIF(Logs!E$465:E$474, $J$393)</f>
        <v>5</v>
      </c>
      <c r="K396" s="8">
        <f>COUNTIF(Logs!E$465:E$474, $K$393)</f>
        <v>0</v>
      </c>
      <c r="L396" s="33">
        <f>COUNTIF(Logs!E$465:E$474, $L$393)</f>
        <v>1</v>
      </c>
      <c r="M396" s="329">
        <f>COUNTIF(Logs!E$465:E$474, $M$393)</f>
        <v>0</v>
      </c>
      <c r="O396" s="163" t="s">
        <v>3</v>
      </c>
      <c r="P396" s="319">
        <f>COUNTIF(Logs!E$483:E$492, $P$393)</f>
        <v>3</v>
      </c>
      <c r="Q396" s="8">
        <f>COUNTIF(Logs!E$483:E$492, $Q$393)</f>
        <v>1</v>
      </c>
      <c r="R396" s="33">
        <f>COUNTIF(Logs!E$483:E$492, $R$393)</f>
        <v>1</v>
      </c>
      <c r="S396" s="403">
        <f>COUNTIF(Logs!D$483:D$492, $S$393)</f>
        <v>0</v>
      </c>
      <c r="T396" s="329">
        <f>COUNTIF(Logs!E$483:E$492, $T$393)</f>
        <v>0</v>
      </c>
      <c r="V396" s="163" t="s">
        <v>3</v>
      </c>
      <c r="W396" s="319">
        <f>COUNTIF(Logs!E$501:E$510, $W$393)</f>
        <v>4</v>
      </c>
      <c r="X396" s="8">
        <f>COUNTIF(Logs!E$501:E$510, $X$393)</f>
        <v>1</v>
      </c>
      <c r="Y396" s="33">
        <f>COUNTIF(Logs!E$501:E$510, $Y$393)</f>
        <v>1</v>
      </c>
      <c r="Z396" s="329">
        <f>COUNTIF(Logs!E$501:E$510, $Z$393)</f>
        <v>0</v>
      </c>
    </row>
    <row r="397" spans="2:27">
      <c r="B397" s="163" t="s">
        <v>4</v>
      </c>
      <c r="C397" s="319">
        <f>COUNTIF(Logs!F$447:F$456, $C$393)</f>
        <v>4</v>
      </c>
      <c r="D397" s="8">
        <f>COUNTIF(Logs!F$447:F$456, $D$393)</f>
        <v>1</v>
      </c>
      <c r="E397" s="33">
        <f>COUNTIF(Logs!F$447:F$456, $E$393)</f>
        <v>1</v>
      </c>
      <c r="F397" s="326">
        <f>COUNTIF(Logs!F$447:F$456, $F$393)</f>
        <v>0</v>
      </c>
      <c r="G397" s="329">
        <f>COUNTIF(Logs!F$447:F$456, $G$393)</f>
        <v>0</v>
      </c>
      <c r="I397" s="163" t="s">
        <v>4</v>
      </c>
      <c r="J397" s="319">
        <f>COUNTIF(Logs!F$465:F$474, $J$393)</f>
        <v>3</v>
      </c>
      <c r="K397" s="8">
        <f>COUNTIF(Logs!F$465:F$474, $K$393)</f>
        <v>1</v>
      </c>
      <c r="L397" s="33">
        <f>COUNTIF(Logs!F$465:F$474, $L$393)</f>
        <v>1</v>
      </c>
      <c r="M397" s="329">
        <f>COUNTIF(Logs!F$465:F$474, $M$393)</f>
        <v>1</v>
      </c>
      <c r="O397" s="163" t="s">
        <v>4</v>
      </c>
      <c r="P397" s="319">
        <f>COUNTIF(Logs!F$483:F$492, $P$393)</f>
        <v>4</v>
      </c>
      <c r="Q397" s="8">
        <f>COUNTIF(Logs!F$483:F$492, $Q$393)</f>
        <v>1</v>
      </c>
      <c r="R397" s="33">
        <f>COUNTIF(Logs!F$483:F$492, $R$393)</f>
        <v>1</v>
      </c>
      <c r="S397" s="403">
        <f>COUNTIF(Logs!E$483:E$492, $S$393)</f>
        <v>0</v>
      </c>
      <c r="T397" s="329">
        <f>COUNTIF(Logs!F$483:F$492, $T$393)</f>
        <v>0</v>
      </c>
      <c r="V397" s="163" t="s">
        <v>4</v>
      </c>
      <c r="W397" s="319">
        <f>COUNTIF(Logs!F$501:F$510, $W$393)</f>
        <v>4</v>
      </c>
      <c r="X397" s="8">
        <f>COUNTIF(Logs!F$501:F$510, $X$393)</f>
        <v>1</v>
      </c>
      <c r="Y397" s="33">
        <f>COUNTIF(Logs!F$501:F$510, $Y$393)</f>
        <v>1</v>
      </c>
      <c r="Z397" s="329">
        <f>COUNTIF(Logs!F$501:F$510, $Z$393)</f>
        <v>0</v>
      </c>
    </row>
    <row r="398" spans="2:27">
      <c r="B398" s="163" t="s">
        <v>5</v>
      </c>
      <c r="C398" s="319">
        <f>COUNTIF(Logs!G$447:G$456, $C$393)</f>
        <v>6</v>
      </c>
      <c r="D398" s="8">
        <f>COUNTIF(Logs!G$447:G$456, $D$393)</f>
        <v>1</v>
      </c>
      <c r="E398" s="33">
        <f>COUNTIF(Logs!G$447:G$456, $E$393)</f>
        <v>1</v>
      </c>
      <c r="F398" s="326">
        <f>COUNTIF(Logs!G$447:G$456, $F$393)</f>
        <v>0</v>
      </c>
      <c r="G398" s="329">
        <f>COUNTIF(Logs!G$447:G$456, $G$393)</f>
        <v>1</v>
      </c>
      <c r="I398" s="163" t="s">
        <v>5</v>
      </c>
      <c r="J398" s="319">
        <f>COUNTIF(Logs!G$465:G$474, $J$393)</f>
        <v>6</v>
      </c>
      <c r="K398" s="8">
        <f>COUNTIF(Logs!G$465:G$474, $K$393)</f>
        <v>0</v>
      </c>
      <c r="L398" s="33">
        <f>COUNTIF(Logs!G$465:G$474, $L$393)</f>
        <v>1</v>
      </c>
      <c r="M398" s="329">
        <f>COUNTIF(Logs!G$465:G$474, $M$393)</f>
        <v>0</v>
      </c>
      <c r="O398" s="163" t="s">
        <v>5</v>
      </c>
      <c r="P398" s="319">
        <f>COUNTIF(Logs!G$483:G$492, $P$393)</f>
        <v>3</v>
      </c>
      <c r="Q398" s="8">
        <f>COUNTIF(Logs!G$483:G$492, $Q$393)</f>
        <v>1</v>
      </c>
      <c r="R398" s="33">
        <f>COUNTIF(Logs!G$483:G$492, $R$393)</f>
        <v>1</v>
      </c>
      <c r="S398" s="403">
        <f>COUNTIF(Logs!F$483:F$492, $S$393)</f>
        <v>0</v>
      </c>
      <c r="T398" s="329">
        <f>COUNTIF(Logs!G$483:G$492, $T$393)</f>
        <v>0</v>
      </c>
      <c r="V398" s="163" t="s">
        <v>5</v>
      </c>
      <c r="W398" s="319">
        <f>COUNTIF(Logs!G$501:G$510, $W$393)</f>
        <v>4</v>
      </c>
      <c r="X398" s="8">
        <f>COUNTIF(Logs!G$501:G$510, $X$393)</f>
        <v>1</v>
      </c>
      <c r="Y398" s="33">
        <f>COUNTIF(Logs!G$501:G$510, $Y$393)</f>
        <v>1</v>
      </c>
      <c r="Z398" s="329">
        <f>COUNTIF(Logs!G$501:G$510, $Z$393)</f>
        <v>0</v>
      </c>
    </row>
    <row r="399" spans="2:27">
      <c r="B399" s="163" t="s">
        <v>6</v>
      </c>
      <c r="C399" s="319">
        <f>COUNTIF(Logs!H$447:H$456, $C$393)</f>
        <v>4</v>
      </c>
      <c r="D399" s="8">
        <f>COUNTIF(Logs!H$447:H$456, $D$393)</f>
        <v>1</v>
      </c>
      <c r="E399" s="33">
        <f>COUNTIF(Logs!H$447:H$456, $E$393)</f>
        <v>1</v>
      </c>
      <c r="F399" s="326">
        <f>COUNTIF(Logs!H$447:H$456, $F$393)</f>
        <v>0</v>
      </c>
      <c r="G399" s="329">
        <f>COUNTIF(Logs!H$447:H$456, $G$393)</f>
        <v>0</v>
      </c>
      <c r="I399" s="163" t="s">
        <v>6</v>
      </c>
      <c r="J399" s="319">
        <f>COUNTIF(Logs!H$465:H$474, $J$393)</f>
        <v>3</v>
      </c>
      <c r="K399" s="8">
        <f>COUNTIF(Logs!H$465:H$474, $K$393)</f>
        <v>1</v>
      </c>
      <c r="L399" s="33">
        <f>COUNTIF(Logs!H$465:H$474, $L$393)</f>
        <v>1</v>
      </c>
      <c r="M399" s="329">
        <f>COUNTIF(Logs!H$465:H$474, $M$393)</f>
        <v>0</v>
      </c>
      <c r="O399" s="163" t="s">
        <v>6</v>
      </c>
      <c r="P399" s="319">
        <f>COUNTIF(Logs!H$483:H$492, $P$393)</f>
        <v>3</v>
      </c>
      <c r="Q399" s="8">
        <f>COUNTIF(Logs!H$483:H$492, $Q$393)</f>
        <v>2</v>
      </c>
      <c r="R399" s="33">
        <f>COUNTIF(Logs!H$483:H$492, $R$393)</f>
        <v>1</v>
      </c>
      <c r="S399" s="403">
        <f>COUNTIF(Logs!G$483:G$492, $S$393)</f>
        <v>0</v>
      </c>
      <c r="T399" s="329">
        <f>COUNTIF(Logs!H$483:H$492, $T$393)</f>
        <v>0</v>
      </c>
      <c r="V399" s="163" t="s">
        <v>6</v>
      </c>
      <c r="W399" s="319">
        <f>COUNTIF(Logs!H$501:H$510, $W$393)</f>
        <v>5</v>
      </c>
      <c r="X399" s="8">
        <f>COUNTIF(Logs!H$501:H$510, $X$393)</f>
        <v>1</v>
      </c>
      <c r="Y399" s="33">
        <f>COUNTIF(Logs!H$501:H$510, $Y$393)</f>
        <v>1</v>
      </c>
      <c r="Z399" s="329">
        <f>COUNTIF(Logs!H$501:H$510, $Z$393)</f>
        <v>0</v>
      </c>
    </row>
    <row r="400" spans="2:27">
      <c r="B400" s="163" t="s">
        <v>7</v>
      </c>
      <c r="C400" s="319">
        <f>COUNTIF(Logs!I$447:I$456, $C$393)</f>
        <v>3</v>
      </c>
      <c r="D400" s="8">
        <f>COUNTIF(Logs!I$447:I$456, $D$393)</f>
        <v>1</v>
      </c>
      <c r="E400" s="33">
        <f>COUNTIF(Logs!I$447:I$456, $E$393)</f>
        <v>1</v>
      </c>
      <c r="F400" s="326">
        <f>COUNTIF(Logs!I$447:I$456, $F$393)</f>
        <v>0</v>
      </c>
      <c r="G400" s="329">
        <f>COUNTIF(Logs!I$447:I$456, $G$393)</f>
        <v>0</v>
      </c>
      <c r="I400" s="163" t="s">
        <v>7</v>
      </c>
      <c r="J400" s="319">
        <f>COUNTIF(Logs!I$465:I$474, $J$393)</f>
        <v>4</v>
      </c>
      <c r="K400" s="8">
        <f>COUNTIF(Logs!I$465:I$474, $K$393)</f>
        <v>1</v>
      </c>
      <c r="L400" s="33">
        <f>COUNTIF(Logs!I$465:I$474, $L$393)</f>
        <v>1</v>
      </c>
      <c r="M400" s="329">
        <f>COUNTIF(Logs!I$465:I$474, $M$393)</f>
        <v>0</v>
      </c>
      <c r="O400" s="163" t="s">
        <v>7</v>
      </c>
      <c r="P400" s="319">
        <f>COUNTIF(Logs!I$483:I$492, $P$393)</f>
        <v>5</v>
      </c>
      <c r="Q400" s="8">
        <f>COUNTIF(Logs!I$483:I$492, $Q$393)</f>
        <v>1</v>
      </c>
      <c r="R400" s="33">
        <f>COUNTIF(Logs!I$483:I$492, $R$393)</f>
        <v>1</v>
      </c>
      <c r="S400" s="403">
        <f>COUNTIF(Logs!H$483:H$492, $S$393)</f>
        <v>0</v>
      </c>
      <c r="T400" s="329">
        <f>COUNTIF(Logs!I$483:I$492, $T$393)</f>
        <v>0</v>
      </c>
      <c r="V400" s="163" t="s">
        <v>7</v>
      </c>
      <c r="W400" s="319">
        <f>COUNTIF(Logs!I$501:I$510, $W$393)</f>
        <v>4</v>
      </c>
      <c r="X400" s="8">
        <f>COUNTIF(Logs!I$501:I$510, $X$393)</f>
        <v>1</v>
      </c>
      <c r="Y400" s="33">
        <f>COUNTIF(Logs!I$501:I$510, $Y$393)</f>
        <v>1</v>
      </c>
      <c r="Z400" s="329">
        <f>COUNTIF(Logs!I$501:I$510, $Z$393)</f>
        <v>0</v>
      </c>
    </row>
    <row r="401" spans="2:27">
      <c r="B401" s="163" t="s">
        <v>8</v>
      </c>
      <c r="C401" s="319">
        <f>COUNTIF(Logs!J$447:J$456, $C$393)</f>
        <v>4</v>
      </c>
      <c r="D401" s="8">
        <f>COUNTIF(Logs!J$447:J$456, $D$393)</f>
        <v>1</v>
      </c>
      <c r="E401" s="33">
        <f>COUNTIF(Logs!J$447:J$456, $E$393)</f>
        <v>1</v>
      </c>
      <c r="F401" s="326">
        <f>COUNTIF(Logs!J$447:J$456, $F$393)</f>
        <v>0</v>
      </c>
      <c r="G401" s="329">
        <f>COUNTIF(Logs!J$447:J$456, $G$393)</f>
        <v>1</v>
      </c>
      <c r="I401" s="163" t="s">
        <v>8</v>
      </c>
      <c r="J401" s="319">
        <f>COUNTIF(Logs!J$465:J$474, $J$393)</f>
        <v>4</v>
      </c>
      <c r="K401" s="8">
        <f>COUNTIF(Logs!J$465:J$474, $K$393)</f>
        <v>1</v>
      </c>
      <c r="L401" s="33">
        <f>COUNTIF(Logs!J$465:J$474, $L$393)</f>
        <v>1</v>
      </c>
      <c r="M401" s="329">
        <f>COUNTIF(Logs!J$465:J$474, $M$393)</f>
        <v>1</v>
      </c>
      <c r="O401" s="163" t="s">
        <v>8</v>
      </c>
      <c r="P401" s="319">
        <f>COUNTIF(Logs!J$483:J$492, $P$393)</f>
        <v>4</v>
      </c>
      <c r="Q401" s="8">
        <f>COUNTIF(Logs!J$483:J$492, $Q$393)</f>
        <v>1</v>
      </c>
      <c r="R401" s="33">
        <f>COUNTIF(Logs!J$483:J$492, $R$393)</f>
        <v>1</v>
      </c>
      <c r="S401" s="403">
        <f>COUNTIF(Logs!I$483:I$492, $S$393)</f>
        <v>0</v>
      </c>
      <c r="T401" s="329">
        <f>COUNTIF(Logs!J$483:J$492, $T$393)</f>
        <v>0</v>
      </c>
      <c r="V401" s="163" t="s">
        <v>8</v>
      </c>
      <c r="W401" s="319">
        <f>COUNTIF(Logs!J$501:J$510, $W$393)</f>
        <v>4</v>
      </c>
      <c r="X401" s="8">
        <f>COUNTIF(Logs!J$501:J$510, $X$393)</f>
        <v>1</v>
      </c>
      <c r="Y401" s="33">
        <f>COUNTIF(Logs!J$501:J$510, $Y$393)</f>
        <v>1</v>
      </c>
      <c r="Z401" s="329">
        <f>COUNTIF(Logs!J$501:J$510, $Z$393)</f>
        <v>0</v>
      </c>
    </row>
    <row r="402" spans="2:27">
      <c r="B402" s="163" t="s">
        <v>9</v>
      </c>
      <c r="C402" s="319">
        <f>COUNTIF(Logs!K$447:K$456, $C$393)</f>
        <v>5</v>
      </c>
      <c r="D402" s="8">
        <f>COUNTIF(Logs!K$447:K$456, $D$393)</f>
        <v>1</v>
      </c>
      <c r="E402" s="33">
        <f>COUNTIF(Logs!K$447:K$456, $E$393)</f>
        <v>1</v>
      </c>
      <c r="F402" s="326">
        <f>COUNTIF(Logs!K$447:K$456, $F$393)</f>
        <v>1</v>
      </c>
      <c r="G402" s="329">
        <f>COUNTIF(Logs!K$447:K$456, $G$393)</f>
        <v>0</v>
      </c>
      <c r="I402" s="163" t="s">
        <v>9</v>
      </c>
      <c r="J402" s="319">
        <f>COUNTIF(Logs!K$465:K$474, $J$393)</f>
        <v>3</v>
      </c>
      <c r="K402" s="8">
        <f>COUNTIF(Logs!K$465:K$474, $K$393)</f>
        <v>1</v>
      </c>
      <c r="L402" s="33">
        <f>COUNTIF(Logs!K$465:K$474, $L$393)</f>
        <v>1</v>
      </c>
      <c r="M402" s="329">
        <f>COUNTIF(Logs!K$465:K$474, $M$393)</f>
        <v>0</v>
      </c>
      <c r="O402" s="163" t="s">
        <v>9</v>
      </c>
      <c r="P402" s="319">
        <f>COUNTIF(Logs!K$483:K$492, $P$393)</f>
        <v>4</v>
      </c>
      <c r="Q402" s="8">
        <f>COUNTIF(Logs!K$483:K$492, $Q$393)</f>
        <v>1</v>
      </c>
      <c r="R402" s="33">
        <f>COUNTIF(Logs!K$483:K$492, $R$393)</f>
        <v>1</v>
      </c>
      <c r="S402" s="403">
        <f>COUNTIF(Logs!J$483:J$492, $S$393)</f>
        <v>0</v>
      </c>
      <c r="T402" s="329">
        <f>COUNTIF(Logs!K$483:K$492, $T$393)</f>
        <v>1</v>
      </c>
      <c r="V402" s="163" t="s">
        <v>9</v>
      </c>
      <c r="W402" s="319">
        <f>COUNTIF(Logs!K$501:K$510, $W$393)</f>
        <v>6</v>
      </c>
      <c r="X402" s="8">
        <f>COUNTIF(Logs!K$501:K$510, $X$393)</f>
        <v>2</v>
      </c>
      <c r="Y402" s="33">
        <f>COUNTIF(Logs!K$501:K$510, $Y$393)</f>
        <v>0</v>
      </c>
      <c r="Z402" s="329">
        <f>COUNTIF(Logs!K$501:K$510, $Z$393)</f>
        <v>1</v>
      </c>
    </row>
    <row r="403" spans="2:27">
      <c r="B403" s="163" t="s">
        <v>10</v>
      </c>
      <c r="C403" s="319">
        <f>COUNTIF(Logs!L$447:L$456, $C$393)</f>
        <v>5</v>
      </c>
      <c r="D403" s="8">
        <f>COUNTIF(Logs!L$447:L$456, $D$393)</f>
        <v>0</v>
      </c>
      <c r="E403" s="33">
        <f>COUNTIF(Logs!L$447:L$456, $E$393)</f>
        <v>1</v>
      </c>
      <c r="F403" s="326">
        <f>COUNTIF(Logs!L$447:L$456, $F$393)</f>
        <v>0</v>
      </c>
      <c r="G403" s="329">
        <f>COUNTIF(Logs!L$447:L$456, $G$393)</f>
        <v>0</v>
      </c>
      <c r="I403" s="163" t="s">
        <v>10</v>
      </c>
      <c r="J403" s="319">
        <f>COUNTIF(Logs!L$465:L$474, $J$393)</f>
        <v>6</v>
      </c>
      <c r="K403" s="8">
        <f>COUNTIF(Logs!L$465:L$474, $K$393)</f>
        <v>1</v>
      </c>
      <c r="L403" s="33">
        <f>COUNTIF(Logs!L$465:L$474, $L$393)</f>
        <v>1</v>
      </c>
      <c r="M403" s="329">
        <f>COUNTIF(Logs!L$465:L$474, $M$393)</f>
        <v>1</v>
      </c>
      <c r="O403" s="163" t="s">
        <v>10</v>
      </c>
      <c r="P403" s="319">
        <f>COUNTIF(Logs!L$483:L$492, $P$393)</f>
        <v>3</v>
      </c>
      <c r="Q403" s="8">
        <f>COUNTIF(Logs!L$483:L$492, $Q$393)</f>
        <v>1</v>
      </c>
      <c r="R403" s="33">
        <f>COUNTIF(Logs!L$483:L$492, $R$393)</f>
        <v>1</v>
      </c>
      <c r="S403" s="403">
        <f>COUNTIF(Logs!K$483:K$492, $S$393)</f>
        <v>0</v>
      </c>
      <c r="T403" s="329">
        <f>COUNTIF(Logs!L$483:L$492, $T$393)</f>
        <v>0</v>
      </c>
      <c r="V403" s="163" t="s">
        <v>10</v>
      </c>
      <c r="W403" s="319">
        <f>COUNTIF(Logs!L$501:L$510, $W$393)</f>
        <v>5</v>
      </c>
      <c r="X403" s="8">
        <f>COUNTIF(Logs!L$501:L$510, $X$393)</f>
        <v>1</v>
      </c>
      <c r="Y403" s="33">
        <f>COUNTIF(Logs!L$501:L$510, $Y$393)</f>
        <v>1</v>
      </c>
      <c r="Z403" s="329">
        <f>COUNTIF(Logs!L$501:L$510, $Z$393)</f>
        <v>0</v>
      </c>
    </row>
    <row r="404" spans="2:27">
      <c r="B404" s="163" t="s">
        <v>36</v>
      </c>
      <c r="C404" s="319">
        <f>COUNTIF(Logs!M$447:M$456, $C$393)</f>
        <v>3</v>
      </c>
      <c r="D404" s="8">
        <f>COUNTIF(Logs!M$447:M$456, $D$393)</f>
        <v>1</v>
      </c>
      <c r="E404" s="33">
        <f>COUNTIF(Logs!M$447:M$456, $E$393)</f>
        <v>1</v>
      </c>
      <c r="F404" s="326">
        <f>COUNTIF(Logs!M$447:M$456, $F$393)</f>
        <v>0</v>
      </c>
      <c r="G404" s="329">
        <f>COUNTIF(Logs!M$447:M$456, $G$393)</f>
        <v>1</v>
      </c>
      <c r="I404" s="163" t="s">
        <v>36</v>
      </c>
      <c r="J404" s="319">
        <f>COUNTIF(Logs!M$465:M$474, $J$393)</f>
        <v>3</v>
      </c>
      <c r="K404" s="8">
        <f>COUNTIF(Logs!M$465:M$474, $K$393)</f>
        <v>1</v>
      </c>
      <c r="L404" s="33">
        <f>COUNTIF(Logs!M$465:M$474, $L$393)</f>
        <v>1</v>
      </c>
      <c r="M404" s="329">
        <f>COUNTIF(Logs!M$465:M$474, $M$393)</f>
        <v>0</v>
      </c>
      <c r="O404" s="163" t="s">
        <v>36</v>
      </c>
      <c r="P404" s="319">
        <f>COUNTIF(Logs!M$483:M$492, $P$393)</f>
        <v>3</v>
      </c>
      <c r="Q404" s="8">
        <f>COUNTIF(Logs!M$483:M$492, $Q$393)</f>
        <v>1</v>
      </c>
      <c r="R404" s="33">
        <f>COUNTIF(Logs!M$483:M$492, $R$393)</f>
        <v>1</v>
      </c>
      <c r="S404" s="403">
        <f>COUNTIF(Logs!L$483:L$492, $S$393)</f>
        <v>0</v>
      </c>
      <c r="T404" s="329">
        <f>COUNTIF(Logs!M$483:M$492, $T$393)</f>
        <v>0</v>
      </c>
      <c r="V404" s="163" t="s">
        <v>36</v>
      </c>
      <c r="W404" s="319">
        <f>COUNTIF(Logs!M$501:M$510, $W$393)</f>
        <v>4</v>
      </c>
      <c r="X404" s="8">
        <f>COUNTIF(Logs!M$501:M$510, $X$393)</f>
        <v>1</v>
      </c>
      <c r="Y404" s="33">
        <f>COUNTIF(Logs!M$501:M$510, $Y$393)</f>
        <v>1</v>
      </c>
      <c r="Z404" s="329">
        <f>COUNTIF(Logs!M$501:M$510, $Z$393)</f>
        <v>0</v>
      </c>
    </row>
    <row r="405" spans="2:27">
      <c r="B405" s="163" t="s">
        <v>37</v>
      </c>
      <c r="C405" s="319">
        <f>COUNTIF(Logs!N$447:N$456, $C$393)</f>
        <v>7</v>
      </c>
      <c r="D405" s="8">
        <f>COUNTIF(Logs!N$447:N$456, $D$393)</f>
        <v>2</v>
      </c>
      <c r="E405" s="33">
        <f>COUNTIF(Logs!N$447:N$456, $E$393)</f>
        <v>0</v>
      </c>
      <c r="F405" s="326">
        <f>COUNTIF(Logs!N$447:N$456, $F$393)</f>
        <v>0</v>
      </c>
      <c r="G405" s="329">
        <f>COUNTIF(Logs!N$447:N$456, $G$393)</f>
        <v>0</v>
      </c>
      <c r="I405" s="163" t="s">
        <v>37</v>
      </c>
      <c r="J405" s="319">
        <f>COUNTIF(Logs!N$465:N$474, $J$393)</f>
        <v>6</v>
      </c>
      <c r="K405" s="8">
        <f>COUNTIF(Logs!N$465:N$474, $K$393)</f>
        <v>2</v>
      </c>
      <c r="L405" s="33">
        <f>COUNTIF(Logs!N$465:N$474, $L$393)</f>
        <v>0</v>
      </c>
      <c r="M405" s="329">
        <f>COUNTIF(Logs!N$465:N$474, $M$393)</f>
        <v>0</v>
      </c>
      <c r="O405" s="163" t="s">
        <v>37</v>
      </c>
      <c r="P405" s="319">
        <f>COUNTIF(Logs!N$483:N$492, $P$393)</f>
        <v>8</v>
      </c>
      <c r="Q405" s="8">
        <f>COUNTIF(Logs!N$483:N$492, $Q$393)</f>
        <v>1</v>
      </c>
      <c r="R405" s="33">
        <f>COUNTIF(Logs!N$483:N$492, $R$393)</f>
        <v>0</v>
      </c>
      <c r="S405" s="403">
        <f>COUNTIF(Logs!M$483:M$492, $S$393)</f>
        <v>0</v>
      </c>
      <c r="T405" s="329">
        <f>COUNTIF(Logs!N$483:N$492, $T$393)</f>
        <v>0</v>
      </c>
      <c r="V405" s="163" t="s">
        <v>37</v>
      </c>
      <c r="W405" s="319">
        <f>COUNTIF(Logs!N$501:N$510, $W$393)</f>
        <v>6</v>
      </c>
      <c r="X405" s="8">
        <f>COUNTIF(Logs!N$501:N$510, $X$393)</f>
        <v>2</v>
      </c>
      <c r="Y405" s="33">
        <f>COUNTIF(Logs!N$501:N$510, $Y$393)</f>
        <v>0</v>
      </c>
      <c r="Z405" s="329">
        <f>COUNTIF(Logs!N$501:N$510, $Z$393)</f>
        <v>0</v>
      </c>
    </row>
    <row r="406" spans="2:27">
      <c r="B406" s="318" t="s">
        <v>200</v>
      </c>
      <c r="C406" s="321">
        <f>SUM(C$391:C$405)</f>
        <v>56</v>
      </c>
      <c r="D406" s="323">
        <f>SUM(D$394:D$405)</f>
        <v>10</v>
      </c>
      <c r="E406" s="324">
        <f>SUM(E$394:E$405)</f>
        <v>10</v>
      </c>
      <c r="F406" s="328">
        <f>SUM(F$394:F$405)</f>
        <v>1</v>
      </c>
      <c r="G406" s="330">
        <f>SUM(G$394:G$405)</f>
        <v>3</v>
      </c>
      <c r="I406" s="318" t="s">
        <v>200</v>
      </c>
      <c r="J406" s="321">
        <f>SUM(J$394:J$405)</f>
        <v>49</v>
      </c>
      <c r="K406" s="323">
        <f>SUM(K$394:K$405)</f>
        <v>10</v>
      </c>
      <c r="L406" s="324">
        <f>SUM(L$394:L$405)</f>
        <v>11</v>
      </c>
      <c r="M406" s="330">
        <f>SUM(M$394:M$405)</f>
        <v>3</v>
      </c>
      <c r="O406" s="318" t="s">
        <v>200</v>
      </c>
      <c r="P406" s="321">
        <f>SUM(P$394:P$405)</f>
        <v>47</v>
      </c>
      <c r="Q406" s="323">
        <f>SUM(Q$394:Q$405)</f>
        <v>12</v>
      </c>
      <c r="R406" s="324">
        <f>SUM(R$394:R$405)</f>
        <v>11</v>
      </c>
      <c r="S406" s="557">
        <f>SUM(S394:S405)</f>
        <v>1</v>
      </c>
      <c r="T406" s="330">
        <f>SUM(T$394:T$405)</f>
        <v>1</v>
      </c>
      <c r="V406" s="318" t="s">
        <v>200</v>
      </c>
      <c r="W406" s="321">
        <f>SUM(W$394:W$405)</f>
        <v>52</v>
      </c>
      <c r="X406" s="323">
        <f>SUM(X$394:X$405)</f>
        <v>14</v>
      </c>
      <c r="Y406" s="324">
        <f>SUM(Y$394:Y$405)</f>
        <v>10</v>
      </c>
      <c r="Z406" s="330">
        <f>SUM(Z$394:Z$405)</f>
        <v>2</v>
      </c>
    </row>
    <row r="407" spans="2:27">
      <c r="C407" s="329"/>
      <c r="D407" s="329"/>
      <c r="E407" s="329"/>
      <c r="F407" s="329"/>
      <c r="G407" s="329"/>
      <c r="H407" s="329"/>
      <c r="I407" s="329"/>
      <c r="J407" s="329"/>
      <c r="K407" s="329"/>
      <c r="L407" s="329"/>
      <c r="M407" s="329"/>
      <c r="N407" s="329"/>
      <c r="O407" s="319"/>
      <c r="P407" s="319"/>
      <c r="Q407" s="319"/>
      <c r="R407" s="319"/>
      <c r="S407" s="319"/>
      <c r="T407" s="319"/>
      <c r="U407" s="319"/>
      <c r="V407" s="319"/>
      <c r="W407" s="319"/>
      <c r="X407" s="319"/>
      <c r="Y407" s="319"/>
      <c r="Z407" s="319"/>
      <c r="AA407" s="319"/>
    </row>
    <row r="408" spans="2:27">
      <c r="B408" s="57" t="s">
        <v>66</v>
      </c>
      <c r="I408" s="57" t="s">
        <v>65</v>
      </c>
      <c r="O408" s="57" t="s">
        <v>60</v>
      </c>
      <c r="U408" s="57" t="s">
        <v>35</v>
      </c>
    </row>
    <row r="409" spans="2:27">
      <c r="B409" s="243" t="s">
        <v>1110</v>
      </c>
      <c r="C409" s="308" t="s">
        <v>12</v>
      </c>
      <c r="D409" s="309" t="s">
        <v>14</v>
      </c>
      <c r="E409" s="310" t="s">
        <v>13</v>
      </c>
      <c r="F409" s="311" t="s">
        <v>71</v>
      </c>
      <c r="G409" s="312" t="s">
        <v>49</v>
      </c>
      <c r="H409" s="57"/>
      <c r="I409" s="243" t="s">
        <v>1110</v>
      </c>
      <c r="J409" s="308" t="s">
        <v>12</v>
      </c>
      <c r="K409" s="309" t="s">
        <v>14</v>
      </c>
      <c r="L409" s="310" t="s">
        <v>13</v>
      </c>
      <c r="M409" s="312" t="s">
        <v>49</v>
      </c>
      <c r="N409" s="57"/>
      <c r="O409" s="243" t="s">
        <v>1110</v>
      </c>
      <c r="P409" s="308" t="s">
        <v>12</v>
      </c>
      <c r="Q409" s="309" t="s">
        <v>14</v>
      </c>
      <c r="R409" s="310" t="s">
        <v>13</v>
      </c>
      <c r="S409" s="312" t="s">
        <v>49</v>
      </c>
      <c r="T409" s="57"/>
      <c r="U409" s="243" t="s">
        <v>1110</v>
      </c>
      <c r="V409" s="308" t="s">
        <v>12</v>
      </c>
      <c r="W409" s="309" t="s">
        <v>14</v>
      </c>
      <c r="X409" s="310" t="s">
        <v>13</v>
      </c>
      <c r="Y409" s="312" t="s">
        <v>49</v>
      </c>
      <c r="Z409" s="314" t="s">
        <v>56</v>
      </c>
      <c r="AA409" s="57"/>
    </row>
    <row r="410" spans="2:27">
      <c r="B410" s="163" t="s">
        <v>1</v>
      </c>
      <c r="C410" s="319">
        <f>COUNTIF(Logs!C$519:C$528, $C$409)</f>
        <v>4</v>
      </c>
      <c r="D410" s="8">
        <f>COUNTIF(Logs!C$519:C$528, $D$409)</f>
        <v>0</v>
      </c>
      <c r="E410" s="33">
        <f>COUNTIF(Logs!C$519:C$528, $E$409)</f>
        <v>1</v>
      </c>
      <c r="F410" s="326">
        <f>COUNTIF(Logs!C$519:C$528, $F$409)</f>
        <v>0</v>
      </c>
      <c r="G410" s="329">
        <f>COUNTIF(Logs!C$519:C$528, $G$409)</f>
        <v>0</v>
      </c>
      <c r="I410" s="163" t="s">
        <v>1</v>
      </c>
      <c r="J410" s="319">
        <f>COUNTIF(Logs!C$537:C$546, $J$409)</f>
        <v>5</v>
      </c>
      <c r="K410" s="8">
        <f>COUNTIF(Logs!C$537:C$546, $K$409)</f>
        <v>1</v>
      </c>
      <c r="L410" s="33">
        <f>COUNTIF(Logs!C$537:C$546, $L$409)</f>
        <v>0</v>
      </c>
      <c r="M410" s="329">
        <f>COUNTIF(Logs!C$537:C$546, $M$409)</f>
        <v>0</v>
      </c>
      <c r="O410" s="163" t="s">
        <v>1</v>
      </c>
      <c r="P410" s="319">
        <f>COUNTIF(Logs!C$555:C$564, $P$409)</f>
        <v>7</v>
      </c>
      <c r="Q410" s="8">
        <f>COUNTIF(Logs!C$555:C$564, $Q$409)</f>
        <v>2</v>
      </c>
      <c r="R410" s="33">
        <f>COUNTIF(Logs!C$555:C$564, $R$409)</f>
        <v>0</v>
      </c>
      <c r="S410" s="329">
        <f>COUNTIF(Logs!C$555:C$564, $S$409)</f>
        <v>0</v>
      </c>
      <c r="U410" s="163" t="s">
        <v>1</v>
      </c>
      <c r="V410" s="319">
        <f>COUNTIF(Logs!$C$572:$C$583, V$409)</f>
        <v>5</v>
      </c>
      <c r="W410" s="8">
        <f>COUNTIF(Logs!C$573:C$582, $W$409)</f>
        <v>1</v>
      </c>
      <c r="X410" s="33">
        <f>COUNTIF(Logs!C$573:C$582, $X$409)</f>
        <v>0</v>
      </c>
      <c r="Y410" s="329">
        <f>COUNTIF(Logs!C$573:C$582, $Y$409)</f>
        <v>0</v>
      </c>
      <c r="Z410" s="319"/>
      <c r="AA410">
        <f>SUM(V410:Z410)</f>
        <v>6</v>
      </c>
    </row>
    <row r="411" spans="2:27">
      <c r="B411" s="163" t="s">
        <v>2</v>
      </c>
      <c r="C411" s="319">
        <f>COUNTIF(Logs!D$519:D$528, $C$409)</f>
        <v>3</v>
      </c>
      <c r="D411" s="8">
        <f>COUNTIF(Logs!D$519:D$528, $D$409)</f>
        <v>1</v>
      </c>
      <c r="E411" s="33">
        <f>COUNTIF(Logs!D$519:D$528, $E$409)</f>
        <v>1</v>
      </c>
      <c r="F411" s="326">
        <f>COUNTIF(Logs!D$519:D$528, $F$409)</f>
        <v>0</v>
      </c>
      <c r="G411" s="329">
        <f>COUNTIF(Logs!D$519:D$528, $G$409)</f>
        <v>0</v>
      </c>
      <c r="I411" s="163" t="s">
        <v>2</v>
      </c>
      <c r="J411" s="319">
        <f>COUNTIF(Logs!D$537:D$546, $J$409)</f>
        <v>2</v>
      </c>
      <c r="K411" s="8">
        <f>COUNTIF(Logs!D$537:D$546, $K$409)</f>
        <v>1</v>
      </c>
      <c r="L411" s="33">
        <f>COUNTIF(Logs!D$537:D$546, $L$409)</f>
        <v>1</v>
      </c>
      <c r="M411" s="329">
        <f>COUNTIF(Logs!D$537:D$546, $M$409)</f>
        <v>0</v>
      </c>
      <c r="O411" s="163" t="s">
        <v>2</v>
      </c>
      <c r="P411" s="319">
        <f>COUNTIF(Logs!D$555:D$564, $P$409)</f>
        <v>5</v>
      </c>
      <c r="Q411" s="8">
        <f>COUNTIF(Logs!D$555:D$564, $Q$409)</f>
        <v>1</v>
      </c>
      <c r="R411" s="33">
        <f>COUNTIF(Logs!D$555:D$564, $R$409)</f>
        <v>1</v>
      </c>
      <c r="S411" s="329">
        <f>COUNTIF(Logs!D$555:D$564, $S$409)</f>
        <v>0</v>
      </c>
      <c r="U411" s="163" t="s">
        <v>2</v>
      </c>
      <c r="V411" s="319">
        <f>COUNTIF(Logs!D$572:D$583, $V$409)</f>
        <v>6</v>
      </c>
      <c r="W411" s="8">
        <f>COUNTIF(Logs!D$572:D$582, $W$409)</f>
        <v>1</v>
      </c>
      <c r="X411" s="33">
        <f>COUNTIF(Logs!D$572:D$582, $X$409)</f>
        <v>0</v>
      </c>
      <c r="Y411" s="329">
        <f>COUNTIF(Logs!D$572:D$582, $Y$409)</f>
        <v>0</v>
      </c>
      <c r="Z411" s="319"/>
      <c r="AA411">
        <f t="shared" ref="AA411:AA420" si="23">SUM(V411:Z411)</f>
        <v>7</v>
      </c>
    </row>
    <row r="412" spans="2:27">
      <c r="B412" s="163" t="s">
        <v>3</v>
      </c>
      <c r="C412" s="319">
        <f>COUNTIF(Logs!E$519:E$528, $C$409)</f>
        <v>4</v>
      </c>
      <c r="D412" s="8">
        <f>COUNTIF(Logs!E$519:E$528, $D$409)</f>
        <v>1</v>
      </c>
      <c r="E412" s="33">
        <f>COUNTIF(Logs!E$519:E$528, $E$409)</f>
        <v>1</v>
      </c>
      <c r="F412" s="326">
        <f>COUNTIF(Logs!E$519:E$528, $F$409)</f>
        <v>0</v>
      </c>
      <c r="G412" s="329">
        <f>COUNTIF(Logs!E$519:E$528, $G$409)</f>
        <v>0</v>
      </c>
      <c r="I412" s="163" t="s">
        <v>3</v>
      </c>
      <c r="J412" s="319">
        <f>COUNTIF(Logs!E$537:E$546, $J$409)</f>
        <v>3</v>
      </c>
      <c r="K412" s="8">
        <f>COUNTIF(Logs!E$537:E$546, $K$409)</f>
        <v>1</v>
      </c>
      <c r="L412" s="33">
        <f>COUNTIF(Logs!E$537:E$546, $L$409)</f>
        <v>1</v>
      </c>
      <c r="M412" s="329">
        <f>COUNTIF(Logs!E$537:E$546, $M$409)</f>
        <v>0</v>
      </c>
      <c r="O412" s="163" t="s">
        <v>3</v>
      </c>
      <c r="P412" s="319">
        <f>COUNTIF(Logs!E$555:E$564, $P$409)</f>
        <v>2</v>
      </c>
      <c r="Q412" s="8">
        <f>COUNTIF(Logs!E$555:E$564, $Q$409)</f>
        <v>1</v>
      </c>
      <c r="R412" s="33">
        <f>COUNTIF(Logs!E$555:E$564, $R$409)</f>
        <v>1</v>
      </c>
      <c r="S412" s="329">
        <f>COUNTIF(Logs!E$555:E$564, $S$409)</f>
        <v>0</v>
      </c>
      <c r="U412" s="163" t="s">
        <v>3</v>
      </c>
      <c r="V412" s="319">
        <f>COUNTIF(Logs!E$572:E$583, $V$409)</f>
        <v>4</v>
      </c>
      <c r="W412" s="8">
        <f>COUNTIF(Logs!E$572:E$582, $W$409)</f>
        <v>0</v>
      </c>
      <c r="X412" s="33">
        <f>COUNTIF(Logs!E$572:E$582, $X$409)</f>
        <v>1</v>
      </c>
      <c r="Y412" s="329">
        <f>COUNTIF(Logs!E$572:E$582, $Y$409)</f>
        <v>0</v>
      </c>
      <c r="Z412" s="319"/>
      <c r="AA412">
        <f t="shared" si="23"/>
        <v>5</v>
      </c>
    </row>
    <row r="413" spans="2:27">
      <c r="B413" s="163" t="s">
        <v>4</v>
      </c>
      <c r="C413" s="319">
        <f>COUNTIF(Logs!F$519:F$528, $C$409)</f>
        <v>3</v>
      </c>
      <c r="D413" s="8">
        <f>COUNTIF(Logs!F$519:F$528, $D$409)</f>
        <v>1</v>
      </c>
      <c r="E413" s="33">
        <f>COUNTIF(Logs!F$519:F$528, $E$409)</f>
        <v>1</v>
      </c>
      <c r="F413" s="326">
        <f>COUNTIF(Logs!F$519:F$528, $F$409)</f>
        <v>0</v>
      </c>
      <c r="G413" s="329">
        <f>COUNTIF(Logs!F$519:F$528, $G$409)</f>
        <v>0</v>
      </c>
      <c r="I413" s="163" t="s">
        <v>4</v>
      </c>
      <c r="J413" s="319">
        <f>COUNTIF(Logs!F$537:F$546, $J$409)</f>
        <v>2</v>
      </c>
      <c r="K413" s="8">
        <f>COUNTIF(Logs!F$537:F$546, $K$409)</f>
        <v>1</v>
      </c>
      <c r="L413" s="33">
        <f>COUNTIF(Logs!F$537:F$546, $L$409)</f>
        <v>1</v>
      </c>
      <c r="M413" s="329">
        <f>COUNTIF(Logs!F$537:F$546, $M$409)</f>
        <v>1</v>
      </c>
      <c r="O413" s="163" t="s">
        <v>4</v>
      </c>
      <c r="P413" s="319">
        <f>COUNTIF(Logs!F$555:F$564, $P$409)</f>
        <v>4</v>
      </c>
      <c r="Q413" s="8">
        <f>COUNTIF(Logs!F$555:F$564, $Q$409)</f>
        <v>1</v>
      </c>
      <c r="R413" s="33">
        <f>COUNTIF(Logs!F$555:F$564, $R$409)</f>
        <v>1</v>
      </c>
      <c r="S413" s="329">
        <f>COUNTIF(Logs!F$555:F$564, $S$409)</f>
        <v>1</v>
      </c>
      <c r="U413" s="163" t="s">
        <v>4</v>
      </c>
      <c r="V413" s="319">
        <f>COUNTIF(Logs!F$574:F$582, $V$409)</f>
        <v>3</v>
      </c>
      <c r="W413" s="8">
        <f>COUNTIF(Logs!F$574:F$582, $W$409)</f>
        <v>1</v>
      </c>
      <c r="X413" s="33">
        <f>COUNTIF(Logs!F$574:F$582, $X$409)</f>
        <v>1</v>
      </c>
      <c r="Y413" s="329">
        <f>COUNTIF(Logs!F$574:F$582, $Y$409)</f>
        <v>0</v>
      </c>
      <c r="Z413" s="319"/>
      <c r="AA413">
        <f t="shared" si="23"/>
        <v>5</v>
      </c>
    </row>
    <row r="414" spans="2:27">
      <c r="B414" s="163" t="s">
        <v>5</v>
      </c>
      <c r="C414" s="319">
        <f>COUNTIF(Logs!G$519:G$528, $C$409)</f>
        <v>3</v>
      </c>
      <c r="D414" s="8">
        <f>COUNTIF(Logs!G$519:G$528, $D$409)</f>
        <v>1</v>
      </c>
      <c r="E414" s="33">
        <f>COUNTIF(Logs!G$519:G$528, $E$409)</f>
        <v>1</v>
      </c>
      <c r="F414" s="326">
        <f>COUNTIF(Logs!G$519:G$528, $F$409)</f>
        <v>1</v>
      </c>
      <c r="G414" s="329">
        <f>COUNTIF(Logs!G$519:G$528, $G$409)</f>
        <v>0</v>
      </c>
      <c r="I414" s="163" t="s">
        <v>5</v>
      </c>
      <c r="J414" s="319">
        <f>COUNTIF(Logs!G$537:G$546, $J$409)</f>
        <v>3</v>
      </c>
      <c r="K414" s="8">
        <f>COUNTIF(Logs!G$537:G$546, $K$409)</f>
        <v>1</v>
      </c>
      <c r="L414" s="33">
        <f>COUNTIF(Logs!G$537:G$546, $L$409)</f>
        <v>1</v>
      </c>
      <c r="M414" s="329">
        <f>COUNTIF(Logs!G$537:G$546, $M$409)</f>
        <v>0</v>
      </c>
      <c r="O414" s="163" t="s">
        <v>5</v>
      </c>
      <c r="P414" s="319">
        <f>COUNTIF(Logs!G$555:G$564, $P$409)</f>
        <v>4</v>
      </c>
      <c r="Q414" s="8">
        <f>COUNTIF(Logs!G$555:G$564, $Q$409)</f>
        <v>1</v>
      </c>
      <c r="R414" s="33">
        <f>COUNTIF(Logs!G$555:G$564, $R$409)</f>
        <v>1</v>
      </c>
      <c r="S414" s="329">
        <f>COUNTIF(Logs!G$555:G$564, $S$409)</f>
        <v>0</v>
      </c>
      <c r="U414" s="163" t="s">
        <v>5</v>
      </c>
      <c r="V414" s="319">
        <f>COUNTIF(Logs!G$574:G$582, $V$409)</f>
        <v>3</v>
      </c>
      <c r="W414" s="8">
        <f>COUNTIF(Logs!G$574:G$582, $W$409)</f>
        <v>2</v>
      </c>
      <c r="X414" s="33">
        <f>COUNTIF(Logs!G$574:G$582, $X$409)</f>
        <v>0</v>
      </c>
      <c r="Y414" s="329">
        <f>COUNTIF(Logs!G$574:G$582, $Y$409)</f>
        <v>0</v>
      </c>
      <c r="Z414" s="319"/>
      <c r="AA414">
        <f t="shared" si="23"/>
        <v>5</v>
      </c>
    </row>
    <row r="415" spans="2:27">
      <c r="B415" s="163" t="s">
        <v>6</v>
      </c>
      <c r="C415" s="319">
        <f>COUNTIF(Logs!H$519:H$528, $C$409)</f>
        <v>4</v>
      </c>
      <c r="D415" s="8">
        <f>COUNTIF(Logs!H$519:H$528, $D$409)</f>
        <v>1</v>
      </c>
      <c r="E415" s="33">
        <f>COUNTIF(Logs!H$519:H$528, $E$409)</f>
        <v>1</v>
      </c>
      <c r="F415" s="326">
        <f>COUNTIF(Logs!H$519:H$528, $F$409)</f>
        <v>0</v>
      </c>
      <c r="G415" s="329">
        <f>COUNTIF(Logs!H$519:H$528, $G$409)</f>
        <v>0</v>
      </c>
      <c r="I415" s="163" t="s">
        <v>6</v>
      </c>
      <c r="J415" s="319">
        <f>COUNTIF(Logs!H$537:H$546, $J$409)</f>
        <v>3</v>
      </c>
      <c r="K415" s="8">
        <f>COUNTIF(Logs!H$537:H$546, $K$409)</f>
        <v>1</v>
      </c>
      <c r="L415" s="33">
        <f>COUNTIF(Logs!H$537:H$546, $L$409)</f>
        <v>1</v>
      </c>
      <c r="M415" s="329">
        <f>COUNTIF(Logs!H$537:H$546, $M$409)</f>
        <v>0</v>
      </c>
      <c r="O415" s="163" t="s">
        <v>6</v>
      </c>
      <c r="P415" s="319">
        <f>COUNTIF(Logs!H$555:H$564, $P$409)</f>
        <v>5</v>
      </c>
      <c r="Q415" s="8">
        <f>COUNTIF(Logs!H$555:H$564, $Q$409)</f>
        <v>1</v>
      </c>
      <c r="R415" s="33">
        <f>COUNTIF(Logs!H$555:H$564, $R$409)</f>
        <v>1</v>
      </c>
      <c r="S415" s="329">
        <f>COUNTIF(Logs!H$555:H$564, $S$409)</f>
        <v>1</v>
      </c>
      <c r="U415" s="163" t="s">
        <v>6</v>
      </c>
      <c r="V415" s="319">
        <f>COUNTIF(Logs!H$572:H$582, $V$409)</f>
        <v>4</v>
      </c>
      <c r="W415" s="8">
        <f>COUNTIF(Logs!H$572:H$582, $W$409)</f>
        <v>1</v>
      </c>
      <c r="X415" s="33">
        <f>COUNTIF(Logs!H$572:H$582, $X$409)</f>
        <v>1</v>
      </c>
      <c r="Y415" s="329">
        <f>COUNTIF(Logs!H$572:H$582, $Y$409)</f>
        <v>0</v>
      </c>
      <c r="Z415" s="319"/>
      <c r="AA415">
        <f t="shared" si="23"/>
        <v>6</v>
      </c>
    </row>
    <row r="416" spans="2:27">
      <c r="B416" s="163" t="s">
        <v>7</v>
      </c>
      <c r="C416" s="319">
        <f>COUNTIF(Logs!I$519:I$528, $C$409)</f>
        <v>3</v>
      </c>
      <c r="D416" s="8">
        <f>COUNTIF(Logs!I$519:I$528, $D$409)</f>
        <v>1</v>
      </c>
      <c r="E416" s="33">
        <f>COUNTIF(Logs!I$519:I$528, $E$409)</f>
        <v>1</v>
      </c>
      <c r="F416" s="326">
        <f>COUNTIF(Logs!I$519:I$528, $F$409)</f>
        <v>0</v>
      </c>
      <c r="G416" s="329">
        <f>COUNTIF(Logs!I$519:I$528, $G$409)</f>
        <v>0</v>
      </c>
      <c r="I416" s="163" t="s">
        <v>7</v>
      </c>
      <c r="J416" s="319">
        <f>COUNTIF(Logs!I$537:I$546, $J$409)</f>
        <v>4</v>
      </c>
      <c r="K416" s="8">
        <f>COUNTIF(Logs!I$537:I$546, $K$409)</f>
        <v>0</v>
      </c>
      <c r="L416" s="33">
        <f>COUNTIF(Logs!I$537:I$546, $L$409)</f>
        <v>1</v>
      </c>
      <c r="M416" s="329">
        <f>COUNTIF(Logs!I$537:I$546, $M$409)</f>
        <v>0</v>
      </c>
      <c r="O416" s="163" t="s">
        <v>7</v>
      </c>
      <c r="P416" s="319">
        <f>COUNTIF(Logs!I$555:I$564, $P$409)</f>
        <v>3</v>
      </c>
      <c r="Q416" s="8">
        <f>COUNTIF(Logs!I$555:I$564, $Q$409)</f>
        <v>1</v>
      </c>
      <c r="R416" s="33">
        <f>COUNTIF(Logs!I$555:I$564, $R$409)</f>
        <v>1</v>
      </c>
      <c r="S416" s="329">
        <f>COUNTIF(Logs!I$555:I$564, $S$409)</f>
        <v>0</v>
      </c>
      <c r="U416" s="163" t="s">
        <v>7</v>
      </c>
      <c r="V416" s="319">
        <f>COUNTIF(Logs!I$572:I$582, $V$409)</f>
        <v>5</v>
      </c>
      <c r="W416" s="8">
        <f>COUNTIF(Logs!I$572:I$582, $W$409)</f>
        <v>0</v>
      </c>
      <c r="X416" s="33">
        <f>COUNTIF(Logs!I$572:I$582, $X$409)</f>
        <v>1</v>
      </c>
      <c r="Y416" s="329">
        <f>COUNTIF(Logs!I$572:I$582, $Y$409)</f>
        <v>1</v>
      </c>
      <c r="Z416" s="319"/>
      <c r="AA416">
        <f t="shared" si="23"/>
        <v>7</v>
      </c>
    </row>
    <row r="417" spans="2:28">
      <c r="B417" s="163" t="s">
        <v>8</v>
      </c>
      <c r="C417" s="319">
        <f>COUNTIF(Logs!J$519:J$528, $C$409)</f>
        <v>5</v>
      </c>
      <c r="D417" s="8">
        <f>COUNTIF(Logs!J$519:J$528, $D$409)</f>
        <v>1</v>
      </c>
      <c r="E417" s="33">
        <f>COUNTIF(Logs!J$519:J$528, $E$409)</f>
        <v>1</v>
      </c>
      <c r="F417" s="326">
        <f>COUNTIF(Logs!J$519:J$528, $F$409)</f>
        <v>0</v>
      </c>
      <c r="G417" s="329">
        <f>COUNTIF(Logs!J$519:J$528, $G$409)</f>
        <v>1</v>
      </c>
      <c r="I417" s="163" t="s">
        <v>8</v>
      </c>
      <c r="J417" s="319">
        <f>COUNTIF(Logs!J$537:J$546, $J$409)</f>
        <v>4</v>
      </c>
      <c r="K417" s="8">
        <f>COUNTIF(Logs!J$537:J$546, $K$409)</f>
        <v>0</v>
      </c>
      <c r="L417" s="33">
        <f>COUNTIF(Logs!J$537:J$546, $L$409)</f>
        <v>1</v>
      </c>
      <c r="M417" s="329">
        <f>COUNTIF(Logs!J$537:J$546, $M$409)</f>
        <v>0</v>
      </c>
      <c r="O417" s="163" t="s">
        <v>8</v>
      </c>
      <c r="P417" s="319">
        <f>COUNTIF(Logs!J$555:J$564, $P$409)</f>
        <v>3</v>
      </c>
      <c r="Q417" s="8">
        <f>COUNTIF(Logs!J$555:J$564, $Q$409)</f>
        <v>1</v>
      </c>
      <c r="R417" s="33">
        <f>COUNTIF(Logs!J$555:J$564, $R$409)</f>
        <v>1</v>
      </c>
      <c r="S417" s="329">
        <f>COUNTIF(Logs!J$555:J$564, $S$409)</f>
        <v>1</v>
      </c>
      <c r="U417" s="272" t="s">
        <v>8</v>
      </c>
      <c r="V417" s="319">
        <f>COUNTIF(Logs!J$572:J$582, $V$409)</f>
        <v>7</v>
      </c>
      <c r="W417" s="8">
        <f>COUNTIF(Logs!J$572:J$582, $W$409)</f>
        <v>2</v>
      </c>
      <c r="X417" s="33">
        <f>COUNTIF(Logs!J$572:J$582, $X$409)</f>
        <v>2</v>
      </c>
      <c r="Y417" s="329">
        <f>COUNTIF(Logs!J$572:J$582, $Y$409)</f>
        <v>0</v>
      </c>
      <c r="Z417" s="319"/>
      <c r="AA417">
        <f t="shared" si="23"/>
        <v>11</v>
      </c>
    </row>
    <row r="418" spans="2:28">
      <c r="B418" s="163" t="s">
        <v>9</v>
      </c>
      <c r="C418" s="319">
        <f>COUNTIF(Logs!K$519:K$528, $C$409)</f>
        <v>4</v>
      </c>
      <c r="D418" s="8">
        <f>COUNTIF(Logs!K$519:K$528, $D$409)</f>
        <v>1</v>
      </c>
      <c r="E418" s="33">
        <f>COUNTIF(Logs!K$519:K$528, $E$409)</f>
        <v>1</v>
      </c>
      <c r="F418" s="326">
        <f>COUNTIF(Logs!K$519:K$528, $F$409)</f>
        <v>0</v>
      </c>
      <c r="G418" s="329">
        <f>COUNTIF(Logs!K$519:K$528, $G$409)</f>
        <v>0</v>
      </c>
      <c r="I418" s="163" t="s">
        <v>9</v>
      </c>
      <c r="J418" s="319">
        <f>COUNTIF(Logs!K$537:K$546, $J$409)</f>
        <v>9</v>
      </c>
      <c r="K418" s="8">
        <f>COUNTIF(Logs!K$537:K$546, $K$409)</f>
        <v>0</v>
      </c>
      <c r="L418" s="33">
        <f>COUNTIF(Logs!K$537:K$546, $L$409)</f>
        <v>0</v>
      </c>
      <c r="M418" s="329">
        <f>COUNTIF(Logs!K$537:K$546, $M$409)</f>
        <v>0</v>
      </c>
      <c r="O418" s="163" t="s">
        <v>9</v>
      </c>
      <c r="P418" s="319">
        <f>COUNTIF(Logs!K$555:K$564, $P$409)</f>
        <v>5</v>
      </c>
      <c r="Q418" s="8">
        <f>COUNTIF(Logs!K$555:K$564, $Q$409)</f>
        <v>1</v>
      </c>
      <c r="R418" s="33">
        <f>COUNTIF(Logs!K$555:K$564, $R$409)</f>
        <v>1</v>
      </c>
      <c r="S418" s="329">
        <f>COUNTIF(Logs!K$555:K$564, $S$409)</f>
        <v>0</v>
      </c>
      <c r="U418" s="163" t="s">
        <v>9</v>
      </c>
      <c r="V418" s="319">
        <f>COUNTIF(Logs!K$572:K$582, $V$409)</f>
        <v>6</v>
      </c>
      <c r="W418" s="8">
        <f>COUNTIF(Logs!K$572:K$582, $W$409)</f>
        <v>1</v>
      </c>
      <c r="X418" s="33">
        <f>COUNTIF(Logs!K$572:K$582, $X$409)</f>
        <v>1</v>
      </c>
      <c r="Y418" s="329">
        <f>COUNTIF(Logs!K$572:K$582, $Y$409)</f>
        <v>0</v>
      </c>
      <c r="Z418" s="319"/>
      <c r="AA418">
        <f t="shared" si="23"/>
        <v>8</v>
      </c>
    </row>
    <row r="419" spans="2:28">
      <c r="B419" s="163" t="s">
        <v>10</v>
      </c>
      <c r="C419" s="319">
        <f>COUNTIF(Logs!L$519:L$528, $C$409)</f>
        <v>6</v>
      </c>
      <c r="D419" s="8">
        <f>COUNTIF(Logs!L$519:L$528, $D$409)</f>
        <v>1</v>
      </c>
      <c r="E419" s="33">
        <f>COUNTIF(Logs!L$519:L$528, $E$409)</f>
        <v>0</v>
      </c>
      <c r="F419" s="326">
        <f>COUNTIF(Logs!L$519:L$528, $F$409)</f>
        <v>0</v>
      </c>
      <c r="G419" s="329">
        <f>COUNTIF(Logs!L$519:L$528, $G$409)</f>
        <v>1</v>
      </c>
      <c r="I419" s="163" t="s">
        <v>10</v>
      </c>
      <c r="J419" s="319">
        <f>COUNTIF(Logs!L$537:L$546, $J$409)</f>
        <v>3</v>
      </c>
      <c r="K419" s="8">
        <f>COUNTIF(Logs!L$537:L$546, $K$409)</f>
        <v>1</v>
      </c>
      <c r="L419" s="33">
        <f>COUNTIF(Logs!L$537:L$546, $L$409)</f>
        <v>1</v>
      </c>
      <c r="M419" s="329">
        <f>COUNTIF(Logs!L$537:L$546, $M$409)</f>
        <v>0</v>
      </c>
      <c r="O419" s="163" t="s">
        <v>10</v>
      </c>
      <c r="P419" s="319">
        <f>COUNTIF(Logs!L$555:L$564, $P$409)</f>
        <v>4</v>
      </c>
      <c r="Q419" s="8">
        <f>COUNTIF(Logs!L$555:L$564, $Q$409)</f>
        <v>0</v>
      </c>
      <c r="R419" s="33">
        <f>COUNTIF(Logs!L$555:L$564, $R$409)</f>
        <v>1</v>
      </c>
      <c r="S419" s="329">
        <f>COUNTIF(Logs!L$555:L$564, $S$409)</f>
        <v>0</v>
      </c>
      <c r="U419" s="163" t="s">
        <v>10</v>
      </c>
      <c r="V419" s="319">
        <f>COUNTIF(Logs!L$572:L$582, $V$409)</f>
        <v>1</v>
      </c>
      <c r="W419" s="8">
        <f>COUNTIF(Logs!L$572:L$582, $W$409)</f>
        <v>0</v>
      </c>
      <c r="X419" s="33">
        <f>COUNTIF(Logs!L$572:L$582, $X$409)</f>
        <v>0</v>
      </c>
      <c r="Y419" s="329">
        <f>COUNTIF(Logs!L$572:L$582, $Y$409)</f>
        <v>0</v>
      </c>
      <c r="Z419" s="142">
        <f>COUNTIF(Logs!L$572:L$582, $Z$409)</f>
        <v>9</v>
      </c>
      <c r="AA419">
        <f t="shared" si="23"/>
        <v>10</v>
      </c>
    </row>
    <row r="420" spans="2:28">
      <c r="B420" s="163" t="s">
        <v>36</v>
      </c>
      <c r="C420" s="319">
        <f>COUNTIF(Logs!M$519:M$528, $C$409)</f>
        <v>6</v>
      </c>
      <c r="D420" s="8">
        <f>COUNTIF(Logs!M$519:M$528, $D$409)</f>
        <v>2</v>
      </c>
      <c r="E420" s="33">
        <f>COUNTIF(Logs!M$519:M$528, $E$409)</f>
        <v>0</v>
      </c>
      <c r="F420" s="326">
        <f>COUNTIF(Logs!M$519:M$528, $F$409)</f>
        <v>0</v>
      </c>
      <c r="G420" s="329">
        <f>COUNTIF(Logs!M$519:M$528, $G$409)</f>
        <v>0</v>
      </c>
      <c r="I420" s="163" t="s">
        <v>36</v>
      </c>
      <c r="J420" s="319">
        <f>COUNTIF(Logs!M$537:M$546, $J$409)</f>
        <v>5</v>
      </c>
      <c r="K420" s="8">
        <f>COUNTIF(Logs!M$537:M$546, $K$409)</f>
        <v>1</v>
      </c>
      <c r="L420" s="33">
        <f>COUNTIF(Logs!M$537:M$546, $L$409)</f>
        <v>1</v>
      </c>
      <c r="M420" s="329">
        <f>COUNTIF(Logs!M$537:M$546, $M$409)</f>
        <v>1</v>
      </c>
      <c r="O420" s="163" t="s">
        <v>36</v>
      </c>
      <c r="P420" s="319">
        <f>COUNTIF(Logs!M$555:M$564, $P$409)</f>
        <v>5</v>
      </c>
      <c r="Q420" s="8">
        <f>COUNTIF(Logs!M$555:M$564, $Q$409)</f>
        <v>1</v>
      </c>
      <c r="R420" s="33">
        <f>COUNTIF(Logs!M$555:M$564, $R$409)</f>
        <v>1</v>
      </c>
      <c r="S420" s="329">
        <f>COUNTIF(Logs!M$555:M$564, $S$409)</f>
        <v>0</v>
      </c>
      <c r="U420" s="163" t="s">
        <v>36</v>
      </c>
      <c r="V420" s="319">
        <f>COUNTIF(Logs!M$572:M$582, $V$409)</f>
        <v>6</v>
      </c>
      <c r="W420" s="8">
        <f>COUNTIF(Logs!M$572:M$582, $W$409)</f>
        <v>2</v>
      </c>
      <c r="X420" s="33">
        <f>COUNTIF(Logs!M$572:M$582, $X$409)</f>
        <v>0</v>
      </c>
      <c r="Y420" s="329">
        <f>COUNTIF(Logs!M$572:M$582, $Y$409)</f>
        <v>0</v>
      </c>
      <c r="Z420" s="319"/>
      <c r="AA420">
        <f t="shared" si="23"/>
        <v>8</v>
      </c>
    </row>
    <row r="421" spans="2:28">
      <c r="B421" s="163" t="s">
        <v>37</v>
      </c>
      <c r="C421" s="319">
        <f>COUNTIF(Logs!N$519:N$528, $C$409)</f>
        <v>9</v>
      </c>
      <c r="D421" s="8">
        <f>COUNTIF(Logs!N$519:N$528, $D$409)</f>
        <v>0</v>
      </c>
      <c r="E421" s="33">
        <f>COUNTIF(Logs!N$519:N$528, $E$409)</f>
        <v>0</v>
      </c>
      <c r="F421" s="326">
        <f>COUNTIF(Logs!N$519:N$528, $F$409)</f>
        <v>0</v>
      </c>
      <c r="G421" s="329">
        <f>COUNTIF(Logs!N$519:N$528, $G$409)</f>
        <v>0</v>
      </c>
      <c r="I421" s="163" t="s">
        <v>37</v>
      </c>
      <c r="J421" s="319">
        <f>COUNTIF(Logs!N$537:N$546, $J$409)</f>
        <v>6</v>
      </c>
      <c r="K421" s="8">
        <f>COUNTIF(Logs!N$537:N$546, $K$409)</f>
        <v>1</v>
      </c>
      <c r="L421" s="33">
        <f>COUNTIF(Logs!N$537:N$546, $L$409)</f>
        <v>0</v>
      </c>
      <c r="M421" s="329">
        <f>COUNTIF(Logs!N$537:N$546, $M$409)</f>
        <v>0</v>
      </c>
      <c r="O421" s="163" t="s">
        <v>37</v>
      </c>
      <c r="P421" s="319">
        <f>COUNTIF(Logs!N$555:N$564, $P$409)</f>
        <v>6</v>
      </c>
      <c r="Q421" s="8">
        <f>COUNTIF(Logs!N$555:N$564, $Q$409)</f>
        <v>1</v>
      </c>
      <c r="R421" s="33">
        <f>COUNTIF(Logs!N$555:N$564, $R$409)</f>
        <v>0</v>
      </c>
      <c r="S421" s="329">
        <f>COUNTIF(Logs!N$555:N$564, $S$409)</f>
        <v>0</v>
      </c>
      <c r="U421" s="318" t="s">
        <v>200</v>
      </c>
      <c r="V421" s="321">
        <f>SUM(V410:V420)</f>
        <v>50</v>
      </c>
      <c r="W421" s="323">
        <f>SUM(W410:W420)</f>
        <v>11</v>
      </c>
      <c r="X421" s="324">
        <f>SUM(X410:X420)</f>
        <v>7</v>
      </c>
      <c r="Y421" s="330">
        <f>SUM(Y410:Y420)</f>
        <v>1</v>
      </c>
      <c r="Z421" s="352">
        <f>SUM(Z410:Z420)</f>
        <v>9</v>
      </c>
    </row>
    <row r="422" spans="2:28">
      <c r="B422" s="318" t="s">
        <v>200</v>
      </c>
      <c r="C422" s="321">
        <f>SUM(C$407:C$421)</f>
        <v>54</v>
      </c>
      <c r="D422" s="323">
        <f>SUM(D$410:D$421)</f>
        <v>11</v>
      </c>
      <c r="E422" s="324">
        <f>SUM(E$410:E$421)</f>
        <v>9</v>
      </c>
      <c r="F422" s="328">
        <f>SUM(F$410:F$421)</f>
        <v>1</v>
      </c>
      <c r="G422" s="330">
        <f>SUM(G$410:G$421)</f>
        <v>2</v>
      </c>
      <c r="I422" s="318" t="s">
        <v>200</v>
      </c>
      <c r="J422" s="321">
        <f>SUM(J$410:J$421)</f>
        <v>49</v>
      </c>
      <c r="K422" s="323">
        <f>SUM(K$410:K$421)</f>
        <v>9</v>
      </c>
      <c r="L422" s="324">
        <f>SUM(L$410:L$421)</f>
        <v>9</v>
      </c>
      <c r="M422" s="330">
        <f>SUM(M$410:M$421)</f>
        <v>2</v>
      </c>
      <c r="O422" s="318" t="s">
        <v>200</v>
      </c>
      <c r="P422" s="321">
        <f>SUM(P$407:P$421)</f>
        <v>53</v>
      </c>
      <c r="Q422" s="323">
        <f>SUM(Q$410:Q$421)</f>
        <v>12</v>
      </c>
      <c r="R422" s="324">
        <f>SUM(R$410:R$421)</f>
        <v>10</v>
      </c>
      <c r="S422" s="330">
        <f>SUM(S$410:S$421)</f>
        <v>3</v>
      </c>
      <c r="V422" s="319"/>
      <c r="W422" s="8"/>
      <c r="X422" s="33"/>
      <c r="Y422" s="326"/>
      <c r="Z422" s="329"/>
    </row>
    <row r="423" spans="2:28">
      <c r="C423" s="329"/>
      <c r="D423" s="329"/>
      <c r="E423" s="329"/>
      <c r="F423" s="32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row>
    <row r="424" spans="2:28">
      <c r="B424" s="57" t="s">
        <v>11</v>
      </c>
      <c r="H424" s="57" t="s">
        <v>198</v>
      </c>
      <c r="M424" s="57" t="s">
        <v>184</v>
      </c>
      <c r="S424" s="57" t="s">
        <v>563</v>
      </c>
    </row>
    <row r="425" spans="2:28">
      <c r="B425" s="243" t="s">
        <v>1110</v>
      </c>
      <c r="C425" s="308" t="s">
        <v>12</v>
      </c>
      <c r="D425" s="309" t="s">
        <v>14</v>
      </c>
      <c r="E425" s="310" t="s">
        <v>13</v>
      </c>
      <c r="F425" s="312" t="s">
        <v>49</v>
      </c>
      <c r="G425" s="57"/>
      <c r="H425" s="243" t="s">
        <v>1110</v>
      </c>
      <c r="I425" s="308" t="s">
        <v>12</v>
      </c>
      <c r="J425" s="309" t="s">
        <v>14</v>
      </c>
      <c r="K425" s="310" t="s">
        <v>13</v>
      </c>
      <c r="L425" s="57"/>
      <c r="M425" s="243" t="s">
        <v>1110</v>
      </c>
      <c r="N425" s="308" t="s">
        <v>12</v>
      </c>
      <c r="O425" s="309" t="s">
        <v>14</v>
      </c>
      <c r="P425" s="310" t="s">
        <v>13</v>
      </c>
      <c r="Q425" s="307" t="s">
        <v>87</v>
      </c>
      <c r="R425" s="57"/>
      <c r="S425" s="243" t="s">
        <v>1110</v>
      </c>
      <c r="T425" s="308" t="s">
        <v>12</v>
      </c>
      <c r="U425" s="309" t="s">
        <v>14</v>
      </c>
      <c r="V425" s="310" t="s">
        <v>13</v>
      </c>
      <c r="W425" s="57"/>
    </row>
    <row r="426" spans="2:28">
      <c r="B426" s="163" t="s">
        <v>1</v>
      </c>
      <c r="C426" s="319">
        <f>COUNTIF(Logs!C$591:C$600, $C$425)</f>
        <v>4</v>
      </c>
      <c r="D426" s="8">
        <f>COUNTIF(Logs!C$591:C$600, $D$425)</f>
        <v>0</v>
      </c>
      <c r="E426" s="33">
        <f>COUNTIF(Logs!C$591:C$600, $E$425)</f>
        <v>1</v>
      </c>
      <c r="F426" s="329">
        <f>COUNTIF(Logs!C$591:C$600, $F$425)</f>
        <v>0</v>
      </c>
      <c r="H426" s="163" t="s">
        <v>1</v>
      </c>
      <c r="I426" s="319">
        <f>COUNTIF(Logs!C$607:C$616, $I$425)</f>
        <v>4</v>
      </c>
      <c r="J426" s="8">
        <f>COUNTIF(Logs!C$607:C$616, $J$425)</f>
        <v>1</v>
      </c>
      <c r="K426" s="33">
        <f>COUNTIF(Logs!C$607:C$616, $K$425)</f>
        <v>0</v>
      </c>
      <c r="M426" s="163" t="s">
        <v>1</v>
      </c>
      <c r="N426" s="319">
        <f>COUNTIF(Logs!C$623:C$632, $N$425)</f>
        <v>4</v>
      </c>
      <c r="O426" s="8">
        <f>COUNTIF(Logs!C$623:C$632, $O$425)</f>
        <v>1</v>
      </c>
      <c r="P426" s="33">
        <f>COUNTIF(Logs!C$623:C$632, $P$425)</f>
        <v>1</v>
      </c>
      <c r="Q426" s="8">
        <f>COUNTIF(Logs!C$623:C$632, $Q$425)</f>
        <v>1</v>
      </c>
      <c r="S426" s="163" t="s">
        <v>1</v>
      </c>
      <c r="T426" s="319">
        <f>COUNTIF(Logs!C$640:C$649, $T$425)</f>
        <v>3</v>
      </c>
      <c r="U426" s="8">
        <f>COUNTIF(Logs!C$640:C$649, $U$425)</f>
        <v>1</v>
      </c>
      <c r="V426" s="33">
        <f>COUNTIF(Logs!C$640:C$649, $V$425)</f>
        <v>1</v>
      </c>
    </row>
    <row r="427" spans="2:28">
      <c r="B427" s="163" t="s">
        <v>2</v>
      </c>
      <c r="C427" s="319">
        <f>COUNTIF(Logs!D$591:D$600, $C$425)</f>
        <v>3</v>
      </c>
      <c r="D427" s="8">
        <f>COUNTIF(Logs!D$591:D$600, $D$425)</f>
        <v>1</v>
      </c>
      <c r="E427" s="33">
        <f>COUNTIF(Logs!D$591:D$600, $E$425)</f>
        <v>1</v>
      </c>
      <c r="F427" s="329">
        <f>COUNTIF(Logs!D$591:D$600, $F$425)</f>
        <v>0</v>
      </c>
      <c r="H427" s="163" t="s">
        <v>2</v>
      </c>
      <c r="I427" s="319">
        <f>COUNTIF(Logs!D$607:D$616, $I$425)</f>
        <v>3</v>
      </c>
      <c r="J427" s="8">
        <f>COUNTIF(Logs!D$607:D$616, $J$425)</f>
        <v>1</v>
      </c>
      <c r="K427" s="33">
        <f>COUNTIF(Logs!D$607:D$616, $K$425)</f>
        <v>1</v>
      </c>
      <c r="M427" s="163" t="s">
        <v>2</v>
      </c>
      <c r="N427" s="319">
        <f>COUNTIF(Logs!D$623:D$632, $N$425)</f>
        <v>3</v>
      </c>
      <c r="O427" s="8">
        <f>COUNTIF(Logs!D$623:D$632, $O$425)</f>
        <v>1</v>
      </c>
      <c r="P427" s="33">
        <f>COUNTIF(Logs!D$623:D$632, $P$425)</f>
        <v>1</v>
      </c>
      <c r="Q427" s="8">
        <f>COUNTIF(Logs!D$623:D$632, $Q$425)</f>
        <v>0</v>
      </c>
      <c r="S427" s="163" t="s">
        <v>2</v>
      </c>
      <c r="T427" s="319">
        <f>COUNTIF(Logs!D$640:D$649, $T$425)</f>
        <v>3</v>
      </c>
      <c r="U427" s="8">
        <f>COUNTIF(Logs!D$640:D$649, $U$425)</f>
        <v>1</v>
      </c>
      <c r="V427" s="33">
        <f>COUNTIF(Logs!D$640:D$649, $V$425)</f>
        <v>1</v>
      </c>
    </row>
    <row r="428" spans="2:28">
      <c r="B428" s="163" t="s">
        <v>3</v>
      </c>
      <c r="C428" s="319">
        <f>COUNTIF(Logs!E$591:E$600, $C$425)</f>
        <v>4</v>
      </c>
      <c r="D428" s="8">
        <f>COUNTIF(Logs!E$591:E$600, $D$425)</f>
        <v>1</v>
      </c>
      <c r="E428" s="33">
        <f>COUNTIF(Logs!E$591:E$600, $E$425)</f>
        <v>1</v>
      </c>
      <c r="F428" s="329">
        <f>COUNTIF(Logs!E$591:E$600, $F$425)</f>
        <v>0</v>
      </c>
      <c r="H428" s="272" t="s">
        <v>3</v>
      </c>
      <c r="I428" s="319">
        <f>COUNTIF(Logs!E$607:E$616, $I$425)</f>
        <v>4</v>
      </c>
      <c r="J428" s="8">
        <f>COUNTIF(Logs!E$607:E$616, $J$425)</f>
        <v>2</v>
      </c>
      <c r="K428" s="33">
        <f>COUNTIF(Logs!E$607:E$616, $K$425)</f>
        <v>2</v>
      </c>
      <c r="M428" s="163" t="s">
        <v>3</v>
      </c>
      <c r="N428" s="319">
        <f>COUNTIF(Logs!E$623:E$632, $N$425)</f>
        <v>4</v>
      </c>
      <c r="O428" s="8">
        <f>COUNTIF(Logs!E$623:E$632, $O$425)</f>
        <v>0</v>
      </c>
      <c r="P428" s="33">
        <f>COUNTIF(Logs!E$623:E$632, $P$425)</f>
        <v>1</v>
      </c>
      <c r="Q428" s="8">
        <f>COUNTIF(Logs!E$623:E$632, $Q$425)</f>
        <v>0</v>
      </c>
      <c r="S428" s="163" t="s">
        <v>3</v>
      </c>
      <c r="T428" s="319">
        <f>COUNTIF(Logs!E$640:E$649, $T$425)</f>
        <v>3</v>
      </c>
      <c r="U428" s="8">
        <f>COUNTIF(Logs!E$640:E$649, $U$425)</f>
        <v>1</v>
      </c>
      <c r="V428" s="33">
        <f>COUNTIF(Logs!E$640:E$649, $V$425)</f>
        <v>1</v>
      </c>
    </row>
    <row r="429" spans="2:28">
      <c r="B429" s="163" t="s">
        <v>4</v>
      </c>
      <c r="C429" s="319">
        <f>COUNTIF(Logs!F$591:F$600, $C$425)</f>
        <v>4</v>
      </c>
      <c r="D429" s="8">
        <f>COUNTIF(Logs!F$591:F$600, $D$425)</f>
        <v>1</v>
      </c>
      <c r="E429" s="33">
        <f>COUNTIF(Logs!F$591:F$600, $E$425)</f>
        <v>1</v>
      </c>
      <c r="F429" s="329">
        <f>COUNTIF(Logs!F$591:F$600, $F$425)</f>
        <v>1</v>
      </c>
      <c r="H429" s="163" t="s">
        <v>4</v>
      </c>
      <c r="I429" s="319">
        <f>COUNTIF(Logs!F$607:F$616, $I$425)</f>
        <v>3</v>
      </c>
      <c r="J429" s="8">
        <f>COUNTIF(Logs!F$607:F$616, $J$425)</f>
        <v>1</v>
      </c>
      <c r="K429" s="33">
        <f>COUNTIF(Logs!F$607:F$616, $K$425)</f>
        <v>1</v>
      </c>
      <c r="M429" s="163" t="s">
        <v>4</v>
      </c>
      <c r="N429" s="319">
        <f>COUNTIF(Logs!F$623:F$632, $N$425)</f>
        <v>3</v>
      </c>
      <c r="O429" s="8">
        <f>COUNTIF(Logs!F$623:F$632, $O$425)</f>
        <v>1</v>
      </c>
      <c r="P429" s="33">
        <f>COUNTIF(Logs!F$623:F$632, $P$425)</f>
        <v>1</v>
      </c>
      <c r="Q429" s="8">
        <f>COUNTIF(Logs!F$623:F$632, $Q$425)</f>
        <v>0</v>
      </c>
      <c r="S429" s="163" t="s">
        <v>4</v>
      </c>
      <c r="T429" s="319">
        <f>COUNTIF(Logs!F$640:F$649, $T$425)</f>
        <v>3</v>
      </c>
      <c r="U429" s="8">
        <f>COUNTIF(Logs!F$640:F$649, $U$425)</f>
        <v>1</v>
      </c>
      <c r="V429" s="33">
        <f>COUNTIF(Logs!F$640:F$649, $V$425)</f>
        <v>1</v>
      </c>
    </row>
    <row r="430" spans="2:28">
      <c r="B430" s="163" t="s">
        <v>5</v>
      </c>
      <c r="C430" s="319">
        <f>COUNTIF(Logs!G$591:G$600, $C$425)</f>
        <v>2</v>
      </c>
      <c r="D430" s="8">
        <f>COUNTIF(Logs!G$591:G$600, $D$425)</f>
        <v>1</v>
      </c>
      <c r="E430" s="33">
        <f>COUNTIF(Logs!G$591:G$600, $E$425)</f>
        <v>1</v>
      </c>
      <c r="F430" s="329">
        <f>COUNTIF(Logs!G$591:G$600, $F$425)</f>
        <v>0</v>
      </c>
      <c r="H430" s="163" t="s">
        <v>5</v>
      </c>
      <c r="I430" s="319">
        <f>COUNTIF(Logs!G$607:G$616, $I$425)</f>
        <v>2</v>
      </c>
      <c r="J430" s="8">
        <f>COUNTIF(Logs!G$607:G$616, $J$425)</f>
        <v>1</v>
      </c>
      <c r="K430" s="33">
        <f>COUNTIF(Logs!G$607:G$616, $K$425)</f>
        <v>1</v>
      </c>
      <c r="M430" s="163" t="s">
        <v>5</v>
      </c>
      <c r="N430" s="319">
        <f>COUNTIF(Logs!G$623:G$632, $N$425)</f>
        <v>3</v>
      </c>
      <c r="O430" s="8">
        <f>COUNTIF(Logs!G$623:G$632, $O$425)</f>
        <v>1</v>
      </c>
      <c r="P430" s="33">
        <f>COUNTIF(Logs!G$623:G$632, $P$425)</f>
        <v>1</v>
      </c>
      <c r="Q430" s="8">
        <f>COUNTIF(Logs!G$623:G$632, $Q$425)</f>
        <v>0</v>
      </c>
      <c r="S430" s="163" t="s">
        <v>5</v>
      </c>
      <c r="T430" s="319">
        <f>COUNTIF(Logs!G$640:G$649, $T$425)</f>
        <v>3</v>
      </c>
      <c r="U430" s="8">
        <f>COUNTIF(Logs!G$640:G$649, $U$425)</f>
        <v>1</v>
      </c>
      <c r="V430" s="33">
        <f>COUNTIF(Logs!G$640:G$649, $V$425)</f>
        <v>1</v>
      </c>
    </row>
    <row r="431" spans="2:28">
      <c r="B431" s="163" t="s">
        <v>6</v>
      </c>
      <c r="C431" s="319">
        <f>COUNTIF(Logs!H$591:H$600, $C$425)</f>
        <v>3</v>
      </c>
      <c r="D431" s="8">
        <f>COUNTIF(Logs!H$591:H$600, $D$425)</f>
        <v>1</v>
      </c>
      <c r="E431" s="33">
        <f>COUNTIF(Logs!H$591:H$600, $E$425)</f>
        <v>1</v>
      </c>
      <c r="F431" s="329">
        <f>COUNTIF(Logs!H$591:H$600, $F$425)</f>
        <v>0</v>
      </c>
      <c r="H431" s="163" t="s">
        <v>6</v>
      </c>
      <c r="I431" s="319">
        <f>COUNTIF(Logs!H$607:H$616, $I$425)</f>
        <v>3</v>
      </c>
      <c r="J431" s="8">
        <f>COUNTIF(Logs!H$607:H$616, $J$425)</f>
        <v>1</v>
      </c>
      <c r="K431" s="33">
        <f>COUNTIF(Logs!H$607:H$616, $K$425)</f>
        <v>1</v>
      </c>
      <c r="M431" s="163" t="s">
        <v>6</v>
      </c>
      <c r="N431" s="319">
        <f>COUNTIF(Logs!H$623:H$632, $N$425)</f>
        <v>5</v>
      </c>
      <c r="O431" s="8">
        <f>COUNTIF(Logs!H$623:H$632, $O$425)</f>
        <v>1</v>
      </c>
      <c r="P431" s="33">
        <f>COUNTIF(Logs!H$623:H$632, $P$425)</f>
        <v>1</v>
      </c>
      <c r="Q431" s="8">
        <f>COUNTIF(Logs!H$623:H$632, $Q$425)</f>
        <v>0</v>
      </c>
      <c r="S431" s="272" t="s">
        <v>6</v>
      </c>
      <c r="T431" s="319">
        <f>COUNTIF(Logs!H$640:H$649, $T$425)</f>
        <v>5</v>
      </c>
      <c r="U431" s="8">
        <f>COUNTIF(Logs!H$640:H$649, $U$425)</f>
        <v>2</v>
      </c>
      <c r="V431" s="33">
        <f>COUNTIF(Logs!H$640:H$649, $V$425)</f>
        <v>2</v>
      </c>
    </row>
    <row r="432" spans="2:28">
      <c r="B432" s="163" t="s">
        <v>7</v>
      </c>
      <c r="C432" s="319">
        <f>COUNTIF(Logs!I$591:I$600, $C$425)</f>
        <v>3</v>
      </c>
      <c r="D432" s="8">
        <f>COUNTIF(Logs!I$591:I$600, $D$425)</f>
        <v>1</v>
      </c>
      <c r="E432" s="33">
        <f>COUNTIF(Logs!I$591:I$600, $E$425)</f>
        <v>1</v>
      </c>
      <c r="F432" s="329">
        <f>COUNTIF(Logs!I$591:I$600, $F$425)</f>
        <v>0</v>
      </c>
      <c r="H432" s="163" t="s">
        <v>7</v>
      </c>
      <c r="I432" s="319">
        <f>COUNTIF(Logs!I$607:I$616, $I$425)</f>
        <v>3</v>
      </c>
      <c r="J432" s="8">
        <f>COUNTIF(Logs!I$607:I$616, $J$425)</f>
        <v>1</v>
      </c>
      <c r="K432" s="33">
        <f>COUNTIF(Logs!I$607:I$616, $K$425)</f>
        <v>1</v>
      </c>
      <c r="M432" s="163" t="s">
        <v>7</v>
      </c>
      <c r="N432" s="319">
        <f>COUNTIF(Logs!I$623:I$632, $N$425)</f>
        <v>5</v>
      </c>
      <c r="O432" s="8">
        <f>COUNTIF(Logs!I$623:I$632, $O$425)</f>
        <v>2</v>
      </c>
      <c r="P432" s="33">
        <f>COUNTIF(Logs!I$623:I$632, $P$425)</f>
        <v>1</v>
      </c>
      <c r="Q432" s="8">
        <f>COUNTIF(Logs!I$623:I$632, $Q$425)</f>
        <v>0</v>
      </c>
      <c r="S432" s="163" t="s">
        <v>7</v>
      </c>
      <c r="T432" s="319">
        <f>COUNTIF(Logs!I$640:I$649, $T$425)</f>
        <v>3</v>
      </c>
      <c r="U432" s="8">
        <f>COUNTIF(Logs!I$640:I$649, $U$425)</f>
        <v>1</v>
      </c>
      <c r="V432" s="33">
        <f>COUNTIF(Logs!I$640:I$649, $V$425)</f>
        <v>1</v>
      </c>
    </row>
    <row r="433" spans="2:36">
      <c r="B433" s="163" t="s">
        <v>8</v>
      </c>
      <c r="C433" s="319">
        <f>COUNTIF(Logs!J$591:J$600, $C$425)</f>
        <v>4</v>
      </c>
      <c r="D433" s="8">
        <f>COUNTIF(Logs!J$591:J$600, $D$425)</f>
        <v>2</v>
      </c>
      <c r="E433" s="33">
        <f>COUNTIF(Logs!J$591:J$600, $E$425)</f>
        <v>0</v>
      </c>
      <c r="F433" s="329">
        <f>COUNTIF(Logs!J$591:J$600, $F$425)</f>
        <v>0</v>
      </c>
      <c r="H433" s="272" t="s">
        <v>8</v>
      </c>
      <c r="I433" s="319">
        <f>COUNTIF(Logs!J$607:J$616, $I$425)</f>
        <v>5</v>
      </c>
      <c r="J433" s="8">
        <f>COUNTIF(Logs!J$607:J$616, $J$425)</f>
        <v>2</v>
      </c>
      <c r="K433" s="33">
        <f>COUNTIF(Logs!J$607:J$616, $K$425)</f>
        <v>2</v>
      </c>
      <c r="M433" s="163" t="s">
        <v>8</v>
      </c>
      <c r="N433" s="319">
        <f>COUNTIF(Logs!J$623:J$632, $N$425)</f>
        <v>5</v>
      </c>
      <c r="O433" s="8">
        <f>COUNTIF(Logs!J$623:J$632, $O$425)</f>
        <v>1</v>
      </c>
      <c r="P433" s="33">
        <f>COUNTIF(Logs!J$623:J$632, $P$425)</f>
        <v>1</v>
      </c>
      <c r="Q433" s="8">
        <f>COUNTIF(Logs!J$623:J$632, $Q$425)</f>
        <v>1</v>
      </c>
      <c r="S433" s="163" t="s">
        <v>8</v>
      </c>
      <c r="T433" s="319">
        <f>COUNTIF(Logs!J$640:J$649, $T$425)</f>
        <v>4</v>
      </c>
      <c r="U433" s="8">
        <f>COUNTIF(Logs!J$640:J$649, $U$425)</f>
        <v>1</v>
      </c>
      <c r="V433" s="33">
        <f>COUNTIF(Logs!J$640:J$649, $V$425)</f>
        <v>1</v>
      </c>
    </row>
    <row r="434" spans="2:36">
      <c r="B434" s="163" t="s">
        <v>9</v>
      </c>
      <c r="C434" s="319">
        <f>COUNTIF(Logs!K$591:K$600, $C$425)</f>
        <v>3</v>
      </c>
      <c r="D434" s="8">
        <f>COUNTIF(Logs!K$591:K$600, $D$425)</f>
        <v>1</v>
      </c>
      <c r="E434" s="33">
        <f>COUNTIF(Logs!K$591:K$600, $E$425)</f>
        <v>1</v>
      </c>
      <c r="F434" s="329">
        <f>COUNTIF(Logs!K$591:K$600, $F$425)</f>
        <v>0</v>
      </c>
      <c r="H434" s="163" t="s">
        <v>9</v>
      </c>
      <c r="I434" s="319">
        <f>COUNTIF(Logs!K$607:K$616, $I$425)</f>
        <v>5</v>
      </c>
      <c r="J434" s="8">
        <f>COUNTIF(Logs!K$607:K$616, $J$425)</f>
        <v>1</v>
      </c>
      <c r="K434" s="33">
        <f>COUNTIF(Logs!K$607:K$616, $K$425)</f>
        <v>0</v>
      </c>
      <c r="M434" s="163" t="s">
        <v>9</v>
      </c>
      <c r="N434" s="319">
        <f>COUNTIF(Logs!K$623:K$632, $N$425)</f>
        <v>5</v>
      </c>
      <c r="O434" s="8">
        <f>COUNTIF(Logs!K$623:K$632, $O$425)</f>
        <v>1</v>
      </c>
      <c r="P434" s="33">
        <f>COUNTIF(Logs!K$623:K$632, $P$425)</f>
        <v>1</v>
      </c>
      <c r="Q434" s="8">
        <f>COUNTIF(Logs!K$623:K$632, $Q$425)</f>
        <v>0</v>
      </c>
      <c r="S434" s="163" t="s">
        <v>9</v>
      </c>
      <c r="T434" s="319">
        <f>COUNTIF(Logs!K$640:K$649, $T$425)</f>
        <v>6</v>
      </c>
      <c r="U434" s="8">
        <f>COUNTIF(Logs!K$640:K$649, $U$425)</f>
        <v>2</v>
      </c>
      <c r="V434" s="33">
        <f>COUNTIF(Logs!K$640:K$649, $V$425)</f>
        <v>0</v>
      </c>
    </row>
    <row r="435" spans="2:36">
      <c r="B435" s="163" t="s">
        <v>10</v>
      </c>
      <c r="C435" s="319">
        <f>COUNTIF(Logs!L$591:L$600, $C$425)</f>
        <v>5</v>
      </c>
      <c r="D435" s="8">
        <f>COUNTIF(Logs!L$591:L$600, $D$425)</f>
        <v>2</v>
      </c>
      <c r="E435" s="33">
        <f>COUNTIF(Logs!L$591:L$600, $E$425)</f>
        <v>0</v>
      </c>
      <c r="F435" s="329">
        <f>COUNTIF(Logs!L$591:L$600, $F$425)</f>
        <v>0</v>
      </c>
      <c r="H435" s="163" t="s">
        <v>10</v>
      </c>
      <c r="I435" s="319">
        <f>COUNTIF(Logs!L$607:L$616, $I$425)</f>
        <v>7</v>
      </c>
      <c r="J435" s="8">
        <f>COUNTIF(Logs!L$607:L$616, $J$425)</f>
        <v>1</v>
      </c>
      <c r="K435" s="33">
        <f>COUNTIF(Logs!L$607:L$616, $K$425)</f>
        <v>0</v>
      </c>
      <c r="M435" s="163" t="s">
        <v>10</v>
      </c>
      <c r="N435" s="319">
        <f>COUNTIF(Logs!L$623:L$632, $N$425)</f>
        <v>7</v>
      </c>
      <c r="O435" s="8">
        <f>COUNTIF(Logs!L$623:L$632, $O$425)</f>
        <v>1</v>
      </c>
      <c r="P435" s="33">
        <f>COUNTIF(Logs!L$623:L$632, $P$425)</f>
        <v>1</v>
      </c>
      <c r="Q435" s="8">
        <f>COUNTIF(Logs!L$623:L$632, $Q$425)</f>
        <v>0</v>
      </c>
      <c r="S435" s="163" t="s">
        <v>10</v>
      </c>
      <c r="T435" s="319">
        <f>COUNTIF(Logs!L$641:L$649, $T$425)</f>
        <v>3</v>
      </c>
      <c r="U435" s="8">
        <f>COUNTIF(Logs!L$641:L$649, $U$425)</f>
        <v>1</v>
      </c>
      <c r="V435" s="33">
        <f>COUNTIF(Logs!L$641:L$649, $V$425)</f>
        <v>1</v>
      </c>
    </row>
    <row r="436" spans="2:36">
      <c r="B436" s="163" t="s">
        <v>36</v>
      </c>
      <c r="C436" s="319">
        <f>COUNTIF(Logs!M$591:M$600, $C$425)</f>
        <v>8</v>
      </c>
      <c r="D436" s="8">
        <f>COUNTIF(Logs!M$591:M$600, $D$425)</f>
        <v>0</v>
      </c>
      <c r="E436" s="33">
        <f>COUNTIF(Logs!M$591:M$600, $E$425)</f>
        <v>0</v>
      </c>
      <c r="F436" s="329">
        <f>COUNTIF(Logs!M$591:M$600, $F$425)</f>
        <v>0</v>
      </c>
      <c r="H436" s="318" t="s">
        <v>200</v>
      </c>
      <c r="I436" s="321">
        <f>SUM(I426:I435)</f>
        <v>39</v>
      </c>
      <c r="J436" s="323">
        <f>SUM(J426:J435)</f>
        <v>12</v>
      </c>
      <c r="K436" s="324">
        <f>SUM(K426:K435)</f>
        <v>9</v>
      </c>
      <c r="M436" s="163" t="s">
        <v>36</v>
      </c>
      <c r="N436" s="319">
        <f>COUNTIF(Logs!M$623:M$632, $N$425)</f>
        <v>5</v>
      </c>
      <c r="O436" s="8">
        <f>COUNTIF(Logs!M$623:M$632, $O$425)</f>
        <v>2</v>
      </c>
      <c r="P436" s="33">
        <f>COUNTIF(Logs!M$623:M$632, $P$425)</f>
        <v>0</v>
      </c>
      <c r="Q436" s="8">
        <f>COUNTIF(Logs!M$623:M$632, $Q$425)</f>
        <v>0</v>
      </c>
      <c r="S436" s="163" t="s">
        <v>36</v>
      </c>
      <c r="T436" s="319">
        <f>COUNTIF(Logs!M$640:M$649, $T$425)</f>
        <v>8</v>
      </c>
      <c r="U436" s="8">
        <f>COUNTIF(Logs!M$640:M$649, $U$425)</f>
        <v>2</v>
      </c>
      <c r="V436" s="33">
        <f>COUNTIF(Logs!M$640:M$649, $V$425)</f>
        <v>0</v>
      </c>
    </row>
    <row r="437" spans="2:36">
      <c r="B437" s="318" t="s">
        <v>200</v>
      </c>
      <c r="C437" s="321">
        <f>SUM(C426:C436)</f>
        <v>43</v>
      </c>
      <c r="D437" s="323">
        <f>SUM(D426:D436)</f>
        <v>11</v>
      </c>
      <c r="E437" s="324">
        <f>SUM(E426:E436)</f>
        <v>8</v>
      </c>
      <c r="F437" s="330">
        <f>SUM(F426:F436)</f>
        <v>1</v>
      </c>
      <c r="I437" s="319"/>
      <c r="J437" s="8"/>
      <c r="K437" s="33"/>
      <c r="M437" s="163" t="s">
        <v>37</v>
      </c>
      <c r="N437" s="319">
        <f>COUNTIF(Logs!N$623:N$632, $N$425)</f>
        <v>8</v>
      </c>
      <c r="O437" s="8">
        <f>COUNTIF(Logs!N$623:N$632, $O$425)</f>
        <v>0</v>
      </c>
      <c r="P437" s="33">
        <f>COUNTIF(Logs!N$623:N$632, $P$425)</f>
        <v>0</v>
      </c>
      <c r="Q437" s="8">
        <f>COUNTIF(Logs!N$623:N$632, $Q$425)</f>
        <v>0</v>
      </c>
      <c r="S437" s="318" t="s">
        <v>200</v>
      </c>
      <c r="T437" s="321">
        <f>SUM(T426:T436)</f>
        <v>44</v>
      </c>
      <c r="U437" s="323">
        <f>SUM(U426:U436)</f>
        <v>14</v>
      </c>
      <c r="V437" s="324">
        <f>SUM(V426:V436)</f>
        <v>10</v>
      </c>
    </row>
    <row r="438" spans="2:36">
      <c r="M438" s="318" t="s">
        <v>200</v>
      </c>
      <c r="N438" s="321">
        <f>SUM(N426:N437)</f>
        <v>57</v>
      </c>
      <c r="O438" s="323">
        <f>SUM(O426:O437)</f>
        <v>12</v>
      </c>
      <c r="P438" s="324">
        <f>SUM(P426:P437)</f>
        <v>10</v>
      </c>
      <c r="Q438" s="323">
        <f>SUM(Q426:Q437)</f>
        <v>2</v>
      </c>
    </row>
    <row r="439" spans="2:36">
      <c r="M439" s="287"/>
      <c r="N439" s="319"/>
      <c r="O439" s="8"/>
    </row>
    <row r="440" spans="2:36">
      <c r="B440" s="57" t="s">
        <v>1742</v>
      </c>
      <c r="J440" s="57" t="s">
        <v>2056</v>
      </c>
    </row>
    <row r="441" spans="2:36">
      <c r="B441" s="243" t="s">
        <v>1110</v>
      </c>
      <c r="C441" s="308" t="s">
        <v>12</v>
      </c>
      <c r="D441" s="309" t="s">
        <v>14</v>
      </c>
      <c r="E441" s="310" t="s">
        <v>13</v>
      </c>
      <c r="F441" s="311" t="s">
        <v>71</v>
      </c>
      <c r="G441" s="569" t="s">
        <v>1966</v>
      </c>
      <c r="H441" s="315" t="s">
        <v>87</v>
      </c>
      <c r="J441" s="243" t="s">
        <v>1110</v>
      </c>
      <c r="K441" s="308" t="s">
        <v>12</v>
      </c>
      <c r="L441" s="309" t="s">
        <v>14</v>
      </c>
      <c r="M441" s="310" t="s">
        <v>13</v>
      </c>
      <c r="N441" s="311" t="s">
        <v>71</v>
      </c>
      <c r="O441" s="332" t="s">
        <v>231</v>
      </c>
    </row>
    <row r="442" spans="2:36">
      <c r="B442" s="163" t="s">
        <v>1</v>
      </c>
      <c r="C442" s="319">
        <f>COUNTIF(Logs!C$655:C$664, $C$441)</f>
        <v>4</v>
      </c>
      <c r="D442" s="8">
        <f>COUNTIF(Logs!C$655:C$664, $D$441)</f>
        <v>1</v>
      </c>
      <c r="E442" s="33">
        <f>COUNTIF(Logs!C$655:C$664, $E$441)</f>
        <v>0</v>
      </c>
      <c r="F442" s="403">
        <f>COUNTIF(Logs!C$655:C$664, $F$441)</f>
        <v>0</v>
      </c>
      <c r="G442" s="37">
        <f>COUNTIF(Logs!C$655:C$664, $G$441)</f>
        <v>1</v>
      </c>
      <c r="H442" s="333">
        <f>COUNTIF(Logs!C$655:C$664, $H$441)</f>
        <v>0</v>
      </c>
      <c r="I442" s="37"/>
      <c r="J442" s="163" t="s">
        <v>1</v>
      </c>
      <c r="K442" s="319">
        <f>COUNTIF(Logs!C$671:C$680, $K$441)</f>
        <v>8</v>
      </c>
      <c r="L442" s="8">
        <f>COUNTIF(Logs!C$671:C$680, $L$441)</f>
        <v>1</v>
      </c>
      <c r="M442" s="33">
        <f>COUNTIF(Logs!C$671:C$680, $M$441)</f>
        <v>0</v>
      </c>
      <c r="N442" s="403">
        <f>COUNTIF(Logs!C$671:C$680, $N$441)</f>
        <v>0</v>
      </c>
      <c r="O442">
        <v>1</v>
      </c>
      <c r="P442" s="333"/>
      <c r="Q442" s="333"/>
      <c r="R442" s="333"/>
      <c r="S442" s="333"/>
      <c r="AD442" s="403"/>
      <c r="AE442" s="33"/>
      <c r="AF442" s="33"/>
      <c r="AG442" s="33"/>
      <c r="AH442" s="8"/>
      <c r="AI442" s="8"/>
      <c r="AJ442" s="8"/>
    </row>
    <row r="443" spans="2:36">
      <c r="B443" s="163" t="s">
        <v>2</v>
      </c>
      <c r="C443" s="319">
        <f>COUNTIF(Logs!D$655:D$664, $C$441)</f>
        <v>4</v>
      </c>
      <c r="D443" s="8">
        <f>COUNTIF(Logs!D$655:D$664, $D$441)</f>
        <v>1</v>
      </c>
      <c r="E443" s="33">
        <f>COUNTIF(Logs!D$655:D$664, $E$441)</f>
        <v>1</v>
      </c>
      <c r="F443" s="403">
        <f>COUNTIF(Logs!D$655:D$664, $F$441)</f>
        <v>0</v>
      </c>
      <c r="G443" s="37">
        <f>COUNTIF(Logs!D$655:D$664, $G$441)</f>
        <v>0</v>
      </c>
      <c r="H443" s="333">
        <f>COUNTIF(Logs!D$655:D$664, $H$441)</f>
        <v>0</v>
      </c>
      <c r="I443" s="37"/>
      <c r="J443" s="163" t="s">
        <v>2</v>
      </c>
      <c r="K443" s="319">
        <f>COUNTIF(Logs!D$671:D$681, $K$441)</f>
        <v>4</v>
      </c>
      <c r="L443" s="8">
        <f>COUNTIF(Logs!D$671:D$681, $L$441)</f>
        <v>1</v>
      </c>
      <c r="M443" s="33">
        <f>COUNTIF(Logs!D$671:D$681, $M$441)</f>
        <v>1</v>
      </c>
      <c r="N443" s="403">
        <f>COUNTIF(Logs!D$671:D$681, $N$441)</f>
        <v>0</v>
      </c>
      <c r="P443" s="333"/>
    </row>
    <row r="444" spans="2:36">
      <c r="B444" s="163" t="s">
        <v>3</v>
      </c>
      <c r="C444" s="319">
        <f>COUNTIF(Logs!E$655:E$664, $C$441)</f>
        <v>4</v>
      </c>
      <c r="D444" s="8">
        <f>COUNTIF(Logs!E$655:E$664, $D$441)</f>
        <v>1</v>
      </c>
      <c r="E444" s="33">
        <f>COUNTIF(Logs!E$655:E$664, $E$441)</f>
        <v>1</v>
      </c>
      <c r="F444" s="403">
        <f>COUNTIF(Logs!E$655:E$664, $F$441)</f>
        <v>0</v>
      </c>
      <c r="G444" s="37">
        <f>COUNTIF(Logs!E$655:E$664, $G$441)</f>
        <v>0</v>
      </c>
      <c r="H444" s="333">
        <f>COUNTIF(Logs!E$655:E$664, $H$441)</f>
        <v>0</v>
      </c>
      <c r="I444" s="37"/>
      <c r="J444" s="163" t="s">
        <v>3</v>
      </c>
      <c r="K444" s="319">
        <f>COUNTIF(Logs!E$671:E$681, $K$441)</f>
        <v>5</v>
      </c>
      <c r="L444" s="8">
        <f>COUNTIF(Logs!E$671:E$681, $L$441)</f>
        <v>2</v>
      </c>
      <c r="M444" s="33">
        <f>COUNTIF(Logs!E$671:E$681, $M$441)</f>
        <v>0</v>
      </c>
      <c r="N444" s="403">
        <f>COUNTIF(Logs!E$671:E$681, $N$441)</f>
        <v>0</v>
      </c>
      <c r="P444" s="333"/>
      <c r="Q444" s="403"/>
      <c r="R444" s="403"/>
      <c r="S444" s="403"/>
      <c r="T444" s="403"/>
      <c r="U444" s="403"/>
      <c r="V444" s="403"/>
      <c r="W444" s="403"/>
      <c r="X444" s="403"/>
      <c r="Y444" s="403"/>
      <c r="Z444" s="403"/>
      <c r="AA444" s="403"/>
      <c r="AB444" s="403"/>
      <c r="AC444" s="403"/>
    </row>
    <row r="445" spans="2:36">
      <c r="B445" s="163" t="s">
        <v>4</v>
      </c>
      <c r="C445" s="319">
        <f>COUNTIF(Logs!F$655:F$664, $C$441)</f>
        <v>5</v>
      </c>
      <c r="D445" s="8">
        <f>COUNTIF(Logs!F$655:F$664, $D$441)</f>
        <v>1</v>
      </c>
      <c r="E445" s="33">
        <f>COUNTIF(Logs!F$655:F$664, $E$441)</f>
        <v>1</v>
      </c>
      <c r="F445" s="403">
        <f>COUNTIF(Logs!F$655:F$664, $F$441)</f>
        <v>0</v>
      </c>
      <c r="G445" s="37">
        <f>COUNTIF(Logs!F$655:F$664, $G$441)</f>
        <v>0</v>
      </c>
      <c r="H445" s="333">
        <f>COUNTIF(Logs!F$655:F$664, $H$441)</f>
        <v>0</v>
      </c>
      <c r="I445" s="37"/>
      <c r="J445" s="163" t="s">
        <v>4</v>
      </c>
      <c r="K445" s="319">
        <f>COUNTIF(Logs!F$671:F$681, $K$441)</f>
        <v>6</v>
      </c>
      <c r="L445" s="8">
        <f>COUNTIF(Logs!F$671:F$681, $L$441)</f>
        <v>1</v>
      </c>
      <c r="M445" s="33">
        <f>COUNTIF(Logs!F$671:F$681, $M$441)</f>
        <v>1</v>
      </c>
      <c r="N445" s="403">
        <f>COUNTIF(Logs!F$671:F$681, $N$441)</f>
        <v>1</v>
      </c>
      <c r="P445" s="333"/>
    </row>
    <row r="446" spans="2:36">
      <c r="B446" s="163" t="s">
        <v>5</v>
      </c>
      <c r="C446" s="319">
        <f>COUNTIF(Logs!G$655:G$664, $C$441)</f>
        <v>4</v>
      </c>
      <c r="D446" s="8">
        <f>COUNTIF(Logs!G$655:G$664, $D$441)</f>
        <v>1</v>
      </c>
      <c r="E446" s="33">
        <f>COUNTIF(Logs!G$655:G$664, $E$441)</f>
        <v>1</v>
      </c>
      <c r="F446" s="403">
        <f>COUNTIF(Logs!G$655:G$664, $F$441)</f>
        <v>0</v>
      </c>
      <c r="G446" s="37">
        <f>COUNTIF(Logs!G$655:G$664, $G$441)</f>
        <v>0</v>
      </c>
      <c r="H446" s="333">
        <f>COUNTIF(Logs!G$655:G$664, $H$441)</f>
        <v>0</v>
      </c>
      <c r="I446" s="37"/>
      <c r="J446" s="163" t="s">
        <v>5</v>
      </c>
      <c r="K446" s="319">
        <f>COUNTIF(Logs!G$671:G$681, $K$441)</f>
        <v>4</v>
      </c>
      <c r="L446" s="8">
        <f>COUNTIF(Logs!G$671:G$681, $L$441)</f>
        <v>1</v>
      </c>
      <c r="M446" s="33">
        <f>COUNTIF(Logs!G$671:G$681, $M$441)</f>
        <v>1</v>
      </c>
      <c r="N446" s="403">
        <f>COUNTIF(Logs!G$671:G$681, $N$441)</f>
        <v>0</v>
      </c>
      <c r="P446" s="333"/>
    </row>
    <row r="447" spans="2:36">
      <c r="B447" s="163" t="s">
        <v>6</v>
      </c>
      <c r="C447" s="319">
        <f>COUNTIF(Logs!H$655:H$664, $C$441)</f>
        <v>5</v>
      </c>
      <c r="D447" s="8">
        <f>COUNTIF(Logs!H$655:H$664, $D$441)</f>
        <v>2</v>
      </c>
      <c r="E447" s="33">
        <f>COUNTIF(Logs!H$655:H$664, $E$441)</f>
        <v>0</v>
      </c>
      <c r="F447" s="403">
        <f>COUNTIF(Logs!H$655:H$664, $F$441)</f>
        <v>1</v>
      </c>
      <c r="G447" s="37">
        <f>COUNTIF(Logs!H$655:H$664, $G$441)</f>
        <v>0</v>
      </c>
      <c r="H447" s="333">
        <f>COUNTIF(Logs!H$655:H$664, $H$441)</f>
        <v>0</v>
      </c>
      <c r="I447" s="37"/>
      <c r="J447" s="163" t="s">
        <v>6</v>
      </c>
      <c r="K447" s="319">
        <f>COUNTIF(Logs!H$671:H$681, $K$441)</f>
        <v>3</v>
      </c>
      <c r="L447" s="8">
        <f>COUNTIF(Logs!H$671:H$681, $L$441)</f>
        <v>1</v>
      </c>
      <c r="M447" s="33">
        <f>COUNTIF(Logs!H$671:H$681, $M$441)</f>
        <v>1</v>
      </c>
      <c r="N447" s="403">
        <f>COUNTIF(Logs!H$671:H$681, $N$441)</f>
        <v>0</v>
      </c>
      <c r="P447" s="333"/>
    </row>
    <row r="448" spans="2:36">
      <c r="B448" s="163" t="s">
        <v>7</v>
      </c>
      <c r="C448" s="319">
        <f>COUNTIF(Logs!I$655:I$664, $C$441)</f>
        <v>7</v>
      </c>
      <c r="D448" s="8">
        <f>COUNTIF(Logs!I$655:I$664, $D$441)</f>
        <v>1</v>
      </c>
      <c r="E448" s="33">
        <f>COUNTIF(Logs!I$655:I$664, $E$441)</f>
        <v>1</v>
      </c>
      <c r="F448" s="403">
        <f>COUNTIF(Logs!I$655:I$664, $F$441)</f>
        <v>0</v>
      </c>
      <c r="G448" s="37">
        <f>COUNTIF(Logs!I$655:I$664, $G$441)</f>
        <v>0</v>
      </c>
      <c r="H448" s="333">
        <f>COUNTIF(Logs!I$655:I$664, $H$441)</f>
        <v>0</v>
      </c>
      <c r="I448" s="37"/>
      <c r="J448" s="163" t="s">
        <v>7</v>
      </c>
      <c r="K448" s="319">
        <f>COUNTIF(Logs!I$671:I$681, $K$441)</f>
        <v>5</v>
      </c>
      <c r="L448" s="8">
        <f>COUNTIF(Logs!I$671:I$681, $L$441)</f>
        <v>1</v>
      </c>
      <c r="M448" s="33">
        <f>COUNTIF(Logs!I$671:I$681, $M$441)</f>
        <v>1</v>
      </c>
      <c r="N448" s="403">
        <f>COUNTIF(Logs!I$671:I$681, $N$441)</f>
        <v>0</v>
      </c>
      <c r="P448" s="333"/>
    </row>
    <row r="449" spans="2:17">
      <c r="B449" s="163" t="s">
        <v>8</v>
      </c>
      <c r="C449" s="319">
        <f>COUNTIF(Logs!J$656:J$664, $C$441)</f>
        <v>8</v>
      </c>
      <c r="D449" s="8">
        <f>COUNTIF(Logs!J$656:J$664, $D$441)</f>
        <v>1</v>
      </c>
      <c r="E449" s="33">
        <f>COUNTIF(Logs!J$656:J$664, $E$441)</f>
        <v>0</v>
      </c>
      <c r="F449" s="403">
        <f>COUNTIF(Logs!J$656:J$664, $F$441)</f>
        <v>0</v>
      </c>
      <c r="G449" s="37">
        <f>COUNTIF(Logs!J$656:J$664, $G$441)</f>
        <v>0</v>
      </c>
      <c r="H449" s="333">
        <f>COUNTIF(Logs!J$656:J$664, $H$441)</f>
        <v>0</v>
      </c>
      <c r="I449" s="37"/>
      <c r="J449" s="163" t="s">
        <v>8</v>
      </c>
      <c r="K449" s="319">
        <f>COUNTIF(Logs!J$671:J$681, $K$441)</f>
        <v>5</v>
      </c>
      <c r="L449" s="8">
        <f>COUNTIF(Logs!J$671:J$681, $L$441)</f>
        <v>1</v>
      </c>
      <c r="M449" s="33">
        <f>COUNTIF(Logs!J$671:J$681, $M$441)</f>
        <v>1</v>
      </c>
      <c r="N449" s="403">
        <f>COUNTIF(Logs!J$671:J$681, $N$441)</f>
        <v>0</v>
      </c>
      <c r="P449" s="333"/>
    </row>
    <row r="450" spans="2:17">
      <c r="B450" s="163" t="s">
        <v>9</v>
      </c>
      <c r="C450" s="319">
        <f>COUNTIF(Logs!K$655:K$664, $C$441)</f>
        <v>6</v>
      </c>
      <c r="D450" s="8">
        <f>COUNTIF(Logs!K$655:K$664, $D$441)</f>
        <v>1</v>
      </c>
      <c r="E450" s="33">
        <f>COUNTIF(Logs!K$655:K$664, $E$441)</f>
        <v>1</v>
      </c>
      <c r="F450" s="403">
        <f>COUNTIF(Logs!K$655:K$664, $F$441)</f>
        <v>0</v>
      </c>
      <c r="G450" s="37">
        <f>COUNTIF(Logs!K$655:K$664, $G$441)</f>
        <v>0</v>
      </c>
      <c r="H450" s="333">
        <f>COUNTIF(Logs!K$655:K$664, $H$441)</f>
        <v>0</v>
      </c>
      <c r="I450" s="37"/>
      <c r="J450" s="163" t="s">
        <v>9</v>
      </c>
      <c r="K450" s="319">
        <f>COUNTIF(Logs!K$671:K$681, $K$441)</f>
        <v>5</v>
      </c>
      <c r="L450" s="8">
        <f>COUNTIF(Logs!K$671:K$681, $L$441)</f>
        <v>1</v>
      </c>
      <c r="M450" s="33">
        <f>COUNTIF(Logs!K$671:K$681, $M$441)</f>
        <v>1</v>
      </c>
      <c r="N450" s="403">
        <f>COUNTIF(Logs!K$671:K$681, $N$441)</f>
        <v>0</v>
      </c>
      <c r="P450" s="333"/>
    </row>
    <row r="451" spans="2:17">
      <c r="B451" s="163" t="s">
        <v>10</v>
      </c>
      <c r="C451" s="319">
        <f>COUNTIF(Logs!L$655:L$664, $C$441)</f>
        <v>6</v>
      </c>
      <c r="D451" s="8">
        <f>COUNTIF(Logs!L$655:L$664, $D$441)</f>
        <v>1</v>
      </c>
      <c r="E451" s="33">
        <f>COUNTIF(Logs!L$655:L$664, $E$441)</f>
        <v>1</v>
      </c>
      <c r="F451" s="403">
        <f>COUNTIF(Logs!L$655:L$664, $F$441)</f>
        <v>0</v>
      </c>
      <c r="G451" s="37">
        <f>COUNTIF(Logs!L$655:L$664, $G$441)</f>
        <v>0</v>
      </c>
      <c r="H451" s="333">
        <f>COUNTIF(Logs!L$655:L$664, $H$441)</f>
        <v>0</v>
      </c>
      <c r="I451" s="37"/>
      <c r="J451" s="163" t="s">
        <v>10</v>
      </c>
      <c r="K451" s="319">
        <f>COUNTIF(Logs!L$671:L$681, $K$441)</f>
        <v>6</v>
      </c>
      <c r="L451" s="8">
        <f>COUNTIF(Logs!L$671:L$681, $L$441)</f>
        <v>2</v>
      </c>
      <c r="M451" s="33">
        <f>COUNTIF(Logs!L$671:L$681, $M$441)</f>
        <v>0</v>
      </c>
      <c r="N451" s="403">
        <f>COUNTIF(Logs!L$671:L$681, $N$441)</f>
        <v>0</v>
      </c>
      <c r="P451" s="333"/>
    </row>
    <row r="452" spans="2:17">
      <c r="B452" s="163" t="s">
        <v>36</v>
      </c>
      <c r="C452" s="319">
        <f>COUNTIF(Logs!M$655:M$664, $C$441)</f>
        <v>7</v>
      </c>
      <c r="D452" s="8">
        <f>COUNTIF(Logs!M$655:M$664, $D$441)</f>
        <v>1</v>
      </c>
      <c r="E452" s="33">
        <f>COUNTIF(Logs!M$655:M$664, $E$441)</f>
        <v>0</v>
      </c>
      <c r="F452" s="403">
        <f>COUNTIF(Logs!M$655:M$664, $F$441)</f>
        <v>0</v>
      </c>
      <c r="G452" s="37">
        <f>COUNTIF(Logs!M$655:M$664, $G$441)</f>
        <v>0</v>
      </c>
      <c r="H452" s="333">
        <f>COUNTIF(Logs!M$655:M$664, $H$441)</f>
        <v>0</v>
      </c>
      <c r="I452" s="37"/>
      <c r="J452" s="163" t="s">
        <v>36</v>
      </c>
      <c r="K452" s="319">
        <f>COUNTIF(Logs!M$671:M$681, $K$441)</f>
        <v>5</v>
      </c>
      <c r="L452" s="8">
        <f>COUNTIF(Logs!M$671:M$681, $L$441)</f>
        <v>1</v>
      </c>
      <c r="M452" s="33">
        <f>COUNTIF(Logs!M$671:M$681, $M$441)</f>
        <v>0</v>
      </c>
      <c r="N452" s="403">
        <f>COUNTIF(Logs!M$671:M$681, $N$441)</f>
        <v>0</v>
      </c>
      <c r="P452" s="333"/>
    </row>
    <row r="453" spans="2:17">
      <c r="B453" s="163" t="s">
        <v>37</v>
      </c>
      <c r="C453" s="319">
        <f>COUNTIF(Logs!N$655:N$664, $C$441)</f>
        <v>7</v>
      </c>
      <c r="D453" s="8">
        <f>COUNTIF(Logs!N$655:N$664, $D$441)</f>
        <v>1</v>
      </c>
      <c r="E453" s="33">
        <f>COUNTIF(Logs!N$655:N$664, $E$441)</f>
        <v>0</v>
      </c>
      <c r="F453" s="403">
        <f>COUNTIF(Logs!N$655:N$664, $F$441)</f>
        <v>0</v>
      </c>
      <c r="G453" s="37">
        <f>COUNTIF(Logs!N$655:N$664, $G$441)</f>
        <v>0</v>
      </c>
      <c r="H453" s="333">
        <f>COUNTIF(Logs!N$655:N$664, $H$441)</f>
        <v>0</v>
      </c>
      <c r="I453" s="37"/>
      <c r="J453" s="163" t="s">
        <v>37</v>
      </c>
      <c r="K453" s="319">
        <f>COUNTIF(Logs!N$671:N$681, $K$441)</f>
        <v>8</v>
      </c>
      <c r="L453" s="8">
        <f>COUNTIF(Logs!N$671:N$681, $L$441)</f>
        <v>0</v>
      </c>
      <c r="M453" s="33">
        <f>COUNTIF(Logs!N$671:N$681, $M$441)</f>
        <v>0</v>
      </c>
      <c r="N453" s="403">
        <f>COUNTIF(Logs!N$671:N$681, $N$441)</f>
        <v>0</v>
      </c>
      <c r="O453" s="403"/>
      <c r="P453" s="333"/>
    </row>
    <row r="454" spans="2:17">
      <c r="B454" s="318" t="s">
        <v>200</v>
      </c>
      <c r="C454" s="321">
        <f t="shared" ref="C454:H454" si="24">SUM(C442:C453)</f>
        <v>67</v>
      </c>
      <c r="D454" s="323">
        <f t="shared" si="24"/>
        <v>13</v>
      </c>
      <c r="E454" s="324">
        <f t="shared" si="24"/>
        <v>7</v>
      </c>
      <c r="F454" s="557">
        <f t="shared" si="24"/>
        <v>1</v>
      </c>
      <c r="G454" s="105">
        <f t="shared" si="24"/>
        <v>1</v>
      </c>
      <c r="H454" s="566">
        <f t="shared" si="24"/>
        <v>0</v>
      </c>
      <c r="I454" s="37"/>
      <c r="J454" s="318" t="s">
        <v>200</v>
      </c>
      <c r="K454" s="321">
        <f>SUM(K442:K453)</f>
        <v>64</v>
      </c>
      <c r="L454" s="323">
        <f>SUM(L442:L453)</f>
        <v>13</v>
      </c>
      <c r="M454" s="324">
        <f>SUM(M442:M453)</f>
        <v>7</v>
      </c>
      <c r="N454" s="557">
        <f>SUM(N442:N453)</f>
        <v>1</v>
      </c>
      <c r="O454" s="105">
        <f>SUM(O442:O453)</f>
        <v>1</v>
      </c>
    </row>
    <row r="456" spans="2:17">
      <c r="P456" s="403"/>
      <c r="Q456" s="403"/>
    </row>
    <row r="458" spans="2:17">
      <c r="F458" s="403"/>
      <c r="G458" s="403"/>
      <c r="H458" s="403"/>
      <c r="I458" s="403"/>
      <c r="J458" s="403"/>
      <c r="K458" s="403"/>
      <c r="L458" s="403"/>
      <c r="M458" s="403"/>
      <c r="N458" s="403"/>
      <c r="O458" s="403"/>
    </row>
  </sheetData>
  <mergeCells count="8">
    <mergeCell ref="B3:D3"/>
    <mergeCell ref="B5:I5"/>
    <mergeCell ref="K10:L10"/>
    <mergeCell ref="M10:N10"/>
    <mergeCell ref="C10:D10"/>
    <mergeCell ref="E10:F10"/>
    <mergeCell ref="G10:H10"/>
    <mergeCell ref="I10:J10"/>
  </mergeCells>
  <phoneticPr fontId="3" type="noConversion"/>
  <pageMargins left="0.7" right="0.7" top="0.75" bottom="0.75" header="0.3" footer="0.3"/>
  <drawing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A1A3-2961-9948-A670-4BE0A3296524}">
  <sheetPr codeName="Sheet13">
    <tabColor rgb="FFFF00E6"/>
  </sheetPr>
  <dimension ref="B4:AB189"/>
  <sheetViews>
    <sheetView topLeftCell="A46" workbookViewId="0">
      <selection activeCell="C14" sqref="C14"/>
    </sheetView>
  </sheetViews>
  <sheetFormatPr defaultColWidth="11" defaultRowHeight="15.75"/>
  <cols>
    <col min="2" max="2" width="13.125" customWidth="1"/>
    <col min="5" max="5" width="11.375" customWidth="1"/>
    <col min="6" max="6" width="12" bestFit="1" customWidth="1"/>
    <col min="8" max="8" width="12.5" customWidth="1"/>
    <col min="11" max="11" width="12.5" customWidth="1"/>
    <col min="14" max="14" width="13.5" customWidth="1"/>
    <col min="15" max="15" width="11.125" customWidth="1"/>
    <col min="17" max="17" width="13.5" customWidth="1"/>
    <col min="18" max="18" width="11.125" customWidth="1"/>
    <col min="20" max="20" width="13.5" customWidth="1"/>
    <col min="21" max="21" width="11.125" customWidth="1"/>
    <col min="26" max="26" width="12" bestFit="1" customWidth="1"/>
  </cols>
  <sheetData>
    <row r="4" spans="2:21" ht="33.75">
      <c r="B4" s="1738" t="s">
        <v>456</v>
      </c>
      <c r="C4" s="1738"/>
      <c r="D4" s="1738"/>
      <c r="E4" s="1738"/>
      <c r="F4" s="1738"/>
    </row>
    <row r="6" spans="2:21" ht="33" customHeight="1">
      <c r="B6" s="1701" t="s">
        <v>1636</v>
      </c>
      <c r="C6" s="1701"/>
      <c r="D6" s="1701"/>
      <c r="E6" s="1701"/>
      <c r="F6" s="1701"/>
      <c r="G6" s="1701"/>
    </row>
    <row r="7" spans="2:21">
      <c r="B7" s="1701"/>
      <c r="C7" s="1701"/>
      <c r="D7" s="1701"/>
      <c r="E7" s="1701"/>
      <c r="F7" s="1701"/>
      <c r="G7" s="1701"/>
    </row>
    <row r="9" spans="2:21" ht="18.75">
      <c r="B9" s="68" t="s">
        <v>1634</v>
      </c>
    </row>
    <row r="10" spans="2:21">
      <c r="C10" s="1617" t="s">
        <v>12</v>
      </c>
      <c r="D10" s="1617"/>
      <c r="E10" s="1617"/>
      <c r="F10" s="1618" t="s">
        <v>14</v>
      </c>
      <c r="G10" s="1618"/>
      <c r="H10" s="1618"/>
      <c r="I10" s="1619" t="s">
        <v>13</v>
      </c>
      <c r="J10" s="1619"/>
      <c r="K10" s="1619"/>
      <c r="L10" s="1737" t="s">
        <v>49</v>
      </c>
      <c r="M10" s="1737"/>
      <c r="N10" s="1737"/>
      <c r="O10" s="1736" t="s">
        <v>1548</v>
      </c>
      <c r="P10" s="1736"/>
      <c r="Q10" s="1736"/>
      <c r="R10" s="1736" t="s">
        <v>1549</v>
      </c>
      <c r="S10" s="1736"/>
      <c r="T10" s="1736"/>
      <c r="U10" s="70"/>
    </row>
    <row r="11" spans="2:21">
      <c r="B11" s="442" t="s">
        <v>1635</v>
      </c>
      <c r="C11" s="83" t="s">
        <v>150</v>
      </c>
      <c r="D11" s="303" t="s">
        <v>195</v>
      </c>
      <c r="E11" s="20" t="s">
        <v>335</v>
      </c>
      <c r="F11" s="83" t="s">
        <v>1935</v>
      </c>
      <c r="G11" s="303" t="s">
        <v>1948</v>
      </c>
      <c r="H11" s="20" t="s">
        <v>1949</v>
      </c>
      <c r="I11" s="83" t="s">
        <v>1943</v>
      </c>
      <c r="J11" s="303" t="s">
        <v>1951</v>
      </c>
      <c r="K11" s="20" t="s">
        <v>1950</v>
      </c>
      <c r="L11" s="83" t="s">
        <v>1944</v>
      </c>
      <c r="M11" s="303" t="s">
        <v>1952</v>
      </c>
      <c r="N11" s="20" t="s">
        <v>1953</v>
      </c>
      <c r="O11" s="83" t="s">
        <v>1960</v>
      </c>
      <c r="P11" s="303" t="s">
        <v>1956</v>
      </c>
      <c r="Q11" s="20" t="s">
        <v>1954</v>
      </c>
      <c r="R11" s="83" t="s">
        <v>1955</v>
      </c>
      <c r="S11" s="303" t="s">
        <v>1957</v>
      </c>
      <c r="T11" s="20" t="s">
        <v>1958</v>
      </c>
      <c r="U11" s="91" t="s">
        <v>1959</v>
      </c>
    </row>
    <row r="12" spans="2:21">
      <c r="B12" s="163" t="s">
        <v>185</v>
      </c>
      <c r="C12" s="319">
        <f t="shared" ref="C12:C19" si="0">SUM(C49,I49,O49,U49,C63,I63,O63,U63,C80,I80,O80,U80,C97,J97,Q97,X97,C110,J110,P110,W110,C123,J123,Q123,X123,C137,J137,P137,W137,C150,J150,P150,V150,C165,I165,N165,T165,C179, K179)</f>
        <v>437</v>
      </c>
      <c r="D12" s="412">
        <f>C12/C$25</f>
        <v>0.21708892200695479</v>
      </c>
      <c r="E12" s="413">
        <f>C12/$U12</f>
        <v>0.95833333333333337</v>
      </c>
      <c r="F12" s="8">
        <f>SUM(D49,J49,P49,V49,D63,J63,P63,V63,D80,J80,P80,V80,D97,K97,R97,Y97,D110,K110,Q110,X110,D123,K123,R123,Y123,D137,K137,Q137,X137,D150,K150,Q150,W150,D165,J165,O165,U165,D179,L179)</f>
        <v>2</v>
      </c>
      <c r="G12" s="412">
        <f>F12/F$25</f>
        <v>4.4052863436123352E-3</v>
      </c>
      <c r="H12" s="413">
        <f>F12/$U12</f>
        <v>4.3859649122807015E-3</v>
      </c>
      <c r="I12" s="448">
        <f>SUM(E49,K49,Q49,W49,E63,K63,Q63,W63,E80,K80,Q80,W80,E97,L97,S97,Z97,E110,L110,R110,Y110,E123,L123,S123,Z123,E137,L137,R137,Y137,E150,L150,R150,X150,E165,K165,P165,V165,E179,M179)</f>
        <v>0</v>
      </c>
      <c r="J12" s="412">
        <f>I12/I$25</f>
        <v>0</v>
      </c>
      <c r="K12" s="413">
        <f>I12/$U12</f>
        <v>0</v>
      </c>
      <c r="L12" s="329">
        <f>SUM(Y80,G97,N97,U97,AB97,G110,M110,S110,AA110,G123,N123,U123,AA123,G137,M137,T137,Z137,G150,M150,S150,Y150,F165)</f>
        <v>0</v>
      </c>
      <c r="M12" s="412">
        <f>L12/L$25</f>
        <v>0</v>
      </c>
      <c r="N12" s="411">
        <f>L12/$U12</f>
        <v>0</v>
      </c>
      <c r="O12" s="403">
        <f>SUM(F49,L49,R49,X49)</f>
        <v>17</v>
      </c>
      <c r="P12" s="412">
        <f>O12/O$25</f>
        <v>0.38636363636363635</v>
      </c>
      <c r="Q12" s="411">
        <f>O12/$U12</f>
        <v>3.7280701754385963E-2</v>
      </c>
      <c r="R12" s="403">
        <f>SUM(F63,L63,R63,X63,F80,L80,R80,X80,F97,M97,T97,AA97,F110,Z110,F123,M123,T123,F137,S137,F150,F179,N179)</f>
        <v>0</v>
      </c>
      <c r="S12" s="412">
        <f>R12/R$25</f>
        <v>0</v>
      </c>
      <c r="T12" s="411">
        <f>R12/$U12</f>
        <v>0</v>
      </c>
      <c r="U12" s="70">
        <f>SUM(C12,F12,I12,L12,O12,R12)</f>
        <v>456</v>
      </c>
    </row>
    <row r="13" spans="2:21">
      <c r="B13" s="163" t="s">
        <v>186</v>
      </c>
      <c r="C13" s="319">
        <f t="shared" si="0"/>
        <v>253</v>
      </c>
      <c r="D13" s="412">
        <f t="shared" ref="D13:D24" si="1">C13/C$25</f>
        <v>0.12568306010928962</v>
      </c>
      <c r="E13" s="413">
        <f>C13/$U13</f>
        <v>0.55482456140350878</v>
      </c>
      <c r="F13" s="8">
        <f t="shared" ref="F13:F18" si="2">SUM(D50,J50,P50,V50,D64,J64,P64,V64,D81,J81,P81,V81,D98,K98,R98,Y98,D111,K111,Q111,X111,D124,K124,R124,Y124,D138,K138,Q138,X138,D151,K151,Q151,W151,D166,J166,O166,U166,D180,L180)</f>
        <v>82</v>
      </c>
      <c r="G13" s="412">
        <f t="shared" ref="G13:G24" si="3">F13/F$25</f>
        <v>0.18061674008810572</v>
      </c>
      <c r="H13" s="413">
        <f>F13/$U13</f>
        <v>0.17982456140350878</v>
      </c>
      <c r="I13" s="448">
        <f t="shared" ref="I13:I18" si="4">SUM(E50,K50,Q50,W50,E64,K64,Q64,W64,E81,K81,Q81,W81,E98,L98,S98,Z98,E111,L111,R111,Y111,E124,L124,S124,Z124,E138,L138,R138,Y138,E151,L151,R151,X151,E166,K166,P166,V166,E180,M180)</f>
        <v>64</v>
      </c>
      <c r="J13" s="412">
        <f t="shared" ref="J13:J24" si="5">I13/I$25</f>
        <v>0.16243654822335024</v>
      </c>
      <c r="K13" s="413">
        <f t="shared" ref="K13:K24" si="6">I13/$U13</f>
        <v>0.14035087719298245</v>
      </c>
      <c r="L13" s="329">
        <f t="shared" ref="L13:L19" si="7">SUM(Y81,G98,N98,U98,AB98,G111,M111,S111,AA111,G124,N124,U124,AA124,G138,M138,T138,Z138,G151,M151,S151,Y151,F166)</f>
        <v>22</v>
      </c>
      <c r="M13" s="412">
        <f t="shared" ref="M13:M24" si="8">L13/L$25</f>
        <v>0.44897959183673469</v>
      </c>
      <c r="N13" s="411">
        <f t="shared" ref="N13:N24" si="9">L13/$U13</f>
        <v>4.8245614035087717E-2</v>
      </c>
      <c r="O13" s="403">
        <f t="shared" ref="O13:O19" si="10">SUM(F50,L50,R50,X50)</f>
        <v>18</v>
      </c>
      <c r="P13" s="412">
        <f t="shared" ref="P13:P24" si="11">O13/O$25</f>
        <v>0.40909090909090912</v>
      </c>
      <c r="Q13" s="411">
        <f t="shared" ref="Q13:Q24" si="12">O13/$U13</f>
        <v>3.9473684210526314E-2</v>
      </c>
      <c r="R13" s="403">
        <f t="shared" ref="R13:R18" si="13">SUM(F64,L64,R64,X64,F81,L81,R81,X81,F98,M98,T98,AA98,F111,Z111,F124,M124,T124,F138,S138,F151,F180,N180)</f>
        <v>17</v>
      </c>
      <c r="S13" s="412">
        <f t="shared" ref="S13:S24" si="14">R13/R$25</f>
        <v>0.53125</v>
      </c>
      <c r="T13" s="411">
        <f t="shared" ref="T13:T24" si="15">R13/$U13</f>
        <v>3.7280701754385963E-2</v>
      </c>
      <c r="U13" s="70">
        <f t="shared" ref="U13:U24" si="16">SUM(C13,F13,I13,L13,O13,R13)</f>
        <v>456</v>
      </c>
    </row>
    <row r="14" spans="2:21">
      <c r="B14" s="163" t="s">
        <v>187</v>
      </c>
      <c r="C14" s="319">
        <f>SUM(C51,I51,O51,U51,C65,I65,O65,U65,C82,I82,O82,U82,C99,J99,Q99,X99,C112,J112,P112,W112,C125,J125,Q125,X125,C139,J139,P139,W139,C152,J152,P152,V152,C167,I167,N167,T167,C181, K181)</f>
        <v>258</v>
      </c>
      <c r="D14" s="412">
        <f t="shared" si="1"/>
        <v>0.12816691505216096</v>
      </c>
      <c r="E14" s="413">
        <f t="shared" ref="E14:E24" si="17">C14/$U14</f>
        <v>0.56578947368421051</v>
      </c>
      <c r="F14" s="8">
        <f t="shared" si="2"/>
        <v>88</v>
      </c>
      <c r="G14" s="412">
        <f t="shared" si="3"/>
        <v>0.19383259911894274</v>
      </c>
      <c r="H14" s="413">
        <f t="shared" ref="H14:H24" si="18">F14/$U14</f>
        <v>0.19298245614035087</v>
      </c>
      <c r="I14" s="448">
        <f t="shared" si="4"/>
        <v>83</v>
      </c>
      <c r="J14" s="412">
        <f t="shared" si="5"/>
        <v>0.21065989847715735</v>
      </c>
      <c r="K14" s="413">
        <f t="shared" si="6"/>
        <v>0.18201754385964913</v>
      </c>
      <c r="L14" s="329">
        <f t="shared" si="7"/>
        <v>10</v>
      </c>
      <c r="M14" s="412">
        <f t="shared" si="8"/>
        <v>0.20408163265306123</v>
      </c>
      <c r="N14" s="411">
        <f t="shared" si="9"/>
        <v>2.1929824561403508E-2</v>
      </c>
      <c r="O14" s="403">
        <f t="shared" si="10"/>
        <v>7</v>
      </c>
      <c r="P14" s="412">
        <f t="shared" si="11"/>
        <v>0.15909090909090909</v>
      </c>
      <c r="Q14" s="411">
        <f t="shared" si="12"/>
        <v>1.5350877192982455E-2</v>
      </c>
      <c r="R14" s="403">
        <f t="shared" si="13"/>
        <v>10</v>
      </c>
      <c r="S14" s="412">
        <f t="shared" si="14"/>
        <v>0.3125</v>
      </c>
      <c r="T14" s="411">
        <f t="shared" si="15"/>
        <v>2.1929824561403508E-2</v>
      </c>
      <c r="U14" s="70">
        <f t="shared" si="16"/>
        <v>456</v>
      </c>
    </row>
    <row r="15" spans="2:21">
      <c r="B15" s="163" t="s">
        <v>188</v>
      </c>
      <c r="C15" s="319">
        <f t="shared" si="0"/>
        <v>260</v>
      </c>
      <c r="D15" s="412">
        <f t="shared" si="1"/>
        <v>0.12916045702930948</v>
      </c>
      <c r="E15" s="413">
        <f t="shared" si="17"/>
        <v>0.57395143487858724</v>
      </c>
      <c r="F15" s="8">
        <f t="shared" si="2"/>
        <v>78</v>
      </c>
      <c r="G15" s="412">
        <f t="shared" si="3"/>
        <v>0.17180616740088106</v>
      </c>
      <c r="H15" s="413">
        <f t="shared" si="18"/>
        <v>0.17218543046357615</v>
      </c>
      <c r="I15" s="448">
        <f t="shared" si="4"/>
        <v>101</v>
      </c>
      <c r="J15" s="412">
        <f t="shared" si="5"/>
        <v>0.25634517766497461</v>
      </c>
      <c r="K15" s="413">
        <f t="shared" si="6"/>
        <v>0.22295805739514349</v>
      </c>
      <c r="L15" s="329">
        <f t="shared" si="7"/>
        <v>9</v>
      </c>
      <c r="M15" s="412">
        <f t="shared" si="8"/>
        <v>0.18367346938775511</v>
      </c>
      <c r="N15" s="411">
        <f t="shared" si="9"/>
        <v>1.9867549668874173E-2</v>
      </c>
      <c r="O15" s="403">
        <f t="shared" si="10"/>
        <v>1</v>
      </c>
      <c r="P15" s="412">
        <f t="shared" si="11"/>
        <v>2.2727272727272728E-2</v>
      </c>
      <c r="Q15" s="411">
        <f t="shared" si="12"/>
        <v>2.2075055187637969E-3</v>
      </c>
      <c r="R15" s="403">
        <f t="shared" si="13"/>
        <v>4</v>
      </c>
      <c r="S15" s="412">
        <f t="shared" si="14"/>
        <v>0.125</v>
      </c>
      <c r="T15" s="411">
        <f t="shared" si="15"/>
        <v>8.8300220750551876E-3</v>
      </c>
      <c r="U15" s="70">
        <f t="shared" si="16"/>
        <v>453</v>
      </c>
    </row>
    <row r="16" spans="2:21">
      <c r="B16" s="163" t="s">
        <v>189</v>
      </c>
      <c r="C16" s="319">
        <f t="shared" si="0"/>
        <v>263</v>
      </c>
      <c r="D16" s="412">
        <f t="shared" si="1"/>
        <v>0.13065076999503228</v>
      </c>
      <c r="E16" s="413">
        <f t="shared" si="17"/>
        <v>0.5936794582392777</v>
      </c>
      <c r="F16" s="8">
        <f t="shared" si="2"/>
        <v>95</v>
      </c>
      <c r="G16" s="412">
        <f t="shared" si="3"/>
        <v>0.20925110132158589</v>
      </c>
      <c r="H16" s="413">
        <f t="shared" si="18"/>
        <v>0.2144469525959368</v>
      </c>
      <c r="I16" s="448">
        <f t="shared" si="4"/>
        <v>79</v>
      </c>
      <c r="J16" s="412">
        <f t="shared" si="5"/>
        <v>0.20050761421319796</v>
      </c>
      <c r="K16" s="413">
        <f t="shared" si="6"/>
        <v>0.17832957110609482</v>
      </c>
      <c r="L16" s="329">
        <f t="shared" si="7"/>
        <v>6</v>
      </c>
      <c r="M16" s="412">
        <f t="shared" si="8"/>
        <v>0.12244897959183673</v>
      </c>
      <c r="N16" s="411">
        <f t="shared" si="9"/>
        <v>1.3544018058690745E-2</v>
      </c>
      <c r="O16" s="403">
        <f t="shared" si="10"/>
        <v>0</v>
      </c>
      <c r="P16" s="412">
        <f t="shared" si="11"/>
        <v>0</v>
      </c>
      <c r="Q16" s="411">
        <f t="shared" si="12"/>
        <v>0</v>
      </c>
      <c r="R16" s="403">
        <f t="shared" si="13"/>
        <v>0</v>
      </c>
      <c r="S16" s="412">
        <f t="shared" si="14"/>
        <v>0</v>
      </c>
      <c r="T16" s="411">
        <f t="shared" si="15"/>
        <v>0</v>
      </c>
      <c r="U16" s="70">
        <f t="shared" si="16"/>
        <v>443</v>
      </c>
    </row>
    <row r="17" spans="2:21">
      <c r="B17" s="163" t="s">
        <v>190</v>
      </c>
      <c r="C17" s="319">
        <f t="shared" si="0"/>
        <v>246</v>
      </c>
      <c r="D17" s="412">
        <f>C17/C$25</f>
        <v>0.12220566318926974</v>
      </c>
      <c r="E17" s="413">
        <f t="shared" si="17"/>
        <v>0.6929577464788732</v>
      </c>
      <c r="F17" s="8">
        <f t="shared" si="2"/>
        <v>65</v>
      </c>
      <c r="G17" s="412">
        <f t="shared" si="3"/>
        <v>0.14317180616740088</v>
      </c>
      <c r="H17" s="413">
        <f t="shared" si="18"/>
        <v>0.18309859154929578</v>
      </c>
      <c r="I17" s="448">
        <f t="shared" si="4"/>
        <v>41</v>
      </c>
      <c r="J17" s="412">
        <f t="shared" si="5"/>
        <v>0.10406091370558376</v>
      </c>
      <c r="K17" s="413">
        <f t="shared" si="6"/>
        <v>0.11549295774647887</v>
      </c>
      <c r="L17" s="329">
        <f t="shared" si="7"/>
        <v>2</v>
      </c>
      <c r="M17" s="412">
        <f t="shared" si="8"/>
        <v>4.0816326530612242E-2</v>
      </c>
      <c r="N17" s="411">
        <f t="shared" si="9"/>
        <v>5.6338028169014088E-3</v>
      </c>
      <c r="O17" s="403">
        <f t="shared" si="10"/>
        <v>1</v>
      </c>
      <c r="P17" s="412">
        <f t="shared" si="11"/>
        <v>2.2727272727272728E-2</v>
      </c>
      <c r="Q17" s="411">
        <f t="shared" si="12"/>
        <v>2.8169014084507044E-3</v>
      </c>
      <c r="R17" s="403">
        <f t="shared" si="13"/>
        <v>0</v>
      </c>
      <c r="S17" s="412">
        <f t="shared" si="14"/>
        <v>0</v>
      </c>
      <c r="T17" s="411">
        <f t="shared" si="15"/>
        <v>0</v>
      </c>
      <c r="U17" s="70">
        <f t="shared" si="16"/>
        <v>355</v>
      </c>
    </row>
    <row r="18" spans="2:21">
      <c r="B18" s="163" t="s">
        <v>191</v>
      </c>
      <c r="C18" s="319">
        <f t="shared" si="0"/>
        <v>166</v>
      </c>
      <c r="D18" s="412">
        <f t="shared" si="1"/>
        <v>8.2463984103328364E-2</v>
      </c>
      <c r="E18" s="413">
        <f t="shared" si="17"/>
        <v>0.79425837320574166</v>
      </c>
      <c r="F18" s="8">
        <f t="shared" si="2"/>
        <v>28</v>
      </c>
      <c r="G18" s="412">
        <f t="shared" si="3"/>
        <v>6.1674008810572688E-2</v>
      </c>
      <c r="H18" s="413">
        <f t="shared" si="18"/>
        <v>0.13397129186602871</v>
      </c>
      <c r="I18" s="448">
        <f t="shared" si="4"/>
        <v>15</v>
      </c>
      <c r="J18" s="412">
        <f t="shared" si="5"/>
        <v>3.8071065989847719E-2</v>
      </c>
      <c r="K18" s="413">
        <f t="shared" si="6"/>
        <v>7.1770334928229665E-2</v>
      </c>
      <c r="L18" s="329">
        <f t="shared" si="7"/>
        <v>0</v>
      </c>
      <c r="M18" s="412">
        <f t="shared" si="8"/>
        <v>0</v>
      </c>
      <c r="N18" s="411">
        <f t="shared" si="9"/>
        <v>0</v>
      </c>
      <c r="O18" s="403">
        <f t="shared" si="10"/>
        <v>0</v>
      </c>
      <c r="P18" s="412">
        <f t="shared" si="11"/>
        <v>0</v>
      </c>
      <c r="Q18" s="411">
        <f t="shared" si="12"/>
        <v>0</v>
      </c>
      <c r="R18" s="403">
        <f t="shared" si="13"/>
        <v>0</v>
      </c>
      <c r="S18" s="412">
        <f t="shared" si="14"/>
        <v>0</v>
      </c>
      <c r="T18" s="411">
        <f t="shared" si="15"/>
        <v>0</v>
      </c>
      <c r="U18" s="70">
        <f t="shared" si="16"/>
        <v>209</v>
      </c>
    </row>
    <row r="19" spans="2:21">
      <c r="B19" s="163" t="s">
        <v>192</v>
      </c>
      <c r="C19" s="319">
        <f t="shared" si="0"/>
        <v>82</v>
      </c>
      <c r="D19" s="412">
        <f t="shared" si="1"/>
        <v>4.0735221063089917E-2</v>
      </c>
      <c r="E19" s="413">
        <f t="shared" si="17"/>
        <v>0.82828282828282829</v>
      </c>
      <c r="F19" s="8">
        <f>SUM(D56,J56,P56,V56,D70,J70,P70,V70,D87,J87,P87,V87,D104,K104,R104,Y104,D117,K117,Q117,X117,D130,K130,R130,Y130,D144,K144,Q144,X144,D157,K157,Q157,W157,D172,J172,O172,U172,D186,L186)</f>
        <v>9</v>
      </c>
      <c r="G19" s="412">
        <f t="shared" si="3"/>
        <v>1.9823788546255508E-2</v>
      </c>
      <c r="H19" s="413">
        <f t="shared" si="18"/>
        <v>9.0909090909090912E-2</v>
      </c>
      <c r="I19" s="448">
        <f>SUM(E56,K56,Q56,W56,E70,K70,Q70,W70,E87,K87,Q87,W87,E104,L104,S104,Z104,E117,L117,R117,Y117,E130,L130,S130,Z130,E144,L144,R144,Y144,E157,L157,R157,X157,E172,K172,P172,V172,E186,M186)</f>
        <v>7</v>
      </c>
      <c r="J19" s="412">
        <f t="shared" si="5"/>
        <v>1.7766497461928935E-2</v>
      </c>
      <c r="K19" s="413">
        <f t="shared" si="6"/>
        <v>7.0707070707070704E-2</v>
      </c>
      <c r="L19" s="329">
        <f t="shared" si="7"/>
        <v>0</v>
      </c>
      <c r="M19" s="412">
        <f t="shared" si="8"/>
        <v>0</v>
      </c>
      <c r="N19" s="411">
        <f t="shared" si="9"/>
        <v>0</v>
      </c>
      <c r="O19" s="403">
        <f t="shared" si="10"/>
        <v>0</v>
      </c>
      <c r="P19" s="412">
        <f t="shared" si="11"/>
        <v>0</v>
      </c>
      <c r="Q19" s="411">
        <f t="shared" si="12"/>
        <v>0</v>
      </c>
      <c r="R19" s="403">
        <f>SUM(F70,L70,R70,X70,F87,L87,R87,X87,F104,M104,T104,AA104,F117,Z117,F130,M130,T130,F144,S144,F157,F186,N186)</f>
        <v>1</v>
      </c>
      <c r="S19" s="412">
        <f t="shared" si="14"/>
        <v>3.125E-2</v>
      </c>
      <c r="T19" s="411">
        <f t="shared" si="15"/>
        <v>1.0101010101010102E-2</v>
      </c>
      <c r="U19" s="70">
        <f t="shared" si="16"/>
        <v>99</v>
      </c>
    </row>
    <row r="20" spans="2:21">
      <c r="B20" s="163" t="s">
        <v>193</v>
      </c>
      <c r="C20" s="319">
        <f>SUM(I57,O57,U57,C71,I71,O71,U71,I88,U88,C105,Q105,X105,J118,J131,C145,J145,W145,C158,J158,V158,I173,N173,T173,C187, K187)</f>
        <v>34</v>
      </c>
      <c r="D20" s="412">
        <f t="shared" si="1"/>
        <v>1.6890213611525089E-2</v>
      </c>
      <c r="E20" s="413">
        <f t="shared" si="17"/>
        <v>0.87179487179487181</v>
      </c>
      <c r="F20" s="8">
        <f>SUM(J57,P57,V57,D71,J71,P71,V71,J88,V88,D105,R105,Y105,K118,K131,D145,K145,X145,D158,K158,W158,J173,O173,U173,D187,L187)</f>
        <v>3</v>
      </c>
      <c r="G20" s="412">
        <f t="shared" si="3"/>
        <v>6.6079295154185024E-3</v>
      </c>
      <c r="H20" s="413">
        <f t="shared" si="18"/>
        <v>7.6923076923076927E-2</v>
      </c>
      <c r="I20" s="448">
        <f>SUM(K57,Q57,W57,E71,K71,Q71,W71,K88,W88,E105,S105,Z105,L118,L131,E145,L145,Y145,E158,L158,X158,K173,P173,V173,E187,M187)</f>
        <v>2</v>
      </c>
      <c r="J20" s="412">
        <f t="shared" si="5"/>
        <v>5.076142131979695E-3</v>
      </c>
      <c r="K20" s="413">
        <f t="shared" si="6"/>
        <v>5.128205128205128E-2</v>
      </c>
      <c r="L20" s="329">
        <f>SUM(Y88,G105,N104,U105,AB105,G145,M118,,N131,M145,Z145,G158,M158,Y158)</f>
        <v>0</v>
      </c>
      <c r="M20" s="412">
        <f t="shared" si="8"/>
        <v>0</v>
      </c>
      <c r="N20" s="411">
        <f t="shared" si="9"/>
        <v>0</v>
      </c>
      <c r="O20" s="403">
        <f>SUM(L57,R57,X57)</f>
        <v>0</v>
      </c>
      <c r="P20" s="412">
        <f t="shared" si="11"/>
        <v>0</v>
      </c>
      <c r="Q20" s="411">
        <f t="shared" si="12"/>
        <v>0</v>
      </c>
      <c r="R20" s="403">
        <f>SUM(F71,L71,R71,X71,L88,X88,F105,T105,AA105,M131,F145,F158,F187,N187)</f>
        <v>0</v>
      </c>
      <c r="S20" s="412">
        <f t="shared" si="14"/>
        <v>0</v>
      </c>
      <c r="T20" s="411">
        <f t="shared" si="15"/>
        <v>0</v>
      </c>
      <c r="U20" s="70">
        <f t="shared" si="16"/>
        <v>39</v>
      </c>
    </row>
    <row r="21" spans="2:21">
      <c r="B21" s="163" t="s">
        <v>194</v>
      </c>
      <c r="C21" s="319">
        <f>SUM(I58,U58,I72,U72,I89,J132,V159,T174,C188,K188)</f>
        <v>8</v>
      </c>
      <c r="D21" s="412">
        <f t="shared" si="1"/>
        <v>3.9741679085941381E-3</v>
      </c>
      <c r="E21" s="413">
        <f t="shared" si="17"/>
        <v>0.72727272727272729</v>
      </c>
      <c r="F21" s="8">
        <f>SUM(J58,V58,J72,V72,J89,K132,W159,U174,D188,L188)</f>
        <v>2</v>
      </c>
      <c r="G21" s="412">
        <f t="shared" si="3"/>
        <v>4.4052863436123352E-3</v>
      </c>
      <c r="H21" s="413">
        <f t="shared" si="18"/>
        <v>0.18181818181818182</v>
      </c>
      <c r="I21" s="448">
        <f>SUM(K58,W58,K72,W72,K89,L132,X159,V174,E188,M188)</f>
        <v>1</v>
      </c>
      <c r="J21" s="412">
        <f t="shared" si="5"/>
        <v>2.5380710659898475E-3</v>
      </c>
      <c r="K21" s="413">
        <f t="shared" si="6"/>
        <v>9.0909090909090912E-2</v>
      </c>
      <c r="L21" s="329">
        <f>SUM(N132,Y159,)</f>
        <v>0</v>
      </c>
      <c r="M21" s="412">
        <f t="shared" si="8"/>
        <v>0</v>
      </c>
      <c r="N21" s="411">
        <f t="shared" si="9"/>
        <v>0</v>
      </c>
      <c r="O21" s="403">
        <f>SUM(L58,X58)</f>
        <v>0</v>
      </c>
      <c r="P21" s="412">
        <f t="shared" si="11"/>
        <v>0</v>
      </c>
      <c r="Q21" s="411">
        <f t="shared" si="12"/>
        <v>0</v>
      </c>
      <c r="R21" s="403">
        <f>SUM(L72,X72,L89,M132,F188,N188)</f>
        <v>0</v>
      </c>
      <c r="S21" s="412">
        <f t="shared" si="14"/>
        <v>0</v>
      </c>
      <c r="T21" s="411">
        <f t="shared" si="15"/>
        <v>0</v>
      </c>
      <c r="U21" s="70">
        <f t="shared" si="16"/>
        <v>11</v>
      </c>
    </row>
    <row r="22" spans="2:21">
      <c r="B22" s="163" t="s">
        <v>1637</v>
      </c>
      <c r="C22" s="319">
        <f>SUM(I73,U73,I90,V160)</f>
        <v>4</v>
      </c>
      <c r="D22" s="412">
        <f t="shared" si="1"/>
        <v>1.987083954297069E-3</v>
      </c>
      <c r="E22" s="413">
        <f t="shared" si="17"/>
        <v>1</v>
      </c>
      <c r="F22" s="8">
        <f>SUM(J73,V73,J90,W160)</f>
        <v>0</v>
      </c>
      <c r="G22" s="412">
        <f t="shared" si="3"/>
        <v>0</v>
      </c>
      <c r="H22" s="413">
        <f t="shared" si="18"/>
        <v>0</v>
      </c>
      <c r="I22" s="448">
        <f>SUM(K73,W73,K90,X160)</f>
        <v>0</v>
      </c>
      <c r="J22" s="412">
        <f t="shared" si="5"/>
        <v>0</v>
      </c>
      <c r="K22" s="413">
        <f t="shared" si="6"/>
        <v>0</v>
      </c>
      <c r="L22" s="329">
        <v>0</v>
      </c>
      <c r="M22" s="412">
        <f t="shared" si="8"/>
        <v>0</v>
      </c>
      <c r="N22" s="411">
        <f t="shared" si="9"/>
        <v>0</v>
      </c>
      <c r="O22" s="403">
        <v>0</v>
      </c>
      <c r="P22" s="412">
        <f t="shared" si="11"/>
        <v>0</v>
      </c>
      <c r="Q22" s="411">
        <f t="shared" si="12"/>
        <v>0</v>
      </c>
      <c r="R22" s="403">
        <v>0</v>
      </c>
      <c r="S22" s="412">
        <f t="shared" si="14"/>
        <v>0</v>
      </c>
      <c r="T22" s="411">
        <f t="shared" si="15"/>
        <v>0</v>
      </c>
      <c r="U22" s="70">
        <f t="shared" si="16"/>
        <v>4</v>
      </c>
    </row>
    <row r="23" spans="2:21">
      <c r="B23" s="163" t="s">
        <v>1638</v>
      </c>
      <c r="C23" s="319">
        <f>SUM(I74,U74,I91)</f>
        <v>0</v>
      </c>
      <c r="D23" s="412">
        <f t="shared" si="1"/>
        <v>0</v>
      </c>
      <c r="E23" s="413">
        <f t="shared" si="17"/>
        <v>0</v>
      </c>
      <c r="F23" s="8">
        <f>SUM(J74,V74,J91)</f>
        <v>2</v>
      </c>
      <c r="G23" s="412">
        <f t="shared" si="3"/>
        <v>4.4052863436123352E-3</v>
      </c>
      <c r="H23" s="413">
        <f t="shared" si="18"/>
        <v>0.66666666666666663</v>
      </c>
      <c r="I23" s="448">
        <f>SUM(K74,W74,K91)</f>
        <v>1</v>
      </c>
      <c r="J23" s="412">
        <f t="shared" si="5"/>
        <v>2.5380710659898475E-3</v>
      </c>
      <c r="K23" s="413">
        <f t="shared" si="6"/>
        <v>0.33333333333333331</v>
      </c>
      <c r="L23" s="329">
        <v>0</v>
      </c>
      <c r="M23" s="412">
        <f t="shared" si="8"/>
        <v>0</v>
      </c>
      <c r="N23" s="411">
        <f t="shared" si="9"/>
        <v>0</v>
      </c>
      <c r="O23" s="403">
        <v>0</v>
      </c>
      <c r="P23" s="412">
        <f t="shared" si="11"/>
        <v>0</v>
      </c>
      <c r="Q23" s="411">
        <f t="shared" si="12"/>
        <v>0</v>
      </c>
      <c r="R23" s="403">
        <v>0</v>
      </c>
      <c r="S23" s="412">
        <f t="shared" si="14"/>
        <v>0</v>
      </c>
      <c r="T23" s="411">
        <f t="shared" si="15"/>
        <v>0</v>
      </c>
      <c r="U23" s="70">
        <f t="shared" si="16"/>
        <v>3</v>
      </c>
    </row>
    <row r="24" spans="2:21">
      <c r="B24" s="163" t="s">
        <v>1639</v>
      </c>
      <c r="C24" s="319">
        <f>SUM(I75,I92)</f>
        <v>2</v>
      </c>
      <c r="D24" s="412">
        <f t="shared" si="1"/>
        <v>9.9354197714853452E-4</v>
      </c>
      <c r="E24" s="413">
        <f t="shared" si="17"/>
        <v>1</v>
      </c>
      <c r="F24" s="8">
        <f>SUM(J75,J92)</f>
        <v>0</v>
      </c>
      <c r="G24" s="412">
        <f t="shared" si="3"/>
        <v>0</v>
      </c>
      <c r="H24" s="413">
        <f t="shared" si="18"/>
        <v>0</v>
      </c>
      <c r="I24" s="448">
        <f>SUM(K75,K92)</f>
        <v>0</v>
      </c>
      <c r="J24" s="412">
        <f t="shared" si="5"/>
        <v>0</v>
      </c>
      <c r="K24" s="413">
        <f t="shared" si="6"/>
        <v>0</v>
      </c>
      <c r="L24" s="329">
        <v>0</v>
      </c>
      <c r="M24" s="412">
        <f t="shared" si="8"/>
        <v>0</v>
      </c>
      <c r="N24" s="411">
        <f t="shared" si="9"/>
        <v>0</v>
      </c>
      <c r="O24" s="403">
        <v>0</v>
      </c>
      <c r="P24" s="412">
        <f t="shared" si="11"/>
        <v>0</v>
      </c>
      <c r="Q24" s="411">
        <f t="shared" si="12"/>
        <v>0</v>
      </c>
      <c r="R24" s="403">
        <v>0</v>
      </c>
      <c r="S24" s="412">
        <f t="shared" si="14"/>
        <v>0</v>
      </c>
      <c r="T24" s="411">
        <f t="shared" si="15"/>
        <v>0</v>
      </c>
      <c r="U24" s="70">
        <f t="shared" si="16"/>
        <v>2</v>
      </c>
    </row>
    <row r="25" spans="2:21">
      <c r="B25" s="318" t="s">
        <v>182</v>
      </c>
      <c r="C25" s="402">
        <f>SUM(C12:C24)</f>
        <v>2013</v>
      </c>
      <c r="D25" s="285"/>
      <c r="E25" s="285"/>
      <c r="F25" s="386">
        <f>SUM(F12:F24)</f>
        <v>454</v>
      </c>
      <c r="G25" s="285"/>
      <c r="H25" s="285"/>
      <c r="I25" s="449">
        <f>SUM(I12:I24)</f>
        <v>394</v>
      </c>
      <c r="J25" s="285"/>
      <c r="K25" s="285"/>
      <c r="L25" s="406">
        <f>SUM(L12:L24)</f>
        <v>49</v>
      </c>
      <c r="M25" s="285"/>
      <c r="N25" s="285"/>
      <c r="O25" s="404">
        <f>SUM(O12:O24)</f>
        <v>44</v>
      </c>
      <c r="P25" s="285"/>
      <c r="Q25" s="285"/>
      <c r="R25" s="404">
        <f>SUM(R12:R24)</f>
        <v>32</v>
      </c>
      <c r="S25" s="105"/>
      <c r="T25" s="105"/>
      <c r="U25" s="284">
        <f>SUM(U12:U24)</f>
        <v>2986</v>
      </c>
    </row>
    <row r="46" spans="2:24" ht="18.75">
      <c r="B46" s="68" t="s">
        <v>1545</v>
      </c>
    </row>
    <row r="47" spans="2:24">
      <c r="B47" s="57" t="s">
        <v>126</v>
      </c>
      <c r="H47" s="57" t="s">
        <v>127</v>
      </c>
      <c r="N47" s="57" t="s">
        <v>128</v>
      </c>
      <c r="T47" s="57" t="s">
        <v>129</v>
      </c>
    </row>
    <row r="48" spans="2:24">
      <c r="B48" s="292" t="s">
        <v>1635</v>
      </c>
      <c r="C48" s="308" t="s">
        <v>12</v>
      </c>
      <c r="D48" s="309" t="s">
        <v>14</v>
      </c>
      <c r="E48" s="310" t="s">
        <v>13</v>
      </c>
      <c r="F48" s="311" t="s">
        <v>71</v>
      </c>
      <c r="H48" s="292" t="s">
        <v>1635</v>
      </c>
      <c r="I48" s="308" t="s">
        <v>12</v>
      </c>
      <c r="J48" s="309" t="s">
        <v>14</v>
      </c>
      <c r="K48" s="310" t="s">
        <v>13</v>
      </c>
      <c r="L48" s="311" t="s">
        <v>71</v>
      </c>
      <c r="N48" s="292" t="s">
        <v>1635</v>
      </c>
      <c r="O48" s="308" t="s">
        <v>12</v>
      </c>
      <c r="P48" s="309" t="s">
        <v>14</v>
      </c>
      <c r="Q48" s="310" t="s">
        <v>13</v>
      </c>
      <c r="R48" s="311" t="s">
        <v>71</v>
      </c>
      <c r="T48" s="292" t="s">
        <v>1635</v>
      </c>
      <c r="U48" s="308" t="s">
        <v>12</v>
      </c>
      <c r="V48" s="309" t="s">
        <v>14</v>
      </c>
      <c r="W48" s="310" t="s">
        <v>13</v>
      </c>
      <c r="X48" s="311" t="s">
        <v>71</v>
      </c>
    </row>
    <row r="49" spans="2:24">
      <c r="B49" s="163" t="s">
        <v>185</v>
      </c>
      <c r="C49" s="319">
        <f>COUNTIF(Logs!$C9:$O9, $C$48)</f>
        <v>5</v>
      </c>
      <c r="D49" s="8">
        <f>COUNTIF(Logs!$C9:$O9, D$48)</f>
        <v>0</v>
      </c>
      <c r="E49" s="33">
        <f>COUNTIF(Logs!$C9:$O9, E$48)</f>
        <v>0</v>
      </c>
      <c r="F49" s="403">
        <f>COUNTIF(Logs!$C9:$O9, F$48)</f>
        <v>8</v>
      </c>
      <c r="H49" s="163" t="s">
        <v>185</v>
      </c>
      <c r="I49" s="319">
        <f>COUNTIF(Logs!$C27:$O27, I$48)</f>
        <v>8</v>
      </c>
      <c r="J49" s="8">
        <f>COUNTIF(Logs!$C27:$O27, J$48)</f>
        <v>0</v>
      </c>
      <c r="K49" s="33">
        <f>COUNTIF(Logs!$C27:$O27, K$48)</f>
        <v>0</v>
      </c>
      <c r="L49" s="403">
        <f>COUNTIF(Logs!$C27:$O27, L$48)</f>
        <v>5</v>
      </c>
      <c r="N49" s="163" t="s">
        <v>185</v>
      </c>
      <c r="O49" s="319">
        <f>COUNTIF(Logs!$C45:$O45, O$48)</f>
        <v>9</v>
      </c>
      <c r="P49" s="8">
        <f>COUNTIF(Logs!$C45:$O45, P$48)</f>
        <v>0</v>
      </c>
      <c r="Q49" s="33">
        <f>COUNTIF(Logs!$C45:$O45, Q$48)</f>
        <v>0</v>
      </c>
      <c r="R49" s="403">
        <f>COUNTIF(Logs!$C45:$O45, R$48)</f>
        <v>4</v>
      </c>
      <c r="T49" s="163" t="s">
        <v>185</v>
      </c>
      <c r="U49" s="319">
        <f>COUNTIF(Logs!$C63:$O63, U$48)</f>
        <v>13</v>
      </c>
      <c r="V49" s="8">
        <f>COUNTIF(Logs!$C63:$O63, V$48)</f>
        <v>0</v>
      </c>
      <c r="W49" s="33">
        <f>COUNTIF(Logs!$C63:$O63, W$48)</f>
        <v>0</v>
      </c>
      <c r="X49" s="403">
        <f>COUNTIF(Logs!$C63:$O63, X$48)</f>
        <v>0</v>
      </c>
    </row>
    <row r="50" spans="2:24">
      <c r="B50" s="163" t="s">
        <v>186</v>
      </c>
      <c r="C50" s="319">
        <f>COUNTIF(Logs!$C10:$O10, C$48)</f>
        <v>9</v>
      </c>
      <c r="D50" s="8">
        <f>COUNTIF(Logs!$C10:$O10, D$48)</f>
        <v>0</v>
      </c>
      <c r="E50" s="33">
        <f>COUNTIF(Logs!$C10:$O10, E$48)</f>
        <v>2</v>
      </c>
      <c r="F50" s="403">
        <f>COUNTIF(Logs!$C10:$O10, F$48)</f>
        <v>2</v>
      </c>
      <c r="H50" s="163" t="s">
        <v>186</v>
      </c>
      <c r="I50" s="319">
        <f>COUNTIF(Logs!$C28:$O28, I$48)</f>
        <v>10</v>
      </c>
      <c r="J50" s="8">
        <f>COUNTIF(Logs!$C28:$O28, J$48)</f>
        <v>0</v>
      </c>
      <c r="K50" s="33">
        <f>COUNTIF(Logs!$C28:$O28, K$48)</f>
        <v>0</v>
      </c>
      <c r="L50" s="403">
        <f>COUNTIF(Logs!$C28:$O28, L$48)</f>
        <v>3</v>
      </c>
      <c r="N50" s="163" t="s">
        <v>186</v>
      </c>
      <c r="O50" s="319">
        <f>COUNTIF(Logs!$C46:$O46, O$48)</f>
        <v>8</v>
      </c>
      <c r="P50" s="8">
        <f>COUNTIF(Logs!$C46:$O46, P$48)</f>
        <v>0</v>
      </c>
      <c r="Q50" s="33">
        <f>COUNTIF(Logs!$C46:$O46, Q$48)</f>
        <v>0</v>
      </c>
      <c r="R50" s="403">
        <f>COUNTIF(Logs!$C46:$O46, R$48)</f>
        <v>5</v>
      </c>
      <c r="T50" s="163" t="s">
        <v>186</v>
      </c>
      <c r="U50" s="319">
        <f>COUNTIF(Logs!$C64:$O64, U$48)</f>
        <v>4</v>
      </c>
      <c r="V50" s="8">
        <f>COUNTIF(Logs!$C64:$O64, V$48)</f>
        <v>1</v>
      </c>
      <c r="W50" s="33">
        <f>COUNTIF(Logs!$C64:$O64, W$48)</f>
        <v>0</v>
      </c>
      <c r="X50" s="403">
        <f>COUNTIF(Logs!$C64:$O64, X$48)</f>
        <v>8</v>
      </c>
    </row>
    <row r="51" spans="2:24">
      <c r="B51" s="163" t="s">
        <v>187</v>
      </c>
      <c r="C51" s="319">
        <f>COUNTIF(Logs!$C11:$O11, C$48)</f>
        <v>3</v>
      </c>
      <c r="D51" s="8">
        <f>COUNTIF(Logs!$C11:$O11, D$48)</f>
        <v>1</v>
      </c>
      <c r="E51" s="33">
        <f>COUNTIF(Logs!$C11:$O11, E$48)</f>
        <v>8</v>
      </c>
      <c r="F51" s="403">
        <f>COUNTIF(Logs!$C11:$O11, F$48)</f>
        <v>1</v>
      </c>
      <c r="H51" s="163" t="s">
        <v>187</v>
      </c>
      <c r="I51" s="319">
        <f>COUNTIF(Logs!$C29:$O29, I$48)</f>
        <v>8</v>
      </c>
      <c r="J51" s="8">
        <f>COUNTIF(Logs!$C29:$O29, J$48)</f>
        <v>0</v>
      </c>
      <c r="K51" s="33">
        <f>COUNTIF(Logs!$C29:$O29, K$48)</f>
        <v>2</v>
      </c>
      <c r="L51" s="403">
        <f>COUNTIF(Logs!$C29:$O29, L$48)</f>
        <v>3</v>
      </c>
      <c r="N51" s="163" t="s">
        <v>187</v>
      </c>
      <c r="O51" s="319">
        <f>COUNTIF(Logs!$C47:$O47, O$48)</f>
        <v>9</v>
      </c>
      <c r="P51" s="8">
        <f>COUNTIF(Logs!$C47:$O47, P$48)</f>
        <v>0</v>
      </c>
      <c r="Q51" s="33">
        <f>COUNTIF(Logs!$C47:$O47, Q$48)</f>
        <v>3</v>
      </c>
      <c r="R51" s="403">
        <f>COUNTIF(Logs!$C47:$O47, R$48)</f>
        <v>1</v>
      </c>
      <c r="T51" s="163" t="s">
        <v>187</v>
      </c>
      <c r="U51" s="319">
        <f>COUNTIF(Logs!$C65:$O65, U$48)</f>
        <v>10</v>
      </c>
      <c r="V51" s="8">
        <f>COUNTIF(Logs!$C65:$O65, V$48)</f>
        <v>0</v>
      </c>
      <c r="W51" s="33">
        <f>COUNTIF(Logs!$C65:$O65, W$48)</f>
        <v>1</v>
      </c>
      <c r="X51" s="403">
        <f>COUNTIF(Logs!$C65:$O65, X$48)</f>
        <v>2</v>
      </c>
    </row>
    <row r="52" spans="2:24">
      <c r="B52" s="163" t="s">
        <v>188</v>
      </c>
      <c r="C52" s="319">
        <f>COUNTIF(Logs!$C12:$O12, C$48)</f>
        <v>9</v>
      </c>
      <c r="D52" s="8">
        <f>COUNTIF(Logs!$C12:$O12, D$48)</f>
        <v>2</v>
      </c>
      <c r="E52" s="33">
        <f>COUNTIF(Logs!$C12:$O12, E$48)</f>
        <v>2</v>
      </c>
      <c r="F52" s="403">
        <f>COUNTIF(Logs!$C12:$O12, F$48)</f>
        <v>0</v>
      </c>
      <c r="H52" s="163" t="s">
        <v>188</v>
      </c>
      <c r="I52" s="319">
        <f>COUNTIF(Logs!$C30:$O30, I$48)</f>
        <v>6</v>
      </c>
      <c r="J52" s="8">
        <f>COUNTIF(Logs!$C30:$O30, J$48)</f>
        <v>0</v>
      </c>
      <c r="K52" s="33">
        <f>COUNTIF(Logs!$C30:$O30, K$48)</f>
        <v>7</v>
      </c>
      <c r="L52" s="403">
        <f>COUNTIF(Logs!$C30:$O30, L$48)</f>
        <v>0</v>
      </c>
      <c r="N52" s="163" t="s">
        <v>188</v>
      </c>
      <c r="O52" s="319">
        <f>COUNTIF(Logs!$C48:$O48, O$48)</f>
        <v>6</v>
      </c>
      <c r="P52" s="8">
        <f>COUNTIF(Logs!$C48:$O48, P$48)</f>
        <v>0</v>
      </c>
      <c r="Q52" s="33">
        <f>COUNTIF(Logs!$C48:$O48, Q$48)</f>
        <v>7</v>
      </c>
      <c r="R52" s="403">
        <f>COUNTIF(Logs!$C48:$O48, R$48)</f>
        <v>0</v>
      </c>
      <c r="T52" s="163" t="s">
        <v>188</v>
      </c>
      <c r="U52" s="319">
        <f>COUNTIF(Logs!$C66:$O66, U$48)</f>
        <v>4</v>
      </c>
      <c r="V52" s="8">
        <f>COUNTIF(Logs!$C66:$O66, V$48)</f>
        <v>1</v>
      </c>
      <c r="W52" s="33">
        <f>COUNTIF(Logs!$C66:$O66, W$48)</f>
        <v>7</v>
      </c>
      <c r="X52" s="403">
        <f>COUNTIF(Logs!$C66:$O66, X$48)</f>
        <v>1</v>
      </c>
    </row>
    <row r="53" spans="2:24">
      <c r="B53" s="163" t="s">
        <v>189</v>
      </c>
      <c r="C53" s="319">
        <f>COUNTIF(Logs!$C13:$O13, C$48)</f>
        <v>7</v>
      </c>
      <c r="D53" s="8">
        <f>COUNTIF(Logs!$C13:$O13, D$48)</f>
        <v>5</v>
      </c>
      <c r="E53" s="33">
        <f>COUNTIF(Logs!$C13:$O13, E$48)</f>
        <v>1</v>
      </c>
      <c r="F53" s="403">
        <f>COUNTIF(Logs!$C13:$O13, F$48)</f>
        <v>0</v>
      </c>
      <c r="H53" s="163" t="s">
        <v>189</v>
      </c>
      <c r="I53" s="319">
        <f>COUNTIF(Logs!$C31:$O31, I$48)</f>
        <v>9</v>
      </c>
      <c r="J53" s="8">
        <f>COUNTIF(Logs!$C31:$O31, J$48)</f>
        <v>2</v>
      </c>
      <c r="K53" s="33">
        <f>COUNTIF(Logs!$C31:$O31, K$48)</f>
        <v>2</v>
      </c>
      <c r="L53" s="403">
        <f>COUNTIF(Logs!$C31:$O31, L$48)</f>
        <v>0</v>
      </c>
      <c r="N53" s="163" t="s">
        <v>189</v>
      </c>
      <c r="O53" s="319">
        <f>COUNTIF(Logs!$C49:$O49, O$48)</f>
        <v>8</v>
      </c>
      <c r="P53" s="8">
        <f>COUNTIF(Logs!$C49:$O49, P$48)</f>
        <v>2</v>
      </c>
      <c r="Q53" s="33">
        <f>COUNTIF(Logs!$C49:$O49, Q$48)</f>
        <v>3</v>
      </c>
      <c r="R53" s="403">
        <f>COUNTIF(Logs!$C49:$O49, R$48)</f>
        <v>0</v>
      </c>
      <c r="T53" s="163" t="s">
        <v>189</v>
      </c>
      <c r="U53" s="319">
        <f>COUNTIF(Logs!$C67:$O67, U$48)</f>
        <v>9</v>
      </c>
      <c r="V53" s="8">
        <f>COUNTIF(Logs!$C67:$O67, V$48)</f>
        <v>2</v>
      </c>
      <c r="W53" s="33">
        <f>COUNTIF(Logs!$C67:$O67, W$48)</f>
        <v>2</v>
      </c>
      <c r="X53" s="403">
        <f>COUNTIF(Logs!$C67:$O67, X$48)</f>
        <v>0</v>
      </c>
    </row>
    <row r="54" spans="2:24">
      <c r="B54" s="163" t="s">
        <v>190</v>
      </c>
      <c r="C54" s="319">
        <f>COUNTIF(Logs!$C14:$O14, C$48)</f>
        <v>5</v>
      </c>
      <c r="D54" s="8">
        <f>COUNTIF(Logs!$C14:$O14, D$48)</f>
        <v>3</v>
      </c>
      <c r="E54" s="33">
        <f>COUNTIF(Logs!$C14:$O14, E$48)</f>
        <v>0</v>
      </c>
      <c r="F54" s="403">
        <f>COUNTIF(Logs!$C14:$O14, F$48)</f>
        <v>0</v>
      </c>
      <c r="H54" s="163" t="s">
        <v>190</v>
      </c>
      <c r="I54" s="319">
        <f>COUNTIF(Logs!$C32:$O32, I$48)</f>
        <v>6</v>
      </c>
      <c r="J54" s="8">
        <f>COUNTIF(Logs!$C32:$O32, J$48)</f>
        <v>6</v>
      </c>
      <c r="K54" s="33">
        <f>COUNTIF(Logs!$C32:$O32, K$48)</f>
        <v>1</v>
      </c>
      <c r="L54" s="403">
        <f>COUNTIF(Logs!$C32:$O32, L$48)</f>
        <v>0</v>
      </c>
      <c r="N54" s="163" t="s">
        <v>190</v>
      </c>
      <c r="O54" s="319">
        <f>COUNTIF(Logs!$C50:$O50, O$48)</f>
        <v>5</v>
      </c>
      <c r="P54" s="8">
        <f>COUNTIF(Logs!$C50:$O50, P$48)</f>
        <v>7</v>
      </c>
      <c r="Q54" s="33">
        <f>COUNTIF(Logs!$C50:$O50, Q$48)</f>
        <v>0</v>
      </c>
      <c r="R54" s="403">
        <f>COUNTIF(Logs!$C50:$O50, R$48)</f>
        <v>1</v>
      </c>
      <c r="T54" s="163" t="s">
        <v>190</v>
      </c>
      <c r="U54" s="319">
        <f>COUNTIF(Logs!$C68:$O68, U$48)</f>
        <v>4</v>
      </c>
      <c r="V54" s="8">
        <f>COUNTIF(Logs!$C68:$O68, V$48)</f>
        <v>7</v>
      </c>
      <c r="W54" s="33">
        <f>COUNTIF(Logs!$C68:$O68, W$48)</f>
        <v>2</v>
      </c>
      <c r="X54" s="403">
        <f>COUNTIF(Logs!$C68:$O68, X$48)</f>
        <v>0</v>
      </c>
    </row>
    <row r="55" spans="2:24">
      <c r="B55" s="163" t="s">
        <v>191</v>
      </c>
      <c r="C55" s="319">
        <f>COUNTIF(Logs!$C15:$O15, C$48)</f>
        <v>2</v>
      </c>
      <c r="D55" s="8">
        <f>COUNTIF(Logs!$C15:$O15, D$48)</f>
        <v>1</v>
      </c>
      <c r="E55" s="33">
        <f>COUNTIF(Logs!$C15:$O15, E$48)</f>
        <v>0</v>
      </c>
      <c r="F55" s="403">
        <f>COUNTIF(Logs!$C15:$O15, F$48)</f>
        <v>0</v>
      </c>
      <c r="H55" s="163" t="s">
        <v>191</v>
      </c>
      <c r="I55" s="319">
        <f>COUNTIF(Logs!$C33:$O33, I$48)</f>
        <v>5</v>
      </c>
      <c r="J55" s="8">
        <f>COUNTIF(Logs!$C33:$O33, J$48)</f>
        <v>3</v>
      </c>
      <c r="K55" s="33">
        <f>COUNTIF(Logs!$C33:$O33, K$48)</f>
        <v>0</v>
      </c>
      <c r="L55" s="403">
        <f>COUNTIF(Logs!$C33:$O33, L$48)</f>
        <v>0</v>
      </c>
      <c r="N55" s="163" t="s">
        <v>191</v>
      </c>
      <c r="O55" s="319">
        <f>COUNTIF(Logs!$C51:$O51, O$48)</f>
        <v>8</v>
      </c>
      <c r="P55" s="8">
        <f>COUNTIF(Logs!$C51:$O51, P$48)</f>
        <v>1</v>
      </c>
      <c r="Q55" s="33">
        <f>COUNTIF(Logs!$C51:$O51, Q$48)</f>
        <v>0</v>
      </c>
      <c r="R55" s="403">
        <f>COUNTIF(Logs!$C51:$O51, R$48)</f>
        <v>0</v>
      </c>
      <c r="T55" s="163" t="s">
        <v>191</v>
      </c>
      <c r="U55" s="319">
        <f>COUNTIF(Logs!$C69:$O69, U$48)</f>
        <v>9</v>
      </c>
      <c r="V55" s="8">
        <f>COUNTIF(Logs!$C69:$O69, V$48)</f>
        <v>1</v>
      </c>
      <c r="W55" s="33">
        <f>COUNTIF(Logs!$C69:$O69, W$48)</f>
        <v>1</v>
      </c>
      <c r="X55" s="403">
        <f>COUNTIF(Logs!$C69:$O69, X$48)</f>
        <v>0</v>
      </c>
    </row>
    <row r="56" spans="2:24">
      <c r="B56" s="163" t="s">
        <v>192</v>
      </c>
      <c r="C56" s="319">
        <f>COUNTIF(Logs!$C16:$O16, C$48)</f>
        <v>1</v>
      </c>
      <c r="D56" s="8">
        <f>COUNTIF(Logs!$C16:$O16, D$48)</f>
        <v>0</v>
      </c>
      <c r="E56" s="33">
        <f>COUNTIF(Logs!$C16:$O16, E$48)</f>
        <v>0</v>
      </c>
      <c r="F56" s="403">
        <f>COUNTIF(Logs!$C16:$O16, F$48)</f>
        <v>0</v>
      </c>
      <c r="H56" s="163" t="s">
        <v>192</v>
      </c>
      <c r="I56" s="319">
        <f>COUNTIF(Logs!$C34:$O34, I$48)</f>
        <v>4</v>
      </c>
      <c r="J56" s="8">
        <f>COUNTIF(Logs!$C34:$O34, J$48)</f>
        <v>0</v>
      </c>
      <c r="K56" s="33">
        <f>COUNTIF(Logs!$C34:$O34, K$48)</f>
        <v>0</v>
      </c>
      <c r="L56" s="403">
        <f>COUNTIF(Logs!$C34:$O34, L$48)</f>
        <v>0</v>
      </c>
      <c r="N56" s="163" t="s">
        <v>192</v>
      </c>
      <c r="O56" s="319">
        <f>COUNTIF(Logs!$C52:$O52, O$48)</f>
        <v>1</v>
      </c>
      <c r="P56" s="8">
        <f>COUNTIF(Logs!$C52:$O52, P$48)</f>
        <v>2</v>
      </c>
      <c r="Q56" s="33">
        <f>COUNTIF(Logs!$C52:$O52, Q$48)</f>
        <v>0</v>
      </c>
      <c r="R56" s="403">
        <f>COUNTIF(Logs!$C52:$O52, R$48)</f>
        <v>0</v>
      </c>
      <c r="T56" s="163" t="s">
        <v>192</v>
      </c>
      <c r="U56" s="319">
        <f>COUNTIF(Logs!$C70:$O70, U$48)</f>
        <v>3</v>
      </c>
      <c r="V56" s="8">
        <f>COUNTIF(Logs!$C70:$O70, V$48)</f>
        <v>0</v>
      </c>
      <c r="W56" s="33">
        <f>COUNTIF(Logs!$C70:$O70, W$48)</f>
        <v>0</v>
      </c>
      <c r="X56" s="403">
        <f>COUNTIF(Logs!$C70:$O70, X$48)</f>
        <v>0</v>
      </c>
    </row>
    <row r="57" spans="2:24">
      <c r="B57" s="318" t="s">
        <v>182</v>
      </c>
      <c r="C57" s="402">
        <f>SUM(C49:C56)</f>
        <v>41</v>
      </c>
      <c r="D57" s="386">
        <f>SUM(D49:D56)</f>
        <v>12</v>
      </c>
      <c r="E57" s="387">
        <f>SUM(E49:E56)</f>
        <v>13</v>
      </c>
      <c r="F57" s="404">
        <f>SUM(F49:F56)</f>
        <v>11</v>
      </c>
      <c r="H57" s="163" t="s">
        <v>193</v>
      </c>
      <c r="I57" s="319">
        <f>COUNTIF(Logs!$C35:$O35, I$48)</f>
        <v>1</v>
      </c>
      <c r="J57" s="8">
        <f>COUNTIF(Logs!$C35:$O35, J$48)</f>
        <v>1</v>
      </c>
      <c r="K57" s="33">
        <f>COUNTIF(Logs!$C35:$O35, K$48)</f>
        <v>0</v>
      </c>
      <c r="L57" s="403">
        <f>COUNTIF(Logs!$C35:$O35, L$48)</f>
        <v>0</v>
      </c>
      <c r="N57" s="163" t="s">
        <v>193</v>
      </c>
      <c r="O57" s="319">
        <f>COUNTIF(Logs!$C53:$O53, O$48)</f>
        <v>2</v>
      </c>
      <c r="P57" s="8">
        <f>COUNTIF(Logs!$C53:$O53, P$48)</f>
        <v>0</v>
      </c>
      <c r="Q57" s="33">
        <f>COUNTIF(Logs!$C53:$O53, Q$48)</f>
        <v>0</v>
      </c>
      <c r="R57" s="403">
        <f>COUNTIF(Logs!$C53:$O53, R$48)</f>
        <v>0</v>
      </c>
      <c r="T57" s="163" t="s">
        <v>193</v>
      </c>
      <c r="U57" s="319">
        <f>COUNTIF(Logs!$C71:$O71, U$48)</f>
        <v>1</v>
      </c>
      <c r="V57" s="8">
        <f>COUNTIF(Logs!$C71:$O71, V$48)</f>
        <v>0</v>
      </c>
      <c r="W57" s="33">
        <f>COUNTIF(Logs!$C71:$O71, W$48)</f>
        <v>0</v>
      </c>
      <c r="X57" s="403">
        <f>COUNTIF(Logs!$C71:$O71, X$48)</f>
        <v>0</v>
      </c>
    </row>
    <row r="58" spans="2:24">
      <c r="B58" s="90"/>
      <c r="C58" s="319"/>
      <c r="D58" s="8"/>
      <c r="E58" s="33"/>
      <c r="F58" s="361"/>
      <c r="G58" s="34"/>
      <c r="H58" s="163" t="s">
        <v>194</v>
      </c>
      <c r="I58" s="319">
        <f>COUNTIF(Logs!$C36:$O36, I$48)</f>
        <v>1</v>
      </c>
      <c r="J58" s="8">
        <f>COUNTIF(Logs!$C36:$O36, J$48)</f>
        <v>0</v>
      </c>
      <c r="K58" s="33">
        <f>COUNTIF(Logs!$C36:$O36, K$48)</f>
        <v>0</v>
      </c>
      <c r="L58" s="403">
        <f>COUNTIF(Logs!$C36:$O36, L$48)</f>
        <v>0</v>
      </c>
      <c r="M58" s="34"/>
      <c r="N58" s="318" t="s">
        <v>182</v>
      </c>
      <c r="O58" s="402">
        <f>SUM(O49:O57)</f>
        <v>56</v>
      </c>
      <c r="P58" s="386">
        <f>SUM(P49:P57)</f>
        <v>12</v>
      </c>
      <c r="Q58" s="387">
        <f>SUM(Q49:Q57)</f>
        <v>13</v>
      </c>
      <c r="R58" s="404">
        <f>SUM(R49:R57)</f>
        <v>11</v>
      </c>
      <c r="T58" s="163" t="s">
        <v>194</v>
      </c>
      <c r="U58" s="319">
        <f>COUNTIF(Logs!$C72:$O72, U$48)</f>
        <v>1</v>
      </c>
      <c r="V58" s="8">
        <f>COUNTIF(Logs!$C72:$O72, V$48)</f>
        <v>0</v>
      </c>
      <c r="W58" s="33">
        <f>COUNTIF(Logs!$C72:$O72, W$48)</f>
        <v>0</v>
      </c>
      <c r="X58" s="403">
        <f>COUNTIF(Logs!$C72:$O72, X$48)</f>
        <v>0</v>
      </c>
    </row>
    <row r="59" spans="2:24">
      <c r="H59" s="318" t="s">
        <v>182</v>
      </c>
      <c r="I59" s="402">
        <f>SUM(I49:I58)</f>
        <v>58</v>
      </c>
      <c r="J59" s="386">
        <f>SUM(J49:J58)</f>
        <v>12</v>
      </c>
      <c r="K59" s="387">
        <f>SUM(K49:K58)</f>
        <v>12</v>
      </c>
      <c r="L59" s="404">
        <f>SUM(L49:L58)</f>
        <v>11</v>
      </c>
      <c r="T59" s="318" t="s">
        <v>182</v>
      </c>
      <c r="U59" s="402">
        <f>SUM(U49:U58)</f>
        <v>58</v>
      </c>
      <c r="V59" s="386">
        <f>SUM(V49:V58)</f>
        <v>12</v>
      </c>
      <c r="W59" s="387">
        <f>SUM(W49:W58)</f>
        <v>13</v>
      </c>
      <c r="X59" s="404">
        <f>SUM(X49:X58)</f>
        <v>11</v>
      </c>
    </row>
    <row r="61" spans="2:24">
      <c r="B61" s="57" t="s">
        <v>130</v>
      </c>
      <c r="H61" s="57" t="s">
        <v>131</v>
      </c>
      <c r="N61" s="57" t="s">
        <v>132</v>
      </c>
      <c r="T61" s="57" t="s">
        <v>133</v>
      </c>
    </row>
    <row r="62" spans="2:24">
      <c r="B62" s="292" t="s">
        <v>1635</v>
      </c>
      <c r="C62" s="308" t="s">
        <v>12</v>
      </c>
      <c r="D62" s="309" t="s">
        <v>14</v>
      </c>
      <c r="E62" s="310" t="s">
        <v>13</v>
      </c>
      <c r="F62" s="311" t="s">
        <v>71</v>
      </c>
      <c r="H62" s="292" t="s">
        <v>1635</v>
      </c>
      <c r="I62" s="308" t="s">
        <v>12</v>
      </c>
      <c r="J62" s="309" t="s">
        <v>14</v>
      </c>
      <c r="K62" s="310" t="s">
        <v>13</v>
      </c>
      <c r="L62" s="311" t="s">
        <v>71</v>
      </c>
      <c r="N62" s="292" t="s">
        <v>1635</v>
      </c>
      <c r="O62" s="308" t="s">
        <v>12</v>
      </c>
      <c r="P62" s="309" t="s">
        <v>14</v>
      </c>
      <c r="Q62" s="310" t="s">
        <v>13</v>
      </c>
      <c r="R62" s="311" t="s">
        <v>71</v>
      </c>
      <c r="T62" s="292" t="s">
        <v>1635</v>
      </c>
      <c r="U62" s="308" t="s">
        <v>12</v>
      </c>
      <c r="V62" s="309" t="s">
        <v>14</v>
      </c>
      <c r="W62" s="310" t="s">
        <v>13</v>
      </c>
      <c r="X62" s="311" t="s">
        <v>71</v>
      </c>
    </row>
    <row r="63" spans="2:24">
      <c r="B63" s="163" t="s">
        <v>185</v>
      </c>
      <c r="C63" s="319">
        <f>COUNTIF(Logs!$C81:$O81, C$62)</f>
        <v>13</v>
      </c>
      <c r="D63" s="8">
        <f>COUNTIF(Logs!$C81:$O81, D$62)</f>
        <v>0</v>
      </c>
      <c r="E63" s="33">
        <f>COUNTIF(Logs!$C81:$O81, E$62)</f>
        <v>0</v>
      </c>
      <c r="F63" s="403">
        <f>COUNTIF(Logs!$C81:$O81, F$62)</f>
        <v>0</v>
      </c>
      <c r="H63" s="163" t="s">
        <v>185</v>
      </c>
      <c r="I63" s="319">
        <f>COUNTIF(Logs!$C100:$O100, I$62)</f>
        <v>12</v>
      </c>
      <c r="J63" s="8">
        <f>COUNTIF(Logs!$C100:$O100, J$62)</f>
        <v>0</v>
      </c>
      <c r="K63" s="33">
        <f>COUNTIF(Logs!$C100:$O100, K$62)</f>
        <v>0</v>
      </c>
      <c r="L63" s="403">
        <f>COUNTIF(Logs!$C100:$O100, L$62)</f>
        <v>0</v>
      </c>
      <c r="N63" s="163" t="s">
        <v>185</v>
      </c>
      <c r="O63" s="319">
        <f>COUNTIF(Logs!$C120:$O120, O$62)</f>
        <v>13</v>
      </c>
      <c r="P63" s="8">
        <f>COUNTIF(Logs!$C120:$O120, P$62)</f>
        <v>0</v>
      </c>
      <c r="Q63" s="33">
        <f>COUNTIF(Logs!$C120:$O120, Q$62)</f>
        <v>0</v>
      </c>
      <c r="R63" s="403">
        <f>COUNTIF(Logs!$C120:$O120, R$62)</f>
        <v>0</v>
      </c>
      <c r="T63" s="163" t="s">
        <v>185</v>
      </c>
      <c r="U63" s="319">
        <f>COUNTIF(Logs!$C139:$O139, U$62)</f>
        <v>12</v>
      </c>
      <c r="V63" s="8">
        <f>COUNTIF(Logs!$C139:$O139, V$62)</f>
        <v>0</v>
      </c>
      <c r="W63" s="33">
        <f>COUNTIF(Logs!$C139:$O139, W$62)</f>
        <v>0</v>
      </c>
      <c r="X63" s="403">
        <f>COUNTIF(Logs!$C139:$O139, X$62)</f>
        <v>0</v>
      </c>
    </row>
    <row r="64" spans="2:24">
      <c r="B64" s="163" t="s">
        <v>186</v>
      </c>
      <c r="C64" s="319">
        <f>COUNTIF(Logs!$C82:$O82, C$62)</f>
        <v>10</v>
      </c>
      <c r="D64" s="8">
        <f>COUNTIF(Logs!$C82:$O82, D$62)</f>
        <v>1</v>
      </c>
      <c r="E64" s="33">
        <f>COUNTIF(Logs!$C82:$O82, E$62)</f>
        <v>2</v>
      </c>
      <c r="F64" s="403">
        <f>COUNTIF(Logs!$C82:$O82, F$62)</f>
        <v>0</v>
      </c>
      <c r="H64" s="163" t="s">
        <v>186</v>
      </c>
      <c r="I64" s="319">
        <f>COUNTIF(Logs!$C101:$O101, I$62)</f>
        <v>9</v>
      </c>
      <c r="J64" s="8">
        <f>COUNTIF(Logs!$C101:$O101, J$62)</f>
        <v>1</v>
      </c>
      <c r="K64" s="33">
        <f>COUNTIF(Logs!$C101:$O101, K$62)</f>
        <v>2</v>
      </c>
      <c r="L64" s="403">
        <f>COUNTIF(Logs!$C101:$O101, L$62)</f>
        <v>0</v>
      </c>
      <c r="N64" s="163" t="s">
        <v>186</v>
      </c>
      <c r="O64" s="319">
        <f>COUNTIF(Logs!$C121:$O121, O$62)</f>
        <v>7</v>
      </c>
      <c r="P64" s="8">
        <f>COUNTIF(Logs!$C121:$O121, P$62)</f>
        <v>3</v>
      </c>
      <c r="Q64" s="33">
        <f>COUNTIF(Logs!$C121:$O121, Q$62)</f>
        <v>2</v>
      </c>
      <c r="R64" s="403">
        <f>COUNTIF(Logs!$C121:$O121, R$62)</f>
        <v>1</v>
      </c>
      <c r="T64" s="163" t="s">
        <v>186</v>
      </c>
      <c r="U64" s="319">
        <f>COUNTIF(Logs!$C140:$O140, U$62)</f>
        <v>7</v>
      </c>
      <c r="V64" s="8">
        <f>COUNTIF(Logs!$C140:$O140, V$62)</f>
        <v>1</v>
      </c>
      <c r="W64" s="33">
        <f>COUNTIF(Logs!$C140:$O140, W$62)</f>
        <v>3</v>
      </c>
      <c r="X64" s="403">
        <f>COUNTIF(Logs!$C140:$O140, X$62)</f>
        <v>1</v>
      </c>
    </row>
    <row r="65" spans="2:25">
      <c r="B65" s="163" t="s">
        <v>187</v>
      </c>
      <c r="C65" s="319">
        <f>COUNTIF(Logs!$C83:$O83, C$62)</f>
        <v>6</v>
      </c>
      <c r="D65" s="8">
        <f>COUNTIF(Logs!$C83:$O83, D$62)</f>
        <v>3</v>
      </c>
      <c r="E65" s="33">
        <f>COUNTIF(Logs!$C83:$O83, E$62)</f>
        <v>3</v>
      </c>
      <c r="F65" s="403">
        <f>COUNTIF(Logs!$C83:$O83, F$62)</f>
        <v>1</v>
      </c>
      <c r="H65" s="163" t="s">
        <v>187</v>
      </c>
      <c r="I65" s="319">
        <f>COUNTIF(Logs!$C102:$O102, I$62)</f>
        <v>9</v>
      </c>
      <c r="J65" s="8">
        <f>COUNTIF(Logs!$C102:$O102, J$62)</f>
        <v>2</v>
      </c>
      <c r="K65" s="33">
        <f>COUNTIF(Logs!$C102:$O102, K$62)</f>
        <v>0</v>
      </c>
      <c r="L65" s="403">
        <f>COUNTIF(Logs!$C102:$O102, L$62)</f>
        <v>1</v>
      </c>
      <c r="N65" s="163" t="s">
        <v>187</v>
      </c>
      <c r="O65" s="319">
        <f>COUNTIF(Logs!$C122:$O122, O$62)</f>
        <v>8</v>
      </c>
      <c r="P65" s="8">
        <f>COUNTIF(Logs!$C122:$O122, P$62)</f>
        <v>2</v>
      </c>
      <c r="Q65" s="33">
        <f>COUNTIF(Logs!$C122:$O122, Q$62)</f>
        <v>3</v>
      </c>
      <c r="R65" s="403">
        <f>COUNTIF(Logs!$C122:$O122, R$62)</f>
        <v>0</v>
      </c>
      <c r="T65" s="163" t="s">
        <v>187</v>
      </c>
      <c r="U65" s="319">
        <f>COUNTIF(Logs!$C141:$O141, U$62)</f>
        <v>9</v>
      </c>
      <c r="V65" s="8">
        <f>COUNTIF(Logs!$C141:$O141, V$62)</f>
        <v>1</v>
      </c>
      <c r="W65" s="33">
        <f>COUNTIF(Logs!$C141:$O141, W$62)</f>
        <v>2</v>
      </c>
      <c r="X65" s="403">
        <f>COUNTIF(Logs!$C141:$O141, X$62)</f>
        <v>0</v>
      </c>
    </row>
    <row r="66" spans="2:25">
      <c r="B66" s="163" t="s">
        <v>188</v>
      </c>
      <c r="C66" s="319">
        <f>COUNTIF(Logs!$C84:$O84, C$62)</f>
        <v>11</v>
      </c>
      <c r="D66" s="8">
        <f>COUNTIF(Logs!$C84:$O84, D$62)</f>
        <v>1</v>
      </c>
      <c r="E66" s="33">
        <f>COUNTIF(Logs!$C84:$O84, E$62)</f>
        <v>0</v>
      </c>
      <c r="F66" s="403">
        <f>COUNTIF(Logs!$C84:$O84, F$62)</f>
        <v>1</v>
      </c>
      <c r="H66" s="163" t="s">
        <v>188</v>
      </c>
      <c r="I66" s="319">
        <f>COUNTIF(Logs!$C103:$O103, I$62)</f>
        <v>7</v>
      </c>
      <c r="J66" s="8">
        <f>COUNTIF(Logs!$C103:$O103, J$62)</f>
        <v>1</v>
      </c>
      <c r="K66" s="33">
        <f>COUNTIF(Logs!$C103:$O103, K$62)</f>
        <v>4</v>
      </c>
      <c r="L66" s="403">
        <f>COUNTIF(Logs!$C103:$O103, L$62)</f>
        <v>0</v>
      </c>
      <c r="N66" s="163" t="s">
        <v>188</v>
      </c>
      <c r="O66" s="319">
        <f>COUNTIF(Logs!$C123:$O123, O$62)</f>
        <v>7</v>
      </c>
      <c r="P66" s="8">
        <f>COUNTIF(Logs!$C123:$O123, P$62)</f>
        <v>2</v>
      </c>
      <c r="Q66" s="33">
        <f>COUNTIF(Logs!$C123:$O123, Q$62)</f>
        <v>3</v>
      </c>
      <c r="R66" s="403">
        <f>COUNTIF(Logs!$C123:$O123, R$62)</f>
        <v>1</v>
      </c>
      <c r="T66" s="163" t="s">
        <v>188</v>
      </c>
      <c r="U66" s="319">
        <f>COUNTIF(Logs!$C142:$O142, U$62)</f>
        <v>9</v>
      </c>
      <c r="V66" s="8">
        <f>COUNTIF(Logs!$C142:$O142, V$62)</f>
        <v>1</v>
      </c>
      <c r="W66" s="33">
        <f>COUNTIF(Logs!$C142:$O142, W$62)</f>
        <v>2</v>
      </c>
      <c r="X66" s="403">
        <f>COUNTIF(Logs!$C142:$O142, X$62)</f>
        <v>0</v>
      </c>
    </row>
    <row r="67" spans="2:25">
      <c r="B67" s="163" t="s">
        <v>189</v>
      </c>
      <c r="C67" s="319">
        <f>COUNTIF(Logs!$C85:$O85, C$62)</f>
        <v>5</v>
      </c>
      <c r="D67" s="8">
        <f>COUNTIF(Logs!$C85:$O85, D$62)</f>
        <v>5</v>
      </c>
      <c r="E67" s="33">
        <f>COUNTIF(Logs!$C85:$O85, E$62)</f>
        <v>2</v>
      </c>
      <c r="F67" s="403">
        <f>COUNTIF(Logs!$C85:$O85, F$62)</f>
        <v>0</v>
      </c>
      <c r="H67" s="163" t="s">
        <v>189</v>
      </c>
      <c r="I67" s="319">
        <f>COUNTIF(Logs!$C104:$O104, I$62)</f>
        <v>8</v>
      </c>
      <c r="J67" s="8">
        <f>COUNTIF(Logs!$C104:$O104, J$62)</f>
        <v>1</v>
      </c>
      <c r="K67" s="33">
        <f>COUNTIF(Logs!$C104:$O104, K$62)</f>
        <v>3</v>
      </c>
      <c r="L67" s="403">
        <f>COUNTIF(Logs!$C104:$O104, L$62)</f>
        <v>0</v>
      </c>
      <c r="N67" s="163" t="s">
        <v>189</v>
      </c>
      <c r="O67" s="319">
        <f>COUNTIF(Logs!$C124:$O124, O$62)</f>
        <v>7</v>
      </c>
      <c r="P67" s="8">
        <f>COUNTIF(Logs!$C124:$O124, P$62)</f>
        <v>2</v>
      </c>
      <c r="Q67" s="33">
        <f>COUNTIF(Logs!$C124:$O124, Q$62)</f>
        <v>4</v>
      </c>
      <c r="R67" s="403">
        <f>COUNTIF(Logs!$C124:$O124, R$62)</f>
        <v>0</v>
      </c>
      <c r="T67" s="163" t="s">
        <v>189</v>
      </c>
      <c r="U67" s="319">
        <f>COUNTIF(Logs!$C143:$O143, U$62)</f>
        <v>4</v>
      </c>
      <c r="V67" s="8">
        <f>COUNTIF(Logs!$C143:$O143, V$62)</f>
        <v>6</v>
      </c>
      <c r="W67" s="33">
        <f>COUNTIF(Logs!$C143:$O143, W$62)</f>
        <v>2</v>
      </c>
      <c r="X67" s="403">
        <f>COUNTIF(Logs!$C143:$O143, X$62)</f>
        <v>0</v>
      </c>
    </row>
    <row r="68" spans="2:25">
      <c r="B68" s="163" t="s">
        <v>190</v>
      </c>
      <c r="C68" s="319">
        <f>COUNTIF(Logs!$C86:$O86, C$62)</f>
        <v>8</v>
      </c>
      <c r="D68" s="8">
        <f>COUNTIF(Logs!$C86:$O86, D$62)</f>
        <v>2</v>
      </c>
      <c r="E68" s="33">
        <f>COUNTIF(Logs!$C86:$O86, E$62)</f>
        <v>2</v>
      </c>
      <c r="F68" s="403">
        <f>COUNTIF(Logs!$C86:$O86, F$62)</f>
        <v>0</v>
      </c>
      <c r="H68" s="163" t="s">
        <v>190</v>
      </c>
      <c r="I68" s="319">
        <f>COUNTIF(Logs!$C105:$O105, I$62)</f>
        <v>8</v>
      </c>
      <c r="J68" s="8">
        <f>COUNTIF(Logs!$C105:$O105, J$62)</f>
        <v>3</v>
      </c>
      <c r="K68" s="33">
        <f>COUNTIF(Logs!$C105:$O105, K$62)</f>
        <v>1</v>
      </c>
      <c r="L68" s="403">
        <f>COUNTIF(Logs!$C105:$O105, L$62)</f>
        <v>0</v>
      </c>
      <c r="N68" s="163" t="s">
        <v>190</v>
      </c>
      <c r="O68" s="319">
        <f>COUNTIF(Logs!$C125:$O125, O$62)</f>
        <v>6</v>
      </c>
      <c r="P68" s="8">
        <f>COUNTIF(Logs!$C125:$O125, P$62)</f>
        <v>2</v>
      </c>
      <c r="Q68" s="33">
        <f>COUNTIF(Logs!$C125:$O125, Q$62)</f>
        <v>1</v>
      </c>
      <c r="R68" s="403">
        <f>COUNTIF(Logs!$C125:$O125, R$62)</f>
        <v>0</v>
      </c>
      <c r="T68" s="163" t="s">
        <v>190</v>
      </c>
      <c r="U68" s="319">
        <f>COUNTIF(Logs!$C144:$O144, U$62)</f>
        <v>11</v>
      </c>
      <c r="V68" s="8">
        <f>COUNTIF(Logs!$C144:$O144, V$62)</f>
        <v>0</v>
      </c>
      <c r="W68" s="33">
        <f>COUNTIF(Logs!$C144:$O144, W$62)</f>
        <v>1</v>
      </c>
      <c r="X68" s="403">
        <f>COUNTIF(Logs!$C144:$O144, X$62)</f>
        <v>0</v>
      </c>
    </row>
    <row r="69" spans="2:25">
      <c r="B69" s="163" t="s">
        <v>191</v>
      </c>
      <c r="C69" s="319">
        <f>COUNTIF(Logs!$C87:$O87, C$62)</f>
        <v>4</v>
      </c>
      <c r="D69" s="8">
        <f>COUNTIF(Logs!$C87:$O87, D$62)</f>
        <v>0</v>
      </c>
      <c r="E69" s="33">
        <f>COUNTIF(Logs!$C87:$O87, E$62)</f>
        <v>2</v>
      </c>
      <c r="F69" s="403">
        <f>COUNTIF(Logs!$C87:$O87, F$62)</f>
        <v>0</v>
      </c>
      <c r="H69" s="163" t="s">
        <v>191</v>
      </c>
      <c r="I69" s="319">
        <f>COUNTIF(Logs!$C106:$O106, I$62)</f>
        <v>6</v>
      </c>
      <c r="J69" s="8">
        <f>COUNTIF(Logs!$C106:$O106, J$62)</f>
        <v>3</v>
      </c>
      <c r="K69" s="33">
        <f>COUNTIF(Logs!$C106:$O106, K$62)</f>
        <v>2</v>
      </c>
      <c r="L69" s="403">
        <f>COUNTIF(Logs!$C106:$O106, L$62)</f>
        <v>0</v>
      </c>
      <c r="N69" s="163" t="s">
        <v>191</v>
      </c>
      <c r="O69" s="319">
        <f>COUNTIF(Logs!$C126:$O126, O$62)</f>
        <v>4</v>
      </c>
      <c r="P69" s="8">
        <f>COUNTIF(Logs!$C126:$O126, P$62)</f>
        <v>1</v>
      </c>
      <c r="Q69" s="33">
        <f>COUNTIF(Logs!$C126:$O126, Q$62)</f>
        <v>0</v>
      </c>
      <c r="R69" s="403">
        <f>COUNTIF(Logs!$C126:$O126, R$62)</f>
        <v>0</v>
      </c>
      <c r="T69" s="163" t="s">
        <v>191</v>
      </c>
      <c r="U69" s="319">
        <f>COUNTIF(Logs!$C145:$O145, U$62)</f>
        <v>5</v>
      </c>
      <c r="V69" s="8">
        <f>COUNTIF(Logs!$C145:$O145, V$62)</f>
        <v>0</v>
      </c>
      <c r="W69" s="33">
        <f>COUNTIF(Logs!$C145:$O145, W$62)</f>
        <v>1</v>
      </c>
      <c r="X69" s="403">
        <f>COUNTIF(Logs!$C145:$O145, X$62)</f>
        <v>0</v>
      </c>
    </row>
    <row r="70" spans="2:25">
      <c r="B70" s="163" t="s">
        <v>192</v>
      </c>
      <c r="C70" s="319">
        <f>COUNTIF(Logs!$C88:$O88, C$62)</f>
        <v>3</v>
      </c>
      <c r="D70" s="8">
        <f>COUNTIF(Logs!$C88:$O88, D$62)</f>
        <v>0</v>
      </c>
      <c r="E70" s="33">
        <f>COUNTIF(Logs!$C88:$O88, E$62)</f>
        <v>1</v>
      </c>
      <c r="F70" s="403">
        <f>COUNTIF(Logs!$C88:$O88, F$62)</f>
        <v>0</v>
      </c>
      <c r="H70" s="163" t="s">
        <v>192</v>
      </c>
      <c r="I70" s="319">
        <f>COUNTIF(Logs!$C107:$O107, I$62)</f>
        <v>4</v>
      </c>
      <c r="J70" s="8">
        <f>COUNTIF(Logs!$C107:$O107, J$62)</f>
        <v>0</v>
      </c>
      <c r="K70" s="33">
        <f>COUNTIF(Logs!$C107:$O107, K$62)</f>
        <v>0</v>
      </c>
      <c r="L70" s="403">
        <f>COUNTIF(Logs!$C107:$O107, L$62)</f>
        <v>1</v>
      </c>
      <c r="N70" s="163" t="s">
        <v>192</v>
      </c>
      <c r="O70" s="319">
        <f>COUNTIF(Logs!$C127:$O127, O$62)</f>
        <v>3</v>
      </c>
      <c r="P70" s="8">
        <f>COUNTIF(Logs!$C127:$O127, P$62)</f>
        <v>0</v>
      </c>
      <c r="Q70" s="33">
        <f>COUNTIF(Logs!$C127:$O127, Q$62)</f>
        <v>0</v>
      </c>
      <c r="R70" s="403">
        <f>COUNTIF(Logs!$C127:$O127, R$62)</f>
        <v>0</v>
      </c>
      <c r="T70" s="163" t="s">
        <v>192</v>
      </c>
      <c r="U70" s="319">
        <f>COUNTIF(Logs!$C146:$O146, U$62)</f>
        <v>3</v>
      </c>
      <c r="V70" s="8">
        <f>COUNTIF(Logs!$C146:$O146, V$62)</f>
        <v>2</v>
      </c>
      <c r="W70" s="33">
        <f>COUNTIF(Logs!$C146:$O146, W$62)</f>
        <v>0</v>
      </c>
      <c r="X70" s="403">
        <f>COUNTIF(Logs!$C146:$O146, X$62)</f>
        <v>0</v>
      </c>
    </row>
    <row r="71" spans="2:25">
      <c r="B71" s="163" t="s">
        <v>193</v>
      </c>
      <c r="C71" s="319">
        <f>COUNTIF(Logs!$C89:$O89, C$62)</f>
        <v>2</v>
      </c>
      <c r="D71" s="8">
        <f>COUNTIF(Logs!$C89:$O89, D$62)</f>
        <v>0</v>
      </c>
      <c r="E71" s="33">
        <f>COUNTIF(Logs!$C89:$O89, E$62)</f>
        <v>0</v>
      </c>
      <c r="F71" s="403">
        <f>COUNTIF(Logs!$C89:$O89, F$62)</f>
        <v>0</v>
      </c>
      <c r="H71" s="163" t="s">
        <v>193</v>
      </c>
      <c r="I71" s="319">
        <f>COUNTIF(Logs!$C108:$O108, I$62)</f>
        <v>1</v>
      </c>
      <c r="J71" s="8">
        <f>COUNTIF(Logs!$C108:$O108, J$62)</f>
        <v>0</v>
      </c>
      <c r="K71" s="33">
        <f>COUNTIF(Logs!$C108:$O108, K$62)</f>
        <v>0</v>
      </c>
      <c r="L71" s="403">
        <f>COUNTIF(Logs!$C108:$O108, L$62)</f>
        <v>0</v>
      </c>
      <c r="N71" s="163" t="s">
        <v>193</v>
      </c>
      <c r="O71" s="319">
        <f>COUNTIF(Logs!$C128:$O128, O$62)</f>
        <v>1</v>
      </c>
      <c r="P71" s="8">
        <f>COUNTIF(Logs!$C128:$O128, P$62)</f>
        <v>0</v>
      </c>
      <c r="Q71" s="33">
        <f>COUNTIF(Logs!$C128:$O128, Q$62)</f>
        <v>0</v>
      </c>
      <c r="R71" s="403">
        <f>COUNTIF(Logs!$C128:$O128, R$62)</f>
        <v>0</v>
      </c>
      <c r="T71" s="163" t="s">
        <v>193</v>
      </c>
      <c r="U71" s="319">
        <f>COUNTIF(Logs!$C147:$O147, U$62)</f>
        <v>2</v>
      </c>
      <c r="V71" s="8">
        <f>COUNTIF(Logs!$C147:$O147, V$62)</f>
        <v>0</v>
      </c>
      <c r="W71" s="33">
        <f>COUNTIF(Logs!$C147:$O147, W$62)</f>
        <v>2</v>
      </c>
      <c r="X71" s="403">
        <f>COUNTIF(Logs!$C147:$O147, X$62)</f>
        <v>0</v>
      </c>
    </row>
    <row r="72" spans="2:25">
      <c r="B72" s="318" t="s">
        <v>182</v>
      </c>
      <c r="C72" s="402">
        <f>SUM(C63:C71)</f>
        <v>62</v>
      </c>
      <c r="D72" s="386">
        <f>SUM(D63:D71)</f>
        <v>12</v>
      </c>
      <c r="E72" s="387">
        <f>SUM(E63:E71)</f>
        <v>12</v>
      </c>
      <c r="F72" s="404">
        <f>SUM(F63:F71)</f>
        <v>2</v>
      </c>
      <c r="H72" s="163" t="s">
        <v>194</v>
      </c>
      <c r="I72" s="319">
        <f>COUNTIF(Logs!$C109:$O109, I$62)</f>
        <v>0</v>
      </c>
      <c r="J72" s="8">
        <f>COUNTIF(Logs!$C109:$O109, J$62)</f>
        <v>0</v>
      </c>
      <c r="K72" s="33">
        <f>COUNTIF(Logs!$C109:$O109, K$62)</f>
        <v>1</v>
      </c>
      <c r="L72" s="403">
        <f>COUNTIF(Logs!$C109:$O109, L$62)</f>
        <v>0</v>
      </c>
      <c r="N72" s="318" t="s">
        <v>182</v>
      </c>
      <c r="O72" s="402">
        <f>SUM(O63:O71)</f>
        <v>56</v>
      </c>
      <c r="P72" s="386">
        <f>SUM(P63:P71)</f>
        <v>12</v>
      </c>
      <c r="Q72" s="387">
        <f>SUM(Q63:Q71)</f>
        <v>13</v>
      </c>
      <c r="R72" s="404">
        <f>SUM(R63:R71)</f>
        <v>2</v>
      </c>
      <c r="T72" s="163" t="s">
        <v>194</v>
      </c>
      <c r="U72" s="319">
        <f>COUNTIF(Logs!$C148:$O148, U$62)</f>
        <v>3</v>
      </c>
      <c r="V72" s="8">
        <f>COUNTIF(Logs!$C148:$O148, V$62)</f>
        <v>0</v>
      </c>
      <c r="W72" s="33">
        <f>COUNTIF(Logs!$C148:$O148, W$62)</f>
        <v>0</v>
      </c>
      <c r="X72" s="403">
        <f>COUNTIF(Logs!$C148:$O148, X$62)</f>
        <v>0</v>
      </c>
    </row>
    <row r="73" spans="2:25">
      <c r="H73" s="163" t="s">
        <v>1637</v>
      </c>
      <c r="I73" s="319">
        <f>COUNTIF(Logs!$C110:$O110, I$62)</f>
        <v>1</v>
      </c>
      <c r="J73" s="8">
        <f>COUNTIF(Logs!$C110:$O110, J$62)</f>
        <v>0</v>
      </c>
      <c r="K73" s="33">
        <f>COUNTIF(Logs!$C110:$O110, K$62)</f>
        <v>0</v>
      </c>
      <c r="L73" s="403">
        <f>COUNTIF(Logs!$C110:$O110, L$62)</f>
        <v>0</v>
      </c>
      <c r="T73" s="163" t="s">
        <v>1637</v>
      </c>
      <c r="U73" s="319">
        <f>COUNTIF(Logs!$C149:$O149, U$62)</f>
        <v>1</v>
      </c>
      <c r="V73" s="8">
        <f>COUNTIF(Logs!$C149:$O149, V$62)</f>
        <v>0</v>
      </c>
      <c r="W73" s="33">
        <f>COUNTIF(Logs!$C149:$O149, W$62)</f>
        <v>0</v>
      </c>
      <c r="X73" s="403">
        <f>COUNTIF(Logs!$C149:$O149, X$62)</f>
        <v>0</v>
      </c>
    </row>
    <row r="74" spans="2:25">
      <c r="H74" s="163" t="s">
        <v>1638</v>
      </c>
      <c r="I74" s="319">
        <f>COUNTIF(Logs!$C111:$O111, I$62)</f>
        <v>0</v>
      </c>
      <c r="J74" s="8">
        <f>COUNTIF(Logs!$C111:$O111, J$62)</f>
        <v>1</v>
      </c>
      <c r="K74" s="33">
        <f>COUNTIF(Logs!$C111:$O111, K$62)</f>
        <v>0</v>
      </c>
      <c r="L74" s="403">
        <f>COUNTIF(Logs!$C111:$O111, L$62)</f>
        <v>0</v>
      </c>
      <c r="T74" s="163" t="s">
        <v>1638</v>
      </c>
      <c r="U74" s="319">
        <f>COUNTIF(Logs!$C150:$O150, U$62)</f>
        <v>0</v>
      </c>
      <c r="V74" s="8">
        <f>COUNTIF(Logs!$C150:$O150, V$62)</f>
        <v>1</v>
      </c>
      <c r="W74" s="33">
        <f>COUNTIF(Logs!$C150:$O150, W$62)</f>
        <v>0</v>
      </c>
      <c r="X74" s="403">
        <f>COUNTIF(Logs!$C150:$O150, X$62)</f>
        <v>0</v>
      </c>
    </row>
    <row r="75" spans="2:25">
      <c r="H75" s="163" t="s">
        <v>1639</v>
      </c>
      <c r="I75" s="319">
        <f>COUNTIF(Logs!$C112:$O112, I$62)</f>
        <v>1</v>
      </c>
      <c r="J75" s="8">
        <f>COUNTIF(Logs!$C112:$O112, J$62)</f>
        <v>0</v>
      </c>
      <c r="K75" s="33">
        <f>COUNTIF(Logs!$C112:$O112, K$62)</f>
        <v>0</v>
      </c>
      <c r="L75" s="403">
        <f>COUNTIF(Logs!$C112:$O112, L$62)</f>
        <v>0</v>
      </c>
      <c r="T75" s="318" t="s">
        <v>182</v>
      </c>
      <c r="U75" s="402">
        <f>SUM(U63:U74)</f>
        <v>66</v>
      </c>
      <c r="V75" s="386">
        <f>SUM(V63:V74)</f>
        <v>12</v>
      </c>
      <c r="W75" s="387">
        <f>SUM(W63:W74)</f>
        <v>13</v>
      </c>
      <c r="X75" s="404">
        <f>SUM(X63:X74)</f>
        <v>1</v>
      </c>
      <c r="Y75" s="405"/>
    </row>
    <row r="76" spans="2:25">
      <c r="H76" s="318" t="s">
        <v>182</v>
      </c>
      <c r="I76" s="402">
        <f>SUM(I63:I75)</f>
        <v>66</v>
      </c>
      <c r="J76" s="386">
        <f>SUM(J63:J75)</f>
        <v>12</v>
      </c>
      <c r="K76" s="387">
        <f>SUM(K63:K75)</f>
        <v>13</v>
      </c>
      <c r="L76" s="404">
        <f>SUM(L63:L75)</f>
        <v>2</v>
      </c>
    </row>
    <row r="78" spans="2:25">
      <c r="B78" s="57" t="s">
        <v>134</v>
      </c>
      <c r="H78" s="57" t="s">
        <v>135</v>
      </c>
      <c r="N78" s="57" t="s">
        <v>136</v>
      </c>
      <c r="T78" s="57" t="s">
        <v>137</v>
      </c>
    </row>
    <row r="79" spans="2:25">
      <c r="B79" s="292" t="s">
        <v>1635</v>
      </c>
      <c r="C79" s="308" t="s">
        <v>12</v>
      </c>
      <c r="D79" s="309" t="s">
        <v>14</v>
      </c>
      <c r="E79" s="310" t="s">
        <v>13</v>
      </c>
      <c r="F79" s="311" t="s">
        <v>71</v>
      </c>
      <c r="H79" s="292" t="s">
        <v>1635</v>
      </c>
      <c r="I79" s="308" t="s">
        <v>12</v>
      </c>
      <c r="J79" s="309" t="s">
        <v>14</v>
      </c>
      <c r="K79" s="310" t="s">
        <v>13</v>
      </c>
      <c r="L79" s="311" t="s">
        <v>71</v>
      </c>
      <c r="N79" s="292" t="s">
        <v>1635</v>
      </c>
      <c r="O79" s="308" t="s">
        <v>12</v>
      </c>
      <c r="P79" s="309" t="s">
        <v>14</v>
      </c>
      <c r="Q79" s="310" t="s">
        <v>13</v>
      </c>
      <c r="R79" s="311" t="s">
        <v>71</v>
      </c>
      <c r="T79" s="292" t="s">
        <v>1635</v>
      </c>
      <c r="U79" s="308" t="s">
        <v>12</v>
      </c>
      <c r="V79" s="309" t="s">
        <v>14</v>
      </c>
      <c r="W79" s="310" t="s">
        <v>13</v>
      </c>
      <c r="X79" s="311" t="s">
        <v>71</v>
      </c>
      <c r="Y79" s="312" t="s">
        <v>49</v>
      </c>
    </row>
    <row r="80" spans="2:25">
      <c r="B80" s="163" t="s">
        <v>185</v>
      </c>
      <c r="C80" s="319">
        <f>COUNTIF(Logs!$C159:$O159, C$79)</f>
        <v>13</v>
      </c>
      <c r="D80" s="8">
        <f>COUNTIF(Logs!$C159:$O159, D$79)</f>
        <v>0</v>
      </c>
      <c r="E80" s="33">
        <f>COUNTIF(Logs!$C159:$O159, E$79)</f>
        <v>0</v>
      </c>
      <c r="F80" s="403">
        <f>COUNTIF(Logs!$C159:$O159, F$79)</f>
        <v>0</v>
      </c>
      <c r="H80" s="163" t="s">
        <v>185</v>
      </c>
      <c r="I80" s="319">
        <f>COUNTIF(Logs!$C177:$O177, I$62)</f>
        <v>12</v>
      </c>
      <c r="J80" s="8">
        <f>COUNTIF(Logs!$C177:$O177, J$62)</f>
        <v>0</v>
      </c>
      <c r="K80" s="33">
        <f>COUNTIF(Logs!$C177:$O177, K$62)</f>
        <v>0</v>
      </c>
      <c r="L80" s="403">
        <f>COUNTIF(Logs!$C177:$O177, L$62)</f>
        <v>0</v>
      </c>
      <c r="N80" s="163" t="s">
        <v>185</v>
      </c>
      <c r="O80" s="319">
        <f>COUNTIF(Logs!$C198:$O198, O$79)</f>
        <v>13</v>
      </c>
      <c r="P80" s="8">
        <f>COUNTIF(Logs!$C198:$O198, P$79)</f>
        <v>0</v>
      </c>
      <c r="Q80" s="33">
        <f>COUNTIF(Logs!$C198:$O198, Q$79)</f>
        <v>0</v>
      </c>
      <c r="R80" s="403">
        <f>COUNTIF(Logs!$C198:$O198, R$79)</f>
        <v>0</v>
      </c>
      <c r="T80" s="163" t="s">
        <v>185</v>
      </c>
      <c r="U80" s="319">
        <f>COUNTIF(Logs!$C215:$O215, U$79)</f>
        <v>11</v>
      </c>
      <c r="V80" s="8">
        <f>COUNTIF(Logs!$C215:$O215, V$79)</f>
        <v>0</v>
      </c>
      <c r="W80" s="33">
        <f>COUNTIF(Logs!$C215:$O215, W$79)</f>
        <v>0</v>
      </c>
      <c r="X80" s="403">
        <f>COUNTIF(Logs!$C215:$O215, X$79)</f>
        <v>0</v>
      </c>
      <c r="Y80" s="329">
        <f>COUNTIF(Logs!$C215:$O215, Y$79)</f>
        <v>0</v>
      </c>
    </row>
    <row r="81" spans="2:28">
      <c r="B81" s="163" t="s">
        <v>186</v>
      </c>
      <c r="C81" s="319">
        <f>COUNTIF(Logs!$C160:$O160, C$79)</f>
        <v>11</v>
      </c>
      <c r="D81" s="8">
        <f>COUNTIF(Logs!$C160:$O160, D$79)</f>
        <v>1</v>
      </c>
      <c r="E81" s="33">
        <f>COUNTIF(Logs!$C160:$O160, E$79)</f>
        <v>0</v>
      </c>
      <c r="F81" s="403">
        <f>COUNTIF(Logs!$C160:$O160, F$79)</f>
        <v>1</v>
      </c>
      <c r="H81" s="163" t="s">
        <v>186</v>
      </c>
      <c r="I81" s="319">
        <f>COUNTIF(Logs!$C178:$O178, I$62)</f>
        <v>8</v>
      </c>
      <c r="J81" s="8">
        <f>COUNTIF(Logs!$C178:$O178, J$62)</f>
        <v>2</v>
      </c>
      <c r="K81" s="33">
        <f>COUNTIF(Logs!$C178:$O178, K$62)</f>
        <v>0</v>
      </c>
      <c r="L81" s="403">
        <f>COUNTIF(Logs!$C178:$O178, L$62)</f>
        <v>2</v>
      </c>
      <c r="N81" s="163" t="s">
        <v>186</v>
      </c>
      <c r="O81" s="319">
        <f>COUNTIF(Logs!$C199:$O199, O$79)</f>
        <v>6</v>
      </c>
      <c r="P81" s="8">
        <f>COUNTIF(Logs!$C199:$O199, P$79)</f>
        <v>1</v>
      </c>
      <c r="Q81" s="33">
        <f>COUNTIF(Logs!$C199:$O199, Q$79)</f>
        <v>5</v>
      </c>
      <c r="R81" s="403">
        <f>COUNTIF(Logs!$C199:$O199, R$79)</f>
        <v>1</v>
      </c>
      <c r="T81" s="163" t="s">
        <v>186</v>
      </c>
      <c r="U81" s="319">
        <f>COUNTIF(Logs!$C216:$O216, U$79)</f>
        <v>8</v>
      </c>
      <c r="V81" s="8">
        <f>COUNTIF(Logs!$C216:$O216, V$79)</f>
        <v>2</v>
      </c>
      <c r="W81" s="33">
        <f>COUNTIF(Logs!$C216:$O216, W$79)</f>
        <v>1</v>
      </c>
      <c r="X81" s="403">
        <f>COUNTIF(Logs!$C216:$O216, X$79)</f>
        <v>0</v>
      </c>
      <c r="Y81" s="329">
        <f>COUNTIF(Logs!$C216:$O216, Y$79)</f>
        <v>0</v>
      </c>
    </row>
    <row r="82" spans="2:28">
      <c r="B82" s="163" t="s">
        <v>187</v>
      </c>
      <c r="C82" s="319">
        <f>COUNTIF(Logs!$C161:$O161, C$79)</f>
        <v>5</v>
      </c>
      <c r="D82" s="8">
        <f>COUNTIF(Logs!$C161:$O161, D$79)</f>
        <v>2</v>
      </c>
      <c r="E82" s="33">
        <f>COUNTIF(Logs!$C161:$O161, E$79)</f>
        <v>6</v>
      </c>
      <c r="F82" s="403">
        <f>COUNTIF(Logs!$C161:$O161, F$79)</f>
        <v>0</v>
      </c>
      <c r="H82" s="163" t="s">
        <v>187</v>
      </c>
      <c r="I82" s="319">
        <f>COUNTIF(Logs!$C179:$O179, I$62)</f>
        <v>4</v>
      </c>
      <c r="J82" s="8">
        <f>COUNTIF(Logs!$C179:$O179, J$62)</f>
        <v>4</v>
      </c>
      <c r="K82" s="33">
        <f>COUNTIF(Logs!$C179:$O179, K$62)</f>
        <v>4</v>
      </c>
      <c r="L82" s="403">
        <f>COUNTIF(Logs!$C179:$O179, L$62)</f>
        <v>0</v>
      </c>
      <c r="N82" s="163" t="s">
        <v>187</v>
      </c>
      <c r="O82" s="319">
        <f>COUNTIF(Logs!$C200:$O200, O$79)</f>
        <v>7</v>
      </c>
      <c r="P82" s="8">
        <f>COUNTIF(Logs!$C200:$O200, P$79)</f>
        <v>3</v>
      </c>
      <c r="Q82" s="33">
        <f>COUNTIF(Logs!$C200:$O200, Q$79)</f>
        <v>2</v>
      </c>
      <c r="R82" s="403">
        <f>COUNTIF(Logs!$C200:$O200, R$79)</f>
        <v>1</v>
      </c>
      <c r="T82" s="163" t="s">
        <v>187</v>
      </c>
      <c r="U82" s="319">
        <f>COUNTIF(Logs!$C217:$O217, U$79)</f>
        <v>4</v>
      </c>
      <c r="V82" s="8">
        <f>COUNTIF(Logs!$C217:$O217, V$79)</f>
        <v>3</v>
      </c>
      <c r="W82" s="33">
        <f>COUNTIF(Logs!$C217:$O217, W$79)</f>
        <v>2</v>
      </c>
      <c r="X82" s="403">
        <f>COUNTIF(Logs!$C217:$O217, X$79)</f>
        <v>1</v>
      </c>
      <c r="Y82" s="329">
        <f>COUNTIF(Logs!$C217:$O217, Y$79)</f>
        <v>1</v>
      </c>
    </row>
    <row r="83" spans="2:28">
      <c r="B83" s="163" t="s">
        <v>188</v>
      </c>
      <c r="C83" s="319">
        <f>COUNTIF(Logs!$C162:$O162, C$79)</f>
        <v>8</v>
      </c>
      <c r="D83" s="8">
        <f>COUNTIF(Logs!$C162:$O162, D$79)</f>
        <v>2</v>
      </c>
      <c r="E83" s="33">
        <f>COUNTIF(Logs!$C162:$O162, E$79)</f>
        <v>2</v>
      </c>
      <c r="F83" s="403">
        <f>COUNTIF(Logs!$C162:$O162, F$79)</f>
        <v>1</v>
      </c>
      <c r="H83" s="163" t="s">
        <v>188</v>
      </c>
      <c r="I83" s="319">
        <f>COUNTIF(Logs!$C180:$O180, I$62)</f>
        <v>9</v>
      </c>
      <c r="J83" s="8">
        <f>COUNTIF(Logs!$C180:$O180, J$62)</f>
        <v>2</v>
      </c>
      <c r="K83" s="33">
        <f>COUNTIF(Logs!$C180:$O180, K$62)</f>
        <v>1</v>
      </c>
      <c r="L83" s="403">
        <f>COUNTIF(Logs!$C180:$O180, L$62)</f>
        <v>0</v>
      </c>
      <c r="N83" s="163" t="s">
        <v>188</v>
      </c>
      <c r="O83" s="319">
        <f>COUNTIF(Logs!$C201:$O201, O$79)</f>
        <v>7</v>
      </c>
      <c r="P83" s="8">
        <f>COUNTIF(Logs!$C201:$O201, P$79)</f>
        <v>3</v>
      </c>
      <c r="Q83" s="33">
        <f>COUNTIF(Logs!$C201:$O201, Q$79)</f>
        <v>3</v>
      </c>
      <c r="R83" s="403">
        <f>COUNTIF(Logs!$C201:$O201, R$79)</f>
        <v>0</v>
      </c>
      <c r="T83" s="163" t="s">
        <v>188</v>
      </c>
      <c r="U83" s="319">
        <f>COUNTIF(Logs!$C218:$O218, U$79)</f>
        <v>6</v>
      </c>
      <c r="V83" s="8">
        <f>COUNTIF(Logs!$C218:$O218, V$79)</f>
        <v>3</v>
      </c>
      <c r="W83" s="33">
        <f>COUNTIF(Logs!$C218:$O218, W$79)</f>
        <v>2</v>
      </c>
      <c r="X83" s="403">
        <f>COUNTIF(Logs!$C218:$O218, X$79)</f>
        <v>0</v>
      </c>
      <c r="Y83" s="329">
        <f>COUNTIF(Logs!$C218:$O218, Y$79)</f>
        <v>0</v>
      </c>
    </row>
    <row r="84" spans="2:28">
      <c r="B84" s="163" t="s">
        <v>189</v>
      </c>
      <c r="C84" s="319">
        <f>COUNTIF(Logs!$C163:$O163, C$79)</f>
        <v>7</v>
      </c>
      <c r="D84" s="8">
        <f>COUNTIF(Logs!$C163:$O163, D$79)</f>
        <v>4</v>
      </c>
      <c r="E84" s="33">
        <f>COUNTIF(Logs!$C163:$O163, E$79)</f>
        <v>2</v>
      </c>
      <c r="F84" s="403">
        <f>COUNTIF(Logs!$C163:$O163, F$79)</f>
        <v>0</v>
      </c>
      <c r="H84" s="163" t="s">
        <v>189</v>
      </c>
      <c r="I84" s="319">
        <f>COUNTIF(Logs!$C181:$O181, I$62)</f>
        <v>3</v>
      </c>
      <c r="J84" s="8">
        <f>COUNTIF(Logs!$C181:$O181, J$62)</f>
        <v>4</v>
      </c>
      <c r="K84" s="33">
        <f>COUNTIF(Logs!$C181:$O181, K$62)</f>
        <v>5</v>
      </c>
      <c r="L84" s="403">
        <f>COUNTIF(Logs!$C181:$O181, L$62)</f>
        <v>0</v>
      </c>
      <c r="N84" s="163" t="s">
        <v>189</v>
      </c>
      <c r="O84" s="319">
        <f>COUNTIF(Logs!$C202:$O202, O$79)</f>
        <v>6</v>
      </c>
      <c r="P84" s="8">
        <f>COUNTIF(Logs!$C202:$O202, P$79)</f>
        <v>4</v>
      </c>
      <c r="Q84" s="33">
        <f>COUNTIF(Logs!$C202:$O202, Q$79)</f>
        <v>3</v>
      </c>
      <c r="R84" s="403">
        <f>COUNTIF(Logs!$C202:$O202, R$79)</f>
        <v>0</v>
      </c>
      <c r="T84" s="163" t="s">
        <v>189</v>
      </c>
      <c r="U84" s="319">
        <f>COUNTIF(Logs!$C219:$O219, U$79)</f>
        <v>7</v>
      </c>
      <c r="V84" s="8">
        <f>COUNTIF(Logs!$C219:$O219, V$79)</f>
        <v>0</v>
      </c>
      <c r="W84" s="33">
        <f>COUNTIF(Logs!$C219:$O219, W$79)</f>
        <v>3</v>
      </c>
      <c r="X84" s="403">
        <f>COUNTIF(Logs!$C219:$O219, X$79)</f>
        <v>0</v>
      </c>
      <c r="Y84" s="329">
        <f>COUNTIF(Logs!$C219:$O219, Y$79)</f>
        <v>1</v>
      </c>
    </row>
    <row r="85" spans="2:28">
      <c r="B85" s="163" t="s">
        <v>190</v>
      </c>
      <c r="C85" s="319">
        <f>COUNTIF(Logs!$C164:$O164, C$79)</f>
        <v>8</v>
      </c>
      <c r="D85" s="8">
        <f>COUNTIF(Logs!$C164:$O164, D$79)</f>
        <v>1</v>
      </c>
      <c r="E85" s="33">
        <f>COUNTIF(Logs!$C164:$O164, E$79)</f>
        <v>2</v>
      </c>
      <c r="F85" s="403">
        <f>COUNTIF(Logs!$C164:$O164, F$79)</f>
        <v>0</v>
      </c>
      <c r="H85" s="163" t="s">
        <v>190</v>
      </c>
      <c r="I85" s="319">
        <f>COUNTIF(Logs!$C182:$O182, I$62)</f>
        <v>7</v>
      </c>
      <c r="J85" s="8">
        <f>COUNTIF(Logs!$C182:$O182, J$62)</f>
        <v>0</v>
      </c>
      <c r="K85" s="33">
        <f>COUNTIF(Logs!$C182:$O182, K$62)</f>
        <v>2</v>
      </c>
      <c r="L85" s="403">
        <f>COUNTIF(Logs!$C182:$O182, L$62)</f>
        <v>0</v>
      </c>
      <c r="N85" s="163" t="s">
        <v>190</v>
      </c>
      <c r="O85" s="319">
        <f>COUNTIF(Logs!$C203:$O203, O$79)</f>
        <v>7</v>
      </c>
      <c r="P85" s="8">
        <f>COUNTIF(Logs!$C203:$O203, P$79)</f>
        <v>1</v>
      </c>
      <c r="Q85" s="33">
        <f>COUNTIF(Logs!$C203:$O203, Q$79)</f>
        <v>0</v>
      </c>
      <c r="R85" s="403">
        <f>COUNTIF(Logs!$C203:$O203, R$79)</f>
        <v>0</v>
      </c>
      <c r="T85" s="163" t="s">
        <v>190</v>
      </c>
      <c r="U85" s="319">
        <f>COUNTIF(Logs!$C220:$O220, U$79)</f>
        <v>5</v>
      </c>
      <c r="V85" s="8">
        <f>COUNTIF(Logs!$C220:$O220, V$79)</f>
        <v>2</v>
      </c>
      <c r="W85" s="33">
        <f>COUNTIF(Logs!$C220:$O220, W$79)</f>
        <v>1</v>
      </c>
      <c r="X85" s="403">
        <f>COUNTIF(Logs!$C220:$O220, X$79)</f>
        <v>0</v>
      </c>
      <c r="Y85" s="329">
        <f>COUNTIF(Logs!$C220:$O220, Y$79)</f>
        <v>0</v>
      </c>
    </row>
    <row r="86" spans="2:28">
      <c r="B86" s="163" t="s">
        <v>191</v>
      </c>
      <c r="C86" s="319">
        <f>COUNTIF(Logs!$C165:$O165, C$79)</f>
        <v>2</v>
      </c>
      <c r="D86" s="8">
        <f>COUNTIF(Logs!$C165:$O165, D$79)</f>
        <v>2</v>
      </c>
      <c r="E86" s="33">
        <f>COUNTIF(Logs!$C165:$O165, E$79)</f>
        <v>1</v>
      </c>
      <c r="F86" s="403">
        <f>COUNTIF(Logs!$C165:$O165, F$79)</f>
        <v>0</v>
      </c>
      <c r="H86" s="163" t="s">
        <v>191</v>
      </c>
      <c r="I86" s="319">
        <f>COUNTIF(Logs!$C183:$O183, I$62)</f>
        <v>3</v>
      </c>
      <c r="J86" s="8">
        <f>COUNTIF(Logs!$C183:$O183, J$62)</f>
        <v>0</v>
      </c>
      <c r="K86" s="33">
        <f>COUNTIF(Logs!$C183:$O183, K$62)</f>
        <v>0</v>
      </c>
      <c r="L86" s="403">
        <f>COUNTIF(Logs!$C183:$O183, L$62)</f>
        <v>0</v>
      </c>
      <c r="N86" s="163" t="s">
        <v>191</v>
      </c>
      <c r="O86" s="319">
        <f>COUNTIF(Logs!$C204:$O204, O$79)</f>
        <v>3</v>
      </c>
      <c r="P86" s="8">
        <f>COUNTIF(Logs!$C204:$O204, P$79)</f>
        <v>0</v>
      </c>
      <c r="Q86" s="33">
        <f>COUNTIF(Logs!$C204:$O204, Q$79)</f>
        <v>0</v>
      </c>
      <c r="R86" s="403">
        <f>COUNTIF(Logs!$C204:$O204, R$79)</f>
        <v>0</v>
      </c>
      <c r="T86" s="163" t="s">
        <v>191</v>
      </c>
      <c r="U86" s="319">
        <f>COUNTIF(Logs!$C221:$O221, U$79)</f>
        <v>4</v>
      </c>
      <c r="V86" s="8">
        <f>COUNTIF(Logs!$C221:$O221, V$79)</f>
        <v>1</v>
      </c>
      <c r="W86" s="33">
        <f>COUNTIF(Logs!$C221:$O221, W$79)</f>
        <v>0</v>
      </c>
      <c r="X86" s="403">
        <f>COUNTIF(Logs!$C221:$O221, X$79)</f>
        <v>0</v>
      </c>
      <c r="Y86" s="329">
        <f>COUNTIF(Logs!$C221:$O221, Y$79)</f>
        <v>0</v>
      </c>
    </row>
    <row r="87" spans="2:28">
      <c r="B87" s="163" t="s">
        <v>192</v>
      </c>
      <c r="C87" s="319">
        <f>COUNTIF(Logs!$C166:$O166, C$79)</f>
        <v>2</v>
      </c>
      <c r="D87" s="8">
        <f>COUNTIF(Logs!$C166:$O166, D$79)</f>
        <v>0</v>
      </c>
      <c r="E87" s="33">
        <f>COUNTIF(Logs!$C166:$O166, E$79)</f>
        <v>0</v>
      </c>
      <c r="F87" s="403">
        <f>COUNTIF(Logs!$C166:$O166, F$79)</f>
        <v>0</v>
      </c>
      <c r="H87" s="163" t="s">
        <v>192</v>
      </c>
      <c r="I87" s="319">
        <f>COUNTIF(Logs!$C184:$O184, I$62)</f>
        <v>2</v>
      </c>
      <c r="J87" s="8">
        <f>COUNTIF(Logs!$C184:$O184, J$62)</f>
        <v>0</v>
      </c>
      <c r="K87" s="33">
        <f>COUNTIF(Logs!$C184:$O184, K$62)</f>
        <v>0</v>
      </c>
      <c r="L87" s="403">
        <f>COUNTIF(Logs!$C184:$O184, L$62)</f>
        <v>0</v>
      </c>
      <c r="N87" s="163" t="s">
        <v>192</v>
      </c>
      <c r="O87" s="319">
        <f>COUNTIF(Logs!$C205:$O205, O$79)</f>
        <v>1</v>
      </c>
      <c r="P87" s="8">
        <f>COUNTIF(Logs!$C205:$O205, P$79)</f>
        <v>0</v>
      </c>
      <c r="Q87" s="33">
        <f>COUNTIF(Logs!$C205:$O205, Q$79)</f>
        <v>0</v>
      </c>
      <c r="R87" s="403">
        <f>COUNTIF(Logs!$C205:$O205, R$79)</f>
        <v>0</v>
      </c>
      <c r="T87" s="163" t="s">
        <v>192</v>
      </c>
      <c r="U87" s="319">
        <f>COUNTIF(Logs!$C222:$O222, U$79)</f>
        <v>2</v>
      </c>
      <c r="V87" s="8">
        <f>COUNTIF(Logs!$C222:$O222, V$79)</f>
        <v>0</v>
      </c>
      <c r="W87" s="33">
        <f>COUNTIF(Logs!$C222:$O222, W$79)</f>
        <v>1</v>
      </c>
      <c r="X87" s="403">
        <f>COUNTIF(Logs!$C222:$O222, X$79)</f>
        <v>0</v>
      </c>
      <c r="Y87" s="329">
        <f>COUNTIF(Logs!$C222:$O222, Y$79)</f>
        <v>0</v>
      </c>
    </row>
    <row r="88" spans="2:28">
      <c r="B88" s="318" t="s">
        <v>182</v>
      </c>
      <c r="C88" s="402">
        <f>SUM(C80:C87)</f>
        <v>56</v>
      </c>
      <c r="D88" s="386">
        <f>SUM(D80:D87)</f>
        <v>12</v>
      </c>
      <c r="E88" s="387">
        <f>SUM(E80:E87)</f>
        <v>13</v>
      </c>
      <c r="F88" s="404">
        <f>SUM(F80:F87)</f>
        <v>2</v>
      </c>
      <c r="H88" s="163" t="s">
        <v>193</v>
      </c>
      <c r="I88" s="319">
        <f>COUNTIF(Logs!$C185:$O185, I$62)</f>
        <v>2</v>
      </c>
      <c r="J88" s="8">
        <f>COUNTIF(Logs!$C185:$O185, J$62)</f>
        <v>0</v>
      </c>
      <c r="K88" s="33">
        <f>COUNTIF(Logs!$C185:$O185, K$62)</f>
        <v>0</v>
      </c>
      <c r="L88" s="403">
        <f>COUNTIF(Logs!$C185:$O185, L$62)</f>
        <v>0</v>
      </c>
      <c r="N88" s="318" t="s">
        <v>182</v>
      </c>
      <c r="O88" s="402">
        <f>SUM(O80:O87)</f>
        <v>50</v>
      </c>
      <c r="P88" s="386">
        <f>SUM(P80:P87)</f>
        <v>12</v>
      </c>
      <c r="Q88" s="387">
        <f>SUM(Q80:Q87)</f>
        <v>13</v>
      </c>
      <c r="R88" s="404">
        <f>SUM(R80:R87)</f>
        <v>2</v>
      </c>
      <c r="T88" s="163" t="s">
        <v>193</v>
      </c>
      <c r="U88" s="319">
        <f>COUNTIF(Logs!$C223:$O223, U$79)</f>
        <v>2</v>
      </c>
      <c r="V88" s="8">
        <f>COUNTIF(Logs!$C223:$O223, V$79)</f>
        <v>0</v>
      </c>
      <c r="W88" s="33">
        <f>COUNTIF(Logs!$C223:$O223, W$79)</f>
        <v>0</v>
      </c>
      <c r="X88" s="403">
        <f>COUNTIF(Logs!$C223:$O223, X$79)</f>
        <v>0</v>
      </c>
      <c r="Y88" s="329">
        <f>COUNTIF(Logs!$C223:$O223, Y$79)</f>
        <v>0</v>
      </c>
    </row>
    <row r="89" spans="2:28">
      <c r="H89" s="163" t="s">
        <v>194</v>
      </c>
      <c r="I89" s="319">
        <f>COUNTIF(Logs!$C186:$O186, I$62)</f>
        <v>0</v>
      </c>
      <c r="J89" s="8">
        <f>COUNTIF(Logs!$C186:$O186, J$62)</f>
        <v>1</v>
      </c>
      <c r="K89" s="33">
        <f>COUNTIF(Logs!$C186:$O186, K$62)</f>
        <v>0</v>
      </c>
      <c r="L89" s="403">
        <f>COUNTIF(Logs!$C186:$O186, L$62)</f>
        <v>0</v>
      </c>
      <c r="T89" s="318" t="s">
        <v>182</v>
      </c>
      <c r="U89" s="402">
        <f>SUM(U80:U88)</f>
        <v>49</v>
      </c>
      <c r="V89" s="386">
        <f>SUM(V80:V88)</f>
        <v>11</v>
      </c>
      <c r="W89" s="387">
        <f>SUM(W80:W88)</f>
        <v>10</v>
      </c>
      <c r="X89" s="404">
        <f>SUM(X80:X88)</f>
        <v>1</v>
      </c>
      <c r="Y89" s="406">
        <f>SUM(Y80:Y88)</f>
        <v>2</v>
      </c>
    </row>
    <row r="90" spans="2:28">
      <c r="H90" s="163" t="s">
        <v>1637</v>
      </c>
      <c r="I90" s="319">
        <f>COUNTIF(Logs!$C187:$O187, I$62)</f>
        <v>1</v>
      </c>
      <c r="J90" s="8">
        <f>COUNTIF(Logs!$C187:$O187, J$62)</f>
        <v>0</v>
      </c>
      <c r="K90" s="33">
        <f>COUNTIF(Logs!$C187:$O187, K$62)</f>
        <v>0</v>
      </c>
      <c r="L90" s="403">
        <f>COUNTIF(Logs!$C187:$O187, L$62)</f>
        <v>0</v>
      </c>
    </row>
    <row r="91" spans="2:28">
      <c r="H91" s="163" t="s">
        <v>1638</v>
      </c>
      <c r="I91" s="319">
        <f>COUNTIF(Logs!$C188:$O188, I$62)</f>
        <v>0</v>
      </c>
      <c r="J91" s="8">
        <f>COUNTIF(Logs!$C188:$O188, J$62)</f>
        <v>0</v>
      </c>
      <c r="K91" s="33">
        <f>COUNTIF(Logs!$C188:$O188, K$62)</f>
        <v>1</v>
      </c>
      <c r="L91" s="403">
        <f>COUNTIF(Logs!$C188:$O188, L$62)</f>
        <v>0</v>
      </c>
    </row>
    <row r="92" spans="2:28">
      <c r="H92" s="163" t="s">
        <v>1639</v>
      </c>
      <c r="I92" s="319">
        <f>COUNTIF(Logs!$C189:$O189, I$62)</f>
        <v>1</v>
      </c>
      <c r="J92" s="8">
        <f>COUNTIF(Logs!$C189:$O189, J$62)</f>
        <v>0</v>
      </c>
      <c r="K92" s="33">
        <f>COUNTIF(Logs!$C189:$O189, K$62)</f>
        <v>0</v>
      </c>
      <c r="L92" s="403">
        <f>COUNTIF(Logs!$C189:$O189, L$62)</f>
        <v>0</v>
      </c>
    </row>
    <row r="93" spans="2:28">
      <c r="H93" s="318" t="s">
        <v>182</v>
      </c>
      <c r="I93" s="402">
        <f>SUM(I80:I92)</f>
        <v>52</v>
      </c>
      <c r="J93" s="386">
        <f>SUM(J80:J92)</f>
        <v>13</v>
      </c>
      <c r="K93" s="387">
        <f>SUM(K80:K92)</f>
        <v>13</v>
      </c>
      <c r="L93" s="404">
        <f>SUM(L80:L92)</f>
        <v>2</v>
      </c>
    </row>
    <row r="95" spans="2:28">
      <c r="B95" s="57" t="s">
        <v>138</v>
      </c>
      <c r="I95" s="57" t="s">
        <v>139</v>
      </c>
      <c r="P95" s="57" t="s">
        <v>140</v>
      </c>
      <c r="W95" s="57" t="s">
        <v>141</v>
      </c>
    </row>
    <row r="96" spans="2:28">
      <c r="B96" s="292" t="s">
        <v>1635</v>
      </c>
      <c r="C96" s="308" t="s">
        <v>12</v>
      </c>
      <c r="D96" s="309" t="s">
        <v>14</v>
      </c>
      <c r="E96" s="310" t="s">
        <v>13</v>
      </c>
      <c r="F96" s="311" t="s">
        <v>71</v>
      </c>
      <c r="G96" s="312" t="s">
        <v>49</v>
      </c>
      <c r="I96" s="292" t="s">
        <v>1635</v>
      </c>
      <c r="J96" s="308" t="s">
        <v>12</v>
      </c>
      <c r="K96" s="309" t="s">
        <v>14</v>
      </c>
      <c r="L96" s="310" t="s">
        <v>13</v>
      </c>
      <c r="M96" s="311" t="s">
        <v>71</v>
      </c>
      <c r="N96" s="312" t="s">
        <v>49</v>
      </c>
      <c r="P96" s="292" t="s">
        <v>1635</v>
      </c>
      <c r="Q96" s="308" t="s">
        <v>12</v>
      </c>
      <c r="R96" s="309" t="s">
        <v>14</v>
      </c>
      <c r="S96" s="310" t="s">
        <v>13</v>
      </c>
      <c r="T96" s="311" t="s">
        <v>71</v>
      </c>
      <c r="U96" s="312" t="s">
        <v>49</v>
      </c>
      <c r="W96" s="292" t="s">
        <v>1635</v>
      </c>
      <c r="X96" s="308" t="s">
        <v>12</v>
      </c>
      <c r="Y96" s="309" t="s">
        <v>14</v>
      </c>
      <c r="Z96" s="310" t="s">
        <v>13</v>
      </c>
      <c r="AA96" s="311" t="s">
        <v>71</v>
      </c>
      <c r="AB96" s="312" t="s">
        <v>49</v>
      </c>
    </row>
    <row r="97" spans="2:28">
      <c r="B97" s="163" t="s">
        <v>185</v>
      </c>
      <c r="C97" s="319">
        <f>COUNTIF(Logs!$C233:$O233, C$96)</f>
        <v>11</v>
      </c>
      <c r="D97" s="8">
        <f>COUNTIF(Logs!$C233:$O233, D$96)</f>
        <v>0</v>
      </c>
      <c r="E97" s="33">
        <f>COUNTIF(Logs!$C233:$O233, E$96)</f>
        <v>0</v>
      </c>
      <c r="F97" s="403">
        <f>COUNTIF(Logs!$C233:$O233, F$96)</f>
        <v>0</v>
      </c>
      <c r="G97" s="329">
        <f>COUNTIF(Logs!$C233:$O233, G$96)</f>
        <v>0</v>
      </c>
      <c r="I97" s="163" t="s">
        <v>185</v>
      </c>
      <c r="J97" s="319">
        <f>COUNTIF(Logs!$C250:$O250, J$96)</f>
        <v>12</v>
      </c>
      <c r="K97" s="8">
        <f>COUNTIF(Logs!$C250:$O250, K$96)</f>
        <v>0</v>
      </c>
      <c r="L97" s="33">
        <f>COUNTIF(Logs!$C250:$O250, L$96)</f>
        <v>0</v>
      </c>
      <c r="M97" s="403">
        <f>COUNTIF(Logs!$C250:$O250, M$96)</f>
        <v>0</v>
      </c>
      <c r="N97" s="329">
        <f>COUNTIF(Logs!$C250:$O250, N$96)</f>
        <v>0</v>
      </c>
      <c r="P97" s="163" t="s">
        <v>185</v>
      </c>
      <c r="Q97" s="319">
        <f>COUNTIF(Logs!$C267:$O267, Q$96)</f>
        <v>12</v>
      </c>
      <c r="R97" s="8">
        <f>COUNTIF(Logs!$C267:$O267, R$96)</f>
        <v>0</v>
      </c>
      <c r="S97" s="33">
        <f>COUNTIF(Logs!$C267:$O267, S$96)</f>
        <v>0</v>
      </c>
      <c r="T97" s="403">
        <f>COUNTIF(Logs!$C267:$O267, T$96)</f>
        <v>0</v>
      </c>
      <c r="U97" s="329">
        <f>COUNTIF(Logs!$C267:$O267, U$96)</f>
        <v>0</v>
      </c>
      <c r="W97" s="163" t="s">
        <v>185</v>
      </c>
      <c r="X97" s="319">
        <f>COUNTIF(Logs!$C285:$O285, X$96)</f>
        <v>12</v>
      </c>
      <c r="Y97" s="8">
        <f>COUNTIF(Logs!$C285:$O285, Y$96)</f>
        <v>0</v>
      </c>
      <c r="Z97" s="33">
        <f>COUNTIF(Logs!$C285:$O285, Z$96)</f>
        <v>0</v>
      </c>
      <c r="AA97" s="403">
        <f>COUNTIF(Logs!$C285:$O285, AA$96)</f>
        <v>0</v>
      </c>
      <c r="AB97" s="329">
        <f>COUNTIF(Logs!$C285:$O285, AB$96)</f>
        <v>0</v>
      </c>
    </row>
    <row r="98" spans="2:28">
      <c r="B98" s="163" t="s">
        <v>186</v>
      </c>
      <c r="C98" s="319">
        <f>COUNTIF(Logs!$C234:$O234, C$96)</f>
        <v>6</v>
      </c>
      <c r="D98" s="8">
        <f>COUNTIF(Logs!$C234:$O234, D$96)</f>
        <v>3</v>
      </c>
      <c r="E98" s="33">
        <f>COUNTIF(Logs!$C234:$O234, E$96)</f>
        <v>1</v>
      </c>
      <c r="F98" s="403">
        <f>COUNTIF(Logs!$C234:$O234, F$96)</f>
        <v>1</v>
      </c>
      <c r="G98" s="329">
        <f>COUNTIF(Logs!$C234:$O234, G$96)</f>
        <v>0</v>
      </c>
      <c r="I98" s="163" t="s">
        <v>186</v>
      </c>
      <c r="J98" s="319">
        <f>COUNTIF(Logs!$C251:$O251, J$96)</f>
        <v>5</v>
      </c>
      <c r="K98" s="8">
        <f>COUNTIF(Logs!$C251:$O251, K$96)</f>
        <v>4</v>
      </c>
      <c r="L98" s="33">
        <f>COUNTIF(Logs!$C251:$O251, L$96)</f>
        <v>1</v>
      </c>
      <c r="M98" s="403">
        <f>COUNTIF(Logs!$C251:$O251, M$96)</f>
        <v>1</v>
      </c>
      <c r="N98" s="329">
        <f>COUNTIF(Logs!$C251:$O251, N$96)</f>
        <v>1</v>
      </c>
      <c r="P98" s="163" t="s">
        <v>186</v>
      </c>
      <c r="Q98" s="319">
        <f>COUNTIF(Logs!$C268:$O268, Q$96)</f>
        <v>6</v>
      </c>
      <c r="R98" s="8">
        <f>COUNTIF(Logs!$C268:$O268, R$96)</f>
        <v>3</v>
      </c>
      <c r="S98" s="33">
        <f>COUNTIF(Logs!$C268:$O268, S$96)</f>
        <v>0</v>
      </c>
      <c r="T98" s="403">
        <f>COUNTIF(Logs!$C268:$O268, T$96)</f>
        <v>1</v>
      </c>
      <c r="U98" s="329">
        <f>COUNTIF(Logs!$C268:$O268, U$96)</f>
        <v>2</v>
      </c>
      <c r="W98" s="163" t="s">
        <v>186</v>
      </c>
      <c r="X98" s="319">
        <f>COUNTIF(Logs!$C286:$O286, X$96)</f>
        <v>6</v>
      </c>
      <c r="Y98" s="8">
        <f>COUNTIF(Logs!$C286:$O286, Y$96)</f>
        <v>3</v>
      </c>
      <c r="Z98" s="33">
        <f>COUNTIF(Logs!$C286:$O286, Z$96)</f>
        <v>2</v>
      </c>
      <c r="AA98" s="403">
        <f>COUNTIF(Logs!$C286:$O286, AA$96)</f>
        <v>1</v>
      </c>
      <c r="AB98" s="329">
        <f>COUNTIF(Logs!$C286:$O286, AB$96)</f>
        <v>0</v>
      </c>
    </row>
    <row r="99" spans="2:28">
      <c r="B99" s="163" t="s">
        <v>187</v>
      </c>
      <c r="C99" s="319">
        <f>COUNTIF(Logs!$C235:$O235, C$96)</f>
        <v>6</v>
      </c>
      <c r="D99" s="8">
        <f>COUNTIF(Logs!$C235:$O235, D$96)</f>
        <v>1</v>
      </c>
      <c r="E99" s="33">
        <f>COUNTIF(Logs!$C235:$O235, E$96)</f>
        <v>3</v>
      </c>
      <c r="F99" s="403">
        <f>COUNTIF(Logs!$C235:$O235, F$96)</f>
        <v>1</v>
      </c>
      <c r="G99" s="329">
        <f>COUNTIF(Logs!$C235:$O235, G$96)</f>
        <v>0</v>
      </c>
      <c r="I99" s="163" t="s">
        <v>187</v>
      </c>
      <c r="J99" s="319">
        <f>COUNTIF(Logs!$C252:$O252, J$96)</f>
        <v>9</v>
      </c>
      <c r="K99" s="8">
        <f>COUNTIF(Logs!$C252:$O252, K$96)</f>
        <v>2</v>
      </c>
      <c r="L99" s="33">
        <f>COUNTIF(Logs!$C252:$O252, L$96)</f>
        <v>1</v>
      </c>
      <c r="M99" s="403">
        <f>COUNTIF(Logs!$C252:$O252, M$96)</f>
        <v>0</v>
      </c>
      <c r="N99" s="329">
        <f>COUNTIF(Logs!$C252:$O252, N$96)</f>
        <v>0</v>
      </c>
      <c r="P99" s="163" t="s">
        <v>187</v>
      </c>
      <c r="Q99" s="319">
        <f>COUNTIF(Logs!$C269:$O269, Q$96)</f>
        <v>6</v>
      </c>
      <c r="R99" s="8">
        <f>COUNTIF(Logs!$C269:$O269, R$96)</f>
        <v>3</v>
      </c>
      <c r="S99" s="33">
        <f>COUNTIF(Logs!$C269:$O269, S$96)</f>
        <v>3</v>
      </c>
      <c r="T99" s="403">
        <f>COUNTIF(Logs!$C269:$O269, T$96)</f>
        <v>0</v>
      </c>
      <c r="U99" s="329">
        <f>COUNTIF(Logs!$C269:$O269, U$96)</f>
        <v>0</v>
      </c>
      <c r="W99" s="163" t="s">
        <v>187</v>
      </c>
      <c r="X99" s="319">
        <f>COUNTIF(Logs!$C287:$O287, X$96)</f>
        <v>5</v>
      </c>
      <c r="Y99" s="8">
        <f>COUNTIF(Logs!$C287:$O287, Y$96)</f>
        <v>3</v>
      </c>
      <c r="Z99" s="33">
        <f>COUNTIF(Logs!$C287:$O287, Z$96)</f>
        <v>2</v>
      </c>
      <c r="AA99" s="403">
        <f>COUNTIF(Logs!$C287:$O287, AA$96)</f>
        <v>0</v>
      </c>
      <c r="AB99" s="329">
        <f>COUNTIF(Logs!$C287:$O287, AB$96)</f>
        <v>2</v>
      </c>
    </row>
    <row r="100" spans="2:28">
      <c r="B100" s="163" t="s">
        <v>188</v>
      </c>
      <c r="C100" s="319">
        <f>COUNTIF(Logs!$C236:$O236, C$96)</f>
        <v>7</v>
      </c>
      <c r="D100" s="8">
        <f>COUNTIF(Logs!$C236:$O236, D$96)</f>
        <v>1</v>
      </c>
      <c r="E100" s="33">
        <f>COUNTIF(Logs!$C236:$O236, E$96)</f>
        <v>2</v>
      </c>
      <c r="F100" s="403">
        <f>COUNTIF(Logs!$C236:$O236, F$96)</f>
        <v>0</v>
      </c>
      <c r="G100" s="329">
        <f>COUNTIF(Logs!$C236:$O236, G$96)</f>
        <v>1</v>
      </c>
      <c r="I100" s="163" t="s">
        <v>188</v>
      </c>
      <c r="J100" s="319">
        <f>COUNTIF(Logs!$C253:$O253, J$96)</f>
        <v>4</v>
      </c>
      <c r="K100" s="8">
        <f>COUNTIF(Logs!$C253:$O253, K$96)</f>
        <v>3</v>
      </c>
      <c r="L100" s="33">
        <f>COUNTIF(Logs!$C253:$O253, L$96)</f>
        <v>5</v>
      </c>
      <c r="M100" s="403">
        <f>COUNTIF(Logs!$C253:$O253, M$96)</f>
        <v>0</v>
      </c>
      <c r="N100" s="329">
        <f>COUNTIF(Logs!$C253:$O253, N$96)</f>
        <v>0</v>
      </c>
      <c r="P100" s="163" t="s">
        <v>188</v>
      </c>
      <c r="Q100" s="319">
        <f>COUNTIF(Logs!$C270:$O270, Q$96)</f>
        <v>7</v>
      </c>
      <c r="R100" s="8">
        <f>COUNTIF(Logs!$C270:$O270, R$96)</f>
        <v>2</v>
      </c>
      <c r="S100" s="33">
        <f>COUNTIF(Logs!$C270:$O270, S$96)</f>
        <v>2</v>
      </c>
      <c r="T100" s="403">
        <f>COUNTIF(Logs!$C270:$O270, T$96)</f>
        <v>0</v>
      </c>
      <c r="U100" s="329">
        <f>COUNTIF(Logs!$C270:$O270, U$96)</f>
        <v>0</v>
      </c>
      <c r="W100" s="163" t="s">
        <v>188</v>
      </c>
      <c r="X100" s="319">
        <f>COUNTIF(Logs!$C288:$O288, X$96)</f>
        <v>7</v>
      </c>
      <c r="Y100" s="8">
        <f>COUNTIF(Logs!$C288:$O288, Y$96)</f>
        <v>2</v>
      </c>
      <c r="Z100" s="33">
        <f>COUNTIF(Logs!$C288:$O288, Z$96)</f>
        <v>2</v>
      </c>
      <c r="AA100" s="403">
        <f>COUNTIF(Logs!$C288:$O288, AA$96)</f>
        <v>0</v>
      </c>
      <c r="AB100" s="329">
        <f>COUNTIF(Logs!$C288:$O288, AB$96)</f>
        <v>1</v>
      </c>
    </row>
    <row r="101" spans="2:28">
      <c r="B101" s="163" t="s">
        <v>189</v>
      </c>
      <c r="C101" s="319">
        <f>COUNTIF(Logs!$C237:$O237, C$96)</f>
        <v>4</v>
      </c>
      <c r="D101" s="8">
        <f>COUNTIF(Logs!$C237:$O237, D$96)</f>
        <v>3</v>
      </c>
      <c r="E101" s="33">
        <f>COUNTIF(Logs!$C237:$O237, E$96)</f>
        <v>3</v>
      </c>
      <c r="F101" s="403">
        <f>COUNTIF(Logs!$C237:$O237, F$96)</f>
        <v>0</v>
      </c>
      <c r="G101" s="329">
        <f>COUNTIF(Logs!$C237:$O237, G$96)</f>
        <v>1</v>
      </c>
      <c r="I101" s="163" t="s">
        <v>189</v>
      </c>
      <c r="J101" s="319">
        <f>COUNTIF(Logs!$C254:$O254, J$96)</f>
        <v>8</v>
      </c>
      <c r="K101" s="8">
        <f>COUNTIF(Logs!$C254:$O254, K$96)</f>
        <v>0</v>
      </c>
      <c r="L101" s="33">
        <f>COUNTIF(Logs!$C254:$O254, L$96)</f>
        <v>2</v>
      </c>
      <c r="M101" s="403">
        <f>COUNTIF(Logs!$C254:$O254, M$96)</f>
        <v>0</v>
      </c>
      <c r="N101" s="329">
        <f>COUNTIF(Logs!$C254:$O254, N$96)</f>
        <v>1</v>
      </c>
      <c r="P101" s="163" t="s">
        <v>189</v>
      </c>
      <c r="Q101" s="319">
        <f>COUNTIF(Logs!$C271:$O271, Q$96)</f>
        <v>4</v>
      </c>
      <c r="R101" s="8">
        <f>COUNTIF(Logs!$C271:$O271, R$96)</f>
        <v>5</v>
      </c>
      <c r="S101" s="33">
        <f>COUNTIF(Logs!$C271:$O271, S$96)</f>
        <v>2</v>
      </c>
      <c r="T101" s="403">
        <f>COUNTIF(Logs!$C271:$O271, T$96)</f>
        <v>0</v>
      </c>
      <c r="U101" s="329">
        <f>COUNTIF(Logs!$C271:$O271, U$96)</f>
        <v>0</v>
      </c>
      <c r="W101" s="163" t="s">
        <v>189</v>
      </c>
      <c r="X101" s="319">
        <f>COUNTIF(Logs!$C289:$O289, X$96)</f>
        <v>8</v>
      </c>
      <c r="Y101" s="8">
        <f>COUNTIF(Logs!$C289:$O289, Y$96)</f>
        <v>2</v>
      </c>
      <c r="Z101" s="33">
        <f>COUNTIF(Logs!$C289:$O289, Z$96)</f>
        <v>2</v>
      </c>
      <c r="AA101" s="403">
        <f>COUNTIF(Logs!$C289:$O289, AA$96)</f>
        <v>0</v>
      </c>
      <c r="AB101" s="329">
        <f>COUNTIF(Logs!$C289:$O289, AB$96)</f>
        <v>0</v>
      </c>
    </row>
    <row r="102" spans="2:28">
      <c r="B102" s="163" t="s">
        <v>190</v>
      </c>
      <c r="C102" s="319">
        <f>COUNTIF(Logs!$C238:$O238, C$96)</f>
        <v>8</v>
      </c>
      <c r="D102" s="8">
        <f>COUNTIF(Logs!$C238:$O238, D$96)</f>
        <v>1</v>
      </c>
      <c r="E102" s="33">
        <f>COUNTIF(Logs!$C238:$O238, E$96)</f>
        <v>1</v>
      </c>
      <c r="F102" s="403">
        <f>COUNTIF(Logs!$C238:$O238, F$96)</f>
        <v>0</v>
      </c>
      <c r="G102" s="329">
        <f>COUNTIF(Logs!$C238:$O238, G$96)</f>
        <v>0</v>
      </c>
      <c r="I102" s="163" t="s">
        <v>190</v>
      </c>
      <c r="J102" s="319">
        <f>COUNTIF(Logs!$C255:$O255, J$96)</f>
        <v>5</v>
      </c>
      <c r="K102" s="8">
        <f>COUNTIF(Logs!$C255:$O255, K$96)</f>
        <v>1</v>
      </c>
      <c r="L102" s="33">
        <f>COUNTIF(Logs!$C255:$O255, L$96)</f>
        <v>1</v>
      </c>
      <c r="M102" s="403">
        <f>COUNTIF(Logs!$C255:$O255, M$96)</f>
        <v>0</v>
      </c>
      <c r="N102" s="329">
        <f>COUNTIF(Logs!$C255:$O255, N$96)</f>
        <v>0</v>
      </c>
      <c r="P102" s="163" t="s">
        <v>190</v>
      </c>
      <c r="Q102" s="319">
        <f>COUNTIF(Logs!$C272:$O272, Q$96)</f>
        <v>10</v>
      </c>
      <c r="R102" s="8">
        <f>COUNTIF(Logs!$C272:$O272, R$96)</f>
        <v>0</v>
      </c>
      <c r="S102" s="33">
        <f>COUNTIF(Logs!$C272:$O272, S$96)</f>
        <v>1</v>
      </c>
      <c r="T102" s="403">
        <f>COUNTIF(Logs!$C272:$O272, T$96)</f>
        <v>0</v>
      </c>
      <c r="U102" s="329">
        <f>COUNTIF(Logs!$C272:$O272, U$96)</f>
        <v>0</v>
      </c>
      <c r="W102" s="163" t="s">
        <v>190</v>
      </c>
      <c r="X102" s="319">
        <f>COUNTIF(Logs!$C290:$O290, X$96)</f>
        <v>7</v>
      </c>
      <c r="Y102" s="8">
        <f>COUNTIF(Logs!$C290:$O290, Y$96)</f>
        <v>2</v>
      </c>
      <c r="Z102" s="33">
        <f>COUNTIF(Logs!$C290:$O290, Z$96)</f>
        <v>1</v>
      </c>
      <c r="AA102" s="403">
        <f>COUNTIF(Logs!$C290:$O290, AA$96)</f>
        <v>0</v>
      </c>
      <c r="AB102" s="329">
        <f>COUNTIF(Logs!$C290:$O290, AB$96)</f>
        <v>0</v>
      </c>
    </row>
    <row r="103" spans="2:28">
      <c r="B103" s="163" t="s">
        <v>191</v>
      </c>
      <c r="C103" s="319">
        <f>COUNTIF(Logs!$C239:$O239, C$96)</f>
        <v>4</v>
      </c>
      <c r="D103" s="8">
        <f>COUNTIF(Logs!$C239:$O239, D$96)</f>
        <v>0</v>
      </c>
      <c r="E103" s="33">
        <f>COUNTIF(Logs!$C239:$O239, E$96)</f>
        <v>0</v>
      </c>
      <c r="F103" s="403">
        <f>COUNTIF(Logs!$C239:$O239, F$96)</f>
        <v>0</v>
      </c>
      <c r="G103" s="329">
        <f>COUNTIF(Logs!$C239:$O239, G$96)</f>
        <v>0</v>
      </c>
      <c r="I103" s="163" t="s">
        <v>191</v>
      </c>
      <c r="J103" s="319">
        <f>COUNTIF(Logs!$C256:$O256, J$96)</f>
        <v>2</v>
      </c>
      <c r="K103" s="8">
        <f>COUNTIF(Logs!$C256:$O256, K$96)</f>
        <v>1</v>
      </c>
      <c r="L103" s="33">
        <f>COUNTIF(Logs!$C256:$O256, L$96)</f>
        <v>0</v>
      </c>
      <c r="M103" s="403">
        <f>COUNTIF(Logs!$C256:$O256, M$96)</f>
        <v>0</v>
      </c>
      <c r="N103" s="329">
        <f>COUNTIF(Logs!$C256:$O256, N$96)</f>
        <v>0</v>
      </c>
      <c r="P103" s="163" t="s">
        <v>191</v>
      </c>
      <c r="Q103" s="319">
        <f>COUNTIF(Logs!$C273:$O273, Q$96)</f>
        <v>3</v>
      </c>
      <c r="R103" s="8">
        <f>COUNTIF(Logs!$C273:$O273, R$96)</f>
        <v>0</v>
      </c>
      <c r="S103" s="33">
        <f>COUNTIF(Logs!$C273:$O273, S$96)</f>
        <v>0</v>
      </c>
      <c r="T103" s="403">
        <f>COUNTIF(Logs!$C273:$O273, T$96)</f>
        <v>0</v>
      </c>
      <c r="U103" s="329">
        <f>COUNTIF(Logs!$C273:$O273, U$96)</f>
        <v>0</v>
      </c>
      <c r="W103" s="163" t="s">
        <v>191</v>
      </c>
      <c r="X103" s="319">
        <f>COUNTIF(Logs!$C291:$O291, X$96)</f>
        <v>5</v>
      </c>
      <c r="Y103" s="8">
        <f>COUNTIF(Logs!$C291:$O291, Y$96)</f>
        <v>0</v>
      </c>
      <c r="Z103" s="33">
        <f>COUNTIF(Logs!$C291:$O291, Z$96)</f>
        <v>0</v>
      </c>
      <c r="AA103" s="403">
        <f>COUNTIF(Logs!$C291:$O291, AA$96)</f>
        <v>0</v>
      </c>
      <c r="AB103" s="329">
        <f>COUNTIF(Logs!$C291:$O291, AB$96)</f>
        <v>0</v>
      </c>
    </row>
    <row r="104" spans="2:28">
      <c r="B104" s="163" t="s">
        <v>192</v>
      </c>
      <c r="C104" s="319">
        <f>COUNTIF(Logs!$C240:$O240, C$96)</f>
        <v>1</v>
      </c>
      <c r="D104" s="8">
        <f>COUNTIF(Logs!$C240:$O240, D$96)</f>
        <v>0</v>
      </c>
      <c r="E104" s="33">
        <f>COUNTIF(Logs!$C240:$O240, E$96)</f>
        <v>1</v>
      </c>
      <c r="F104" s="403">
        <f>COUNTIF(Logs!$C240:$O240, F$96)</f>
        <v>0</v>
      </c>
      <c r="G104" s="329">
        <f>COUNTIF(Logs!$C240:$O240, G$96)</f>
        <v>0</v>
      </c>
      <c r="I104" s="163" t="s">
        <v>192</v>
      </c>
      <c r="J104" s="319">
        <f>COUNTIF(Logs!$C257:$O257, J$96)</f>
        <v>1</v>
      </c>
      <c r="K104" s="8">
        <f>COUNTIF(Logs!$C257:$O257, K$96)</f>
        <v>0</v>
      </c>
      <c r="L104" s="33">
        <f>COUNTIF(Logs!$C257:$O257, L$96)</f>
        <v>0</v>
      </c>
      <c r="M104" s="403">
        <f>COUNTIF(Logs!$C257:$O257, M$96)</f>
        <v>0</v>
      </c>
      <c r="N104" s="329">
        <f>COUNTIF(Logs!$C257:$O257, N$96)</f>
        <v>0</v>
      </c>
      <c r="P104" s="163" t="s">
        <v>192</v>
      </c>
      <c r="Q104" s="319">
        <f>COUNTIF(Logs!$C274:$O274, Q$96)</f>
        <v>1</v>
      </c>
      <c r="R104" s="8">
        <f>COUNTIF(Logs!$C274:$O274, R$96)</f>
        <v>0</v>
      </c>
      <c r="S104" s="33">
        <f>COUNTIF(Logs!$C274:$O274, S$96)</f>
        <v>1</v>
      </c>
      <c r="T104" s="403">
        <f>COUNTIF(Logs!$C274:$O274, T$96)</f>
        <v>0</v>
      </c>
      <c r="U104" s="329">
        <f>COUNTIF(Logs!$C274:$O274, U$96)</f>
        <v>0</v>
      </c>
      <c r="W104" s="163" t="s">
        <v>192</v>
      </c>
      <c r="X104" s="319">
        <f>COUNTIF(Logs!$C292:$O292, X$96)</f>
        <v>2</v>
      </c>
      <c r="Y104" s="8">
        <f>COUNTIF(Logs!$C292:$O292, Y$96)</f>
        <v>0</v>
      </c>
      <c r="Z104" s="33">
        <f>COUNTIF(Logs!$C292:$O292, Z$96)</f>
        <v>0</v>
      </c>
      <c r="AA104" s="403">
        <f>COUNTIF(Logs!$C292:$O292, AA$96)</f>
        <v>0</v>
      </c>
      <c r="AB104" s="329">
        <f>COUNTIF(Logs!$C292:$O292, AB$96)</f>
        <v>0</v>
      </c>
    </row>
    <row r="105" spans="2:28">
      <c r="B105" s="163" t="s">
        <v>193</v>
      </c>
      <c r="C105" s="319">
        <f>COUNTIF(Logs!$C241:$O241, C$96)</f>
        <v>1</v>
      </c>
      <c r="D105" s="8">
        <f>COUNTIF(Logs!$C241:$O241, D$96)</f>
        <v>0</v>
      </c>
      <c r="E105" s="33">
        <f>COUNTIF(Logs!$C241:$O241, E$96)</f>
        <v>0</v>
      </c>
      <c r="F105" s="403">
        <f>COUNTIF(Logs!$C241:$O241, F$96)</f>
        <v>0</v>
      </c>
      <c r="G105" s="329">
        <f>COUNTIF(Logs!$C241:$O241, G$96)</f>
        <v>0</v>
      </c>
      <c r="I105" s="318" t="s">
        <v>182</v>
      </c>
      <c r="J105" s="402">
        <f>SUM(J97:J104)</f>
        <v>46</v>
      </c>
      <c r="K105" s="386">
        <f>SUM(K97:K104)</f>
        <v>11</v>
      </c>
      <c r="L105" s="387">
        <f>SUM(L97:L104)</f>
        <v>10</v>
      </c>
      <c r="M105" s="404">
        <f>SUM(M97:M104)</f>
        <v>1</v>
      </c>
      <c r="N105" s="406">
        <f>SUM(N97:N104)</f>
        <v>2</v>
      </c>
      <c r="P105" s="163" t="s">
        <v>193</v>
      </c>
      <c r="Q105" s="319">
        <f>COUNTIF(Logs!$C275:$O275, Q$96)</f>
        <v>2</v>
      </c>
      <c r="R105" s="8">
        <f>COUNTIF(Logs!$C275:$O275, R$96)</f>
        <v>0</v>
      </c>
      <c r="S105" s="33">
        <f>COUNTIF(Logs!$C275:$O275, S$96)</f>
        <v>0</v>
      </c>
      <c r="T105" s="403">
        <f>COUNTIF(Logs!$C275:$O275, T$96)</f>
        <v>0</v>
      </c>
      <c r="U105" s="329">
        <f>COUNTIF(Logs!$C275:$O275, U$96)</f>
        <v>0</v>
      </c>
      <c r="W105" s="163" t="s">
        <v>193</v>
      </c>
      <c r="X105" s="319">
        <f>COUNTIF(Logs!$C293:$O293, X$96)</f>
        <v>2</v>
      </c>
      <c r="Y105" s="8">
        <f>COUNTIF(Logs!$C293:$O293, Y$96)</f>
        <v>0</v>
      </c>
      <c r="Z105" s="33">
        <f>COUNTIF(Logs!$C293:$O293, Z$96)</f>
        <v>0</v>
      </c>
      <c r="AA105" s="403">
        <f>COUNTIF(Logs!$C293:$O293, AA$96)</f>
        <v>0</v>
      </c>
      <c r="AB105" s="329">
        <f>COUNTIF(Logs!$C293:$O293, AB$96)</f>
        <v>0</v>
      </c>
    </row>
    <row r="106" spans="2:28">
      <c r="B106" s="318" t="s">
        <v>182</v>
      </c>
      <c r="C106" s="402">
        <f>SUM(C97:C105)</f>
        <v>48</v>
      </c>
      <c r="D106" s="386">
        <f>SUM(D97:D105)</f>
        <v>9</v>
      </c>
      <c r="E106" s="387">
        <f>SUM(E97:E105)</f>
        <v>11</v>
      </c>
      <c r="F106" s="404">
        <f>SUM(F97:F105)</f>
        <v>2</v>
      </c>
      <c r="G106" s="406">
        <f>SUM(G97:G105)</f>
        <v>2</v>
      </c>
      <c r="K106" s="8"/>
      <c r="P106" s="318" t="s">
        <v>182</v>
      </c>
      <c r="Q106" s="402">
        <f>SUM(Q97:Q105)</f>
        <v>51</v>
      </c>
      <c r="R106" s="386">
        <f>SUM(R97:R105)</f>
        <v>13</v>
      </c>
      <c r="S106" s="387">
        <f>SUM(S97:S105)</f>
        <v>9</v>
      </c>
      <c r="T106" s="404">
        <f>SUM(T97:T105)</f>
        <v>1</v>
      </c>
      <c r="U106" s="406">
        <f>SUM(U97:U105)</f>
        <v>2</v>
      </c>
      <c r="W106" s="318" t="s">
        <v>182</v>
      </c>
      <c r="X106" s="402">
        <f>SUM(X97:X105)</f>
        <v>54</v>
      </c>
      <c r="Y106" s="386">
        <f>SUM(Y97:Y105)</f>
        <v>12</v>
      </c>
      <c r="Z106" s="387">
        <f>SUM(Z97:Z105)</f>
        <v>9</v>
      </c>
      <c r="AA106" s="404">
        <f>SUM(AA97:AA105)</f>
        <v>1</v>
      </c>
      <c r="AB106" s="406">
        <f>SUM(AB97:AB105)</f>
        <v>3</v>
      </c>
    </row>
    <row r="108" spans="2:28">
      <c r="B108" s="57" t="s">
        <v>142</v>
      </c>
      <c r="I108" s="57" t="s">
        <v>143</v>
      </c>
      <c r="O108" s="57" t="s">
        <v>144</v>
      </c>
      <c r="V108" s="57" t="s">
        <v>145</v>
      </c>
    </row>
    <row r="109" spans="2:28">
      <c r="B109" s="292" t="s">
        <v>1635</v>
      </c>
      <c r="C109" s="308" t="s">
        <v>12</v>
      </c>
      <c r="D109" s="309" t="s">
        <v>14</v>
      </c>
      <c r="E109" s="310" t="s">
        <v>13</v>
      </c>
      <c r="F109" s="311" t="s">
        <v>71</v>
      </c>
      <c r="G109" s="312" t="s">
        <v>49</v>
      </c>
      <c r="I109" s="292" t="s">
        <v>1635</v>
      </c>
      <c r="J109" s="308" t="s">
        <v>12</v>
      </c>
      <c r="K109" s="309" t="s">
        <v>14</v>
      </c>
      <c r="L109" s="310" t="s">
        <v>13</v>
      </c>
      <c r="M109" s="312" t="s">
        <v>49</v>
      </c>
      <c r="O109" s="292" t="s">
        <v>1635</v>
      </c>
      <c r="P109" s="308" t="s">
        <v>12</v>
      </c>
      <c r="Q109" s="309" t="s">
        <v>14</v>
      </c>
      <c r="R109" s="310" t="s">
        <v>13</v>
      </c>
      <c r="S109" s="312" t="s">
        <v>49</v>
      </c>
      <c r="T109" s="306" t="s">
        <v>231</v>
      </c>
      <c r="V109" s="292" t="s">
        <v>1635</v>
      </c>
      <c r="W109" s="308" t="s">
        <v>12</v>
      </c>
      <c r="X109" s="309" t="s">
        <v>14</v>
      </c>
      <c r="Y109" s="310" t="s">
        <v>13</v>
      </c>
      <c r="Z109" s="311" t="s">
        <v>71</v>
      </c>
      <c r="AA109" s="312" t="s">
        <v>49</v>
      </c>
    </row>
    <row r="110" spans="2:28">
      <c r="B110" s="163" t="s">
        <v>185</v>
      </c>
      <c r="C110" s="319">
        <f>COUNTIF(Logs!$C302:$N302, C$109)</f>
        <v>12</v>
      </c>
      <c r="D110" s="8">
        <f>COUNTIF(Logs!$C302:$N302, D$109)</f>
        <v>0</v>
      </c>
      <c r="E110" s="33">
        <f>COUNTIF(Logs!$C302:$N302, E$109)</f>
        <v>0</v>
      </c>
      <c r="F110" s="403">
        <f>COUNTIF(Logs!$C302:$N302, F$109)</f>
        <v>0</v>
      </c>
      <c r="G110" s="329">
        <f>COUNTIF(Logs!$C302:$N302, G$109)</f>
        <v>0</v>
      </c>
      <c r="I110" s="163" t="s">
        <v>185</v>
      </c>
      <c r="J110" s="319">
        <f>COUNTIF(Logs!$C320:$O320, J$109)</f>
        <v>12</v>
      </c>
      <c r="K110" s="8">
        <f>COUNTIF(Logs!$C320:$O320, K$109)</f>
        <v>0</v>
      </c>
      <c r="L110" s="33">
        <f>COUNTIF(Logs!$C320:$O320, L$109)</f>
        <v>0</v>
      </c>
      <c r="M110" s="329">
        <f>COUNTIF(Logs!$C320:$O320, M$109)</f>
        <v>0</v>
      </c>
      <c r="O110" s="163" t="s">
        <v>185</v>
      </c>
      <c r="P110" s="319">
        <f>COUNTIF(Logs!$C338:$O338, P$109)</f>
        <v>12</v>
      </c>
      <c r="Q110" s="8">
        <f>COUNTIF(Logs!$C338:$O338, Q$109)</f>
        <v>0</v>
      </c>
      <c r="R110" s="33">
        <f>COUNTIF(Logs!$C338:$O338, R$109)</f>
        <v>0</v>
      </c>
      <c r="S110" s="329">
        <f>COUNTIF(Logs!$C338:$O338, S$109)</f>
        <v>0</v>
      </c>
      <c r="T110" s="37">
        <f>COUNTIF(Logs!$C338:$O338, T$109)</f>
        <v>0</v>
      </c>
      <c r="V110" s="163" t="s">
        <v>185</v>
      </c>
      <c r="W110" s="319">
        <f>COUNTIF(Logs!$C356:$N356, W$109)</f>
        <v>12</v>
      </c>
      <c r="X110" s="8">
        <f>COUNTIF(Logs!$C356:$N356, X$109)</f>
        <v>0</v>
      </c>
      <c r="Y110" s="33">
        <f>COUNTIF(Logs!$C356:$N356, Y$109)</f>
        <v>0</v>
      </c>
      <c r="Z110" s="403">
        <f>COUNTIF(Logs!$C356:$N356, Z$109)</f>
        <v>0</v>
      </c>
      <c r="AA110" s="329">
        <f>COUNTIF(Logs!$C356:$N356, AA$109)</f>
        <v>0</v>
      </c>
    </row>
    <row r="111" spans="2:28">
      <c r="B111" s="163" t="s">
        <v>186</v>
      </c>
      <c r="C111" s="319">
        <f>COUNTIF(Logs!$C303:$N303, C$109)</f>
        <v>6</v>
      </c>
      <c r="D111" s="8">
        <f>COUNTIF(Logs!$C303:$N303, D$109)</f>
        <v>1</v>
      </c>
      <c r="E111" s="33">
        <f>COUNTIF(Logs!$C303:$N303, E$109)</f>
        <v>3</v>
      </c>
      <c r="F111" s="403">
        <f>COUNTIF(Logs!$C303:$N303, F$109)</f>
        <v>1</v>
      </c>
      <c r="G111" s="329">
        <f>COUNTIF(Logs!$C303:$N303, G$109)</f>
        <v>1</v>
      </c>
      <c r="I111" s="163" t="s">
        <v>186</v>
      </c>
      <c r="J111" s="319">
        <f>COUNTIF(Logs!$C321:$O321, J$109)</f>
        <v>8</v>
      </c>
      <c r="K111" s="8">
        <f>COUNTIF(Logs!$C321:$O321, K$109)</f>
        <v>2</v>
      </c>
      <c r="L111" s="33">
        <f>COUNTIF(Logs!$C321:$O321, L$109)</f>
        <v>1</v>
      </c>
      <c r="M111" s="329">
        <f>COUNTIF(Logs!$C321:$O321, M$109)</f>
        <v>1</v>
      </c>
      <c r="O111" s="163" t="s">
        <v>186</v>
      </c>
      <c r="P111" s="319">
        <f>COUNTIF(Logs!$C339:$O339, P$109)</f>
        <v>6</v>
      </c>
      <c r="Q111" s="8">
        <f>COUNTIF(Logs!$C339:$O339, Q$109)</f>
        <v>3</v>
      </c>
      <c r="R111" s="33">
        <f>COUNTIF(Logs!$C339:$O339, R$109)</f>
        <v>1</v>
      </c>
      <c r="S111" s="329">
        <f>COUNTIF(Logs!$C339:$O339, S$109)</f>
        <v>2</v>
      </c>
      <c r="T111" s="37">
        <f>COUNTIF(Logs!$C339:$O339, T$109)</f>
        <v>0</v>
      </c>
      <c r="V111" s="163" t="s">
        <v>186</v>
      </c>
      <c r="W111" s="319">
        <f>COUNTIF(Logs!$C357:$N357, W$109)</f>
        <v>4</v>
      </c>
      <c r="X111" s="8">
        <f>COUNTIF(Logs!$C357:$N357, X$109)</f>
        <v>1</v>
      </c>
      <c r="Y111" s="33">
        <f>COUNTIF(Logs!$C357:$N357, Y$109)</f>
        <v>3</v>
      </c>
      <c r="Z111" s="403">
        <f>COUNTIF(Logs!$C357:$N357, Z$109)</f>
        <v>2</v>
      </c>
      <c r="AA111" s="329">
        <f>COUNTIF(Logs!$C357:$N357, AA$109)</f>
        <v>2</v>
      </c>
    </row>
    <row r="112" spans="2:28">
      <c r="B112" s="163" t="s">
        <v>187</v>
      </c>
      <c r="C112" s="319">
        <f>COUNTIF(Logs!$C304:$N304, C$109)</f>
        <v>8</v>
      </c>
      <c r="D112" s="8">
        <f>COUNTIF(Logs!$C304:$N304, D$109)</f>
        <v>3</v>
      </c>
      <c r="E112" s="33">
        <f>COUNTIF(Logs!$C304:$N304, E$109)</f>
        <v>0</v>
      </c>
      <c r="F112" s="403">
        <f>COUNTIF(Logs!$C304:$N304, F$109)</f>
        <v>0</v>
      </c>
      <c r="G112" s="329">
        <f>COUNTIF(Logs!$C304:$N304, G$109)</f>
        <v>1</v>
      </c>
      <c r="I112" s="163" t="s">
        <v>187</v>
      </c>
      <c r="J112" s="319">
        <f>COUNTIF(Logs!$C322:$O322, J$109)</f>
        <v>6</v>
      </c>
      <c r="K112" s="8">
        <f>COUNTIF(Logs!$C322:$O322, K$109)</f>
        <v>5</v>
      </c>
      <c r="L112" s="33">
        <f>COUNTIF(Logs!$C322:$O322, L$109)</f>
        <v>1</v>
      </c>
      <c r="M112" s="329">
        <f>COUNTIF(Logs!$C322:$O322, M$109)</f>
        <v>0</v>
      </c>
      <c r="O112" s="163" t="s">
        <v>187</v>
      </c>
      <c r="P112" s="319">
        <f>COUNTIF(Logs!$C340:$O340, P$109)</f>
        <v>6</v>
      </c>
      <c r="Q112" s="8">
        <f>COUNTIF(Logs!$C340:$O340, Q$109)</f>
        <v>4</v>
      </c>
      <c r="R112" s="33">
        <f>COUNTIF(Logs!$C340:$O340, R$109)</f>
        <v>1</v>
      </c>
      <c r="S112" s="329">
        <f>COUNTIF(Logs!$C340:$O340, S$109)</f>
        <v>1</v>
      </c>
      <c r="T112" s="37">
        <f>COUNTIF(Logs!$C340:$O340, T$109)</f>
        <v>0</v>
      </c>
      <c r="V112" s="163" t="s">
        <v>187</v>
      </c>
      <c r="W112" s="319">
        <f>COUNTIF(Logs!$C358:$N358, W$109)</f>
        <v>5</v>
      </c>
      <c r="X112" s="8">
        <f>COUNTIF(Logs!$C358:$N358, X$109)</f>
        <v>3</v>
      </c>
      <c r="Y112" s="33">
        <f>COUNTIF(Logs!$C358:$N358, Y$109)</f>
        <v>2</v>
      </c>
      <c r="Z112" s="403">
        <f>COUNTIF(Logs!$C358:$N358, Z$109)</f>
        <v>1</v>
      </c>
      <c r="AA112" s="329">
        <f>COUNTIF(Logs!$C358:$N358, AA$109)</f>
        <v>1</v>
      </c>
    </row>
    <row r="113" spans="2:27">
      <c r="B113" s="163" t="s">
        <v>188</v>
      </c>
      <c r="C113" s="319">
        <f>COUNTIF(Logs!$C305:$N305, C$109)</f>
        <v>7</v>
      </c>
      <c r="D113" s="8">
        <f>COUNTIF(Logs!$C305:$N305, D$109)</f>
        <v>5</v>
      </c>
      <c r="E113" s="33">
        <f>COUNTIF(Logs!$C305:$N305, E$109)</f>
        <v>0</v>
      </c>
      <c r="F113" s="403">
        <f>COUNTIF(Logs!$C305:$N305, F$109)</f>
        <v>0</v>
      </c>
      <c r="G113" s="329">
        <f>COUNTIF(Logs!$C305:$N305, G$109)</f>
        <v>0</v>
      </c>
      <c r="I113" s="163" t="s">
        <v>188</v>
      </c>
      <c r="J113" s="319">
        <f>COUNTIF(Logs!$C323:$O323, J$109)</f>
        <v>6</v>
      </c>
      <c r="K113" s="8">
        <f>COUNTIF(Logs!$C323:$O323, K$109)</f>
        <v>3</v>
      </c>
      <c r="L113" s="33">
        <f>COUNTIF(Logs!$C323:$O323, L$109)</f>
        <v>3</v>
      </c>
      <c r="M113" s="329">
        <f>COUNTIF(Logs!$C323:$O323, M$109)</f>
        <v>0</v>
      </c>
      <c r="O113" s="163" t="s">
        <v>188</v>
      </c>
      <c r="P113" s="319">
        <f>COUNTIF(Logs!$C341:$O341, P$109)</f>
        <v>5</v>
      </c>
      <c r="Q113" s="8">
        <f>COUNTIF(Logs!$C341:$O341, Q$109)</f>
        <v>4</v>
      </c>
      <c r="R113" s="33">
        <f>COUNTIF(Logs!$C341:$O341, R$109)</f>
        <v>3</v>
      </c>
      <c r="S113" s="329">
        <f>COUNTIF(Logs!$C341:$O341, S$109)</f>
        <v>0</v>
      </c>
      <c r="T113" s="37">
        <f>COUNTIF(Logs!$C341:$O341, T$109)</f>
        <v>0</v>
      </c>
      <c r="V113" s="163" t="s">
        <v>188</v>
      </c>
      <c r="W113" s="319">
        <f>COUNTIF(Logs!$C359:$N359, W$109)</f>
        <v>7</v>
      </c>
      <c r="X113" s="8">
        <f>COUNTIF(Logs!$C359:$N359, X$109)</f>
        <v>4</v>
      </c>
      <c r="Y113" s="33">
        <f>COUNTIF(Logs!$C359:$N359, Y$109)</f>
        <v>1</v>
      </c>
      <c r="Z113" s="403">
        <f>COUNTIF(Logs!$C359:$N359, Z$109)</f>
        <v>0</v>
      </c>
      <c r="AA113" s="329">
        <f>COUNTIF(Logs!$C359:$N359, AA$109)</f>
        <v>0</v>
      </c>
    </row>
    <row r="114" spans="2:27">
      <c r="B114" s="163" t="s">
        <v>189</v>
      </c>
      <c r="C114" s="319">
        <f>COUNTIF(Logs!$C306:$N306, C$109)</f>
        <v>7</v>
      </c>
      <c r="D114" s="8">
        <f>COUNTIF(Logs!$C306:$N306, D$109)</f>
        <v>2</v>
      </c>
      <c r="E114" s="33">
        <f>COUNTIF(Logs!$C306:$N306, E$109)</f>
        <v>3</v>
      </c>
      <c r="F114" s="403">
        <f>COUNTIF(Logs!$C306:$N306, F$109)</f>
        <v>0</v>
      </c>
      <c r="G114" s="329">
        <f>COUNTIF(Logs!$C306:$N306, G$109)</f>
        <v>0</v>
      </c>
      <c r="I114" s="163" t="s">
        <v>189</v>
      </c>
      <c r="J114" s="319">
        <f>COUNTIF(Logs!$C324:$O324, J$109)</f>
        <v>9</v>
      </c>
      <c r="K114" s="8">
        <f>COUNTIF(Logs!$C324:$O324, K$109)</f>
        <v>0</v>
      </c>
      <c r="L114" s="33">
        <f>COUNTIF(Logs!$C324:$O324, L$109)</f>
        <v>3</v>
      </c>
      <c r="M114" s="329">
        <f>COUNTIF(Logs!$C324:$O324, M$109)</f>
        <v>0</v>
      </c>
      <c r="O114" s="163" t="s">
        <v>189</v>
      </c>
      <c r="P114" s="319">
        <f>COUNTIF(Logs!$C342:$O342, P$109)</f>
        <v>7</v>
      </c>
      <c r="Q114" s="8">
        <f>COUNTIF(Logs!$C342:$O342, Q$109)</f>
        <v>2</v>
      </c>
      <c r="R114" s="33">
        <f>COUNTIF(Logs!$C342:$O342, R$109)</f>
        <v>2</v>
      </c>
      <c r="S114" s="329">
        <f>COUNTIF(Logs!$C342:$O342, S$109)</f>
        <v>0</v>
      </c>
      <c r="T114" s="37">
        <f>COUNTIF(Logs!$C342:$O342, T$109)</f>
        <v>1</v>
      </c>
      <c r="V114" s="163" t="s">
        <v>189</v>
      </c>
      <c r="W114" s="319">
        <f>COUNTIF(Logs!$C360:$N360, W$109)</f>
        <v>10</v>
      </c>
      <c r="X114" s="8">
        <f>COUNTIF(Logs!$C360:$N360, X$109)</f>
        <v>1</v>
      </c>
      <c r="Y114" s="33">
        <f>COUNTIF(Logs!$C360:$N360, Y$109)</f>
        <v>1</v>
      </c>
      <c r="Z114" s="403">
        <f>COUNTIF(Logs!$C360:$N360, Z$109)</f>
        <v>0</v>
      </c>
      <c r="AA114" s="329">
        <f>COUNTIF(Logs!$C360:$N360, AA$109)</f>
        <v>0</v>
      </c>
    </row>
    <row r="115" spans="2:27">
      <c r="B115" s="163" t="s">
        <v>190</v>
      </c>
      <c r="C115" s="319">
        <f>COUNTIF(Logs!$C307:$N307, C$109)</f>
        <v>6</v>
      </c>
      <c r="D115" s="8">
        <f>COUNTIF(Logs!$C307:$N307, D$109)</f>
        <v>1</v>
      </c>
      <c r="E115" s="33">
        <f>COUNTIF(Logs!$C307:$N307, E$109)</f>
        <v>4</v>
      </c>
      <c r="F115" s="403">
        <f>COUNTIF(Logs!$C307:$N307, F$109)</f>
        <v>0</v>
      </c>
      <c r="G115" s="329">
        <f>COUNTIF(Logs!$C307:$N307, G$109)</f>
        <v>0</v>
      </c>
      <c r="I115" s="163" t="s">
        <v>190</v>
      </c>
      <c r="J115" s="319">
        <f>COUNTIF(Logs!$C325:$O325, J$109)</f>
        <v>6</v>
      </c>
      <c r="K115" s="8">
        <f>COUNTIF(Logs!$C325:$O325, K$109)</f>
        <v>2</v>
      </c>
      <c r="L115" s="33">
        <f>COUNTIF(Logs!$C325:$O325, L$109)</f>
        <v>1</v>
      </c>
      <c r="M115" s="329">
        <f>COUNTIF(Logs!$C325:$O325, M$109)</f>
        <v>0</v>
      </c>
      <c r="O115" s="163" t="s">
        <v>190</v>
      </c>
      <c r="P115" s="319">
        <f>COUNTIF(Logs!$C343:$O343, P$109)</f>
        <v>10</v>
      </c>
      <c r="Q115" s="8">
        <f>COUNTIF(Logs!$C343:$O343, Q$109)</f>
        <v>0</v>
      </c>
      <c r="R115" s="33">
        <f>COUNTIF(Logs!$C343:$O343, R$109)</f>
        <v>1</v>
      </c>
      <c r="S115" s="329">
        <f>COUNTIF(Logs!$C343:$O343, S$109)</f>
        <v>0</v>
      </c>
      <c r="T115" s="37">
        <f>COUNTIF(Logs!$C343:$O343, T$109)</f>
        <v>0</v>
      </c>
      <c r="V115" s="163" t="s">
        <v>190</v>
      </c>
      <c r="W115" s="319">
        <f>COUNTIF(Logs!$C361:$N361, W$109)</f>
        <v>4</v>
      </c>
      <c r="X115" s="8">
        <f>COUNTIF(Logs!$C361:$N361, X$109)</f>
        <v>2</v>
      </c>
      <c r="Y115" s="33">
        <f>COUNTIF(Logs!$C361:$N361, Y$109)</f>
        <v>2</v>
      </c>
      <c r="Z115" s="403">
        <f>COUNTIF(Logs!$C361:$N361, Z$109)</f>
        <v>0</v>
      </c>
      <c r="AA115" s="329">
        <f>COUNTIF(Logs!$C361:$N361, AA$109)</f>
        <v>0</v>
      </c>
    </row>
    <row r="116" spans="2:27">
      <c r="B116" s="163" t="s">
        <v>191</v>
      </c>
      <c r="C116" s="319">
        <f>COUNTIF(Logs!$C308:$N308, C$109)</f>
        <v>7</v>
      </c>
      <c r="D116" s="8">
        <f>COUNTIF(Logs!$C308:$N308, D$109)</f>
        <v>0</v>
      </c>
      <c r="E116" s="33">
        <f>COUNTIF(Logs!$C308:$N308, E$109)</f>
        <v>0</v>
      </c>
      <c r="F116" s="403">
        <f>COUNTIF(Logs!$C308:$N308, F$109)</f>
        <v>0</v>
      </c>
      <c r="G116" s="329">
        <f>COUNTIF(Logs!$C308:$N308, G$109)</f>
        <v>0</v>
      </c>
      <c r="I116" s="163" t="s">
        <v>191</v>
      </c>
      <c r="J116" s="319">
        <f>COUNTIF(Logs!$C326:$O326, J$109)</f>
        <v>6</v>
      </c>
      <c r="K116" s="8">
        <f>COUNTIF(Logs!$C326:$O326, K$109)</f>
        <v>0</v>
      </c>
      <c r="L116" s="33">
        <f>COUNTIF(Logs!$C326:$O326, L$109)</f>
        <v>1</v>
      </c>
      <c r="M116" s="329">
        <f>COUNTIF(Logs!$C326:$O326, M$109)</f>
        <v>0</v>
      </c>
      <c r="O116" s="163" t="s">
        <v>191</v>
      </c>
      <c r="P116" s="319">
        <f>COUNTIF(Logs!$C344:$O344, P$109)</f>
        <v>7</v>
      </c>
      <c r="Q116" s="8">
        <f>COUNTIF(Logs!$C344:$O344, Q$109)</f>
        <v>0</v>
      </c>
      <c r="R116" s="33">
        <f>COUNTIF(Logs!$C344:$O344, R$109)</f>
        <v>0</v>
      </c>
      <c r="S116" s="329">
        <f>COUNTIF(Logs!$C344:$O344, S$109)</f>
        <v>0</v>
      </c>
      <c r="T116" s="37">
        <f>COUNTIF(Logs!$C344:$O344, T$109)</f>
        <v>0</v>
      </c>
      <c r="V116" s="163" t="s">
        <v>191</v>
      </c>
      <c r="W116" s="319">
        <f>COUNTIF(Logs!$C362:$N362, W$109)</f>
        <v>4</v>
      </c>
      <c r="X116" s="8">
        <f>COUNTIF(Logs!$C362:$N362, X$109)</f>
        <v>1</v>
      </c>
      <c r="Y116" s="33">
        <f>COUNTIF(Logs!$C362:$N362, Y$109)</f>
        <v>1</v>
      </c>
      <c r="Z116" s="403">
        <f>COUNTIF(Logs!$C362:$N362, Z$109)</f>
        <v>0</v>
      </c>
      <c r="AA116" s="329">
        <f>COUNTIF(Logs!$C362:$N362, AA$109)</f>
        <v>0</v>
      </c>
    </row>
    <row r="117" spans="2:27">
      <c r="B117" s="163" t="s">
        <v>192</v>
      </c>
      <c r="C117" s="319">
        <f>COUNTIF(Logs!$C309:$N309, C$109)</f>
        <v>1</v>
      </c>
      <c r="D117" s="8">
        <f>COUNTIF(Logs!$C309:$N309, D$109)</f>
        <v>0</v>
      </c>
      <c r="E117" s="33">
        <f>COUNTIF(Logs!$C309:$N309, E$109)</f>
        <v>0</v>
      </c>
      <c r="F117" s="403">
        <f>COUNTIF(Logs!$C309:$N309, F$109)</f>
        <v>0</v>
      </c>
      <c r="G117" s="329">
        <f>COUNTIF(Logs!$C309:$N309, G$109)</f>
        <v>0</v>
      </c>
      <c r="I117" s="163" t="s">
        <v>192</v>
      </c>
      <c r="J117" s="319">
        <f>COUNTIF(Logs!$C327:$O327, J$109)</f>
        <v>2</v>
      </c>
      <c r="K117" s="8">
        <f>COUNTIF(Logs!$C327:$O327, K$109)</f>
        <v>0</v>
      </c>
      <c r="L117" s="33">
        <f>COUNTIF(Logs!$C327:$O327, L$109)</f>
        <v>0</v>
      </c>
      <c r="M117" s="329">
        <f>COUNTIF(Logs!$C327:$O327, M$109)</f>
        <v>0</v>
      </c>
      <c r="O117" s="163" t="s">
        <v>192</v>
      </c>
      <c r="P117" s="319">
        <f>COUNTIF(Logs!$C345:$O345, P$109)</f>
        <v>2</v>
      </c>
      <c r="Q117" s="8">
        <f>COUNTIF(Logs!$C345:$O345, Q$109)</f>
        <v>0</v>
      </c>
      <c r="R117" s="33">
        <f>COUNTIF(Logs!$C345:$O345, R$109)</f>
        <v>0</v>
      </c>
      <c r="S117" s="329">
        <f>COUNTIF(Logs!$C345:$O345, S$109)</f>
        <v>0</v>
      </c>
      <c r="T117" s="37">
        <f>COUNTIF(Logs!$C345:$O345, T$109)</f>
        <v>0</v>
      </c>
      <c r="V117" s="163" t="s">
        <v>192</v>
      </c>
      <c r="W117" s="319">
        <f>COUNTIF(Logs!$C363:$N363, W$109)</f>
        <v>2</v>
      </c>
      <c r="X117" s="8">
        <f>COUNTIF(Logs!$C363:$N363, X$109)</f>
        <v>0</v>
      </c>
      <c r="Y117" s="33">
        <f>COUNTIF(Logs!$C363:$N363, Y$109)</f>
        <v>0</v>
      </c>
      <c r="Z117" s="403">
        <f>COUNTIF(Logs!$C363:$N363, Z$109)</f>
        <v>0</v>
      </c>
      <c r="AA117" s="329">
        <f>COUNTIF(Logs!$C363:$N363, AA$109)</f>
        <v>0</v>
      </c>
    </row>
    <row r="118" spans="2:27">
      <c r="B118" s="318" t="s">
        <v>182</v>
      </c>
      <c r="C118" s="402">
        <f>SUM(C110:C117)</f>
        <v>54</v>
      </c>
      <c r="D118" s="386">
        <f>SUM(D110:D117)</f>
        <v>12</v>
      </c>
      <c r="E118" s="387">
        <f>SUM(E110:E117)</f>
        <v>10</v>
      </c>
      <c r="F118" s="404">
        <f>SUM(F110:F117)</f>
        <v>1</v>
      </c>
      <c r="G118" s="406">
        <f>SUM(G110:G117)</f>
        <v>2</v>
      </c>
      <c r="I118" s="163" t="s">
        <v>193</v>
      </c>
      <c r="J118" s="319">
        <f>COUNTIF(Logs!$C328:$O328, J$109)</f>
        <v>1</v>
      </c>
      <c r="K118" s="8">
        <f>COUNTIF(Logs!$C328:$O328, K$109)</f>
        <v>0</v>
      </c>
      <c r="L118" s="33">
        <f>COUNTIF(Logs!$C328:$O328, L$109)</f>
        <v>0</v>
      </c>
      <c r="M118" s="329">
        <f>COUNTIF(Logs!$C328:$O328, M$109)</f>
        <v>0</v>
      </c>
      <c r="O118" s="318" t="s">
        <v>182</v>
      </c>
      <c r="P118" s="402">
        <f>SUM(P110:P117)</f>
        <v>55</v>
      </c>
      <c r="Q118" s="386">
        <f>SUM(Q110:Q117)</f>
        <v>13</v>
      </c>
      <c r="R118" s="387">
        <f>SUM(R110:R117)</f>
        <v>8</v>
      </c>
      <c r="S118" s="406">
        <f>SUM(S110:S117)</f>
        <v>3</v>
      </c>
      <c r="T118" s="407">
        <f>SUM(T110:T117)</f>
        <v>1</v>
      </c>
      <c r="V118" s="318" t="s">
        <v>182</v>
      </c>
      <c r="W118" s="402">
        <f>SUM(W110:W117)</f>
        <v>48</v>
      </c>
      <c r="X118" s="386">
        <f>SUM(X110:X117)</f>
        <v>12</v>
      </c>
      <c r="Y118" s="387">
        <f>SUM(Y110:Y117)</f>
        <v>10</v>
      </c>
      <c r="Z118" s="404">
        <f>SUM(Z110:Z117)</f>
        <v>3</v>
      </c>
      <c r="AA118" s="406">
        <f>SUM(AA110:AA117)</f>
        <v>3</v>
      </c>
    </row>
    <row r="119" spans="2:27">
      <c r="I119" s="318" t="s">
        <v>182</v>
      </c>
      <c r="J119" s="402">
        <f>SUM(J110:J118)</f>
        <v>56</v>
      </c>
      <c r="K119" s="386">
        <f>SUM(K110:K118)</f>
        <v>12</v>
      </c>
      <c r="L119" s="387">
        <f>SUM(L110:L118)</f>
        <v>10</v>
      </c>
      <c r="M119" s="406">
        <f>SUM(M110:M118)</f>
        <v>1</v>
      </c>
    </row>
    <row r="121" spans="2:27">
      <c r="B121" s="57" t="s">
        <v>146</v>
      </c>
      <c r="I121" s="57" t="s">
        <v>147</v>
      </c>
      <c r="P121" s="57" t="s">
        <v>148</v>
      </c>
      <c r="W121" s="57" t="s">
        <v>125</v>
      </c>
    </row>
    <row r="122" spans="2:27">
      <c r="B122" s="292" t="s">
        <v>1635</v>
      </c>
      <c r="C122" s="308" t="s">
        <v>12</v>
      </c>
      <c r="D122" s="309" t="s">
        <v>14</v>
      </c>
      <c r="E122" s="310" t="s">
        <v>13</v>
      </c>
      <c r="F122" s="311" t="s">
        <v>71</v>
      </c>
      <c r="G122" s="312" t="s">
        <v>49</v>
      </c>
      <c r="I122" s="292" t="s">
        <v>1635</v>
      </c>
      <c r="J122" s="308" t="s">
        <v>12</v>
      </c>
      <c r="K122" s="309" t="s">
        <v>14</v>
      </c>
      <c r="L122" s="310" t="s">
        <v>13</v>
      </c>
      <c r="M122" s="311" t="s">
        <v>71</v>
      </c>
      <c r="N122" s="312" t="s">
        <v>49</v>
      </c>
      <c r="P122" s="292" t="s">
        <v>1635</v>
      </c>
      <c r="Q122" s="308" t="s">
        <v>12</v>
      </c>
      <c r="R122" s="309" t="s">
        <v>14</v>
      </c>
      <c r="S122" s="310" t="s">
        <v>13</v>
      </c>
      <c r="T122" s="311" t="s">
        <v>71</v>
      </c>
      <c r="U122" s="312" t="s">
        <v>49</v>
      </c>
      <c r="W122" s="292" t="s">
        <v>1635</v>
      </c>
      <c r="X122" s="308" t="s">
        <v>12</v>
      </c>
      <c r="Y122" s="309" t="s">
        <v>14</v>
      </c>
      <c r="Z122" s="310" t="s">
        <v>13</v>
      </c>
      <c r="AA122" s="312" t="s">
        <v>49</v>
      </c>
    </row>
    <row r="123" spans="2:27">
      <c r="B123" s="163" t="s">
        <v>185</v>
      </c>
      <c r="C123" s="319">
        <f>COUNTIF(Logs!$C374:$N374, C$122)</f>
        <v>12</v>
      </c>
      <c r="D123" s="8">
        <f>COUNTIF(Logs!$C374:$N374, D$122)</f>
        <v>0</v>
      </c>
      <c r="E123" s="33">
        <f>COUNTIF(Logs!$C374:$N374, E$122)</f>
        <v>0</v>
      </c>
      <c r="F123" s="403">
        <f>COUNTIF(Logs!$C374:$N374, F$122)</f>
        <v>0</v>
      </c>
      <c r="G123" s="329">
        <f>COUNTIF(Logs!$C374:$N374, G$122)</f>
        <v>0</v>
      </c>
      <c r="I123" s="163" t="s">
        <v>185</v>
      </c>
      <c r="J123" s="319">
        <f>COUNTIF(Logs!$C393:$O393, J$122)</f>
        <v>12</v>
      </c>
      <c r="K123" s="8">
        <f>COUNTIF(Logs!$C393:$O393, K$122)</f>
        <v>0</v>
      </c>
      <c r="L123" s="33">
        <f>COUNTIF(Logs!$C393:$O393, L$122)</f>
        <v>0</v>
      </c>
      <c r="M123" s="403">
        <f>COUNTIF(Logs!$C393:$O393, M$122)</f>
        <v>0</v>
      </c>
      <c r="N123" s="329">
        <f>COUNTIF(Logs!$C393:$O393, N$122)</f>
        <v>0</v>
      </c>
      <c r="P123" s="163" t="s">
        <v>185</v>
      </c>
      <c r="Q123" s="319">
        <f>COUNTIF(Logs!$C411:$N411, Q$122)</f>
        <v>12</v>
      </c>
      <c r="R123" s="8">
        <f>COUNTIF(Logs!$C411:$N411, R$122)</f>
        <v>0</v>
      </c>
      <c r="S123" s="33">
        <f>COUNTIF(Logs!$C411:$N411, S$122)</f>
        <v>0</v>
      </c>
      <c r="T123" s="403">
        <f>COUNTIF(Logs!$C411:$N411, T$122)</f>
        <v>0</v>
      </c>
      <c r="U123" s="329">
        <f>COUNTIF(Logs!$C411:$N411, U$122)</f>
        <v>0</v>
      </c>
      <c r="W123" s="163" t="s">
        <v>185</v>
      </c>
      <c r="X123" s="319">
        <f>COUNTIF(Logs!$C429:$N429, X$122)</f>
        <v>12</v>
      </c>
      <c r="Y123" s="8">
        <f>COUNTIF(Logs!$C429:$N429, Y$122)</f>
        <v>0</v>
      </c>
      <c r="Z123" s="33">
        <f>COUNTIF(Logs!$C429:$N429, Z$122)</f>
        <v>0</v>
      </c>
      <c r="AA123" s="329">
        <f>COUNTIF(Logs!$C429:$N429, AA$122)</f>
        <v>0</v>
      </c>
    </row>
    <row r="124" spans="2:27">
      <c r="B124" s="163" t="s">
        <v>186</v>
      </c>
      <c r="C124" s="319">
        <f>COUNTIF(Logs!$C375:$N375, C$122)</f>
        <v>7</v>
      </c>
      <c r="D124" s="8">
        <f>COUNTIF(Logs!$C375:$N375, D$122)</f>
        <v>3</v>
      </c>
      <c r="E124" s="33">
        <f>COUNTIF(Logs!$C375:$N375, E$122)</f>
        <v>0</v>
      </c>
      <c r="F124" s="403">
        <f>COUNTIF(Logs!$C375:$N375, F$122)</f>
        <v>1</v>
      </c>
      <c r="G124" s="329">
        <f>COUNTIF(Logs!$C375:$N375, G$122)</f>
        <v>1</v>
      </c>
      <c r="I124" s="163" t="s">
        <v>186</v>
      </c>
      <c r="J124" s="319">
        <f>COUNTIF(Logs!$C394:$O394, J$122)</f>
        <v>6</v>
      </c>
      <c r="K124" s="8">
        <f>COUNTIF(Logs!$C394:$O394, K$122)</f>
        <v>3</v>
      </c>
      <c r="L124" s="33">
        <f>COUNTIF(Logs!$C394:$O394, L$122)</f>
        <v>2</v>
      </c>
      <c r="M124" s="403">
        <f>COUNTIF(Logs!$C394:$O394, M$122)</f>
        <v>0</v>
      </c>
      <c r="N124" s="329">
        <f>COUNTIF(Logs!$C394:$O394, N$122)</f>
        <v>1</v>
      </c>
      <c r="P124" s="163" t="s">
        <v>186</v>
      </c>
      <c r="Q124" s="319">
        <f>COUNTIF(Logs!$C412:$N412, Q$122)</f>
        <v>8</v>
      </c>
      <c r="R124" s="8">
        <f>COUNTIF(Logs!$C412:$N412, R$122)</f>
        <v>1</v>
      </c>
      <c r="S124" s="33">
        <f>COUNTIF(Logs!$C412:$N412, S$122)</f>
        <v>2</v>
      </c>
      <c r="T124" s="403">
        <f>COUNTIF(Logs!$C412:$N412, T$122)</f>
        <v>1</v>
      </c>
      <c r="U124" s="329">
        <f>COUNTIF(Logs!$C412:$N412, U$122)</f>
        <v>0</v>
      </c>
      <c r="W124" s="163" t="s">
        <v>186</v>
      </c>
      <c r="X124" s="319">
        <f>COUNTIF(Logs!$C430:$N430, X$122)</f>
        <v>7</v>
      </c>
      <c r="Y124" s="8">
        <f>COUNTIF(Logs!$C430:$N430, Y$122)</f>
        <v>3</v>
      </c>
      <c r="Z124" s="33">
        <f>COUNTIF(Logs!$C430:$N430, Z$122)</f>
        <v>1</v>
      </c>
      <c r="AA124" s="329">
        <f>COUNTIF(Logs!$C430:$N430, AA$122)</f>
        <v>1</v>
      </c>
    </row>
    <row r="125" spans="2:27">
      <c r="B125" s="163" t="s">
        <v>187</v>
      </c>
      <c r="C125" s="319">
        <f>COUNTIF(Logs!$C376:$N376, C$122)</f>
        <v>6</v>
      </c>
      <c r="D125" s="8">
        <f>COUNTIF(Logs!$C376:$N376, D$122)</f>
        <v>4</v>
      </c>
      <c r="E125" s="33">
        <f>COUNTIF(Logs!$C376:$N376, E$122)</f>
        <v>1</v>
      </c>
      <c r="F125" s="403">
        <f>COUNTIF(Logs!$C376:$N376, F$122)</f>
        <v>1</v>
      </c>
      <c r="G125" s="329">
        <f>COUNTIF(Logs!$C376:$N376, G$122)</f>
        <v>0</v>
      </c>
      <c r="I125" s="163" t="s">
        <v>187</v>
      </c>
      <c r="J125" s="319">
        <f>COUNTIF(Logs!$C395:$O395, J$122)</f>
        <v>9</v>
      </c>
      <c r="K125" s="8">
        <f>COUNTIF(Logs!$C395:$O395, K$122)</f>
        <v>1</v>
      </c>
      <c r="L125" s="33">
        <f>COUNTIF(Logs!$C395:$O395, L$122)</f>
        <v>1</v>
      </c>
      <c r="M125" s="403">
        <f>COUNTIF(Logs!$C395:$O395, M$122)</f>
        <v>1</v>
      </c>
      <c r="N125" s="329">
        <f>COUNTIF(Logs!$C395:$O395, N$122)</f>
        <v>0</v>
      </c>
      <c r="P125" s="163" t="s">
        <v>187</v>
      </c>
      <c r="Q125" s="319">
        <f>COUNTIF(Logs!$C413:$N413, Q$122)</f>
        <v>5</v>
      </c>
      <c r="R125" s="8">
        <f>COUNTIF(Logs!$C413:$N413, R$122)</f>
        <v>2</v>
      </c>
      <c r="S125" s="33">
        <f>COUNTIF(Logs!$C413:$N413, S$122)</f>
        <v>5</v>
      </c>
      <c r="T125" s="403">
        <f>COUNTIF(Logs!$C413:$N413, T$122)</f>
        <v>0</v>
      </c>
      <c r="U125" s="329">
        <f>COUNTIF(Logs!$C413:$N413, U$122)</f>
        <v>0</v>
      </c>
      <c r="W125" s="163" t="s">
        <v>187</v>
      </c>
      <c r="X125" s="319">
        <f>COUNTIF(Logs!$C431:$N431, X$122)</f>
        <v>6</v>
      </c>
      <c r="Y125" s="8">
        <f>COUNTIF(Logs!$C431:$N431, Y$122)</f>
        <v>4</v>
      </c>
      <c r="Z125" s="33">
        <f>COUNTIF(Logs!$C431:$N431, Z$122)</f>
        <v>2</v>
      </c>
      <c r="AA125" s="329">
        <f>COUNTIF(Logs!$C431:$N431, AA$122)</f>
        <v>0</v>
      </c>
    </row>
    <row r="126" spans="2:27">
      <c r="B126" s="163" t="s">
        <v>188</v>
      </c>
      <c r="C126" s="319">
        <f>COUNTIF(Logs!$C377:$N377, C$122)</f>
        <v>5</v>
      </c>
      <c r="D126" s="8">
        <f>COUNTIF(Logs!$C377:$N377, D$122)</f>
        <v>1</v>
      </c>
      <c r="E126" s="33">
        <f>COUNTIF(Logs!$C377:$N377, E$122)</f>
        <v>4</v>
      </c>
      <c r="F126" s="403">
        <f>COUNTIF(Logs!$C377:$N377, F$122)</f>
        <v>0</v>
      </c>
      <c r="G126" s="329">
        <f>COUNTIF(Logs!$C377:$N377, G$122)</f>
        <v>2</v>
      </c>
      <c r="I126" s="163" t="s">
        <v>188</v>
      </c>
      <c r="J126" s="319">
        <f>COUNTIF(Logs!$C396:$O396, J$122)</f>
        <v>4</v>
      </c>
      <c r="K126" s="8">
        <f>COUNTIF(Logs!$C396:$O396, K$122)</f>
        <v>4</v>
      </c>
      <c r="L126" s="33">
        <f>COUNTIF(Logs!$C396:$O396, L$122)</f>
        <v>3</v>
      </c>
      <c r="M126" s="403">
        <f>COUNTIF(Logs!$C396:$O396, M$122)</f>
        <v>0</v>
      </c>
      <c r="N126" s="329">
        <f>COUNTIF(Logs!$C396:$O396, N$122)</f>
        <v>1</v>
      </c>
      <c r="P126" s="163" t="s">
        <v>188</v>
      </c>
      <c r="Q126" s="319">
        <f>COUNTIF(Logs!$C414:$N414, Q$122)</f>
        <v>7</v>
      </c>
      <c r="R126" s="8">
        <f>COUNTIF(Logs!$C414:$N414, R$122)</f>
        <v>1</v>
      </c>
      <c r="S126" s="33">
        <f>COUNTIF(Logs!$C414:$N414, S$122)</f>
        <v>2</v>
      </c>
      <c r="T126" s="403">
        <f>COUNTIF(Logs!$C414:$N414, T$122)</f>
        <v>0</v>
      </c>
      <c r="U126" s="329">
        <f>COUNTIF(Logs!$C414:$N414, U$122)</f>
        <v>2</v>
      </c>
      <c r="W126" s="163" t="s">
        <v>188</v>
      </c>
      <c r="X126" s="319">
        <f>COUNTIF(Logs!$C432:$N432, X$122)</f>
        <v>10</v>
      </c>
      <c r="Y126" s="8">
        <f>COUNTIF(Logs!$C432:$N432, Y$122)</f>
        <v>0</v>
      </c>
      <c r="Z126" s="33">
        <f>COUNTIF(Logs!$C432:$N432, Z$122)</f>
        <v>2</v>
      </c>
      <c r="AA126" s="329">
        <f>COUNTIF(Logs!$C432:$N432, AA$122)</f>
        <v>0</v>
      </c>
    </row>
    <row r="127" spans="2:27">
      <c r="B127" s="163" t="s">
        <v>189</v>
      </c>
      <c r="C127" s="319">
        <f>COUNTIF(Logs!$C378:$N378, C$122)</f>
        <v>6</v>
      </c>
      <c r="D127" s="8">
        <f>COUNTIF(Logs!$C378:$N378, D$122)</f>
        <v>2</v>
      </c>
      <c r="E127" s="33">
        <f>COUNTIF(Logs!$C378:$N378, E$122)</f>
        <v>4</v>
      </c>
      <c r="F127" s="403">
        <f>COUNTIF(Logs!$C378:$N378, F$122)</f>
        <v>0</v>
      </c>
      <c r="G127" s="329">
        <f>COUNTIF(Logs!$C378:$N378, G$122)</f>
        <v>0</v>
      </c>
      <c r="I127" s="163" t="s">
        <v>189</v>
      </c>
      <c r="J127" s="319">
        <f>COUNTIF(Logs!$C397:$O397, J$122)</f>
        <v>5</v>
      </c>
      <c r="K127" s="8">
        <f>COUNTIF(Logs!$C397:$O397, K$122)</f>
        <v>3</v>
      </c>
      <c r="L127" s="33">
        <f>COUNTIF(Logs!$C397:$O397, L$122)</f>
        <v>2</v>
      </c>
      <c r="M127" s="403">
        <f>COUNTIF(Logs!$C397:$O397, M$122)</f>
        <v>0</v>
      </c>
      <c r="N127" s="329">
        <f>COUNTIF(Logs!$C397:$O397, N$122)</f>
        <v>0</v>
      </c>
      <c r="P127" s="163" t="s">
        <v>189</v>
      </c>
      <c r="Q127" s="319">
        <f>COUNTIF(Logs!$C415:$N415, Q$122)</f>
        <v>5</v>
      </c>
      <c r="R127" s="8">
        <f>COUNTIF(Logs!$C415:$N415, R$122)</f>
        <v>6</v>
      </c>
      <c r="S127" s="33">
        <f>COUNTIF(Logs!$C415:$N415, S$122)</f>
        <v>1</v>
      </c>
      <c r="T127" s="403">
        <f>COUNTIF(Logs!$C415:$N415, T$122)</f>
        <v>0</v>
      </c>
      <c r="U127" s="329">
        <f>COUNTIF(Logs!$C415:$N415, U$122)</f>
        <v>0</v>
      </c>
      <c r="W127" s="163" t="s">
        <v>189</v>
      </c>
      <c r="X127" s="319">
        <f>COUNTIF(Logs!$C433:$N433, X$122)</f>
        <v>4</v>
      </c>
      <c r="Y127" s="8">
        <f>COUNTIF(Logs!$C433:$N433, Y$122)</f>
        <v>3</v>
      </c>
      <c r="Z127" s="33">
        <f>COUNTIF(Logs!$C433:$N433, Z$122)</f>
        <v>3</v>
      </c>
      <c r="AA127" s="329">
        <f>COUNTIF(Logs!$C433:$N433, AA$122)</f>
        <v>2</v>
      </c>
    </row>
    <row r="128" spans="2:27">
      <c r="B128" s="163" t="s">
        <v>190</v>
      </c>
      <c r="C128" s="319">
        <f>COUNTIF(Logs!$C379:$N379, C$122)</f>
        <v>8</v>
      </c>
      <c r="D128" s="8">
        <f>COUNTIF(Logs!$C379:$N379, D$122)</f>
        <v>1</v>
      </c>
      <c r="E128" s="33">
        <f>COUNTIF(Logs!$C379:$N379, E$122)</f>
        <v>1</v>
      </c>
      <c r="F128" s="403">
        <f>COUNTIF(Logs!$C379:$N379, F$122)</f>
        <v>0</v>
      </c>
      <c r="G128" s="329">
        <f>COUNTIF(Logs!$C379:$N379, G$122)</f>
        <v>0</v>
      </c>
      <c r="I128" s="163" t="s">
        <v>190</v>
      </c>
      <c r="J128" s="319">
        <f>COUNTIF(Logs!$C398:$O398, J$122)</f>
        <v>5</v>
      </c>
      <c r="K128" s="8">
        <f>COUNTIF(Logs!$C398:$O398, K$122)</f>
        <v>2</v>
      </c>
      <c r="L128" s="33">
        <f>COUNTIF(Logs!$C398:$O398, L$122)</f>
        <v>1</v>
      </c>
      <c r="M128" s="403">
        <f>COUNTIF(Logs!$C398:$O398, M$122)</f>
        <v>0</v>
      </c>
      <c r="N128" s="329">
        <f>COUNTIF(Logs!$C398:$O398, N$122)</f>
        <v>0</v>
      </c>
      <c r="P128" s="163" t="s">
        <v>190</v>
      </c>
      <c r="Q128" s="319">
        <f>COUNTIF(Logs!$C416:$N416, Q$122)</f>
        <v>9</v>
      </c>
      <c r="R128" s="8">
        <f>COUNTIF(Logs!$C416:$N416, R$122)</f>
        <v>2</v>
      </c>
      <c r="S128" s="33">
        <f>COUNTIF(Logs!$C416:$N416, S$122)</f>
        <v>0</v>
      </c>
      <c r="T128" s="403">
        <f>COUNTIF(Logs!$C416:$N416, T$122)</f>
        <v>0</v>
      </c>
      <c r="U128" s="329">
        <f>COUNTIF(Logs!$C416:$N416, U$122)</f>
        <v>0</v>
      </c>
      <c r="W128" s="163" t="s">
        <v>190</v>
      </c>
      <c r="X128" s="319">
        <f>COUNTIF(Logs!$C434:$N434, X$122)</f>
        <v>8</v>
      </c>
      <c r="Y128" s="8">
        <f>COUNTIF(Logs!$C434:$N434, Y$122)</f>
        <v>1</v>
      </c>
      <c r="Z128" s="33">
        <f>COUNTIF(Logs!$C434:$N434, Z$122)</f>
        <v>1</v>
      </c>
      <c r="AA128" s="329">
        <f>COUNTIF(Logs!$C434:$N434, AA$122)</f>
        <v>0</v>
      </c>
    </row>
    <row r="129" spans="2:27">
      <c r="B129" s="163" t="s">
        <v>191</v>
      </c>
      <c r="C129" s="319">
        <f>COUNTIF(Logs!$C380:$N380, C$122)</f>
        <v>3</v>
      </c>
      <c r="D129" s="8">
        <f>COUNTIF(Logs!$C380:$N380, D$122)</f>
        <v>3</v>
      </c>
      <c r="E129" s="33">
        <f>COUNTIF(Logs!$C380:$N380, E$122)</f>
        <v>0</v>
      </c>
      <c r="F129" s="403">
        <f>COUNTIF(Logs!$C380:$N380, F$122)</f>
        <v>0</v>
      </c>
      <c r="G129" s="329">
        <f>COUNTIF(Logs!$C380:$N380, G$122)</f>
        <v>0</v>
      </c>
      <c r="I129" s="163" t="s">
        <v>191</v>
      </c>
      <c r="J129" s="319">
        <f>COUNTIF(Logs!$C399:$O399, J$122)</f>
        <v>6</v>
      </c>
      <c r="K129" s="8">
        <f>COUNTIF(Logs!$C399:$O399, K$122)</f>
        <v>0</v>
      </c>
      <c r="L129" s="33">
        <f>COUNTIF(Logs!$C399:$O399, L$122)</f>
        <v>0</v>
      </c>
      <c r="M129" s="403">
        <f>COUNTIF(Logs!$C399:$O399, M$122)</f>
        <v>0</v>
      </c>
      <c r="N129" s="329">
        <f>COUNTIF(Logs!$C399:$O399, N$122)</f>
        <v>0</v>
      </c>
      <c r="P129" s="163" t="s">
        <v>191</v>
      </c>
      <c r="Q129" s="319">
        <f>COUNTIF(Logs!$C417:$N417, Q$122)</f>
        <v>5</v>
      </c>
      <c r="R129" s="8">
        <f>COUNTIF(Logs!$C417:$N417, R$122)</f>
        <v>1</v>
      </c>
      <c r="S129" s="33">
        <f>COUNTIF(Logs!$C417:$N417, S$122)</f>
        <v>0</v>
      </c>
      <c r="T129" s="403">
        <f>COUNTIF(Logs!$C417:$N417, T$122)</f>
        <v>0</v>
      </c>
      <c r="U129" s="329">
        <f>COUNTIF(Logs!$C417:$N417, U$122)</f>
        <v>0</v>
      </c>
      <c r="W129" s="163" t="s">
        <v>191</v>
      </c>
      <c r="X129" s="319">
        <f>COUNTIF(Logs!$C435:$N435, X$122)</f>
        <v>4</v>
      </c>
      <c r="Y129" s="8">
        <f>COUNTIF(Logs!$C435:$N435, Y$122)</f>
        <v>1</v>
      </c>
      <c r="Z129" s="33">
        <f>COUNTIF(Logs!$C435:$N435, Z$122)</f>
        <v>0</v>
      </c>
      <c r="AA129" s="329">
        <f>COUNTIF(Logs!$C435:$N435, AA$122)</f>
        <v>0</v>
      </c>
    </row>
    <row r="130" spans="2:27">
      <c r="B130" s="163" t="s">
        <v>192</v>
      </c>
      <c r="C130" s="319">
        <f>COUNTIF(Logs!$C381:$N381, C$122)</f>
        <v>3</v>
      </c>
      <c r="D130" s="8">
        <f>COUNTIF(Logs!$C381:$N381, D$122)</f>
        <v>0</v>
      </c>
      <c r="E130" s="33">
        <f>COUNTIF(Logs!$C381:$N381, E$122)</f>
        <v>0</v>
      </c>
      <c r="F130" s="403">
        <f>COUNTIF(Logs!$C381:$N381, F$122)</f>
        <v>0</v>
      </c>
      <c r="G130" s="329">
        <f>COUNTIF(Logs!$C381:$N381, G$122)</f>
        <v>0</v>
      </c>
      <c r="I130" s="163" t="s">
        <v>192</v>
      </c>
      <c r="J130" s="319">
        <f>COUNTIF(Logs!$C400:$O400, J$122)</f>
        <v>2</v>
      </c>
      <c r="K130" s="8">
        <f>COUNTIF(Logs!$C400:$O400, K$122)</f>
        <v>0</v>
      </c>
      <c r="L130" s="33">
        <f>COUNTIF(Logs!$C400:$O400, L$122)</f>
        <v>0</v>
      </c>
      <c r="M130" s="403">
        <f>COUNTIF(Logs!$C400:$O400, M$122)</f>
        <v>0</v>
      </c>
      <c r="N130" s="329">
        <f>COUNTIF(Logs!$C400:$O400, N$122)</f>
        <v>0</v>
      </c>
      <c r="P130" s="163" t="s">
        <v>192</v>
      </c>
      <c r="Q130" s="319">
        <f>COUNTIF(Logs!$C418:$N418, Q$122)</f>
        <v>1</v>
      </c>
      <c r="R130" s="8">
        <f>COUNTIF(Logs!$C418:$N418, R$122)</f>
        <v>0</v>
      </c>
      <c r="S130" s="33">
        <f>COUNTIF(Logs!$C418:$N418, S$122)</f>
        <v>0</v>
      </c>
      <c r="T130" s="403">
        <f>COUNTIF(Logs!$C418:$N418, T$122)</f>
        <v>0</v>
      </c>
      <c r="U130" s="329">
        <f>COUNTIF(Logs!$C418:$N418, U$122)</f>
        <v>0</v>
      </c>
      <c r="W130" s="163" t="s">
        <v>192</v>
      </c>
      <c r="X130" s="319">
        <f>COUNTIF(Logs!$C436:$N436, X$122)</f>
        <v>2</v>
      </c>
      <c r="Y130" s="8">
        <f>COUNTIF(Logs!$C436:$N436, Y$122)</f>
        <v>0</v>
      </c>
      <c r="Z130" s="33">
        <f>COUNTIF(Logs!$C436:$N436, Z$122)</f>
        <v>0</v>
      </c>
      <c r="AA130" s="329">
        <f>COUNTIF(Logs!$C436:$N436, AA$122)</f>
        <v>0</v>
      </c>
    </row>
    <row r="131" spans="2:27">
      <c r="B131" s="318" t="s">
        <v>182</v>
      </c>
      <c r="C131" s="402">
        <f>SUM(C123:C130)</f>
        <v>50</v>
      </c>
      <c r="D131" s="386">
        <f>SUM(D123:D130)</f>
        <v>14</v>
      </c>
      <c r="E131" s="387">
        <f>SUM(E123:E130)</f>
        <v>10</v>
      </c>
      <c r="F131" s="404">
        <f>SUM(F123:F130)</f>
        <v>2</v>
      </c>
      <c r="G131" s="406">
        <f>SUM(G123:G130)</f>
        <v>3</v>
      </c>
      <c r="I131" s="163" t="s">
        <v>193</v>
      </c>
      <c r="J131" s="319">
        <f>COUNTIF(Logs!$C401:$O401, J$122)</f>
        <v>1</v>
      </c>
      <c r="K131" s="8">
        <f>COUNTIF(Logs!$C401:$O401, K$122)</f>
        <v>0</v>
      </c>
      <c r="L131" s="33">
        <f>COUNTIF(Logs!$C401:$O401, L$122)</f>
        <v>0</v>
      </c>
      <c r="M131" s="403">
        <f>COUNTIF(Logs!$C401:$O401, M$122)</f>
        <v>0</v>
      </c>
      <c r="N131" s="329">
        <f>COUNTIF(Logs!$C401:$O401, N$122)</f>
        <v>0</v>
      </c>
      <c r="P131" s="318" t="s">
        <v>182</v>
      </c>
      <c r="Q131" s="402">
        <f>SUM(Q123:Q130)</f>
        <v>52</v>
      </c>
      <c r="R131" s="386">
        <f>SUM(R123:R130)</f>
        <v>13</v>
      </c>
      <c r="S131" s="387">
        <f>SUM(S123:S130)</f>
        <v>10</v>
      </c>
      <c r="T131" s="404">
        <f>SUM(T123:T130)</f>
        <v>1</v>
      </c>
      <c r="U131" s="406">
        <f>SUM(U123:U130)</f>
        <v>2</v>
      </c>
      <c r="W131" s="318" t="s">
        <v>182</v>
      </c>
      <c r="X131" s="402">
        <f>SUM(X123:X130)</f>
        <v>53</v>
      </c>
      <c r="Y131" s="386">
        <f>SUM(Y123:Y130)</f>
        <v>12</v>
      </c>
      <c r="Z131" s="387">
        <f>SUM(Z123:Z130)</f>
        <v>9</v>
      </c>
      <c r="AA131" s="406">
        <f>SUM(AA123:AA130)</f>
        <v>3</v>
      </c>
    </row>
    <row r="132" spans="2:27">
      <c r="I132" s="163" t="s">
        <v>194</v>
      </c>
      <c r="J132" s="319">
        <f>COUNTIF(Logs!$C402:$O402, J$122)</f>
        <v>1</v>
      </c>
      <c r="K132" s="8">
        <f>COUNTIF(Logs!$C402:$O402, K$122)</f>
        <v>0</v>
      </c>
      <c r="L132" s="33">
        <f>COUNTIF(Logs!$C402:$O402, L$122)</f>
        <v>0</v>
      </c>
      <c r="M132" s="403">
        <f>COUNTIF(Logs!$C402:$O402, M$122)</f>
        <v>0</v>
      </c>
      <c r="N132" s="329">
        <f>COUNTIF(Logs!$C402:$O402, N$122)</f>
        <v>0</v>
      </c>
    </row>
    <row r="133" spans="2:27">
      <c r="I133" s="318" t="s">
        <v>182</v>
      </c>
      <c r="J133" s="402">
        <f>SUM(J123:J132)</f>
        <v>51</v>
      </c>
      <c r="K133" s="386">
        <f>SUM(K123:K132)</f>
        <v>13</v>
      </c>
      <c r="L133" s="387">
        <f>SUM(L123:L132)</f>
        <v>9</v>
      </c>
      <c r="M133" s="404">
        <f>SUM(M123:M132)</f>
        <v>1</v>
      </c>
      <c r="N133" s="406">
        <f>SUM(N123:N132)</f>
        <v>2</v>
      </c>
    </row>
    <row r="135" spans="2:27">
      <c r="B135" s="57" t="s">
        <v>116</v>
      </c>
      <c r="I135" s="57" t="s">
        <v>104</v>
      </c>
      <c r="O135" s="57" t="s">
        <v>95</v>
      </c>
      <c r="V135" s="57" t="s">
        <v>85</v>
      </c>
    </row>
    <row r="136" spans="2:27">
      <c r="B136" s="292" t="s">
        <v>1635</v>
      </c>
      <c r="C136" s="308" t="s">
        <v>12</v>
      </c>
      <c r="D136" s="309" t="s">
        <v>14</v>
      </c>
      <c r="E136" s="310" t="s">
        <v>13</v>
      </c>
      <c r="F136" s="311" t="s">
        <v>71</v>
      </c>
      <c r="G136" s="312" t="s">
        <v>49</v>
      </c>
      <c r="I136" s="292" t="s">
        <v>1635</v>
      </c>
      <c r="J136" s="308" t="s">
        <v>12</v>
      </c>
      <c r="K136" s="309" t="s">
        <v>14</v>
      </c>
      <c r="L136" s="310" t="s">
        <v>13</v>
      </c>
      <c r="M136" s="312" t="s">
        <v>49</v>
      </c>
      <c r="O136" s="292" t="s">
        <v>1635</v>
      </c>
      <c r="P136" s="308" t="s">
        <v>12</v>
      </c>
      <c r="Q136" s="309" t="s">
        <v>14</v>
      </c>
      <c r="R136" s="310" t="s">
        <v>13</v>
      </c>
      <c r="S136" s="311" t="s">
        <v>71</v>
      </c>
      <c r="T136" s="312" t="s">
        <v>49</v>
      </c>
      <c r="V136" s="292" t="s">
        <v>1635</v>
      </c>
      <c r="W136" s="308" t="s">
        <v>12</v>
      </c>
      <c r="X136" s="309" t="s">
        <v>14</v>
      </c>
      <c r="Y136" s="310" t="s">
        <v>13</v>
      </c>
      <c r="Z136" s="312" t="s">
        <v>49</v>
      </c>
    </row>
    <row r="137" spans="2:27">
      <c r="B137" s="163" t="s">
        <v>185</v>
      </c>
      <c r="C137" s="319">
        <f>COUNTIF(Logs!$C447:$N447, C$136)</f>
        <v>12</v>
      </c>
      <c r="D137" s="8">
        <f>COUNTIF(Logs!$C447:$N447, D$136)</f>
        <v>0</v>
      </c>
      <c r="E137" s="33">
        <f>COUNTIF(Logs!$C447:$N447, E$136)</f>
        <v>0</v>
      </c>
      <c r="F137" s="403">
        <f>COUNTIF(Logs!$C447:$N447, F$136)</f>
        <v>0</v>
      </c>
      <c r="G137" s="329">
        <f>COUNTIF(Logs!$C447:$N447, G$136)</f>
        <v>0</v>
      </c>
      <c r="I137" s="163" t="s">
        <v>185</v>
      </c>
      <c r="J137" s="319">
        <f>COUNTIF(Logs!$C465:$N465, J$136)</f>
        <v>12</v>
      </c>
      <c r="K137" s="8">
        <f>COUNTIF(Logs!$C465:$N465, K$136)</f>
        <v>0</v>
      </c>
      <c r="L137" s="33">
        <f>COUNTIF(Logs!$C465:$N465, L$136)</f>
        <v>0</v>
      </c>
      <c r="M137" s="329">
        <f>COUNTIF(Logs!$C465:$N465, M$136)</f>
        <v>0</v>
      </c>
      <c r="O137" s="163" t="s">
        <v>185</v>
      </c>
      <c r="P137" s="319">
        <f>COUNTIF(Logs!$C483:$N483, P$136)</f>
        <v>11</v>
      </c>
      <c r="Q137" s="8">
        <f>COUNTIF(Logs!$C483:$N483, Q$136)</f>
        <v>1</v>
      </c>
      <c r="R137" s="33">
        <f>COUNTIF(Logs!$C483:$N483, R$136)</f>
        <v>0</v>
      </c>
      <c r="S137" s="403">
        <f>COUNTIF(Logs!$C483:$N483, S$136)</f>
        <v>0</v>
      </c>
      <c r="T137" s="329">
        <f>COUNTIF(Logs!$C483:$N483, T$136)</f>
        <v>0</v>
      </c>
      <c r="V137" s="163" t="s">
        <v>185</v>
      </c>
      <c r="W137" s="319">
        <f>COUNTIF(Logs!$C501:$N501, W$136)</f>
        <v>12</v>
      </c>
      <c r="X137" s="8">
        <f>COUNTIF(Logs!$C501:$N501, X$136)</f>
        <v>0</v>
      </c>
      <c r="Y137" s="33">
        <f>COUNTIF(Logs!$C501:$N501, Y$136)</f>
        <v>0</v>
      </c>
      <c r="Z137" s="329">
        <f>COUNTIF(Logs!$C501:$N501, Z$136)</f>
        <v>0</v>
      </c>
    </row>
    <row r="138" spans="2:27">
      <c r="B138" s="163" t="s">
        <v>186</v>
      </c>
      <c r="C138" s="319">
        <f>COUNTIF(Logs!$C448:$N448, C$136)</f>
        <v>8</v>
      </c>
      <c r="D138" s="8">
        <f>COUNTIF(Logs!$C448:$N448, D$136)</f>
        <v>0</v>
      </c>
      <c r="E138" s="33">
        <f>COUNTIF(Logs!$C448:$N448, E$136)</f>
        <v>1</v>
      </c>
      <c r="F138" s="403">
        <f>COUNTIF(Logs!$C448:$N448, F$136)</f>
        <v>1</v>
      </c>
      <c r="G138" s="329">
        <f>COUNTIF(Logs!$C448:$N448, G$136)</f>
        <v>2</v>
      </c>
      <c r="I138" s="163" t="s">
        <v>186</v>
      </c>
      <c r="J138" s="319">
        <f>COUNTIF(Logs!$C466:$N466, J$136)</f>
        <v>4</v>
      </c>
      <c r="K138" s="8">
        <f>COUNTIF(Logs!$C466:$N466, K$136)</f>
        <v>4</v>
      </c>
      <c r="L138" s="33">
        <f>COUNTIF(Logs!$C466:$N466, L$136)</f>
        <v>3</v>
      </c>
      <c r="M138" s="329">
        <f>COUNTIF(Logs!$C466:$N466, M$136)</f>
        <v>1</v>
      </c>
      <c r="O138" s="163" t="s">
        <v>186</v>
      </c>
      <c r="P138" s="319">
        <f>COUNTIF(Logs!$C484:$N484, P$136)</f>
        <v>4</v>
      </c>
      <c r="Q138" s="8">
        <f>COUNTIF(Logs!$C484:$N484, Q$136)</f>
        <v>4</v>
      </c>
      <c r="R138" s="33">
        <f>COUNTIF(Logs!$C484:$N484, R$136)</f>
        <v>3</v>
      </c>
      <c r="S138" s="403">
        <f>COUNTIF(Logs!$C484:$N484, S$136)</f>
        <v>0</v>
      </c>
      <c r="T138" s="329">
        <f>COUNTIF(Logs!$C484:$N484, T$136)</f>
        <v>1</v>
      </c>
      <c r="V138" s="163" t="s">
        <v>186</v>
      </c>
      <c r="W138" s="319">
        <f>COUNTIF(Logs!$C502:$N502, W$136)</f>
        <v>8</v>
      </c>
      <c r="X138" s="8">
        <f>COUNTIF(Logs!$C502:$N502, X$136)</f>
        <v>2</v>
      </c>
      <c r="Y138" s="33">
        <f>COUNTIF(Logs!$C502:$N502, Y$136)</f>
        <v>2</v>
      </c>
      <c r="Z138" s="329">
        <f>COUNTIF(Logs!$C502:$N502, Z$136)</f>
        <v>0</v>
      </c>
    </row>
    <row r="139" spans="2:27">
      <c r="B139" s="163" t="s">
        <v>187</v>
      </c>
      <c r="C139" s="319">
        <f>COUNTIF(Logs!$C449:$N449, C$136)</f>
        <v>5</v>
      </c>
      <c r="D139" s="8">
        <f>COUNTIF(Logs!$C449:$N449, D$136)</f>
        <v>2</v>
      </c>
      <c r="E139" s="33">
        <f>COUNTIF(Logs!$C449:$N449, E$136)</f>
        <v>5</v>
      </c>
      <c r="F139" s="403">
        <f>COUNTIF(Logs!$C449:$N449, F$136)</f>
        <v>0</v>
      </c>
      <c r="G139" s="329">
        <f>COUNTIF(Logs!$C449:$N449, G$136)</f>
        <v>0</v>
      </c>
      <c r="I139" s="163" t="s">
        <v>187</v>
      </c>
      <c r="J139" s="319">
        <f>COUNTIF(Logs!$C467:$N467, J$136)</f>
        <v>7</v>
      </c>
      <c r="K139" s="8">
        <f>COUNTIF(Logs!$C467:$N467, K$136)</f>
        <v>2</v>
      </c>
      <c r="L139" s="33">
        <f>COUNTIF(Logs!$C467:$N467, L$136)</f>
        <v>1</v>
      </c>
      <c r="M139" s="329">
        <f>COUNTIF(Logs!$C467:$N467, M$136)</f>
        <v>2</v>
      </c>
      <c r="O139" s="163" t="s">
        <v>187</v>
      </c>
      <c r="P139" s="319">
        <f>COUNTIF(Logs!$C485:$N485, P$136)</f>
        <v>6</v>
      </c>
      <c r="Q139" s="8">
        <f>COUNTIF(Logs!$C485:$N485, Q$136)</f>
        <v>4</v>
      </c>
      <c r="R139" s="33">
        <f>COUNTIF(Logs!$C485:$N485, R$136)</f>
        <v>1</v>
      </c>
      <c r="S139" s="403">
        <f>COUNTIF(Logs!$C485:$N485, S$136)</f>
        <v>1</v>
      </c>
      <c r="T139" s="329">
        <f>COUNTIF(Logs!$C485:$N485, T$136)</f>
        <v>0</v>
      </c>
      <c r="V139" s="163" t="s">
        <v>187</v>
      </c>
      <c r="W139" s="319">
        <f>COUNTIF(Logs!$C503:$N503, W$136)</f>
        <v>6</v>
      </c>
      <c r="X139" s="8">
        <f>COUNTIF(Logs!$C503:$N503, X$136)</f>
        <v>1</v>
      </c>
      <c r="Y139" s="33">
        <f>COUNTIF(Logs!$C503:$N503, Y$136)</f>
        <v>5</v>
      </c>
      <c r="Z139" s="329">
        <f>COUNTIF(Logs!$C503:$N503, Z$136)</f>
        <v>0</v>
      </c>
    </row>
    <row r="140" spans="2:27">
      <c r="B140" s="163" t="s">
        <v>188</v>
      </c>
      <c r="C140" s="319">
        <f>COUNTIF(Logs!$C450:$N450, C$136)</f>
        <v>9</v>
      </c>
      <c r="D140" s="8">
        <f>COUNTIF(Logs!$C450:$N450, D$136)</f>
        <v>2</v>
      </c>
      <c r="E140" s="33">
        <f>COUNTIF(Logs!$C450:$N450, E$136)</f>
        <v>1</v>
      </c>
      <c r="F140" s="403">
        <f>COUNTIF(Logs!$C450:$N450, F$136)</f>
        <v>0</v>
      </c>
      <c r="G140" s="329">
        <f>COUNTIF(Logs!$C450:$N450, G$136)</f>
        <v>0</v>
      </c>
      <c r="I140" s="163" t="s">
        <v>188</v>
      </c>
      <c r="J140" s="319">
        <f>COUNTIF(Logs!$C468:$N468, J$136)</f>
        <v>8</v>
      </c>
      <c r="K140" s="8">
        <f>COUNTIF(Logs!$C468:$N468, K$136)</f>
        <v>1</v>
      </c>
      <c r="L140" s="33">
        <f>COUNTIF(Logs!$C468:$N468, L$136)</f>
        <v>3</v>
      </c>
      <c r="M140" s="329">
        <f>COUNTIF(Logs!$C468:$N468, M$136)</f>
        <v>0</v>
      </c>
      <c r="O140" s="163" t="s">
        <v>188</v>
      </c>
      <c r="P140" s="319">
        <f>COUNTIF(Logs!$C486:$N486, P$136)</f>
        <v>8</v>
      </c>
      <c r="Q140" s="8">
        <f>COUNTIF(Logs!$C486:$N486, Q$136)</f>
        <v>2</v>
      </c>
      <c r="R140" s="33">
        <f>COUNTIF(Logs!$C486:$N486, R$136)</f>
        <v>2</v>
      </c>
      <c r="S140" s="403">
        <f>COUNTIF(Logs!$C486:$N486, S$136)</f>
        <v>0</v>
      </c>
      <c r="T140" s="329">
        <f>COUNTIF(Logs!$C486:$N486, T$136)</f>
        <v>0</v>
      </c>
      <c r="V140" s="163" t="s">
        <v>188</v>
      </c>
      <c r="W140" s="319">
        <f>COUNTIF(Logs!$C504:$N504, W$136)</f>
        <v>8</v>
      </c>
      <c r="X140" s="8">
        <f>COUNTIF(Logs!$C504:$N504, X$136)</f>
        <v>2</v>
      </c>
      <c r="Y140" s="33">
        <f>COUNTIF(Logs!$C504:$N504, Y$136)</f>
        <v>1</v>
      </c>
      <c r="Z140" s="329">
        <f>COUNTIF(Logs!$C504:$N504, Z$136)</f>
        <v>1</v>
      </c>
    </row>
    <row r="141" spans="2:27">
      <c r="B141" s="163" t="s">
        <v>189</v>
      </c>
      <c r="C141" s="319">
        <f>COUNTIF(Logs!$C451:$N451, C$136)</f>
        <v>6</v>
      </c>
      <c r="D141" s="8">
        <f>COUNTIF(Logs!$C451:$N451, D$136)</f>
        <v>5</v>
      </c>
      <c r="E141" s="33">
        <f>COUNTIF(Logs!$C451:$N451, E$136)</f>
        <v>0</v>
      </c>
      <c r="F141" s="403">
        <f>COUNTIF(Logs!$C451:$N451, F$136)</f>
        <v>0</v>
      </c>
      <c r="G141" s="329">
        <f>COUNTIF(Logs!$C451:$N451, G$136)</f>
        <v>1</v>
      </c>
      <c r="I141" s="163" t="s">
        <v>189</v>
      </c>
      <c r="J141" s="319">
        <f>COUNTIF(Logs!$C469:$N469, J$136)</f>
        <v>6</v>
      </c>
      <c r="K141" s="8">
        <f>COUNTIF(Logs!$C469:$N469, K$136)</f>
        <v>2</v>
      </c>
      <c r="L141" s="33">
        <f>COUNTIF(Logs!$C469:$N469, L$136)</f>
        <v>3</v>
      </c>
      <c r="M141" s="329">
        <f>COUNTIF(Logs!$C469:$N469, M$136)</f>
        <v>0</v>
      </c>
      <c r="O141" s="163" t="s">
        <v>189</v>
      </c>
      <c r="P141" s="319">
        <f>COUNTIF(Logs!$C487:$N487, P$136)</f>
        <v>7</v>
      </c>
      <c r="Q141" s="8">
        <f>COUNTIF(Logs!$C487:$N487, Q$136)</f>
        <v>1</v>
      </c>
      <c r="R141" s="33">
        <f>COUNTIF(Logs!$C487:$N487, R$136)</f>
        <v>4</v>
      </c>
      <c r="S141" s="403">
        <f>COUNTIF(Logs!$C487:$N487, S$136)</f>
        <v>0</v>
      </c>
      <c r="T141" s="329">
        <f>COUNTIF(Logs!$C487:$N487, T$136)</f>
        <v>0</v>
      </c>
      <c r="V141" s="163" t="s">
        <v>189</v>
      </c>
      <c r="W141" s="319">
        <f>COUNTIF(Logs!$C505:$N505, W$136)</f>
        <v>5</v>
      </c>
      <c r="X141" s="8">
        <f>COUNTIF(Logs!$C505:$N505, X$136)</f>
        <v>5</v>
      </c>
      <c r="Y141" s="33">
        <f>COUNTIF(Logs!$C505:$N505, Y$136)</f>
        <v>2</v>
      </c>
      <c r="Z141" s="329">
        <f>COUNTIF(Logs!$C505:$N505, Z$136)</f>
        <v>0</v>
      </c>
    </row>
    <row r="142" spans="2:27">
      <c r="B142" s="163" t="s">
        <v>190</v>
      </c>
      <c r="C142" s="319">
        <f>COUNTIF(Logs!$C452:$N452, C$136)</f>
        <v>9</v>
      </c>
      <c r="D142" s="8">
        <f>COUNTIF(Logs!$C452:$N452, D$136)</f>
        <v>0</v>
      </c>
      <c r="E142" s="33">
        <f>COUNTIF(Logs!$C452:$N452, E$136)</f>
        <v>2</v>
      </c>
      <c r="F142" s="403">
        <f>COUNTIF(Logs!$C452:$N452, F$136)</f>
        <v>0</v>
      </c>
      <c r="G142" s="329">
        <f>COUNTIF(Logs!$C452:$N452, G$136)</f>
        <v>0</v>
      </c>
      <c r="I142" s="163" t="s">
        <v>190</v>
      </c>
      <c r="J142" s="319">
        <f>COUNTIF(Logs!$C470:$N470, J$136)</f>
        <v>6</v>
      </c>
      <c r="K142" s="8">
        <f>COUNTIF(Logs!$C470:$N470, K$136)</f>
        <v>1</v>
      </c>
      <c r="L142" s="33">
        <f>COUNTIF(Logs!$C470:$N470, L$136)</f>
        <v>0</v>
      </c>
      <c r="M142" s="329">
        <f>COUNTIF(Logs!$C470:$N470, M$136)</f>
        <v>0</v>
      </c>
      <c r="O142" s="163" t="s">
        <v>190</v>
      </c>
      <c r="P142" s="319">
        <f>COUNTIF(Logs!$C488:$N488, P$136)</f>
        <v>6</v>
      </c>
      <c r="Q142" s="8">
        <f>COUNTIF(Logs!$C488:$N488, Q$136)</f>
        <v>0</v>
      </c>
      <c r="R142" s="33">
        <f>COUNTIF(Logs!$C488:$N488, R$136)</f>
        <v>1</v>
      </c>
      <c r="S142" s="403">
        <f>COUNTIF(Logs!$C488:$N488, S$136)</f>
        <v>0</v>
      </c>
      <c r="T142" s="329">
        <f>COUNTIF(Logs!$C488:$N488, T$136)</f>
        <v>0</v>
      </c>
      <c r="V142" s="163" t="s">
        <v>190</v>
      </c>
      <c r="W142" s="319">
        <f>COUNTIF(Logs!$C506:$N506, W$136)</f>
        <v>8</v>
      </c>
      <c r="X142" s="8">
        <f>COUNTIF(Logs!$C506:$N506, X$136)</f>
        <v>2</v>
      </c>
      <c r="Y142" s="33">
        <f>COUNTIF(Logs!$C506:$N506, Y$136)</f>
        <v>0</v>
      </c>
      <c r="Z142" s="329">
        <f>COUNTIF(Logs!$C506:$N506, Z$136)</f>
        <v>1</v>
      </c>
    </row>
    <row r="143" spans="2:27">
      <c r="B143" s="163" t="s">
        <v>191</v>
      </c>
      <c r="C143" s="319">
        <f>COUNTIF(Logs!$C453:$N453, C$136)</f>
        <v>3</v>
      </c>
      <c r="D143" s="8">
        <f>COUNTIF(Logs!$C453:$N453, D$136)</f>
        <v>0</v>
      </c>
      <c r="E143" s="33">
        <f>COUNTIF(Logs!$C453:$N453, E$136)</f>
        <v>1</v>
      </c>
      <c r="F143" s="403">
        <f>COUNTIF(Logs!$C453:$N453, F$136)</f>
        <v>0</v>
      </c>
      <c r="G143" s="329">
        <f>COUNTIF(Logs!$C453:$N453, G$136)</f>
        <v>0</v>
      </c>
      <c r="I143" s="163" t="s">
        <v>191</v>
      </c>
      <c r="J143" s="319">
        <f>COUNTIF(Logs!$C471:$N471, J$136)</f>
        <v>4</v>
      </c>
      <c r="K143" s="8">
        <f>COUNTIF(Logs!$C471:$N471, K$136)</f>
        <v>0</v>
      </c>
      <c r="L143" s="33">
        <f>COUNTIF(Logs!$C471:$N471, L$136)</f>
        <v>0</v>
      </c>
      <c r="M143" s="329">
        <f>COUNTIF(Logs!$C471:$N471, M$136)</f>
        <v>0</v>
      </c>
      <c r="O143" s="163" t="s">
        <v>191</v>
      </c>
      <c r="P143" s="319">
        <f>COUNTIF(Logs!$C489:$N489, P$136)</f>
        <v>3</v>
      </c>
      <c r="Q143" s="8">
        <f>COUNTIF(Logs!$C489:$N489, Q$136)</f>
        <v>0</v>
      </c>
      <c r="R143" s="33">
        <f>COUNTIF(Logs!$C489:$N489, R$136)</f>
        <v>0</v>
      </c>
      <c r="S143" s="403">
        <f>COUNTIF(Logs!$C489:$N489, S$136)</f>
        <v>0</v>
      </c>
      <c r="T143" s="329">
        <f>COUNTIF(Logs!$C489:$N489, T$136)</f>
        <v>0</v>
      </c>
      <c r="V143" s="163" t="s">
        <v>191</v>
      </c>
      <c r="W143" s="319">
        <f>COUNTIF(Logs!$C507:$N507, W$136)</f>
        <v>3</v>
      </c>
      <c r="X143" s="8">
        <f>COUNTIF(Logs!$C507:$N507, X$136)</f>
        <v>1</v>
      </c>
      <c r="Y143" s="33">
        <f>COUNTIF(Logs!$C507:$N507, Y$136)</f>
        <v>0</v>
      </c>
      <c r="Z143" s="329">
        <f>COUNTIF(Logs!$C507:$N507, Z$136)</f>
        <v>0</v>
      </c>
    </row>
    <row r="144" spans="2:27">
      <c r="B144" s="163" t="s">
        <v>192</v>
      </c>
      <c r="C144" s="319">
        <f>COUNTIF(Logs!$C454:$N454, C$136)</f>
        <v>2</v>
      </c>
      <c r="D144" s="8">
        <f>COUNTIF(Logs!$C454:$N454, D$136)</f>
        <v>1</v>
      </c>
      <c r="E144" s="33">
        <f>COUNTIF(Logs!$C454:$N454, E$136)</f>
        <v>0</v>
      </c>
      <c r="F144" s="403">
        <f>COUNTIF(Logs!$C454:$N454, F$136)</f>
        <v>0</v>
      </c>
      <c r="G144" s="329">
        <f>COUNTIF(Logs!$C454:$N454, G$136)</f>
        <v>0</v>
      </c>
      <c r="I144" s="163" t="s">
        <v>192</v>
      </c>
      <c r="J144" s="319">
        <f>COUNTIF(Logs!$C472:$N472, J$136)</f>
        <v>1</v>
      </c>
      <c r="K144" s="8">
        <f>COUNTIF(Logs!$C472:$N472, K$136)</f>
        <v>0</v>
      </c>
      <c r="L144" s="33">
        <f>COUNTIF(Logs!$C472:$N472, L$136)</f>
        <v>1</v>
      </c>
      <c r="M144" s="329">
        <f>COUNTIF(Logs!$C472:$N472, M$136)</f>
        <v>0</v>
      </c>
      <c r="O144" s="163" t="s">
        <v>192</v>
      </c>
      <c r="P144" s="319">
        <f>COUNTIF(Logs!$C490:$N490, P$136)</f>
        <v>1</v>
      </c>
      <c r="Q144" s="8">
        <f>COUNTIF(Logs!$C490:$N490, Q$136)</f>
        <v>0</v>
      </c>
      <c r="R144" s="33">
        <f>COUNTIF(Logs!$C490:$N490, R$136)</f>
        <v>0</v>
      </c>
      <c r="S144" s="403">
        <f>COUNTIF(Logs!$C490:$N490, S$136)</f>
        <v>0</v>
      </c>
      <c r="T144" s="329">
        <f>COUNTIF(Logs!$C490:$N490, T$136)</f>
        <v>0</v>
      </c>
      <c r="V144" s="163" t="s">
        <v>192</v>
      </c>
      <c r="W144" s="319">
        <f>COUNTIF(Logs!$C508:$N508, W$136)</f>
        <v>1</v>
      </c>
      <c r="X144" s="8">
        <f>COUNTIF(Logs!$C508:$N508, X$136)</f>
        <v>1</v>
      </c>
      <c r="Y144" s="33">
        <f>COUNTIF(Logs!$C508:$N508, Y$136)</f>
        <v>0</v>
      </c>
      <c r="Z144" s="329">
        <f>COUNTIF(Logs!$C508:$N508, Z$136)</f>
        <v>0</v>
      </c>
    </row>
    <row r="145" spans="2:26">
      <c r="B145" s="163" t="s">
        <v>193</v>
      </c>
      <c r="C145" s="319">
        <f>COUNTIF(Logs!$C455:$N455, C$136)</f>
        <v>2</v>
      </c>
      <c r="D145" s="8">
        <f>COUNTIF(Logs!$C455:$N455, D$136)</f>
        <v>0</v>
      </c>
      <c r="E145" s="33">
        <f>COUNTIF(Logs!$C455:$N455, E$136)</f>
        <v>0</v>
      </c>
      <c r="F145" s="403">
        <f>COUNTIF(Logs!$C455:$N455, F$136)</f>
        <v>0</v>
      </c>
      <c r="G145" s="329">
        <f>COUNTIF(Logs!$C455:$N455, G$136)</f>
        <v>0</v>
      </c>
      <c r="I145" s="163" t="s">
        <v>193</v>
      </c>
      <c r="J145" s="319">
        <f>COUNTIF(Logs!$C473:$N473, J$136)</f>
        <v>1</v>
      </c>
      <c r="K145" s="8">
        <f>COUNTIF(Logs!$C473:$N473, K$136)</f>
        <v>0</v>
      </c>
      <c r="L145" s="33">
        <f>COUNTIF(Logs!$C473:$N473, L$136)</f>
        <v>0</v>
      </c>
      <c r="M145" s="329">
        <f>COUNTIF(Logs!$C473:$N473, M$136)</f>
        <v>0</v>
      </c>
      <c r="O145" s="318" t="s">
        <v>182</v>
      </c>
      <c r="P145" s="402">
        <f>SUM(P137:P144)</f>
        <v>46</v>
      </c>
      <c r="Q145" s="386">
        <f>SUM(Q137:Q144)</f>
        <v>12</v>
      </c>
      <c r="R145" s="387">
        <f>SUM(R137:R144)</f>
        <v>11</v>
      </c>
      <c r="S145" s="404">
        <f>SUM(S137:S144)</f>
        <v>1</v>
      </c>
      <c r="T145" s="406">
        <f>SUM(T137:T144)</f>
        <v>1</v>
      </c>
      <c r="V145" s="163" t="s">
        <v>193</v>
      </c>
      <c r="W145" s="319">
        <f>COUNTIF(Logs!$C509:$N509, W$136)</f>
        <v>1</v>
      </c>
      <c r="X145" s="8">
        <f>COUNTIF(Logs!$C509:$N509, X$136)</f>
        <v>0</v>
      </c>
      <c r="Y145" s="33">
        <f>COUNTIF(Logs!$C509:$N509, Y$136)</f>
        <v>0</v>
      </c>
      <c r="Z145" s="329">
        <f>COUNTIF(Logs!$C509:$N509, Z$136)</f>
        <v>0</v>
      </c>
    </row>
    <row r="146" spans="2:26">
      <c r="B146" s="318" t="s">
        <v>182</v>
      </c>
      <c r="C146" s="402">
        <f>SUM(C137:C145)</f>
        <v>56</v>
      </c>
      <c r="D146" s="386">
        <f>SUM(D137:D145)</f>
        <v>10</v>
      </c>
      <c r="E146" s="387">
        <f>SUM(E137:E145)</f>
        <v>10</v>
      </c>
      <c r="F146" s="404">
        <f>SUM(F137:F145)</f>
        <v>1</v>
      </c>
      <c r="G146" s="406">
        <f>SUM(G137:G145)</f>
        <v>3</v>
      </c>
      <c r="I146" s="318" t="s">
        <v>182</v>
      </c>
      <c r="J146" s="402">
        <f>SUM(J137:J145)</f>
        <v>49</v>
      </c>
      <c r="K146" s="386">
        <f>SUM(K137:K145)</f>
        <v>10</v>
      </c>
      <c r="L146" s="387">
        <f>SUM(L137:L145)</f>
        <v>11</v>
      </c>
      <c r="M146" s="406">
        <f>SUM(M137:M145)</f>
        <v>3</v>
      </c>
      <c r="V146" s="318" t="s">
        <v>182</v>
      </c>
      <c r="W146" s="402">
        <f>SUM(W137:W145)</f>
        <v>52</v>
      </c>
      <c r="X146" s="386">
        <f>SUM(X137:X145)</f>
        <v>14</v>
      </c>
      <c r="Y146" s="387">
        <f>SUM(Y137:Y145)</f>
        <v>10</v>
      </c>
      <c r="Z146" s="406">
        <f>SUM(Z137:Z145)</f>
        <v>2</v>
      </c>
    </row>
    <row r="148" spans="2:26">
      <c r="B148" s="57" t="s">
        <v>66</v>
      </c>
      <c r="I148" s="57" t="s">
        <v>65</v>
      </c>
      <c r="O148" s="57" t="s">
        <v>60</v>
      </c>
      <c r="U148" s="57" t="s">
        <v>35</v>
      </c>
    </row>
    <row r="149" spans="2:26">
      <c r="B149" s="292" t="s">
        <v>1635</v>
      </c>
      <c r="C149" s="308" t="s">
        <v>12</v>
      </c>
      <c r="D149" s="309" t="s">
        <v>14</v>
      </c>
      <c r="E149" s="310" t="s">
        <v>13</v>
      </c>
      <c r="F149" s="311" t="s">
        <v>71</v>
      </c>
      <c r="G149" s="312" t="s">
        <v>49</v>
      </c>
      <c r="I149" s="292" t="s">
        <v>1635</v>
      </c>
      <c r="J149" s="308" t="s">
        <v>12</v>
      </c>
      <c r="K149" s="309" t="s">
        <v>14</v>
      </c>
      <c r="L149" s="310" t="s">
        <v>13</v>
      </c>
      <c r="M149" s="312" t="s">
        <v>49</v>
      </c>
      <c r="O149" s="292" t="s">
        <v>1635</v>
      </c>
      <c r="P149" s="308" t="s">
        <v>12</v>
      </c>
      <c r="Q149" s="309" t="s">
        <v>14</v>
      </c>
      <c r="R149" s="310" t="s">
        <v>13</v>
      </c>
      <c r="S149" s="312" t="s">
        <v>49</v>
      </c>
      <c r="U149" s="292" t="s">
        <v>1635</v>
      </c>
      <c r="V149" s="308" t="s">
        <v>12</v>
      </c>
      <c r="W149" s="309" t="s">
        <v>14</v>
      </c>
      <c r="X149" s="310" t="s">
        <v>13</v>
      </c>
      <c r="Y149" s="312" t="s">
        <v>49</v>
      </c>
      <c r="Z149" s="314" t="s">
        <v>56</v>
      </c>
    </row>
    <row r="150" spans="2:26">
      <c r="B150" s="163" t="s">
        <v>185</v>
      </c>
      <c r="C150" s="319">
        <f>COUNTIF(Logs!$C519:$N519, C$149)</f>
        <v>12</v>
      </c>
      <c r="D150" s="8">
        <f>COUNTIF(Logs!$C519:$N519, D$149)</f>
        <v>0</v>
      </c>
      <c r="E150" s="33">
        <f>COUNTIF(Logs!$C519:$N519, E$149)</f>
        <v>0</v>
      </c>
      <c r="F150" s="403">
        <f>COUNTIF(Logs!$C519:$N519, F$149)</f>
        <v>0</v>
      </c>
      <c r="G150" s="329">
        <f>COUNTIF(Logs!$C519:$N519, G$149)</f>
        <v>0</v>
      </c>
      <c r="I150" s="163" t="s">
        <v>185</v>
      </c>
      <c r="J150" s="319">
        <f>COUNTIF(Logs!$C537:$N537, J$149)</f>
        <v>12</v>
      </c>
      <c r="K150" s="8">
        <f>COUNTIF(Logs!$C537:$N537, K$149)</f>
        <v>0</v>
      </c>
      <c r="L150" s="33">
        <f>COUNTIF(Logs!$C537:$N537, L$149)</f>
        <v>0</v>
      </c>
      <c r="M150" s="329">
        <f>COUNTIF(Logs!$C537:$N537, M$149)</f>
        <v>0</v>
      </c>
      <c r="O150" s="163" t="s">
        <v>185</v>
      </c>
      <c r="P150" s="319">
        <f>COUNTIF(Logs!$C555:$N555, P$149)</f>
        <v>12</v>
      </c>
      <c r="Q150" s="8">
        <f>COUNTIF(Logs!$C555:$N555, Q$149)</f>
        <v>0</v>
      </c>
      <c r="R150" s="33">
        <f>COUNTIF(Logs!$C555:$N555, R$149)</f>
        <v>0</v>
      </c>
      <c r="S150" s="329">
        <f>COUNTIF(Logs!$C555:$N555, S$149)</f>
        <v>0</v>
      </c>
      <c r="U150" s="163" t="s">
        <v>185</v>
      </c>
      <c r="V150" s="319">
        <f>COUNTIF(Logs!$C572:$M572, V$149)</f>
        <v>11</v>
      </c>
      <c r="W150" s="8">
        <f>COUNTIF(Logs!$C572:$M572, W$149)</f>
        <v>0</v>
      </c>
      <c r="X150" s="33">
        <f>COUNTIF(Logs!$C572:$M572, X$149)</f>
        <v>0</v>
      </c>
      <c r="Y150" s="329">
        <f>COUNTIF(Logs!$C572:$M572, Y$149)</f>
        <v>0</v>
      </c>
      <c r="Z150" s="142">
        <f>COUNTIF(Logs!$C572:$M572, Z$149)</f>
        <v>0</v>
      </c>
    </row>
    <row r="151" spans="2:26">
      <c r="B151" s="163" t="s">
        <v>186</v>
      </c>
      <c r="C151" s="319">
        <f>COUNTIF(Logs!$C520:$N520, C$149)</f>
        <v>5</v>
      </c>
      <c r="D151" s="8">
        <f>COUNTIF(Logs!$C520:$N520, D$149)</f>
        <v>2</v>
      </c>
      <c r="E151" s="33">
        <f>COUNTIF(Logs!$C520:$N520, E$149)</f>
        <v>4</v>
      </c>
      <c r="F151" s="403">
        <f>COUNTIF(Logs!$C520:$N520, F$149)</f>
        <v>1</v>
      </c>
      <c r="G151" s="329">
        <f>COUNTIF(Logs!$C520:$N520, G$149)</f>
        <v>0</v>
      </c>
      <c r="I151" s="163" t="s">
        <v>186</v>
      </c>
      <c r="J151" s="319">
        <f>COUNTIF(Logs!$C538:$N538, J$149)</f>
        <v>5</v>
      </c>
      <c r="K151" s="8">
        <f>COUNTIF(Logs!$C538:$N538, K$149)</f>
        <v>2</v>
      </c>
      <c r="L151" s="33">
        <f>COUNTIF(Logs!$C538:$N538, L$149)</f>
        <v>3</v>
      </c>
      <c r="M151" s="329">
        <f>COUNTIF(Logs!$C538:$N538, M$149)</f>
        <v>2</v>
      </c>
      <c r="O151" s="163" t="s">
        <v>186</v>
      </c>
      <c r="P151" s="319">
        <f>COUNTIF(Logs!$C556:$N556, P$149)</f>
        <v>7</v>
      </c>
      <c r="Q151" s="8">
        <f>COUNTIF(Logs!$C556:$N556, Q$149)</f>
        <v>2</v>
      </c>
      <c r="R151" s="33">
        <f>COUNTIF(Logs!$C556:$N556, R$149)</f>
        <v>1</v>
      </c>
      <c r="S151" s="329">
        <f>COUNTIF(Logs!$C556:$N556, S$149)</f>
        <v>2</v>
      </c>
      <c r="U151" s="163" t="s">
        <v>186</v>
      </c>
      <c r="V151" s="319">
        <f>COUNTIF(Logs!$C573:$M573, V$149)</f>
        <v>8</v>
      </c>
      <c r="W151" s="8">
        <f>COUNTIF(Logs!$C573:$M573, W$149)</f>
        <v>0</v>
      </c>
      <c r="X151" s="33">
        <f>COUNTIF(Logs!$C573:$M573, X$149)</f>
        <v>0</v>
      </c>
      <c r="Y151" s="329">
        <f>COUNTIF(Logs!$C573:$M573, Y$149)</f>
        <v>2</v>
      </c>
      <c r="Z151" s="142">
        <f>COUNTIF(Logs!$C573:$M573, Z$149)</f>
        <v>1</v>
      </c>
    </row>
    <row r="152" spans="2:26">
      <c r="B152" s="163" t="s">
        <v>187</v>
      </c>
      <c r="C152" s="319">
        <f>COUNTIF(Logs!$C521:$N521, C$149)</f>
        <v>8</v>
      </c>
      <c r="D152" s="8">
        <f>COUNTIF(Logs!$C521:$N521, D$149)</f>
        <v>1</v>
      </c>
      <c r="E152" s="33">
        <f>COUNTIF(Logs!$C521:$N521, E$149)</f>
        <v>1</v>
      </c>
      <c r="F152" s="403">
        <f>COUNTIF(Logs!$C521:$N521, F$149)</f>
        <v>0</v>
      </c>
      <c r="G152" s="329">
        <f>COUNTIF(Logs!$C521:$N521, G$149)</f>
        <v>2</v>
      </c>
      <c r="I152" s="163" t="s">
        <v>187</v>
      </c>
      <c r="J152" s="319">
        <f>COUNTIF(Logs!$C539:$N539, J$149)</f>
        <v>8</v>
      </c>
      <c r="K152" s="8">
        <f>COUNTIF(Logs!$C539:$N539, K$149)</f>
        <v>3</v>
      </c>
      <c r="L152" s="33">
        <f>COUNTIF(Logs!$C539:$N539, L$149)</f>
        <v>1</v>
      </c>
      <c r="M152" s="329">
        <f>COUNTIF(Logs!$C539:$N539, M$149)</f>
        <v>0</v>
      </c>
      <c r="O152" s="163" t="s">
        <v>187</v>
      </c>
      <c r="P152" s="319">
        <f>COUNTIF(Logs!$C557:$N557, P$149)</f>
        <v>7</v>
      </c>
      <c r="Q152" s="8">
        <f>COUNTIF(Logs!$C557:$N557, Q$149)</f>
        <v>2</v>
      </c>
      <c r="R152" s="33">
        <f>COUNTIF(Logs!$C557:$N557, R$149)</f>
        <v>3</v>
      </c>
      <c r="S152" s="329">
        <f>COUNTIF(Logs!$C557:$N557, S$149)</f>
        <v>0</v>
      </c>
      <c r="U152" s="163" t="s">
        <v>187</v>
      </c>
      <c r="V152" s="319">
        <f>COUNTIF(Logs!$C574:$M574, V$149)</f>
        <v>4</v>
      </c>
      <c r="W152" s="8">
        <f>COUNTIF(Logs!$C574:$M574, W$149)</f>
        <v>3</v>
      </c>
      <c r="X152" s="33">
        <f>COUNTIF(Logs!$C574:$M574, X$149)</f>
        <v>3</v>
      </c>
      <c r="Y152" s="329">
        <f>COUNTIF(Logs!$C574:$M574, Y$149)</f>
        <v>0</v>
      </c>
      <c r="Z152" s="142">
        <f>COUNTIF(Logs!$C574:$M574, Z$149)</f>
        <v>1</v>
      </c>
    </row>
    <row r="153" spans="2:26">
      <c r="B153" s="163" t="s">
        <v>188</v>
      </c>
      <c r="C153" s="319">
        <f>COUNTIF(Logs!$C522:$N522, C$149)</f>
        <v>7</v>
      </c>
      <c r="D153" s="8">
        <f>COUNTIF(Logs!$C522:$N522, D$149)</f>
        <v>4</v>
      </c>
      <c r="E153" s="33">
        <f>COUNTIF(Logs!$C522:$N522, E$149)</f>
        <v>1</v>
      </c>
      <c r="F153" s="403">
        <f>COUNTIF(Logs!$C522:$N522, F$149)</f>
        <v>0</v>
      </c>
      <c r="G153" s="329">
        <f>COUNTIF(Logs!$C522:$N522, G$149)</f>
        <v>0</v>
      </c>
      <c r="I153" s="163" t="s">
        <v>188</v>
      </c>
      <c r="J153" s="319">
        <f>COUNTIF(Logs!$C540:$N540, J$149)</f>
        <v>4</v>
      </c>
      <c r="K153" s="8">
        <f>COUNTIF(Logs!$C540:$N540, K$149)</f>
        <v>3</v>
      </c>
      <c r="L153" s="33">
        <f>COUNTIF(Logs!$C540:$N540, L$149)</f>
        <v>5</v>
      </c>
      <c r="M153" s="329">
        <f>COUNTIF(Logs!$C540:$N540, M$149)</f>
        <v>0</v>
      </c>
      <c r="O153" s="163" t="s">
        <v>188</v>
      </c>
      <c r="P153" s="319">
        <f>COUNTIF(Logs!$C558:$N558, P$149)</f>
        <v>7</v>
      </c>
      <c r="Q153" s="8">
        <f>COUNTIF(Logs!$C558:$N558, Q$149)</f>
        <v>1</v>
      </c>
      <c r="R153" s="33">
        <f>COUNTIF(Logs!$C558:$N558, R$149)</f>
        <v>3</v>
      </c>
      <c r="S153" s="329">
        <f>COUNTIF(Logs!$C558:$N558, S$149)</f>
        <v>1</v>
      </c>
      <c r="U153" s="163" t="s">
        <v>188</v>
      </c>
      <c r="V153" s="319">
        <f>COUNTIF(Logs!$C575:$M575, V$149)</f>
        <v>7</v>
      </c>
      <c r="W153" s="8">
        <f>COUNTIF(Logs!$C575:$M575, W$149)</f>
        <v>2</v>
      </c>
      <c r="X153" s="33">
        <f>COUNTIF(Logs!$C575:$M575, X$149)</f>
        <v>1</v>
      </c>
      <c r="Y153" s="329">
        <f>COUNTIF(Logs!$C575:$M575, Y$149)</f>
        <v>0</v>
      </c>
      <c r="Z153" s="142">
        <f>COUNTIF(Logs!$C575:$M575, Z$149)</f>
        <v>1</v>
      </c>
    </row>
    <row r="154" spans="2:26">
      <c r="B154" s="163" t="s">
        <v>189</v>
      </c>
      <c r="C154" s="319">
        <f>COUNTIF(Logs!$C523:$N523, C$149)</f>
        <v>7</v>
      </c>
      <c r="D154" s="8">
        <f>COUNTIF(Logs!$C523:$N523, D$149)</f>
        <v>2</v>
      </c>
      <c r="E154" s="33">
        <f>COUNTIF(Logs!$C523:$N523, E$149)</f>
        <v>3</v>
      </c>
      <c r="F154" s="403">
        <f>COUNTIF(Logs!$C523:$N523, F$149)</f>
        <v>0</v>
      </c>
      <c r="G154" s="329">
        <f>COUNTIF(Logs!$C523:$N523, G$149)</f>
        <v>0</v>
      </c>
      <c r="I154" s="163" t="s">
        <v>189</v>
      </c>
      <c r="J154" s="319">
        <f>COUNTIF(Logs!$C541:$N541, J$149)</f>
        <v>11</v>
      </c>
      <c r="K154" s="8">
        <f>COUNTIF(Logs!$C541:$N541, K$149)</f>
        <v>0</v>
      </c>
      <c r="L154" s="33">
        <f>COUNTIF(Logs!$C541:$N541, L$149)</f>
        <v>0</v>
      </c>
      <c r="M154" s="329">
        <f>COUNTIF(Logs!$C541:$N541, M$149)</f>
        <v>0</v>
      </c>
      <c r="O154" s="163" t="s">
        <v>189</v>
      </c>
      <c r="P154" s="319">
        <f>COUNTIF(Logs!$C559:$N559, P$149)</f>
        <v>8</v>
      </c>
      <c r="Q154" s="8">
        <f>COUNTIF(Logs!$C559:$N559, Q$149)</f>
        <v>3</v>
      </c>
      <c r="R154" s="33">
        <f>COUNTIF(Logs!$C559:$N559, R$149)</f>
        <v>0</v>
      </c>
      <c r="S154" s="329">
        <f>COUNTIF(Logs!$C559:$N559, S$149)</f>
        <v>0</v>
      </c>
      <c r="U154" s="163" t="s">
        <v>189</v>
      </c>
      <c r="V154" s="319">
        <f>COUNTIF(Logs!$C576:$M576, V$149)</f>
        <v>6</v>
      </c>
      <c r="W154" s="8">
        <f>COUNTIF(Logs!$C576:$M576, W$149)</f>
        <v>3</v>
      </c>
      <c r="X154" s="33">
        <f>COUNTIF(Logs!$C576:$M576, X$149)</f>
        <v>1</v>
      </c>
      <c r="Y154" s="329">
        <f>COUNTIF(Logs!$C576:$M576, Y$149)</f>
        <v>0</v>
      </c>
      <c r="Z154" s="142">
        <f>COUNTIF(Logs!$C576:$M576, Z$149)</f>
        <v>1</v>
      </c>
    </row>
    <row r="155" spans="2:26">
      <c r="B155" s="163" t="s">
        <v>190</v>
      </c>
      <c r="C155" s="319">
        <f>COUNTIF(Logs!$C524:$N524, C$149)</f>
        <v>8</v>
      </c>
      <c r="D155" s="8">
        <f>COUNTIF(Logs!$C524:$N524, D$149)</f>
        <v>0</v>
      </c>
      <c r="E155" s="33">
        <f>COUNTIF(Logs!$C524:$N524, E$149)</f>
        <v>0</v>
      </c>
      <c r="F155" s="403">
        <f>COUNTIF(Logs!$C524:$N524, F$149)</f>
        <v>0</v>
      </c>
      <c r="G155" s="329">
        <f>COUNTIF(Logs!$C524:$N524, G$149)</f>
        <v>0</v>
      </c>
      <c r="I155" s="163" t="s">
        <v>190</v>
      </c>
      <c r="J155" s="319">
        <f>COUNTIF(Logs!$C542:$N542, J$149)</f>
        <v>3</v>
      </c>
      <c r="K155" s="8">
        <f>COUNTIF(Logs!$C542:$N542, K$149)</f>
        <v>1</v>
      </c>
      <c r="L155" s="33">
        <f>COUNTIF(Logs!$C542:$N542, L$149)</f>
        <v>0</v>
      </c>
      <c r="M155" s="329">
        <f>COUNTIF(Logs!$C542:$N542, M$149)</f>
        <v>0</v>
      </c>
      <c r="O155" s="163" t="s">
        <v>190</v>
      </c>
      <c r="P155" s="319">
        <f>COUNTIF(Logs!$C560:$N560, P$149)</f>
        <v>4</v>
      </c>
      <c r="Q155" s="8">
        <f>COUNTIF(Logs!$C560:$N560, Q$149)</f>
        <v>3</v>
      </c>
      <c r="R155" s="33">
        <f>COUNTIF(Logs!$C560:$N560, R$149)</f>
        <v>2</v>
      </c>
      <c r="S155" s="329">
        <f>COUNTIF(Logs!$C560:$N560, S$149)</f>
        <v>0</v>
      </c>
      <c r="U155" s="163" t="s">
        <v>190</v>
      </c>
      <c r="V155" s="319">
        <f>COUNTIF(Logs!$C577:$M577, V$149)</f>
        <v>7</v>
      </c>
      <c r="W155" s="8">
        <f>COUNTIF(Logs!$C577:$M577, W$149)</f>
        <v>1</v>
      </c>
      <c r="X155" s="33">
        <f>COUNTIF(Logs!$C577:$M577, X$149)</f>
        <v>1</v>
      </c>
      <c r="Y155" s="329">
        <f>COUNTIF(Logs!$C577:$M577, Y$149)</f>
        <v>0</v>
      </c>
      <c r="Z155" s="142">
        <f>COUNTIF(Logs!$C577:$M577, Z$149)</f>
        <v>1</v>
      </c>
    </row>
    <row r="156" spans="2:26">
      <c r="B156" s="163" t="s">
        <v>191</v>
      </c>
      <c r="C156" s="319">
        <f>COUNTIF(Logs!$C525:$N525, C$149)</f>
        <v>2</v>
      </c>
      <c r="D156" s="8">
        <f>COUNTIF(Logs!$C525:$N525, D$149)</f>
        <v>2</v>
      </c>
      <c r="E156" s="33">
        <f>COUNTIF(Logs!$C525:$N525, E$149)</f>
        <v>0</v>
      </c>
      <c r="F156" s="403">
        <f>COUNTIF(Logs!$C525:$N525, F$149)</f>
        <v>0</v>
      </c>
      <c r="G156" s="329">
        <f>COUNTIF(Logs!$C525:$N525, G$149)</f>
        <v>0</v>
      </c>
      <c r="I156" s="163" t="s">
        <v>191</v>
      </c>
      <c r="J156" s="319">
        <f>COUNTIF(Logs!$C543:$N543, J$149)</f>
        <v>3</v>
      </c>
      <c r="K156" s="8">
        <f>COUNTIF(Logs!$C543:$N543, K$149)</f>
        <v>0</v>
      </c>
      <c r="L156" s="33">
        <f>COUNTIF(Logs!$C543:$N543, L$149)</f>
        <v>0</v>
      </c>
      <c r="M156" s="329">
        <f>COUNTIF(Logs!$C543:$N543, M$149)</f>
        <v>0</v>
      </c>
      <c r="O156" s="163" t="s">
        <v>191</v>
      </c>
      <c r="P156" s="319">
        <f>COUNTIF(Logs!$C561:$N561, P$149)</f>
        <v>6</v>
      </c>
      <c r="Q156" s="8">
        <f>COUNTIF(Logs!$C561:$N561, Q$149)</f>
        <v>0</v>
      </c>
      <c r="R156" s="33">
        <f>COUNTIF(Logs!$C561:$N561, R$149)</f>
        <v>1</v>
      </c>
      <c r="S156" s="329">
        <f>COUNTIF(Logs!$C561:$N561, S$149)</f>
        <v>0</v>
      </c>
      <c r="U156" s="163" t="s">
        <v>191</v>
      </c>
      <c r="V156" s="319">
        <f>COUNTIF(Logs!$C578:$M578, V$149)</f>
        <v>5</v>
      </c>
      <c r="W156" s="8">
        <f>COUNTIF(Logs!$C578:$M578, W$149)</f>
        <v>1</v>
      </c>
      <c r="X156" s="33">
        <f>COUNTIF(Logs!$C578:$M578, X$149)</f>
        <v>1</v>
      </c>
      <c r="Y156" s="329">
        <f>COUNTIF(Logs!$C578:$M578, Y$149)</f>
        <v>0</v>
      </c>
      <c r="Z156" s="142">
        <f>COUNTIF(Logs!$C578:$M578, Z$149)</f>
        <v>1</v>
      </c>
    </row>
    <row r="157" spans="2:26">
      <c r="B157" s="163" t="s">
        <v>192</v>
      </c>
      <c r="C157" s="319">
        <f>COUNTIF(Logs!$C526:$N526, C$149)</f>
        <v>4</v>
      </c>
      <c r="D157" s="8">
        <f>COUNTIF(Logs!$C526:$N526, D$149)</f>
        <v>0</v>
      </c>
      <c r="E157" s="33">
        <f>COUNTIF(Logs!$C526:$N526, E$149)</f>
        <v>0</v>
      </c>
      <c r="F157" s="403">
        <f>COUNTIF(Logs!$C526:$N526, F$149)</f>
        <v>0</v>
      </c>
      <c r="G157" s="329">
        <f>COUNTIF(Logs!$C526:$N526, G$149)</f>
        <v>0</v>
      </c>
      <c r="I157" s="163" t="s">
        <v>192</v>
      </c>
      <c r="J157" s="319">
        <f>COUNTIF(Logs!$C544:$N544, J$149)</f>
        <v>2</v>
      </c>
      <c r="K157" s="8">
        <f>COUNTIF(Logs!$C544:$N544, K$149)</f>
        <v>0</v>
      </c>
      <c r="L157" s="33">
        <f>COUNTIF(Logs!$C544:$N544, L$149)</f>
        <v>0</v>
      </c>
      <c r="M157" s="329">
        <f>COUNTIF(Logs!$C544:$N544, M$149)</f>
        <v>0</v>
      </c>
      <c r="O157" s="163" t="s">
        <v>192</v>
      </c>
      <c r="P157" s="319">
        <f>COUNTIF(Logs!$C562:$N562, P$149)</f>
        <v>1</v>
      </c>
      <c r="Q157" s="8">
        <f>COUNTIF(Logs!$C562:$N562, Q$149)</f>
        <v>1</v>
      </c>
      <c r="R157" s="33">
        <f>COUNTIF(Logs!$C562:$N562, R$149)</f>
        <v>0</v>
      </c>
      <c r="S157" s="329">
        <f>COUNTIF(Logs!$C562:$N562, S$149)</f>
        <v>0</v>
      </c>
      <c r="U157" s="163" t="s">
        <v>192</v>
      </c>
      <c r="V157" s="319">
        <f>COUNTIF(Logs!$C579:$M579, V$149)</f>
        <v>3</v>
      </c>
      <c r="W157" s="8">
        <f>COUNTIF(Logs!$C579:$M579, W$149)</f>
        <v>0</v>
      </c>
      <c r="X157" s="33">
        <f>COUNTIF(Logs!$C579:$M579, X$149)</f>
        <v>0</v>
      </c>
      <c r="Y157" s="329">
        <f>COUNTIF(Logs!$C579:$M579, Y$149)</f>
        <v>0</v>
      </c>
      <c r="Z157" s="142">
        <f>COUNTIF(Logs!$C579:$M579, Z$149)</f>
        <v>1</v>
      </c>
    </row>
    <row r="158" spans="2:26">
      <c r="B158" s="163" t="s">
        <v>193</v>
      </c>
      <c r="C158" s="319">
        <f>COUNTIF(Logs!$C527:$N527, C$149)</f>
        <v>1</v>
      </c>
      <c r="D158" s="8">
        <f>COUNTIF(Logs!$C527:$N527, D$149)</f>
        <v>0</v>
      </c>
      <c r="E158" s="33">
        <f>COUNTIF(Logs!$C527:$N527, E$149)</f>
        <v>0</v>
      </c>
      <c r="F158" s="403">
        <f>COUNTIF(Logs!$C527:$N527, F$149)</f>
        <v>0</v>
      </c>
      <c r="G158" s="329">
        <f>COUNTIF(Logs!$C527:$N527, G$149)</f>
        <v>0</v>
      </c>
      <c r="I158" s="163" t="s">
        <v>193</v>
      </c>
      <c r="J158" s="319">
        <f>COUNTIF(Logs!$C545:$N545, J$149)</f>
        <v>1</v>
      </c>
      <c r="K158" s="8">
        <f>COUNTIF(Logs!$C545:$N545, K$149)</f>
        <v>0</v>
      </c>
      <c r="L158" s="33">
        <f>COUNTIF(Logs!$C545:$N545, L$149)</f>
        <v>0</v>
      </c>
      <c r="M158" s="329">
        <f>COUNTIF(Logs!$C545:$N545, M$149)</f>
        <v>0</v>
      </c>
      <c r="O158" s="318" t="s">
        <v>182</v>
      </c>
      <c r="P158" s="402">
        <f>SUM(P150:P157)</f>
        <v>52</v>
      </c>
      <c r="Q158" s="386">
        <f>SUM(Q150:Q157)</f>
        <v>12</v>
      </c>
      <c r="R158" s="387">
        <f>SUM(R150:R157)</f>
        <v>10</v>
      </c>
      <c r="S158" s="406">
        <f>SUM(S150:S157)</f>
        <v>3</v>
      </c>
      <c r="U158" s="163" t="s">
        <v>193</v>
      </c>
      <c r="V158" s="319">
        <f>COUNTIF(Logs!$C580:$M580, V$149)</f>
        <v>1</v>
      </c>
      <c r="W158" s="8">
        <f>COUNTIF(Logs!$C580:$M580, W$149)</f>
        <v>0</v>
      </c>
      <c r="X158" s="33">
        <f>COUNTIF(Logs!$C580:$M580, X$149)</f>
        <v>0</v>
      </c>
      <c r="Y158" s="329">
        <f>COUNTIF(Logs!$C580:$M580, Y$149)</f>
        <v>0</v>
      </c>
      <c r="Z158" s="142">
        <f>COUNTIF(Logs!$C580:$M580, Z$149)</f>
        <v>1</v>
      </c>
    </row>
    <row r="159" spans="2:26">
      <c r="B159" s="318" t="s">
        <v>182</v>
      </c>
      <c r="C159" s="402">
        <f>SUM(C150:C158)</f>
        <v>54</v>
      </c>
      <c r="D159" s="386">
        <f>SUM(D150:D158)</f>
        <v>11</v>
      </c>
      <c r="E159" s="387">
        <f>SUM(E150:E158)</f>
        <v>9</v>
      </c>
      <c r="F159" s="404">
        <f>SUM(F150:F158)</f>
        <v>1</v>
      </c>
      <c r="G159" s="406">
        <f>SUM(G150:G158)</f>
        <v>2</v>
      </c>
      <c r="I159" s="318" t="s">
        <v>182</v>
      </c>
      <c r="J159" s="402">
        <f>SUM(J150:J158)</f>
        <v>49</v>
      </c>
      <c r="K159" s="386">
        <f>SUM(K150:K158)</f>
        <v>9</v>
      </c>
      <c r="L159" s="387">
        <f>SUM(L150:L158)</f>
        <v>9</v>
      </c>
      <c r="M159" s="406">
        <f>SUM(M150:M158)</f>
        <v>2</v>
      </c>
      <c r="U159" s="163" t="s">
        <v>194</v>
      </c>
      <c r="V159" s="319">
        <f>COUNTIF(Logs!$C581:$M581, V$149)</f>
        <v>0</v>
      </c>
      <c r="W159" s="8">
        <f>COUNTIF(Logs!$C581:$M581, W$149)</f>
        <v>1</v>
      </c>
      <c r="X159" s="33">
        <f>COUNTIF(Logs!$C581:$M581, X$149)</f>
        <v>0</v>
      </c>
      <c r="Y159" s="329">
        <f>COUNTIF(Logs!$C581:$M581, Y$149)</f>
        <v>0</v>
      </c>
      <c r="Z159" s="142">
        <f>COUNTIF(Logs!$C581:$M581, Z$149)</f>
        <v>1</v>
      </c>
    </row>
    <row r="160" spans="2:26">
      <c r="U160" s="163" t="s">
        <v>1637</v>
      </c>
      <c r="V160" s="319">
        <f>COUNTIF(Logs!$C582:$M582, V$149)</f>
        <v>1</v>
      </c>
      <c r="W160" s="8">
        <f>COUNTIF(Logs!$C582:$M582, W$149)</f>
        <v>0</v>
      </c>
      <c r="X160" s="33">
        <f>COUNTIF(Logs!$C582:$M582, X$149)</f>
        <v>0</v>
      </c>
      <c r="Y160" s="329">
        <f>COUNTIF(Logs!$C582:$M582, Y$149)</f>
        <v>0</v>
      </c>
      <c r="Z160" s="142">
        <f>COUNTIF(Logs!$C582:$M582, Z$149)</f>
        <v>0</v>
      </c>
    </row>
    <row r="161" spans="2:26">
      <c r="U161" s="318" t="s">
        <v>182</v>
      </c>
      <c r="V161" s="402">
        <f>SUM(V150:V160)</f>
        <v>53</v>
      </c>
      <c r="W161" s="386">
        <f>SUM(W150:W160)</f>
        <v>11</v>
      </c>
      <c r="X161" s="387">
        <f>SUM(X150:X160)</f>
        <v>7</v>
      </c>
      <c r="Y161" s="406">
        <f>SUM(Y150:Y160)</f>
        <v>2</v>
      </c>
      <c r="Z161" s="408">
        <f>SUM(Z150:Z160)</f>
        <v>9</v>
      </c>
    </row>
    <row r="163" spans="2:26">
      <c r="B163" s="57" t="s">
        <v>11</v>
      </c>
      <c r="H163" s="57" t="s">
        <v>198</v>
      </c>
      <c r="M163" s="57" t="s">
        <v>184</v>
      </c>
      <c r="S163" s="57" t="s">
        <v>563</v>
      </c>
    </row>
    <row r="164" spans="2:26">
      <c r="B164" s="292" t="s">
        <v>1635</v>
      </c>
      <c r="C164" s="308" t="s">
        <v>12</v>
      </c>
      <c r="D164" s="309" t="s">
        <v>14</v>
      </c>
      <c r="E164" s="310" t="s">
        <v>13</v>
      </c>
      <c r="F164" s="312" t="s">
        <v>49</v>
      </c>
      <c r="H164" s="292" t="s">
        <v>1635</v>
      </c>
      <c r="I164" s="308" t="s">
        <v>12</v>
      </c>
      <c r="J164" s="309" t="s">
        <v>14</v>
      </c>
      <c r="K164" s="310" t="s">
        <v>13</v>
      </c>
      <c r="M164" s="292" t="s">
        <v>1635</v>
      </c>
      <c r="N164" s="308" t="s">
        <v>12</v>
      </c>
      <c r="O164" s="309" t="s">
        <v>14</v>
      </c>
      <c r="P164" s="310" t="s">
        <v>13</v>
      </c>
      <c r="Q164" s="409" t="s">
        <v>87</v>
      </c>
      <c r="S164" s="292" t="s">
        <v>1635</v>
      </c>
      <c r="T164" s="308" t="s">
        <v>12</v>
      </c>
      <c r="U164" s="309" t="s">
        <v>14</v>
      </c>
      <c r="V164" s="310" t="s">
        <v>13</v>
      </c>
    </row>
    <row r="165" spans="2:26">
      <c r="B165" s="163" t="s">
        <v>185</v>
      </c>
      <c r="C165" s="319">
        <f>COUNTIF(Logs!$C591:$M591, C$164)</f>
        <v>10</v>
      </c>
      <c r="D165" s="8">
        <f>COUNTIF(Logs!$C591:$M591, D$164)</f>
        <v>1</v>
      </c>
      <c r="E165" s="33">
        <f>COUNTIF(Logs!$C591:$M591, E$164)</f>
        <v>0</v>
      </c>
      <c r="F165" s="329">
        <f>COUNTIF(Logs!$C591:$M591, F$164)</f>
        <v>0</v>
      </c>
      <c r="H165" s="163" t="s">
        <v>185</v>
      </c>
      <c r="I165" s="319">
        <f>COUNTIF(Logs!$C607:$L607, I$164)</f>
        <v>10</v>
      </c>
      <c r="J165" s="8">
        <f>COUNTIF(Logs!$C607:$L607, J$164)</f>
        <v>0</v>
      </c>
      <c r="K165" s="33">
        <f>COUNTIF(Logs!$C607:$L607, K$164)</f>
        <v>0</v>
      </c>
      <c r="M165" s="163" t="s">
        <v>185</v>
      </c>
      <c r="N165" s="319">
        <f>COUNTIF(Logs!$C623:$N623, N$164)</f>
        <v>12</v>
      </c>
      <c r="O165" s="8">
        <f>COUNTIF(Logs!$C623:$N623, O$164)</f>
        <v>0</v>
      </c>
      <c r="P165" s="33">
        <f>COUNTIF(Logs!$C623:$N623, P$164)</f>
        <v>0</v>
      </c>
      <c r="Q165" s="333">
        <f>COUNTIF(Logs!$C623:$N623, Q$164)</f>
        <v>0</v>
      </c>
      <c r="S165" s="163" t="s">
        <v>185</v>
      </c>
      <c r="T165" s="319">
        <f>COUNTIF(Logs!$C640:$M640, T$164)</f>
        <v>11</v>
      </c>
      <c r="U165" s="8">
        <f>COUNTIF(Logs!$C640:$M640, U$164)</f>
        <v>0</v>
      </c>
      <c r="V165" s="33">
        <f>COUNTIF(Logs!$C640:$M640, V$164)</f>
        <v>0</v>
      </c>
    </row>
    <row r="166" spans="2:26">
      <c r="B166" s="163" t="s">
        <v>186</v>
      </c>
      <c r="C166" s="319">
        <f>COUNTIF(Logs!$C592:$M592, C$164)</f>
        <v>6</v>
      </c>
      <c r="D166" s="8">
        <f>COUNTIF(Logs!$C592:$M592, D$164)</f>
        <v>3</v>
      </c>
      <c r="E166" s="33">
        <f>COUNTIF(Logs!$C592:$M592, E$164)</f>
        <v>2</v>
      </c>
      <c r="F166" s="329">
        <f>COUNTIF(Logs!$C592:$M592, F$164)</f>
        <v>0</v>
      </c>
      <c r="H166" s="163" t="s">
        <v>186</v>
      </c>
      <c r="I166" s="319">
        <f>COUNTIF(Logs!$C608:$L608, I$164)</f>
        <v>3</v>
      </c>
      <c r="J166" s="8">
        <f>COUNTIF(Logs!$C608:$L608, J$164)</f>
        <v>5</v>
      </c>
      <c r="K166" s="33">
        <f>COUNTIF(Logs!$C608:$L608, K$164)</f>
        <v>2</v>
      </c>
      <c r="M166" s="163" t="s">
        <v>186</v>
      </c>
      <c r="N166" s="319">
        <f>COUNTIF(Logs!$C624:$N624, N$164)</f>
        <v>5</v>
      </c>
      <c r="O166" s="8">
        <f>COUNTIF(Logs!$C624:$N624, O$164)</f>
        <v>6</v>
      </c>
      <c r="P166" s="33">
        <f>COUNTIF(Logs!$C624:$N624, P$164)</f>
        <v>1</v>
      </c>
      <c r="Q166" s="333">
        <f>COUNTIF(Logs!$C624:$N624, Q$164)</f>
        <v>0</v>
      </c>
      <c r="S166" s="163" t="s">
        <v>186</v>
      </c>
      <c r="T166" s="319">
        <f>COUNTIF(Logs!$C641:$M641, T$164)</f>
        <v>1</v>
      </c>
      <c r="U166" s="8">
        <f>COUNTIF(Logs!$C641:$M641, U$164)</f>
        <v>4</v>
      </c>
      <c r="V166" s="33">
        <f>COUNTIF(Logs!$C641:$M641, V$164)</f>
        <v>6</v>
      </c>
    </row>
    <row r="167" spans="2:26">
      <c r="B167" s="163" t="s">
        <v>187</v>
      </c>
      <c r="C167" s="319">
        <f>COUNTIF(Logs!$C593:$M593, C$164)</f>
        <v>6</v>
      </c>
      <c r="D167" s="8">
        <f>COUNTIF(Logs!$C593:$M593, D$164)</f>
        <v>3</v>
      </c>
      <c r="E167" s="33">
        <f>COUNTIF(Logs!$C593:$M593, E$164)</f>
        <v>2</v>
      </c>
      <c r="F167" s="329">
        <f>COUNTIF(Logs!$C593:$M593, F$164)</f>
        <v>0</v>
      </c>
      <c r="H167" s="163" t="s">
        <v>187</v>
      </c>
      <c r="I167" s="319">
        <f>COUNTIF(Logs!$C609:$L609, I$164)</f>
        <v>7</v>
      </c>
      <c r="J167" s="8">
        <f>COUNTIF(Logs!$C609:$L609, J$164)</f>
        <v>3</v>
      </c>
      <c r="K167" s="33">
        <f>COUNTIF(Logs!$C609:$L609, K$164)</f>
        <v>0</v>
      </c>
      <c r="M167" s="163" t="s">
        <v>187</v>
      </c>
      <c r="N167" s="319">
        <f>COUNTIF(Logs!$C625:$N625, N$164)</f>
        <v>11</v>
      </c>
      <c r="O167" s="8">
        <f>COUNTIF(Logs!$C625:$N625, O$164)</f>
        <v>1</v>
      </c>
      <c r="P167" s="33">
        <f>COUNTIF(Logs!$C625:$N625, P$164)</f>
        <v>0</v>
      </c>
      <c r="Q167" s="333">
        <f>COUNTIF(Logs!$C625:$N625, Q$164)</f>
        <v>0</v>
      </c>
      <c r="S167" s="163" t="s">
        <v>187</v>
      </c>
      <c r="T167" s="319">
        <f>COUNTIF(Logs!$C642:$M642, T$164)</f>
        <v>10</v>
      </c>
      <c r="U167" s="8">
        <f>COUNTIF(Logs!$C642:$M642, U$164)</f>
        <v>1</v>
      </c>
      <c r="V167" s="33">
        <f>COUNTIF(Logs!$C642:$M642, V$164)</f>
        <v>0</v>
      </c>
    </row>
    <row r="168" spans="2:26">
      <c r="B168" s="163" t="s">
        <v>188</v>
      </c>
      <c r="C168" s="319">
        <f>COUNTIF(Logs!$C594:$M594, C$164)</f>
        <v>7</v>
      </c>
      <c r="D168" s="8">
        <f>COUNTIF(Logs!$C594:$M594, D$164)</f>
        <v>2</v>
      </c>
      <c r="E168" s="33">
        <f>COUNTIF(Logs!$C594:$M594, E$164)</f>
        <v>2</v>
      </c>
      <c r="F168" s="329">
        <f>COUNTIF(Logs!$C594:$M594, F$164)</f>
        <v>0</v>
      </c>
      <c r="H168" s="163" t="s">
        <v>188</v>
      </c>
      <c r="I168" s="319">
        <f>COUNTIF(Logs!$C610:$L610, I$164)</f>
        <v>3</v>
      </c>
      <c r="J168" s="8">
        <f>COUNTIF(Logs!$C610:$L610, J$164)</f>
        <v>2</v>
      </c>
      <c r="K168" s="33">
        <f>COUNTIF(Logs!$C610:$L610, K$164)</f>
        <v>5</v>
      </c>
      <c r="M168" s="163" t="s">
        <v>188</v>
      </c>
      <c r="N168" s="319">
        <f>COUNTIF(Logs!$C626:$N626, N$164)</f>
        <v>5</v>
      </c>
      <c r="O168" s="8">
        <f>COUNTIF(Logs!$C626:$N626, O$164)</f>
        <v>1</v>
      </c>
      <c r="P168" s="33">
        <f>COUNTIF(Logs!$C626:$N626, P$164)</f>
        <v>4</v>
      </c>
      <c r="Q168" s="333">
        <f>COUNTIF(Logs!$C626:$N626, Q$164)</f>
        <v>2</v>
      </c>
      <c r="S168" s="163" t="s">
        <v>188</v>
      </c>
      <c r="T168" s="319">
        <f>COUNTIF(Logs!$C643:$M643, T$164)</f>
        <v>3</v>
      </c>
      <c r="U168" s="8">
        <f>COUNTIF(Logs!$C643:$M643, U$164)</f>
        <v>6</v>
      </c>
      <c r="V168" s="33">
        <f>COUNTIF(Logs!$C643:$M643, V$164)</f>
        <v>2</v>
      </c>
    </row>
    <row r="169" spans="2:26">
      <c r="B169" s="163" t="s">
        <v>189</v>
      </c>
      <c r="C169" s="319">
        <f>COUNTIF(Logs!$C595:$M595, C$164)</f>
        <v>7</v>
      </c>
      <c r="D169" s="8">
        <f>COUNTIF(Logs!$C595:$M595, D$164)</f>
        <v>1</v>
      </c>
      <c r="E169" s="33">
        <f>COUNTIF(Logs!$C595:$M595, E$164)</f>
        <v>2</v>
      </c>
      <c r="F169" s="329">
        <f>COUNTIF(Logs!$C595:$M595, F$164)</f>
        <v>0</v>
      </c>
      <c r="H169" s="163" t="s">
        <v>189</v>
      </c>
      <c r="I169" s="319">
        <f>COUNTIF(Logs!$C611:$L611, I$164)</f>
        <v>9</v>
      </c>
      <c r="J169" s="8">
        <f>COUNTIF(Logs!$C611:$L611, J$164)</f>
        <v>0</v>
      </c>
      <c r="K169" s="33">
        <f>COUNTIF(Logs!$C611:$L611, K$164)</f>
        <v>0</v>
      </c>
      <c r="M169" s="163" t="s">
        <v>189</v>
      </c>
      <c r="N169" s="319">
        <f>COUNTIF(Logs!$C627:$N627, N$164)</f>
        <v>10</v>
      </c>
      <c r="O169" s="8">
        <f>COUNTIF(Logs!$C627:$N627, O$164)</f>
        <v>2</v>
      </c>
      <c r="P169" s="33">
        <f>COUNTIF(Logs!$C627:$N627, P$164)</f>
        <v>0</v>
      </c>
      <c r="Q169" s="333">
        <f>COUNTIF(Logs!$C627:$N627, Q$164)</f>
        <v>0</v>
      </c>
      <c r="S169" s="163" t="s">
        <v>189</v>
      </c>
      <c r="T169" s="319">
        <f>COUNTIF(Logs!$C644:$M644, T$164)</f>
        <v>10</v>
      </c>
      <c r="U169" s="8">
        <f>COUNTIF(Logs!$C644:$M644, U$164)</f>
        <v>0</v>
      </c>
      <c r="V169" s="33">
        <f>COUNTIF(Logs!$C644:$M644, V$164)</f>
        <v>1</v>
      </c>
    </row>
    <row r="170" spans="2:26">
      <c r="B170" s="163" t="s">
        <v>190</v>
      </c>
      <c r="C170" s="319">
        <f>COUNTIF(Logs!$C596:$M596, C$164)</f>
        <v>3</v>
      </c>
      <c r="D170" s="8">
        <f>COUNTIF(Logs!$C596:$M596, D$164)</f>
        <v>1</v>
      </c>
      <c r="E170" s="33">
        <f>COUNTIF(Logs!$C596:$M596, E$164)</f>
        <v>0</v>
      </c>
      <c r="F170" s="329">
        <f>COUNTIF(Logs!$C596:$M596, F$164)</f>
        <v>1</v>
      </c>
      <c r="H170" s="163" t="s">
        <v>190</v>
      </c>
      <c r="I170" s="319">
        <f>COUNTIF(Logs!$C612:$L612, I$164)</f>
        <v>2</v>
      </c>
      <c r="J170" s="8">
        <f>COUNTIF(Logs!$C612:$L612, J$164)</f>
        <v>1</v>
      </c>
      <c r="K170" s="33">
        <f>COUNTIF(Logs!$C612:$L612, K$164)</f>
        <v>1</v>
      </c>
      <c r="M170" s="163" t="s">
        <v>190</v>
      </c>
      <c r="N170" s="319">
        <f>COUNTIF(Logs!$C628:$N628, N$164)</f>
        <v>3</v>
      </c>
      <c r="O170" s="8">
        <f>COUNTIF(Logs!$C628:$N628, O$164)</f>
        <v>1</v>
      </c>
      <c r="P170" s="33">
        <f>COUNTIF(Logs!$C628:$N628, P$164)</f>
        <v>4</v>
      </c>
      <c r="Q170" s="333">
        <f>COUNTIF(Logs!$C628:$N628, Q$164)</f>
        <v>0</v>
      </c>
      <c r="S170" s="163" t="s">
        <v>190</v>
      </c>
      <c r="T170" s="319">
        <f>COUNTIF(Logs!$C645:$M645, T$164)</f>
        <v>3</v>
      </c>
      <c r="U170" s="8">
        <f>COUNTIF(Logs!$C645:$M645, U$164)</f>
        <v>2</v>
      </c>
      <c r="V170" s="33">
        <f>COUNTIF(Logs!$C645:$M645, V$164)</f>
        <v>0</v>
      </c>
    </row>
    <row r="171" spans="2:26">
      <c r="B171" s="163" t="s">
        <v>191</v>
      </c>
      <c r="C171" s="319">
        <f>COUNTIF(Logs!$C597:$M597, C$164)</f>
        <v>3</v>
      </c>
      <c r="D171" s="8">
        <f>COUNTIF(Logs!$C597:$M597, D$164)</f>
        <v>0</v>
      </c>
      <c r="E171" s="33">
        <f>COUNTIF(Logs!$C597:$M597, E$164)</f>
        <v>0</v>
      </c>
      <c r="F171" s="329">
        <f>COUNTIF(Logs!$C597:$M597, F$164)</f>
        <v>0</v>
      </c>
      <c r="H171" s="163" t="s">
        <v>191</v>
      </c>
      <c r="I171" s="319">
        <f>COUNTIF(Logs!$C613:$L613, I$164)</f>
        <v>2</v>
      </c>
      <c r="J171" s="8">
        <f>COUNTIF(Logs!$C613:$L613, J$164)</f>
        <v>0</v>
      </c>
      <c r="K171" s="33">
        <f>COUNTIF(Logs!$C613:$L613, K$164)</f>
        <v>1</v>
      </c>
      <c r="M171" s="163" t="s">
        <v>191</v>
      </c>
      <c r="N171" s="319">
        <f>COUNTIF(Logs!$C629:$N629, N$164)</f>
        <v>6</v>
      </c>
      <c r="O171" s="8">
        <f>COUNTIF(Logs!$C629:$N629, O$164)</f>
        <v>1</v>
      </c>
      <c r="P171" s="33">
        <f>COUNTIF(Logs!$C629:$N629, P$164)</f>
        <v>1</v>
      </c>
      <c r="Q171" s="333">
        <f>COUNTIF(Logs!$C629:$N629, Q$164)</f>
        <v>0</v>
      </c>
      <c r="S171" s="163" t="s">
        <v>191</v>
      </c>
      <c r="T171" s="319">
        <f>COUNTIF(Logs!$C646:$M646, T$164)</f>
        <v>2</v>
      </c>
      <c r="U171" s="8">
        <f>COUNTIF(Logs!$C646:$M646, U$164)</f>
        <v>1</v>
      </c>
      <c r="V171" s="33">
        <f>COUNTIF(Logs!$C646:$M646, V$164)</f>
        <v>0</v>
      </c>
    </row>
    <row r="172" spans="2:26">
      <c r="B172" s="163" t="s">
        <v>192</v>
      </c>
      <c r="C172" s="319">
        <f>COUNTIF(Logs!$C598:$M598, C$164)</f>
        <v>1</v>
      </c>
      <c r="D172" s="8">
        <f>COUNTIF(Logs!$C598:$M598, D$164)</f>
        <v>0</v>
      </c>
      <c r="E172" s="33">
        <f>COUNTIF(Logs!$C598:$M598, E$164)</f>
        <v>0</v>
      </c>
      <c r="F172" s="329">
        <f>COUNTIF(Logs!$C598:$M598, F$164)</f>
        <v>0</v>
      </c>
      <c r="H172" s="163" t="s">
        <v>192</v>
      </c>
      <c r="I172" s="319">
        <f>COUNTIF(Logs!$C614:$L614, I$164)</f>
        <v>2</v>
      </c>
      <c r="J172" s="8">
        <f>COUNTIF(Logs!$C614:$L614, J$164)</f>
        <v>1</v>
      </c>
      <c r="K172" s="33">
        <f>COUNTIF(Logs!$C614:$L614, K$164)</f>
        <v>0</v>
      </c>
      <c r="M172" s="163" t="s">
        <v>192</v>
      </c>
      <c r="N172" s="319">
        <f>COUNTIF(Logs!$C630:$N630, N$164)</f>
        <v>4</v>
      </c>
      <c r="O172" s="8">
        <f>COUNTIF(Logs!$C630:$N630, O$164)</f>
        <v>0</v>
      </c>
      <c r="P172" s="33">
        <f>COUNTIF(Logs!$C630:$N630, P$164)</f>
        <v>0</v>
      </c>
      <c r="Q172" s="333">
        <f>COUNTIF(Logs!$C630:$N630, Q$164)</f>
        <v>0</v>
      </c>
      <c r="S172" s="163" t="s">
        <v>192</v>
      </c>
      <c r="T172" s="319">
        <f>COUNTIF(Logs!$C647:$M647, T$164)</f>
        <v>2</v>
      </c>
      <c r="U172" s="8">
        <f>COUNTIF(Logs!$C647:$M647, U$164)</f>
        <v>0</v>
      </c>
      <c r="V172" s="33">
        <f>COUNTIF(Logs!$C647:$M647, V$164)</f>
        <v>1</v>
      </c>
    </row>
    <row r="173" spans="2:26">
      <c r="B173" s="318" t="s">
        <v>182</v>
      </c>
      <c r="C173" s="402">
        <f>SUM(C165:C172)</f>
        <v>43</v>
      </c>
      <c r="D173" s="386">
        <f>SUM(D165:D172)</f>
        <v>11</v>
      </c>
      <c r="E173" s="387">
        <f>SUM(E165:E172)</f>
        <v>8</v>
      </c>
      <c r="F173" s="406">
        <f>SUM(F165:F172)</f>
        <v>1</v>
      </c>
      <c r="H173" s="163" t="s">
        <v>193</v>
      </c>
      <c r="I173" s="319">
        <f>COUNTIF(Logs!$C615:$L615, I$164)</f>
        <v>1</v>
      </c>
      <c r="J173" s="8">
        <f>COUNTIF(Logs!$C615:$L615, J$164)</f>
        <v>0</v>
      </c>
      <c r="K173" s="33">
        <f>COUNTIF(Logs!$C615:$L615, K$164)</f>
        <v>0</v>
      </c>
      <c r="M173" s="163" t="s">
        <v>193</v>
      </c>
      <c r="N173" s="319">
        <f>COUNTIF(Logs!$C631:$N631, N$164)</f>
        <v>1</v>
      </c>
      <c r="O173" s="8">
        <f>COUNTIF(Logs!$C631:$N631, O$164)</f>
        <v>0</v>
      </c>
      <c r="P173" s="33">
        <f>COUNTIF(Logs!$C631:$N631, P$164)</f>
        <v>0</v>
      </c>
      <c r="Q173" s="333">
        <f>COUNTIF(Logs!$C631:$N631, Q$164)</f>
        <v>0</v>
      </c>
      <c r="S173" s="163" t="s">
        <v>193</v>
      </c>
      <c r="T173" s="319">
        <f>COUNTIF(Logs!$C648:$M648, T$164)</f>
        <v>2</v>
      </c>
      <c r="U173" s="8">
        <f>COUNTIF(Logs!$C648:$M648, U$164)</f>
        <v>0</v>
      </c>
      <c r="V173" s="33">
        <f>COUNTIF(Logs!$C648:$M648, V$164)</f>
        <v>0</v>
      </c>
    </row>
    <row r="174" spans="2:26">
      <c r="H174" s="318" t="s">
        <v>182</v>
      </c>
      <c r="I174" s="402">
        <f>SUM(I165:I173)</f>
        <v>39</v>
      </c>
      <c r="J174" s="386">
        <f>SUM(J165:J173)</f>
        <v>12</v>
      </c>
      <c r="K174" s="387">
        <f>SUM(K165:K173)</f>
        <v>9</v>
      </c>
      <c r="M174" s="318" t="s">
        <v>182</v>
      </c>
      <c r="N174" s="402">
        <f>SUM(N165:N173)</f>
        <v>57</v>
      </c>
      <c r="O174" s="386">
        <f>SUM(O165:O173)</f>
        <v>12</v>
      </c>
      <c r="P174" s="387">
        <f>SUM(P165:P173)</f>
        <v>10</v>
      </c>
      <c r="Q174" s="410">
        <f>SUM(Q165:Q173)</f>
        <v>2</v>
      </c>
      <c r="S174" s="163" t="s">
        <v>194</v>
      </c>
      <c r="T174" s="319">
        <f>COUNTIF(Logs!$C649:$M649, T$164)</f>
        <v>1</v>
      </c>
      <c r="U174" s="8">
        <f>COUNTIF(Logs!$C649:$M649, U$164)</f>
        <v>0</v>
      </c>
      <c r="V174" s="33">
        <f>COUNTIF(Logs!$C649:$M649, V$164)</f>
        <v>0</v>
      </c>
    </row>
    <row r="175" spans="2:26">
      <c r="S175" s="318" t="s">
        <v>182</v>
      </c>
      <c r="T175" s="402">
        <f>SUM(T165:T174)</f>
        <v>45</v>
      </c>
      <c r="U175" s="386">
        <f>SUM(U165:U174)</f>
        <v>14</v>
      </c>
      <c r="V175" s="387">
        <f>SUM(V165:V174)</f>
        <v>10</v>
      </c>
    </row>
    <row r="177" spans="2:15">
      <c r="B177" s="57" t="s">
        <v>1742</v>
      </c>
      <c r="J177" s="57" t="s">
        <v>2056</v>
      </c>
    </row>
    <row r="178" spans="2:15">
      <c r="B178" s="292" t="s">
        <v>1635</v>
      </c>
      <c r="C178" s="308" t="s">
        <v>12</v>
      </c>
      <c r="D178" s="309" t="s">
        <v>14</v>
      </c>
      <c r="E178" s="310" t="s">
        <v>13</v>
      </c>
      <c r="F178" s="311" t="s">
        <v>71</v>
      </c>
      <c r="G178" s="569" t="s">
        <v>1966</v>
      </c>
      <c r="H178" s="315" t="s">
        <v>87</v>
      </c>
      <c r="J178" s="292" t="s">
        <v>1635</v>
      </c>
      <c r="K178" s="308" t="s">
        <v>12</v>
      </c>
      <c r="L178" s="309" t="s">
        <v>14</v>
      </c>
      <c r="M178" s="310" t="s">
        <v>13</v>
      </c>
      <c r="N178" s="311" t="s">
        <v>71</v>
      </c>
      <c r="O178" s="306" t="s">
        <v>231</v>
      </c>
    </row>
    <row r="179" spans="2:15">
      <c r="B179" s="163" t="s">
        <v>185</v>
      </c>
      <c r="C179" s="319">
        <f>COUNTIF(Logs!$C655:$N655, $C$178)</f>
        <v>11</v>
      </c>
      <c r="D179" s="8">
        <f>COUNTIF(Logs!$C655:$N655, D$178)</f>
        <v>0</v>
      </c>
      <c r="E179" s="33">
        <f>COUNTIF(Logs!$C655:$N655, E$178)</f>
        <v>0</v>
      </c>
      <c r="F179" s="403">
        <f>COUNTIF(Logs!$C655:$N655, F$178)</f>
        <v>0</v>
      </c>
      <c r="G179">
        <f>COUNTIF(Logs!$C655:$N655, G$178)</f>
        <v>0</v>
      </c>
      <c r="H179" s="333">
        <f>COUNTIF(Logs!$C655:$N655, H$178)</f>
        <v>1</v>
      </c>
      <c r="J179" s="163" t="s">
        <v>185</v>
      </c>
      <c r="K179" s="319">
        <f>COUNTIF(Logs!$C671:$N671, $C$178)</f>
        <v>12</v>
      </c>
      <c r="L179" s="8">
        <f>COUNTIF(Logs!$C671:$N671, L$178)</f>
        <v>0</v>
      </c>
      <c r="M179" s="33">
        <f>COUNTIF(Logs!$C671:$N671, M$178)</f>
        <v>0</v>
      </c>
      <c r="N179" s="403">
        <f>COUNTIF(Logs!$C671:$N671, N$178)</f>
        <v>0</v>
      </c>
      <c r="O179">
        <f>COUNTIF(Logs!$C671:$N671, O$178)</f>
        <v>0</v>
      </c>
    </row>
    <row r="180" spans="2:15">
      <c r="B180" s="163" t="s">
        <v>186</v>
      </c>
      <c r="C180" s="319">
        <f>COUNTIF(Logs!$C656:$N656, C$178)</f>
        <v>11</v>
      </c>
      <c r="D180" s="8">
        <f>COUNTIF(Logs!$C656:$N656, D$178)</f>
        <v>1</v>
      </c>
      <c r="E180" s="33">
        <f>COUNTIF(Logs!$C656:$N656, E$178)</f>
        <v>0</v>
      </c>
      <c r="F180" s="403">
        <f>COUNTIF(Logs!$C656:$N656, F$178)</f>
        <v>0</v>
      </c>
      <c r="G180">
        <f>COUNTIF(Logs!$C656:$N656, G$178)</f>
        <v>0</v>
      </c>
      <c r="H180" s="333">
        <f>COUNTIF(Logs!$C656:$N656, H$178)</f>
        <v>0</v>
      </c>
      <c r="J180" s="163" t="s">
        <v>186</v>
      </c>
      <c r="K180" s="319">
        <f>COUNTIF(Logs!$C672:$N672, $C$178)</f>
        <v>6</v>
      </c>
      <c r="L180" s="8">
        <f>COUNTIF(Logs!$C672:$N672, L$178)</f>
        <v>4</v>
      </c>
      <c r="M180" s="33">
        <f>COUNTIF(Logs!$C672:$N672, M$178)</f>
        <v>2</v>
      </c>
      <c r="N180" s="403">
        <f>COUNTIF(Logs!$C672:$N672, N$178)</f>
        <v>0</v>
      </c>
      <c r="O180">
        <f>COUNTIF(Logs!$C672:$N672, O$178)</f>
        <v>0</v>
      </c>
    </row>
    <row r="181" spans="2:15">
      <c r="B181" s="163" t="s">
        <v>187</v>
      </c>
      <c r="C181" s="319">
        <f>COUNTIF(Logs!$C657:$N657, C$178)</f>
        <v>4</v>
      </c>
      <c r="D181" s="8">
        <f>COUNTIF(Logs!$C657:$N657, D$178)</f>
        <v>5</v>
      </c>
      <c r="E181" s="33">
        <f>COUNTIF(Logs!$C657:$N657, E$178)</f>
        <v>2</v>
      </c>
      <c r="F181" s="403">
        <f>COUNTIF(Logs!$C657:$N657, F$178)</f>
        <v>1</v>
      </c>
      <c r="G181">
        <f>COUNTIF(Logs!$C657:$N657, G$178)</f>
        <v>0</v>
      </c>
      <c r="H181" s="333">
        <f>COUNTIF(Logs!$C657:$N657, H$178)</f>
        <v>0</v>
      </c>
      <c r="J181" s="163" t="s">
        <v>187</v>
      </c>
      <c r="K181" s="319">
        <f>COUNTIF(Logs!$C673:$N673, $C$178)</f>
        <v>10</v>
      </c>
      <c r="L181" s="8">
        <f>COUNTIF(Logs!$C673:$N673, L$178)</f>
        <v>1</v>
      </c>
      <c r="M181" s="33">
        <f>COUNTIF(Logs!$C673:$N673, M$178)</f>
        <v>1</v>
      </c>
      <c r="N181" s="403">
        <f>COUNTIF(Logs!$C673:$N673, N$178)</f>
        <v>0</v>
      </c>
      <c r="O181">
        <f>COUNTIF(Logs!$C673:$N673, O$178)</f>
        <v>0</v>
      </c>
    </row>
    <row r="182" spans="2:15">
      <c r="B182" s="163" t="s">
        <v>188</v>
      </c>
      <c r="C182" s="319">
        <f>COUNTIF(Logs!$C658:$N658, C$178)</f>
        <v>11</v>
      </c>
      <c r="D182" s="8">
        <f>COUNTIF(Logs!$C658:$N658, D$178)</f>
        <v>1</v>
      </c>
      <c r="E182" s="33">
        <f>COUNTIF(Logs!$C658:$N658, E$178)</f>
        <v>0</v>
      </c>
      <c r="F182" s="403">
        <f>COUNTIF(Logs!$C658:$N658, F$178)</f>
        <v>0</v>
      </c>
      <c r="G182">
        <f>COUNTIF(Logs!$C658:$N658, G$178)</f>
        <v>0</v>
      </c>
      <c r="H182" s="333">
        <f>COUNTIF(Logs!$C658:$N658, H$178)</f>
        <v>0</v>
      </c>
      <c r="J182" s="163" t="s">
        <v>188</v>
      </c>
      <c r="K182" s="319">
        <f>COUNTIF(Logs!$C674:$N674, $C$178)</f>
        <v>8</v>
      </c>
      <c r="L182" s="8">
        <f>COUNTIF(Logs!$C674:$N674, L$178)</f>
        <v>1</v>
      </c>
      <c r="M182" s="33">
        <f>COUNTIF(Logs!$C674:$N674, M$178)</f>
        <v>2</v>
      </c>
      <c r="N182" s="403">
        <f>COUNTIF(Logs!$C674:$N674, N$178)</f>
        <v>1</v>
      </c>
      <c r="O182">
        <f>COUNTIF(Logs!$C674:$N674, O$178)</f>
        <v>0</v>
      </c>
    </row>
    <row r="183" spans="2:15">
      <c r="B183" s="163" t="s">
        <v>189</v>
      </c>
      <c r="C183" s="319">
        <f>COUNTIF(Logs!$C659:$N659, C$178)</f>
        <v>6</v>
      </c>
      <c r="D183" s="8">
        <f>COUNTIF(Logs!$C659:$N659, D$178)</f>
        <v>2</v>
      </c>
      <c r="E183" s="33">
        <f>COUNTIF(Logs!$C659:$N659, E$178)</f>
        <v>3</v>
      </c>
      <c r="F183" s="403">
        <f>COUNTIF(Logs!$C659:$N659, F$178)</f>
        <v>0</v>
      </c>
      <c r="G183">
        <f>COUNTIF(Logs!$C659:$N659, G$178)</f>
        <v>1</v>
      </c>
      <c r="H183" s="333">
        <f>COUNTIF(Logs!$C659:$N659, H$178)</f>
        <v>0</v>
      </c>
      <c r="J183" s="163" t="s">
        <v>189</v>
      </c>
      <c r="K183" s="319">
        <f>COUNTIF(Logs!$C675:$N675, $C$178)</f>
        <v>8</v>
      </c>
      <c r="L183" s="8">
        <f>COUNTIF(Logs!$C675:$N675, L$178)</f>
        <v>3</v>
      </c>
      <c r="M183" s="33">
        <f>COUNTIF(Logs!$C675:$N675, M$178)</f>
        <v>0</v>
      </c>
      <c r="N183" s="403">
        <f>COUNTIF(Logs!$C675:$N675, N$178)</f>
        <v>0</v>
      </c>
      <c r="O183">
        <f>COUNTIF(Logs!$C675:$N675, O$178)</f>
        <v>1</v>
      </c>
    </row>
    <row r="184" spans="2:15">
      <c r="B184" s="163" t="s">
        <v>190</v>
      </c>
      <c r="C184" s="319">
        <f>COUNTIF(Logs!$C660:$N660, C$178)</f>
        <v>11</v>
      </c>
      <c r="D184" s="8">
        <f>COUNTIF(Logs!$C660:$N660, D$178)</f>
        <v>0</v>
      </c>
      <c r="E184" s="33">
        <f>COUNTIF(Logs!$C660:$N660, E$178)</f>
        <v>1</v>
      </c>
      <c r="F184" s="403">
        <f>COUNTIF(Logs!$C660:$N660, F$178)</f>
        <v>0</v>
      </c>
      <c r="G184">
        <f>COUNTIF(Logs!$C660:$N660, G$178)</f>
        <v>0</v>
      </c>
      <c r="H184" s="333">
        <f>COUNTIF(Logs!$C660:$N660, H$178)</f>
        <v>0</v>
      </c>
      <c r="J184" s="163" t="s">
        <v>190</v>
      </c>
      <c r="K184" s="319">
        <f>COUNTIF(Logs!$C676:$N676, $C$178)</f>
        <v>7</v>
      </c>
      <c r="L184" s="8">
        <f>COUNTIF(Logs!$C676:$N676, L$178)</f>
        <v>3</v>
      </c>
      <c r="M184" s="33">
        <f>COUNTIF(Logs!$C676:$N676, M$178)</f>
        <v>1</v>
      </c>
      <c r="N184" s="403">
        <f>COUNTIF(Logs!$C676:$N676, N$178)</f>
        <v>0</v>
      </c>
      <c r="O184">
        <f>COUNTIF(Logs!$C676:$N676, O$178)</f>
        <v>0</v>
      </c>
    </row>
    <row r="185" spans="2:15">
      <c r="B185" s="163" t="s">
        <v>191</v>
      </c>
      <c r="C185" s="319">
        <f>COUNTIF(Logs!$C661:$N661, C$178)</f>
        <v>5</v>
      </c>
      <c r="D185" s="8">
        <f>COUNTIF(Logs!$C661:$N661, D$178)</f>
        <v>2</v>
      </c>
      <c r="E185" s="33">
        <f>COUNTIF(Logs!$C661:$N661, E$178)</f>
        <v>1</v>
      </c>
      <c r="F185" s="403">
        <f>COUNTIF(Logs!$C661:$N661, F$178)</f>
        <v>0</v>
      </c>
      <c r="G185">
        <f>COUNTIF(Logs!$C661:$N661, G$178)</f>
        <v>0</v>
      </c>
      <c r="H185" s="333">
        <f>COUNTIF(Logs!$C661:$N661, H$178)</f>
        <v>0</v>
      </c>
      <c r="J185" s="163" t="s">
        <v>191</v>
      </c>
      <c r="K185" s="319">
        <f>COUNTIF(Logs!$C677:$N677, $C$178)</f>
        <v>8</v>
      </c>
      <c r="L185" s="8">
        <f>COUNTIF(Logs!$C677:$N677, L$178)</f>
        <v>0</v>
      </c>
      <c r="M185" s="33">
        <f>COUNTIF(Logs!$C677:$N677, M$178)</f>
        <v>0</v>
      </c>
      <c r="N185" s="403">
        <f>COUNTIF(Logs!$C677:$N677, N$178)</f>
        <v>0</v>
      </c>
      <c r="O185">
        <f>COUNTIF(Logs!$C677:$N677, O$178)</f>
        <v>0</v>
      </c>
    </row>
    <row r="186" spans="2:15">
      <c r="B186" s="163" t="s">
        <v>192</v>
      </c>
      <c r="C186" s="319">
        <f>COUNTIF(Logs!$C662:$N662, C$178)</f>
        <v>6</v>
      </c>
      <c r="D186" s="8">
        <f>COUNTIF(Logs!$C662:$N662, D$178)</f>
        <v>1</v>
      </c>
      <c r="E186" s="33">
        <f>COUNTIF(Logs!$C662:$N662, E$178)</f>
        <v>0</v>
      </c>
      <c r="F186" s="403">
        <f>COUNTIF(Logs!$C662:$N662, F$178)</f>
        <v>0</v>
      </c>
      <c r="G186">
        <f>COUNTIF(Logs!$C662:$N662, G$178)</f>
        <v>0</v>
      </c>
      <c r="H186" s="333">
        <f>COUNTIF(Logs!$C662:$N662, H$178)</f>
        <v>0</v>
      </c>
      <c r="J186" s="163" t="s">
        <v>192</v>
      </c>
      <c r="K186" s="319">
        <f>COUNTIF(Logs!$C678:$N678, $C$178)</f>
        <v>3</v>
      </c>
      <c r="L186" s="8">
        <f>COUNTIF(Logs!$C678:$N678, L$178)</f>
        <v>0</v>
      </c>
      <c r="M186" s="33">
        <f>COUNTIF(Logs!$C678:$N678, M$178)</f>
        <v>1</v>
      </c>
      <c r="N186" s="403">
        <f>COUNTIF(Logs!$C678:$N678, N$178)</f>
        <v>0</v>
      </c>
      <c r="O186">
        <f>COUNTIF(Logs!$C678:$N678, O$178)</f>
        <v>0</v>
      </c>
    </row>
    <row r="187" spans="2:15">
      <c r="B187" s="163" t="s">
        <v>193</v>
      </c>
      <c r="C187" s="319">
        <f>COUNTIF(Logs!$C663:$N663, C$178)</f>
        <v>1</v>
      </c>
      <c r="D187" s="8">
        <f>COUNTIF(Logs!$C663:$N663, D$178)</f>
        <v>1</v>
      </c>
      <c r="E187" s="33">
        <f>COUNTIF(Logs!$C663:$N663, E$178)</f>
        <v>0</v>
      </c>
      <c r="F187" s="403">
        <f>COUNTIF(Logs!$C663:$N663, F$178)</f>
        <v>0</v>
      </c>
      <c r="G187">
        <f>COUNTIF(Logs!$C663:$N663, G$178)</f>
        <v>0</v>
      </c>
      <c r="H187" s="333">
        <f>COUNTIF(Logs!$C663:$N663, H$178)</f>
        <v>0</v>
      </c>
      <c r="J187" s="163" t="s">
        <v>193</v>
      </c>
      <c r="K187" s="319">
        <f>COUNTIF(Logs!$C679:$N679, $C$178)</f>
        <v>1</v>
      </c>
      <c r="L187" s="8">
        <f>COUNTIF(Logs!$C679:$N679, L$178)</f>
        <v>1</v>
      </c>
      <c r="M187" s="33">
        <f>COUNTIF(Logs!$C679:$N679, M$178)</f>
        <v>0</v>
      </c>
      <c r="N187" s="403">
        <f>COUNTIF(Logs!$C679:$N679, N$178)</f>
        <v>0</v>
      </c>
      <c r="O187">
        <f>COUNTIF(Logs!$C679:$N679, O$178)</f>
        <v>0</v>
      </c>
    </row>
    <row r="188" spans="2:15">
      <c r="B188" s="163" t="s">
        <v>194</v>
      </c>
      <c r="C188" s="319">
        <f>COUNTIF(Logs!$C664:$N664, C$178)</f>
        <v>1</v>
      </c>
      <c r="D188" s="8">
        <f>COUNTIF(Logs!$C664:$N664, D$178)</f>
        <v>0</v>
      </c>
      <c r="E188" s="33">
        <f>COUNTIF(Logs!$C664:$N664, E$178)</f>
        <v>0</v>
      </c>
      <c r="F188" s="403">
        <f>COUNTIF(Logs!$C664:$N664, F$178)</f>
        <v>0</v>
      </c>
      <c r="G188">
        <f>COUNTIF(Logs!$C664:$N664, G$178)</f>
        <v>0</v>
      </c>
      <c r="H188" s="333">
        <f>COUNTIF(Logs!$C664:$N664, H$178)</f>
        <v>0</v>
      </c>
      <c r="J188" s="163" t="s">
        <v>194</v>
      </c>
      <c r="K188" s="319">
        <f>COUNTIF(Logs!$C681:$N681, $C$178)</f>
        <v>0</v>
      </c>
      <c r="L188" s="8">
        <f>COUNTIF(Logs!$C681:$N681, L$178)</f>
        <v>0</v>
      </c>
      <c r="M188" s="33">
        <f>COUNTIF(Logs!$C681:$N681, M$178)</f>
        <v>0</v>
      </c>
      <c r="N188" s="403">
        <f>COUNTIF(Logs!$C681:$N681, N$178)</f>
        <v>0</v>
      </c>
      <c r="O188">
        <f>COUNTIF(Logs!$C681:$N681, O$178)</f>
        <v>0</v>
      </c>
    </row>
    <row r="189" spans="2:15">
      <c r="B189" s="318" t="s">
        <v>182</v>
      </c>
      <c r="C189" s="402">
        <f t="shared" ref="C189:H189" si="19">SUM(C179:C188)</f>
        <v>67</v>
      </c>
      <c r="D189" s="386">
        <f t="shared" si="19"/>
        <v>13</v>
      </c>
      <c r="E189" s="387">
        <f t="shared" si="19"/>
        <v>7</v>
      </c>
      <c r="F189" s="557">
        <f t="shared" si="19"/>
        <v>1</v>
      </c>
      <c r="G189" s="407">
        <f t="shared" si="19"/>
        <v>1</v>
      </c>
      <c r="H189" s="410">
        <f t="shared" si="19"/>
        <v>1</v>
      </c>
      <c r="J189" s="318" t="s">
        <v>182</v>
      </c>
      <c r="K189" s="402">
        <f>SUM(K179:K188)</f>
        <v>63</v>
      </c>
      <c r="L189" s="386">
        <f>SUM(L179:L188)</f>
        <v>13</v>
      </c>
      <c r="M189" s="387">
        <f>SUM(M179:M188)</f>
        <v>7</v>
      </c>
      <c r="N189" s="557">
        <f>SUM(N179:N188)</f>
        <v>1</v>
      </c>
      <c r="O189" s="407">
        <f>SUM(O179:O186)</f>
        <v>1</v>
      </c>
    </row>
  </sheetData>
  <mergeCells count="8">
    <mergeCell ref="R10:T10"/>
    <mergeCell ref="B4:F4"/>
    <mergeCell ref="B6:G7"/>
    <mergeCell ref="C10:E10"/>
    <mergeCell ref="F10:H10"/>
    <mergeCell ref="I10:K10"/>
    <mergeCell ref="L10:N10"/>
    <mergeCell ref="O10:Q10"/>
  </mergeCells>
  <phoneticPr fontId="3"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744A-250D-9944-B030-BABE034DDAA4}">
  <sheetPr codeName="Sheet14">
    <tabColor theme="4"/>
  </sheetPr>
  <dimension ref="B2:X123"/>
  <sheetViews>
    <sheetView zoomScale="75" zoomScaleNormal="75" workbookViewId="0">
      <selection activeCell="M63" sqref="M63"/>
    </sheetView>
  </sheetViews>
  <sheetFormatPr defaultColWidth="11" defaultRowHeight="15.75"/>
  <cols>
    <col min="2" max="2" width="12.75" customWidth="1"/>
    <col min="14" max="14" width="12.75" bestFit="1" customWidth="1"/>
  </cols>
  <sheetData>
    <row r="2" spans="2:24" ht="33.75">
      <c r="B2" s="1752" t="s">
        <v>2746</v>
      </c>
      <c r="C2" s="1752"/>
      <c r="D2" s="1752"/>
      <c r="E2" s="1752"/>
    </row>
    <row r="4" spans="2:24">
      <c r="B4" s="1701" t="s">
        <v>2747</v>
      </c>
      <c r="C4" s="1701"/>
      <c r="D4" s="1701"/>
      <c r="E4" s="1701"/>
      <c r="F4" s="1701"/>
      <c r="G4" s="1701"/>
      <c r="H4" s="1701"/>
      <c r="I4" s="1701"/>
    </row>
    <row r="5" spans="2:24">
      <c r="B5" s="35"/>
      <c r="D5" s="422"/>
      <c r="E5" s="422"/>
      <c r="F5" s="422"/>
      <c r="G5" s="422"/>
      <c r="H5" s="422"/>
      <c r="I5" s="422"/>
      <c r="J5" s="422"/>
      <c r="K5" s="422"/>
      <c r="L5" s="422"/>
      <c r="M5" s="422"/>
      <c r="N5" s="422"/>
      <c r="O5" s="422"/>
      <c r="P5" s="422"/>
      <c r="Q5" s="422"/>
      <c r="R5" s="422"/>
      <c r="S5" s="422"/>
      <c r="T5" s="422"/>
      <c r="U5" s="422"/>
    </row>
    <row r="6" spans="2:24" ht="18.75">
      <c r="B6" s="68" t="s">
        <v>2748</v>
      </c>
      <c r="D6" s="422"/>
      <c r="E6" s="422"/>
      <c r="F6" s="422"/>
      <c r="G6" s="422"/>
      <c r="H6" s="422"/>
      <c r="I6" s="422"/>
      <c r="J6" s="422"/>
      <c r="K6" s="422"/>
      <c r="L6" s="422"/>
      <c r="M6" s="422"/>
      <c r="N6" s="422"/>
      <c r="O6" s="422"/>
      <c r="P6" s="422"/>
      <c r="Q6" s="422"/>
      <c r="R6" s="422"/>
      <c r="S6" s="422"/>
      <c r="T6" s="422"/>
      <c r="U6" s="422"/>
    </row>
    <row r="7" spans="2:24" ht="16.5" thickBot="1">
      <c r="B7" t="s">
        <v>2787</v>
      </c>
    </row>
    <row r="8" spans="2:24" ht="19.5" thickBot="1">
      <c r="B8" s="1380" t="s">
        <v>1</v>
      </c>
      <c r="C8" s="1744" t="s">
        <v>12</v>
      </c>
      <c r="D8" s="1744"/>
      <c r="E8" s="1745" t="s">
        <v>14</v>
      </c>
      <c r="F8" s="1746"/>
      <c r="G8" s="1747" t="s">
        <v>13</v>
      </c>
      <c r="H8" s="1748"/>
      <c r="I8" s="1749" t="s">
        <v>49</v>
      </c>
      <c r="J8" s="1750"/>
      <c r="K8" s="1742" t="s">
        <v>71</v>
      </c>
      <c r="L8" s="1743"/>
      <c r="N8" s="1380" t="s">
        <v>2</v>
      </c>
      <c r="O8" s="1744" t="s">
        <v>12</v>
      </c>
      <c r="P8" s="1751"/>
      <c r="Q8" s="1745" t="s">
        <v>14</v>
      </c>
      <c r="R8" s="1746"/>
      <c r="S8" s="1747" t="s">
        <v>13</v>
      </c>
      <c r="T8" s="1748"/>
      <c r="U8" s="1749" t="s">
        <v>49</v>
      </c>
      <c r="V8" s="1750"/>
      <c r="W8" s="1742" t="s">
        <v>71</v>
      </c>
      <c r="X8" s="1743"/>
    </row>
    <row r="9" spans="2:24">
      <c r="B9" s="1376" t="s">
        <v>1635</v>
      </c>
      <c r="C9" s="355" t="s">
        <v>150</v>
      </c>
      <c r="D9" s="355" t="s">
        <v>195</v>
      </c>
      <c r="E9" s="563" t="s">
        <v>150</v>
      </c>
      <c r="F9" s="1436" t="s">
        <v>195</v>
      </c>
      <c r="G9" s="563" t="s">
        <v>150</v>
      </c>
      <c r="H9" s="1436" t="s">
        <v>195</v>
      </c>
      <c r="I9" s="563" t="s">
        <v>150</v>
      </c>
      <c r="J9" s="1436" t="s">
        <v>195</v>
      </c>
      <c r="K9" s="355" t="s">
        <v>150</v>
      </c>
      <c r="L9" s="1377" t="s">
        <v>195</v>
      </c>
      <c r="N9" s="1376" t="s">
        <v>1635</v>
      </c>
      <c r="O9" s="355" t="s">
        <v>150</v>
      </c>
      <c r="P9" s="1436" t="s">
        <v>195</v>
      </c>
      <c r="Q9" s="563" t="s">
        <v>150</v>
      </c>
      <c r="R9" s="1436" t="s">
        <v>195</v>
      </c>
      <c r="S9" s="563" t="s">
        <v>150</v>
      </c>
      <c r="T9" s="1436" t="s">
        <v>195</v>
      </c>
      <c r="U9" s="563" t="s">
        <v>150</v>
      </c>
      <c r="V9" s="1436" t="s">
        <v>195</v>
      </c>
      <c r="W9" s="355" t="s">
        <v>150</v>
      </c>
      <c r="X9" s="1377" t="s">
        <v>195</v>
      </c>
    </row>
    <row r="10" spans="2:24">
      <c r="B10" s="1378" t="s">
        <v>185</v>
      </c>
      <c r="C10" s="1323">
        <f>COUNTIF(Logs!$C9, C$8)+COUNTIF(Logs!$C27, C$8)+COUNTIF(Logs!$C45, C$8)+COUNTIF(Logs!$C63, C$8)+COUNTIF(Logs!$C81, C$8)+COUNTIF(Logs!$C100, C$8)+COUNTIF(Logs!$C120, C$8)+COUNTIF(Logs!$C139, C$8)+COUNTIF(Logs!$C159, C$8)+COUNTIF(Logs!$C177, C$8)+COUNTIF(Logs!$C198, C$8)+COUNTIF(Logs!$C215, C$8)+COUNTIF(Logs!$C233, C$8)+COUNTIF(Logs!$C250, C$8)+COUNTIF(Logs!$C267, C$8)+COUNTIF(Logs!$C285, C$8)+COUNTIF(Logs!$C302, C$8)+COUNTIF(Logs!$C320, C$8)+COUNTIF(Logs!$C338, C$8)+COUNTIF(Logs!$C356, C$8)+COUNTIF(Logs!$C374, C$8)+COUNTIF(Logs!$C393, C$8)+COUNTIF(Logs!$C411, C$8)+COUNTIF(Logs!$C429, C$8)+COUNTIF(Logs!$C447, C$8)+COUNTIF(Logs!$C465, C$8)+COUNTIF(Logs!$C483, C$8)+COUNTIF(Logs!$C501, C$8)+COUNTIF(Logs!$C519, C$8)+COUNTIF(Logs!$C537, C$8)+COUNTIF(Logs!$C555, C$8)+COUNTIF(Logs!$C572, C$8)+COUNTIF(Logs!$C591, C$8)+COUNTIF(Logs!$C607, C$8)+COUNTIF(Logs!$C623, C$8)+COUNTIF(Logs!$C640, C$8)+COUNTIF(Logs!$C655, C$8)+COUNTIF(Logs!$C671, C$8)</f>
        <v>38</v>
      </c>
      <c r="D10" s="1429">
        <f>IF(C10&gt;0, C10/SUM($C10,$E10, $G10,$I10,$K10), "")</f>
        <v>1</v>
      </c>
      <c r="E10" s="342">
        <f>COUNTIF(Logs!$C9, E$8)+COUNTIF(Logs!$C27, E$8)+COUNTIF(Logs!$C45, E$8)+COUNTIF(Logs!$C63, E$8)+COUNTIF(Logs!$C$81, E$8)+COUNTIF(Logs!$C100, E$8)+COUNTIF(Logs!$C120, E$8)+COUNTIF(Logs!$C139, E$8)+COUNTIF(Logs!$C159, E$8)+COUNTIF(Logs!$C177, E$8)+COUNTIF(Logs!$C198, E$8)+COUNTIF(Logs!$C215, E$8)+COUNTIF(Logs!$C233, E$8)+COUNTIF(Logs!$C250, E$8)+COUNTIF(Logs!$C267, E$8)+COUNTIF(Logs!$C285, E$8)+COUNTIF(Logs!$C302, E$8)+COUNTIF(Logs!$C320, E$8)+COUNTIF(Logs!$C338, E$8)+COUNTIF(Logs!$C356, E$8)+COUNTIF(Logs!$C374, E$8)+COUNTIF(Logs!$C393, E$8)+COUNTIF(Logs!$C411, E$8)+COUNTIF(Logs!$C429, E$8)+COUNTIF(Logs!$C447, E$8)+COUNTIF(Logs!$C465, E$8)+COUNTIF(Logs!$C483, E$8)+COUNTIF(Logs!$C501, E$8)+COUNTIF(Logs!$C519, E$8)+COUNTIF(Logs!$C537, E$8)+COUNTIF(Logs!$C555, E$8)+COUNTIF(Logs!$C572, E$8)+COUNTIF(Logs!$C591, E$8)+COUNTIF(Logs!$C607, E$8)+COUNTIF(Logs!$C623, E$8)+COUNTIF(Logs!$C640, E$8)+COUNTIF(Logs!$C655, E$8)+COUNTIF(Logs!$C671, E$8)</f>
        <v>0</v>
      </c>
      <c r="F10" s="1437" t="str">
        <f>IF(E10&gt;0, E10/SUM($C10,$E10, $G10,$I10,$K10), "")</f>
        <v/>
      </c>
      <c r="G10" s="1439">
        <f>COUNTIF(Logs!$C9, G$8)+COUNTIF(Logs!$C27, G$8)+COUNTIF(Logs!$C45, G$8)+COUNTIF(Logs!$C63, G$8)+COUNTIF(Logs!$C$81, G$8)+COUNTIF(Logs!$C100, G$8)+COUNTIF(Logs!$C120, G$8)+COUNTIF(Logs!$C139, G$8)+COUNTIF(Logs!$C159, G$8)+COUNTIF(Logs!$C177, G$8)+COUNTIF(Logs!$C198, G$8)+COUNTIF(Logs!$C215, G$8)+COUNTIF(Logs!$C233, G$8)+COUNTIF(Logs!$C250, G$8)+COUNTIF(Logs!$C267, G$8)+COUNTIF(Logs!$C285, G$8)+COUNTIF(Logs!$C302, G$8)+COUNTIF(Logs!$C320, G$8)+COUNTIF(Logs!$C338, G$8)+COUNTIF(Logs!$C356, G$8)+COUNTIF(Logs!$C374, G$8)+COUNTIF(Logs!$C393, G$8)+COUNTIF(Logs!$C411, G$8)+COUNTIF(Logs!$C429, G$8)+COUNTIF(Logs!$C447, G$8)+COUNTIF(Logs!$C465, G$8)+COUNTIF(Logs!$C483, G$8)+COUNTIF(Logs!$C501, G$8)+COUNTIF(Logs!$C519, G$8)+COUNTIF(Logs!$C537, G$8)+COUNTIF(Logs!$C555, G$8)+COUNTIF(Logs!$C572, G$8)+COUNTIF(Logs!$C591, G$8)+COUNTIF(Logs!$C607, G$8)+COUNTIF(Logs!$C623, G$8)+COUNTIF(Logs!$C640, G$8)+COUNTIF(Logs!$C655, G$8)+COUNTIF(Logs!$C671, G$8)</f>
        <v>0</v>
      </c>
      <c r="H10" s="1440" t="str">
        <f>IF(G10&gt;0, G10/SUM($C10,$E10, $G10,$I10,$K10), "")</f>
        <v/>
      </c>
      <c r="I10" s="1443">
        <f>COUNTIF(Logs!$C9, I$8)+COUNTIF(Logs!$C27, I$8)+COUNTIF(Logs!$C45, I$8)+COUNTIF(Logs!$C63, I$8)+COUNTIF(Logs!$C$81, I$8)+COUNTIF(Logs!$C100, I$8)+COUNTIF(Logs!$C120, I$8)+COUNTIF(Logs!$C139, I$8)+COUNTIF(Logs!$C159, I$8)+COUNTIF(Logs!$C177, I$8)+COUNTIF(Logs!$C198, I$8)+COUNTIF(Logs!$C215, I$8)+COUNTIF(Logs!$C233, I$8)+COUNTIF(Logs!$C250, I$8)+COUNTIF(Logs!$C267, I$8)+COUNTIF(Logs!$C285, I$8)+COUNTIF(Logs!$C302, I$8)+COUNTIF(Logs!$C320, I$8)+COUNTIF(Logs!$C338, I$8)+COUNTIF(Logs!$C356, I$8)+COUNTIF(Logs!$C374, I$8)+COUNTIF(Logs!$C393, I$8)+COUNTIF(Logs!$C411, I$8)+COUNTIF(Logs!$C429, I$8)+COUNTIF(Logs!$C447, I$8)+COUNTIF(Logs!$C465, I$8)+COUNTIF(Logs!$C483, I$8)+COUNTIF(Logs!$C501, I$8)+COUNTIF(Logs!$C519, I$8)+COUNTIF(Logs!$C537, I$8)+COUNTIF(Logs!$C555, I$8)+COUNTIF(Logs!$C572, I$8)+COUNTIF(Logs!$C591, I$8)+COUNTIF(Logs!$C607, I$8)+COUNTIF(Logs!$C623, I$8)+COUNTIF(Logs!$C640, I$8)+COUNTIF(Logs!$C655, I$8)+COUNTIF(Logs!$C671, I$8)</f>
        <v>0</v>
      </c>
      <c r="J10" s="1444" t="str">
        <f>IF(I10&gt;0, I10/SUM($C10,$E10, $G10,$I10,$K10), "")</f>
        <v/>
      </c>
      <c r="K10" s="1101">
        <f>COUNTIF(Logs!$C9, K$8)+COUNTIF(Logs!$C27, K$8)+COUNTIF(Logs!$C45, K$8)+COUNTIF(Logs!$C63, K$8)+COUNTIF(Logs!$C$81, K$8)+COUNTIF(Logs!$C100, K$8)+COUNTIF(Logs!$C120, K$8)+COUNTIF(Logs!$C139, K$8)+COUNTIF(Logs!$C159, K$8)+COUNTIF(Logs!$C177, K$8)+COUNTIF(Logs!$C198, K$8)+COUNTIF(Logs!$C215, K$8)+COUNTIF(Logs!$C233, K$8)+COUNTIF(Logs!$C250, K$8)+COUNTIF(Logs!$C267, K$8)+COUNTIF(Logs!$C285, K$8)+COUNTIF(Logs!$C302, K$8)+COUNTIF(Logs!$C320, K$8)+COUNTIF(Logs!$C338, K$8)+COUNTIF(Logs!$C356, K$8)+COUNTIF(Logs!$C374, K$8)+COUNTIF(Logs!$C393, K$8)+COUNTIF(Logs!$C411, K$8)+COUNTIF(Logs!$C429, K$8)+COUNTIF(Logs!$C447, K$8)+COUNTIF(Logs!$C465, K$8)+COUNTIF(Logs!$C483, K$8)+COUNTIF(Logs!$C501, K$8)+COUNTIF(Logs!$C519, K$8)+COUNTIF(Logs!$C537, K$8)+COUNTIF(Logs!$C555, K$8)+COUNTIF(Logs!$C572, K$8)+COUNTIF(Logs!$C591, K$8)+COUNTIF(Logs!$C607, K$8)+COUNTIF(Logs!$C623, K$8)+COUNTIF(Logs!$C640, K$8)+COUNTIF(Logs!$C655, K$8)+COUNTIF(Logs!$C671, K$8)</f>
        <v>0</v>
      </c>
      <c r="L10" s="1432" t="str">
        <f>IF(K10&gt;0, K10/SUM($C10,$E10, $G10,$I10,$K10), "")</f>
        <v/>
      </c>
      <c r="N10" s="1378" t="s">
        <v>185</v>
      </c>
      <c r="O10" s="319">
        <f>COUNTIF(Logs!$D9, O$8)+COUNTIF(Logs!$D27, O$8)+COUNTIF(Logs!$D45, O$8)+COUNTIF(Logs!$D63, O$8)+COUNTIF(Logs!$D81, O$8)+COUNTIF(Logs!$D100, O$8)+COUNTIF(Logs!$D120, O$8)+COUNTIF(Logs!$D139, O$8)+COUNTIF(Logs!$D159, O$8)+COUNTIF(Logs!$D177, O$8)+COUNTIF(Logs!$D198, O$8)+COUNTIF(Logs!$D215, O$8)+COUNTIF(Logs!$D233, O$8)+COUNTIF(Logs!$D250, O$8)+COUNTIF(Logs!$D267, O$8)+COUNTIF(Logs!$D285, O$8)+COUNTIF(Logs!$D302, O$8)+COUNTIF(Logs!$D320, O$8)+COUNTIF(Logs!$D338, O$8)+COUNTIF(Logs!$D356, O$8)+COUNTIF(Logs!$D374, O$8)+COUNTIF(Logs!$D393, O$8)+COUNTIF(Logs!$D411, O$8)+COUNTIF(Logs!$D429, O$8)+COUNTIF(Logs!$D447, O$8)+COUNTIF(Logs!$D465, O$8)+COUNTIF(Logs!$D483, O$8)+COUNTIF(Logs!$D501, O$8)+COUNTIF(Logs!$D519, O$8)+COUNTIF(Logs!$D537, O$8)+COUNTIF(Logs!$D555, O$8)+COUNTIF(Logs!$D572, O$8)+COUNTIF(Logs!$D591, O$8)+COUNTIF(Logs!$D607, O$8)+COUNTIF(Logs!$D623, O$8)+COUNTIF(Logs!$D640, O$8)+COUNTIF(Logs!$D655, O$8)+COUNTIF(Logs!$D671, O$8)</f>
        <v>36</v>
      </c>
      <c r="P10" s="1448">
        <f>IF(O10&gt;0, O10/SUM($O10,$Q10, $S10,$U10,$W10), "")</f>
        <v>0.94736842105263153</v>
      </c>
      <c r="Q10" s="342">
        <f>COUNTIF(Logs!$D9, Q$8)+COUNTIF(Logs!$D27, Q$8)+COUNTIF(Logs!$D45, Q$8)+COUNTIF(Logs!$D63, Q$8)+COUNTIF(Logs!$D81, Q$8)+COUNTIF(Logs!$D100, Q$8)+COUNTIF(Logs!$D120, Q$8)+COUNTIF(Logs!$D139, Q$8)+COUNTIF(Logs!$D159, Q$8)+COUNTIF(Logs!$D177, Q$8)+COUNTIF(Logs!$D198, Q$8)+COUNTIF(Logs!$D215, Q$8)+COUNTIF(Logs!$D233, Q$8)+COUNTIF(Logs!$D250, Q$8)+COUNTIF(Logs!$D267, Q$8)+COUNTIF(Logs!$D285, Q$8)+COUNTIF(Logs!$D302, Q$8)+COUNTIF(Logs!$D320, Q$8)+COUNTIF(Logs!$D338, Q$8)+COUNTIF(Logs!$D356, Q$8)+COUNTIF(Logs!$D374, Q$8)+COUNTIF(Logs!$D393, Q$8)+COUNTIF(Logs!$D411, Q$8)+COUNTIF(Logs!$D429, Q$8)+COUNTIF(Logs!$D447, Q$8)+COUNTIF(Logs!$D465, Q$8)+COUNTIF(Logs!$D483, Q$8)+COUNTIF(Logs!$D501, Q$8)+COUNTIF(Logs!$D519, Q$8)+COUNTIF(Logs!$D537, Q$8)+COUNTIF(Logs!$D555, Q$8)+COUNTIF(Logs!$D572, Q$8)+COUNTIF(Logs!$D591, Q$8)+COUNTIF(Logs!$D607, Q$8)+COUNTIF(Logs!$D623, Q$8)+COUNTIF(Logs!$D640, Q$8)+COUNTIF(Logs!$D655, Q$8)+COUNTIF(Logs!$D671, Q$8)</f>
        <v>0</v>
      </c>
      <c r="R10" s="1437" t="str">
        <f>IF(Q10&gt;0, Q10/SUM($O10,$Q10, $S10,$U10,$W10), "")</f>
        <v/>
      </c>
      <c r="S10" s="1439">
        <f>COUNTIF(Logs!$D9, S$8)+COUNTIF(Logs!$D27, S$8)+COUNTIF(Logs!$D45, S$8)+COUNTIF(Logs!$D63, S$8)+COUNTIF(Logs!$D81, S$8)+COUNTIF(Logs!$D100, S$8)+COUNTIF(Logs!$D120, S$8)+COUNTIF(Logs!$D139, S$8)+COUNTIF(Logs!$D159, S$8)+COUNTIF(Logs!$D177, S$8)+COUNTIF(Logs!$D198, S$8)+COUNTIF(Logs!$D215, S$8)+COUNTIF(Logs!$D233, S$8)+COUNTIF(Logs!$D250, S$8)+COUNTIF(Logs!$D267, S$8)+COUNTIF(Logs!$D285, S$8)+COUNTIF(Logs!$D302, S$8)+COUNTIF(Logs!$D320, S$8)+COUNTIF(Logs!$D338, S$8)+COUNTIF(Logs!$D356, S$8)+COUNTIF(Logs!$D374, S$8)+COUNTIF(Logs!$D393, S$8)+COUNTIF(Logs!$D411, S$8)+COUNTIF(Logs!$D429, S$8)+COUNTIF(Logs!$D447, S$8)+COUNTIF(Logs!$D465, S$8)+COUNTIF(Logs!$D483, S$8)+COUNTIF(Logs!$D501, S$8)+COUNTIF(Logs!$D519, S$8)+COUNTIF(Logs!$D537, S$8)+COUNTIF(Logs!$D555, S$8)+COUNTIF(Logs!$D572, S$8)+COUNTIF(Logs!$D591, S$8)+COUNTIF(Logs!$D607, S$8)+COUNTIF(Logs!$D623, S$8)+COUNTIF(Logs!$D640, S$8)+COUNTIF(Logs!$D655, S$8)+COUNTIF(Logs!$D671, S$8)</f>
        <v>0</v>
      </c>
      <c r="T10" s="1440" t="str">
        <f>IF(S10&gt;0, S10/SUM($O10,$Q10, $S10,$U10,$W10), "")</f>
        <v/>
      </c>
      <c r="U10" s="1443">
        <f>COUNTIF(Logs!$D9, U$8)+COUNTIF(Logs!$D27, U$8)+COUNTIF(Logs!$D45, U$8)+COUNTIF(Logs!$D63, U$8)+COUNTIF(Logs!$D81, U$8)+COUNTIF(Logs!$D100, U$8)+COUNTIF(Logs!$D120, U$8)+COUNTIF(Logs!$D139, U$8)+COUNTIF(Logs!$D159, U$8)+COUNTIF(Logs!$D177, U$8)+COUNTIF(Logs!$D198, U$8)+COUNTIF(Logs!$D215, U$8)+COUNTIF(Logs!$D233, U$8)+COUNTIF(Logs!$D250, U$8)+COUNTIF(Logs!$D267, U$8)+COUNTIF(Logs!$D285, U$8)+COUNTIF(Logs!$D302, U$8)+COUNTIF(Logs!$D320, U$8)+COUNTIF(Logs!$D338, U$8)+COUNTIF(Logs!$D356, U$8)+COUNTIF(Logs!$D374, U$8)+COUNTIF(Logs!$D393, U$8)+COUNTIF(Logs!$D411, U$8)+COUNTIF(Logs!$D429, U$8)+COUNTIF(Logs!$D447, U$8)+COUNTIF(Logs!$D465, U$8)+COUNTIF(Logs!$D483, U$8)+COUNTIF(Logs!$D501, U$8)+COUNTIF(Logs!$D519, U$8)+COUNTIF(Logs!$D537, U$8)+COUNTIF(Logs!$D555, U$8)+COUNTIF(Logs!$D572, U$8)+COUNTIF(Logs!$D591, U$8)+COUNTIF(Logs!$D607, U$8)+COUNTIF(Logs!$D623, U$8)+COUNTIF(Logs!$D640, U$8)+COUNTIF(Logs!$D655, U$8)+COUNTIF(Logs!$D671, U$8)</f>
        <v>0</v>
      </c>
      <c r="V10" s="1444" t="str">
        <f>IF(U10&gt;0, U10/SUM($O10,$Q10, $S10,$U10,$W10), "")</f>
        <v/>
      </c>
      <c r="W10" s="1101">
        <f>COUNTIF(Logs!$D9, W$8)+COUNTIF(Logs!$D27, W$8)+COUNTIF(Logs!$D45, W$8)+COUNTIF(Logs!$D63, W$8)+COUNTIF(Logs!$D81, W$8)+COUNTIF(Logs!$D100, W$8)+COUNTIF(Logs!$D120, W$8)+COUNTIF(Logs!$D139, W$8)+COUNTIF(Logs!$D159, W$8)+COUNTIF(Logs!$D177, W$8)+COUNTIF(Logs!$D198, W$8)+COUNTIF(Logs!$D215, W$8)+COUNTIF(Logs!$D233, W$8)+COUNTIF(Logs!$D250, W$8)+COUNTIF(Logs!$D267, W$8)+COUNTIF(Logs!$D285, W$8)+COUNTIF(Logs!$D302, W$8)+COUNTIF(Logs!$D320, W$8)+COUNTIF(Logs!$D338, W$8)+COUNTIF(Logs!$D356, W$8)+COUNTIF(Logs!$D374, W$8)+COUNTIF(Logs!$D393, W$8)+COUNTIF(Logs!$D411, W$8)+COUNTIF(Logs!$D429, W$8)+COUNTIF(Logs!$D447, W$8)+COUNTIF(Logs!$D465, W$8)+COUNTIF(Logs!$D483, W$8)+COUNTIF(Logs!$D501, W$8)+COUNTIF(Logs!$D519, W$8)+COUNTIF(Logs!$D537, W$8)+COUNTIF(Logs!$D555, W$8)+COUNTIF(Logs!$D572, W$8)+COUNTIF(Logs!$D591, W$8)+COUNTIF(Logs!$D607, W$8)+COUNTIF(Logs!$D623, W$8)+COUNTIF(Logs!$D640, W$8)+COUNTIF(Logs!$D655, W$8)+COUNTIF(Logs!$D671, W$8)</f>
        <v>2</v>
      </c>
      <c r="X10" s="1432">
        <f>IF(W10&gt;0, W10/SUM($O10,$Q10, $S10,$U10,$W10), "")</f>
        <v>5.2631578947368418E-2</v>
      </c>
    </row>
    <row r="11" spans="2:24">
      <c r="B11" s="1378" t="s">
        <v>186</v>
      </c>
      <c r="C11" s="1323">
        <f>COUNTIF(Logs!$C10, C$8)+COUNTIF(Logs!$C28, C$8)+COUNTIF(Logs!$C46, C$8)+COUNTIF(Logs!$C64, C$8)+COUNTIF(Logs!$C82, C$8)+COUNTIF(Logs!$C101, C$8)+COUNTIF(Logs!$C121, C$8)+COUNTIF(Logs!$C140, C$8)+COUNTIF(Logs!$C160, C$8)+COUNTIF(Logs!$C178, C$8)+COUNTIF(Logs!$C199, C$8)+COUNTIF(Logs!$C216, C$8)+COUNTIF(Logs!$C234, C$8)+COUNTIF(Logs!$C251, C$8)+COUNTIF(Logs!$C268, C$8)+COUNTIF(Logs!$C286, C$8)+COUNTIF(Logs!$C303, C$8)+COUNTIF(Logs!$C321, C$8)+COUNTIF(Logs!$C339, C$8)+COUNTIF(Logs!$C357, C$8)+COUNTIF(Logs!$C375, C$8)+COUNTIF(Logs!$C394, C$8)+COUNTIF(Logs!$C412, C$8)+COUNTIF(Logs!$C430, C$8)+COUNTIF(Logs!$C448, C$8)+COUNTIF(Logs!$C466, C$8)+COUNTIF(Logs!$C484, C$8)+COUNTIF(Logs!$C502, C$8)+COUNTIF(Logs!$C520, C$8)+COUNTIF(Logs!$C538, C$8)+COUNTIF(Logs!$C556, C$8)+COUNTIF(Logs!$C573, C$8)+COUNTIF(Logs!$C592, C$8)+COUNTIF(Logs!$C608, C$8)+COUNTIF(Logs!$C624, C$8)+COUNTIF(Logs!$C641, C$8)+COUNTIF(Logs!$C656, C$8)+COUNTIF(Logs!$C672, C$8)</f>
        <v>31</v>
      </c>
      <c r="D11" s="1429">
        <f t="shared" ref="D11:D22" si="0">IF(C11&gt;0, C11/SUM($C11,$E11, $G11,$I11,$K11), "")</f>
        <v>0.81578947368421051</v>
      </c>
      <c r="E11" s="342">
        <f>COUNTIF(Logs!$C10, E$8)+COUNTIF(Logs!$C28, E$8)+COUNTIF(Logs!$C46, E$8)+COUNTIF(Logs!$C64, E$8)+COUNTIF(Logs!$C$81, E$8)+COUNTIF(Logs!$C101, E$8)+COUNTIF(Logs!$C121, E$8)+COUNTIF(Logs!$C140, E$8)+COUNTIF(Logs!$C160, E$8)+COUNTIF(Logs!$C178, E$8)+COUNTIF(Logs!$C199, E$8)+COUNTIF(Logs!$C216, E$8)+COUNTIF(Logs!$C234, E$8)+COUNTIF(Logs!$C251, E$8)+COUNTIF(Logs!$C268, E$8)+COUNTIF(Logs!$C286, E$8)+COUNTIF(Logs!$C303, E$8)+COUNTIF(Logs!$C321, E$8)+COUNTIF(Logs!$C339, E$8)+COUNTIF(Logs!$C357, E$8)+COUNTIF(Logs!$C375, E$8)+COUNTIF(Logs!$C394, E$8)+COUNTIF(Logs!$C412, E$8)+COUNTIF(Logs!$C430, E$8)+COUNTIF(Logs!$C448, E$8)+COUNTIF(Logs!$C466, E$8)+COUNTIF(Logs!$C484, E$8)+COUNTIF(Logs!$C502, E$8)+COUNTIF(Logs!$C520, E$8)+COUNTIF(Logs!$C538, E$8)+COUNTIF(Logs!$C556, E$8)+COUNTIF(Logs!$C573, E$8)+COUNTIF(Logs!$C592, E$8)+COUNTIF(Logs!$C608, E$8)+COUNTIF(Logs!$C624, E$8)+COUNTIF(Logs!$C641, E$8)+COUNTIF(Logs!$C656, E$8)+COUNTIF(Logs!$C672, E$8)</f>
        <v>4</v>
      </c>
      <c r="F11" s="1437">
        <f t="shared" ref="F11:F22" si="1">IF(E11&gt;0, E11/SUM($C11,$E11, $G11,$I11,$K11), "")</f>
        <v>0.10526315789473684</v>
      </c>
      <c r="G11" s="1439">
        <f>COUNTIF(Logs!$C10, G$8)+COUNTIF(Logs!$C28, G$8)+COUNTIF(Logs!$C46, G$8)+COUNTIF(Logs!$C64, G$8)+COUNTIF(Logs!$C$81, G$8)+COUNTIF(Logs!$C101, G$8)+COUNTIF(Logs!$C121, G$8)+COUNTIF(Logs!$C140, G$8)+COUNTIF(Logs!$C160, G$8)+COUNTIF(Logs!$C178, G$8)+COUNTIF(Logs!$C199, G$8)+COUNTIF(Logs!$C216, G$8)+COUNTIF(Logs!$C234, G$8)+COUNTIF(Logs!$C251, G$8)+COUNTIF(Logs!$C268, G$8)+COUNTIF(Logs!$C286, G$8)+COUNTIF(Logs!$C303, G$8)+COUNTIF(Logs!$C321, G$8)+COUNTIF(Logs!$C339, G$8)+COUNTIF(Logs!$C357, G$8)+COUNTIF(Logs!$C375, G$8)+COUNTIF(Logs!$C394, G$8)+COUNTIF(Logs!$C412, G$8)+COUNTIF(Logs!$C430, G$8)+COUNTIF(Logs!$C448, G$8)+COUNTIF(Logs!$C466, G$8)+COUNTIF(Logs!$C484, G$8)+COUNTIF(Logs!$C502, G$8)+COUNTIF(Logs!$C520, G$8)+COUNTIF(Logs!$C538, G$8)+COUNTIF(Logs!$C556, G$8)+COUNTIF(Logs!$C573, G$8)+COUNTIF(Logs!$C592, G$8)+COUNTIF(Logs!$C608, G$8)+COUNTIF(Logs!$C624, G$8)+COUNTIF(Logs!$C641, G$8)+COUNTIF(Logs!$C656, G$8)+COUNTIF(Logs!$C672, G$8)</f>
        <v>3</v>
      </c>
      <c r="H11" s="1440">
        <f t="shared" ref="H11:H22" si="2">IF(G11&gt;0, G11/SUM($C11,$E11, $G11,$I11,$K11), "")</f>
        <v>7.8947368421052627E-2</v>
      </c>
      <c r="I11" s="1443">
        <f>COUNTIF(Logs!$C10, I$8)+COUNTIF(Logs!$C28, I$8)+COUNTIF(Logs!$C46, I$8)+COUNTIF(Logs!$C64, I$8)+COUNTIF(Logs!$C$81, I$8)+COUNTIF(Logs!$C101, I$8)+COUNTIF(Logs!$C121, I$8)+COUNTIF(Logs!$C140, I$8)+COUNTIF(Logs!$C160, I$8)+COUNTIF(Logs!$C178, I$8)+COUNTIF(Logs!$C199, I$8)+COUNTIF(Logs!$C216, I$8)+COUNTIF(Logs!$C234, I$8)+COUNTIF(Logs!$C251, I$8)+COUNTIF(Logs!$C268, I$8)+COUNTIF(Logs!$C286, I$8)+COUNTIF(Logs!$C303, I$8)+COUNTIF(Logs!$C321, I$8)+COUNTIF(Logs!$C339, I$8)+COUNTIF(Logs!$C357, I$8)+COUNTIF(Logs!$C375, I$8)+COUNTIF(Logs!$C394, I$8)+COUNTIF(Logs!$C412, I$8)+COUNTIF(Logs!$C430, I$8)+COUNTIF(Logs!$C448, I$8)+COUNTIF(Logs!$C466, I$8)+COUNTIF(Logs!$C484, I$8)+COUNTIF(Logs!$C502, I$8)+COUNTIF(Logs!$C520, I$8)+COUNTIF(Logs!$C538, I$8)+COUNTIF(Logs!$C556, I$8)+COUNTIF(Logs!$C573, I$8)+COUNTIF(Logs!$C592, I$8)+COUNTIF(Logs!$C608, I$8)+COUNTIF(Logs!$C624, I$8)+COUNTIF(Logs!$C641, I$8)+COUNTIF(Logs!$C656, I$8)+COUNTIF(Logs!$C672, I$8)</f>
        <v>0</v>
      </c>
      <c r="J11" s="1444" t="str">
        <f t="shared" ref="J11:J22" si="3">IF(I11&gt;0, I11/SUM($C11,$E11, $G11,$I11,$K11), "")</f>
        <v/>
      </c>
      <c r="K11" s="1101">
        <f>COUNTIF(Logs!$C10, K$8)+COUNTIF(Logs!$C28, K$8)+COUNTIF(Logs!$C46, K$8)+COUNTIF(Logs!$C64, K$8)+COUNTIF(Logs!$C$81, K$8)+COUNTIF(Logs!$C101, K$8)+COUNTIF(Logs!$C121, K$8)+COUNTIF(Logs!$C140, K$8)+COUNTIF(Logs!$C160, K$8)+COUNTIF(Logs!$C178, K$8)+COUNTIF(Logs!$C199, K$8)+COUNTIF(Logs!$C216, K$8)+COUNTIF(Logs!$C234, K$8)+COUNTIF(Logs!$C251, K$8)+COUNTIF(Logs!$C268, K$8)+COUNTIF(Logs!$C286, K$8)+COUNTIF(Logs!$C303, K$8)+COUNTIF(Logs!$C321, K$8)+COUNTIF(Logs!$C339, K$8)+COUNTIF(Logs!$C357, K$8)+COUNTIF(Logs!$C375, K$8)+COUNTIF(Logs!$C394, K$8)+COUNTIF(Logs!$C412, K$8)+COUNTIF(Logs!$C430, K$8)+COUNTIF(Logs!$C448, K$8)+COUNTIF(Logs!$C466, K$8)+COUNTIF(Logs!$C484, K$8)+COUNTIF(Logs!$C502, K$8)+COUNTIF(Logs!$C520, K$8)+COUNTIF(Logs!$C538, K$8)+COUNTIF(Logs!$C556, K$8)+COUNTIF(Logs!$C573, K$8)+COUNTIF(Logs!$C592, K$8)+COUNTIF(Logs!$C608, K$8)+COUNTIF(Logs!$C624, K$8)+COUNTIF(Logs!$C641, K$8)+COUNTIF(Logs!$C656, K$8)+COUNTIF(Logs!$C672, K$8)</f>
        <v>0</v>
      </c>
      <c r="L11" s="1432" t="str">
        <f t="shared" ref="L11:L22" si="4">IF(K11&gt;0, K11/SUM($C11,$E11, $G11,$I11,$K11), "")</f>
        <v/>
      </c>
      <c r="N11" s="1378" t="s">
        <v>186</v>
      </c>
      <c r="O11" s="319">
        <f>COUNTIF(Logs!$D10, O$8)+COUNTIF(Logs!$D28, O$8)+COUNTIF(Logs!$D46, O$8)+COUNTIF(Logs!$D64, O$8)+COUNTIF(Logs!$D82, O$8)+COUNTIF(Logs!$D101, O$8)+COUNTIF(Logs!$D121, O$8)+COUNTIF(Logs!$D140, O$8)+COUNTIF(Logs!$D160, O$8)+COUNTIF(Logs!$D178, O$8)+COUNTIF(Logs!$D199, O$8)+COUNTIF(Logs!$D216, O$8)+COUNTIF(Logs!$D234, O$8)+COUNTIF(Logs!$D251, O$8)+COUNTIF(Logs!$D268, O$8)+COUNTIF(Logs!$D286, O$8)+COUNTIF(Logs!$D303, O$8)+COUNTIF(Logs!$D321, O$8)+COUNTIF(Logs!$D339, O$8)+COUNTIF(Logs!$D357, O$8)+COUNTIF(Logs!$D375, O$8)+COUNTIF(Logs!$D394, O$8)+COUNTIF(Logs!$D412, O$8)+COUNTIF(Logs!$D430, O$8)+COUNTIF(Logs!$D448, O$8)+COUNTIF(Logs!$D466, O$8)+COUNTIF(Logs!$D484, O$8)+COUNTIF(Logs!$D502, O$8)+COUNTIF(Logs!$D520, O$8)+COUNTIF(Logs!$D538, O$8)+COUNTIF(Logs!$D556, O$8)+COUNTIF(Logs!$D573, O$8)+COUNTIF(Logs!$D592, O$8)+COUNTIF(Logs!$D608, O$8)+COUNTIF(Logs!$D624, O$8)+COUNTIF(Logs!$D641, O$8)+COUNTIF(Logs!$D656, O$8)+COUNTIF(Logs!$D672, O$8)</f>
        <v>15</v>
      </c>
      <c r="P11" s="1448">
        <f t="shared" ref="P11:P22" si="5">IF(O11&gt;0, O11/SUM($O11,$Q11, $S11,$U11,$W11), "")</f>
        <v>0.39473684210526316</v>
      </c>
      <c r="Q11" s="342">
        <f>COUNTIF(Logs!$D10, Q$8)+COUNTIF(Logs!$D28, Q$8)+COUNTIF(Logs!$D46, Q$8)+COUNTIF(Logs!$D64, Q$8)+COUNTIF(Logs!$D82, Q$8)+COUNTIF(Logs!$D101, Q$8)+COUNTIF(Logs!$D121, Q$8)+COUNTIF(Logs!$D140, Q$8)+COUNTIF(Logs!$D160, Q$8)+COUNTIF(Logs!$D178, Q$8)+COUNTIF(Logs!$D199, Q$8)+COUNTIF(Logs!$D216, Q$8)+COUNTIF(Logs!$D234, Q$8)+COUNTIF(Logs!$D251, Q$8)+COUNTIF(Logs!$D268, Q$8)+COUNTIF(Logs!$D286, Q$8)+COUNTIF(Logs!$D303, Q$8)+COUNTIF(Logs!$D321, Q$8)+COUNTIF(Logs!$D339, Q$8)+COUNTIF(Logs!$D357, Q$8)+COUNTIF(Logs!$D375, Q$8)+COUNTIF(Logs!$D394, Q$8)+COUNTIF(Logs!$D412, Q$8)+COUNTIF(Logs!$D430, Q$8)+COUNTIF(Logs!$D448, Q$8)+COUNTIF(Logs!$D466, Q$8)+COUNTIF(Logs!$D484, Q$8)+COUNTIF(Logs!$D502, Q$8)+COUNTIF(Logs!$D520, Q$8)+COUNTIF(Logs!$D538, Q$8)+COUNTIF(Logs!$D556, Q$8)+COUNTIF(Logs!$D573, Q$8)+COUNTIF(Logs!$D592, Q$8)+COUNTIF(Logs!$D608, Q$8)+COUNTIF(Logs!$D624, Q$8)+COUNTIF(Logs!$D641, Q$8)+COUNTIF(Logs!$D656, Q$8)+COUNTIF(Logs!$D672, Q$8)</f>
        <v>12</v>
      </c>
      <c r="R11" s="1437">
        <f t="shared" ref="R11:R22" si="6">IF(Q11&gt;0, Q11/SUM($O11,$Q11, $S11,$U11,$W11), "")</f>
        <v>0.31578947368421051</v>
      </c>
      <c r="S11" s="1439">
        <f>COUNTIF(Logs!$D10, S$8)+COUNTIF(Logs!$D28, S$8)+COUNTIF(Logs!$D46, S$8)+COUNTIF(Logs!$D64, S$8)+COUNTIF(Logs!$D82, S$8)+COUNTIF(Logs!$D101, S$8)+COUNTIF(Logs!$D121, S$8)+COUNTIF(Logs!$D140, S$8)+COUNTIF(Logs!$D160, S$8)+COUNTIF(Logs!$D178, S$8)+COUNTIF(Logs!$D199, S$8)+COUNTIF(Logs!$D216, S$8)+COUNTIF(Logs!$D234, S$8)+COUNTIF(Logs!$D251, S$8)+COUNTIF(Logs!$D268, S$8)+COUNTIF(Logs!$D286, S$8)+COUNTIF(Logs!$D303, S$8)+COUNTIF(Logs!$D321, S$8)+COUNTIF(Logs!$D339, S$8)+COUNTIF(Logs!$D357, S$8)+COUNTIF(Logs!$D375, S$8)+COUNTIF(Logs!$D394, S$8)+COUNTIF(Logs!$D412, S$8)+COUNTIF(Logs!$D430, S$8)+COUNTIF(Logs!$D448, S$8)+COUNTIF(Logs!$D466, S$8)+COUNTIF(Logs!$D484, S$8)+COUNTIF(Logs!$D502, S$8)+COUNTIF(Logs!$D520, S$8)+COUNTIF(Logs!$D538, S$8)+COUNTIF(Logs!$D556, S$8)+COUNTIF(Logs!$D573, S$8)+COUNTIF(Logs!$D592, S$8)+COUNTIF(Logs!$D608, S$8)+COUNTIF(Logs!$D624, S$8)+COUNTIF(Logs!$D641, S$8)+COUNTIF(Logs!$D656, S$8)+COUNTIF(Logs!$D672, S$8)</f>
        <v>8</v>
      </c>
      <c r="T11" s="1440">
        <f t="shared" ref="T11:T22" si="7">IF(S11&gt;0, S11/SUM($O11,$Q11, $S11,$U11,$W11), "")</f>
        <v>0.21052631578947367</v>
      </c>
      <c r="U11" s="1443">
        <f>COUNTIF(Logs!$D10, U$8)+COUNTIF(Logs!$D28, U$8)+COUNTIF(Logs!$D46, U$8)+COUNTIF(Logs!$D64, U$8)+COUNTIF(Logs!$D82, U$8)+COUNTIF(Logs!$D101, U$8)+COUNTIF(Logs!$D121, U$8)+COUNTIF(Logs!$D140, U$8)+COUNTIF(Logs!$D160, U$8)+COUNTIF(Logs!$D178, U$8)+COUNTIF(Logs!$D199, U$8)+COUNTIF(Logs!$D216, U$8)+COUNTIF(Logs!$D234, U$8)+COUNTIF(Logs!$D251, U$8)+COUNTIF(Logs!$D268, U$8)+COUNTIF(Logs!$D286, U$8)+COUNTIF(Logs!$D303, U$8)+COUNTIF(Logs!$D321, U$8)+COUNTIF(Logs!$D339, U$8)+COUNTIF(Logs!$D357, U$8)+COUNTIF(Logs!$D375, U$8)+COUNTIF(Logs!$D394, U$8)+COUNTIF(Logs!$D412, U$8)+COUNTIF(Logs!$D430, U$8)+COUNTIF(Logs!$D448, U$8)+COUNTIF(Logs!$D466, U$8)+COUNTIF(Logs!$D484, U$8)+COUNTIF(Logs!$D502, U$8)+COUNTIF(Logs!$D520, U$8)+COUNTIF(Logs!$D538, U$8)+COUNTIF(Logs!$D556, U$8)+COUNTIF(Logs!$D573, U$8)+COUNTIF(Logs!$D592, U$8)+COUNTIF(Logs!$D608, U$8)+COUNTIF(Logs!$D624, U$8)+COUNTIF(Logs!$D641, U$8)+COUNTIF(Logs!$D656, U$8)+COUNTIF(Logs!$D672, U$8)</f>
        <v>1</v>
      </c>
      <c r="V11" s="1444">
        <f t="shared" ref="V11:V22" si="8">IF(U11&gt;0, U11/SUM($O11,$Q11, $S11,$U11,$W11), "")</f>
        <v>2.6315789473684209E-2</v>
      </c>
      <c r="W11" s="1101">
        <f>COUNTIF(Logs!$D10, W$8)+COUNTIF(Logs!$D28, W$8)+COUNTIF(Logs!$D46, W$8)+COUNTIF(Logs!$D64, W$8)+COUNTIF(Logs!$D82, W$8)+COUNTIF(Logs!$D101, W$8)+COUNTIF(Logs!$D121, W$8)+COUNTIF(Logs!$D140, W$8)+COUNTIF(Logs!$D160, W$8)+COUNTIF(Logs!$D178, W$8)+COUNTIF(Logs!$D199, W$8)+COUNTIF(Logs!$D216, W$8)+COUNTIF(Logs!$D234, W$8)+COUNTIF(Logs!$D251, W$8)+COUNTIF(Logs!$D268, W$8)+COUNTIF(Logs!$D286, W$8)+COUNTIF(Logs!$D303, W$8)+COUNTIF(Logs!$D321, W$8)+COUNTIF(Logs!$D339, W$8)+COUNTIF(Logs!$D357, W$8)+COUNTIF(Logs!$D375, W$8)+COUNTIF(Logs!$D394, W$8)+COUNTIF(Logs!$D412, W$8)+COUNTIF(Logs!$D430, W$8)+COUNTIF(Logs!$D448, W$8)+COUNTIF(Logs!$D466, W$8)+COUNTIF(Logs!$D484, W$8)+COUNTIF(Logs!$D502, W$8)+COUNTIF(Logs!$D520, W$8)+COUNTIF(Logs!$D538, W$8)+COUNTIF(Logs!$D556, W$8)+COUNTIF(Logs!$D573, W$8)+COUNTIF(Logs!$D592, W$8)+COUNTIF(Logs!$D608, W$8)+COUNTIF(Logs!$D624, W$8)+COUNTIF(Logs!$D641, W$8)+COUNTIF(Logs!$D656, W$8)+COUNTIF(Logs!$D672, W$8)</f>
        <v>2</v>
      </c>
      <c r="X11" s="1432">
        <f t="shared" ref="X11:X22" si="9">IF(W11&gt;0, W11/SUM($O11,$Q11, $S11,$U11,$W11), "")</f>
        <v>5.2631578947368418E-2</v>
      </c>
    </row>
    <row r="12" spans="2:24">
      <c r="B12" s="1378" t="s">
        <v>187</v>
      </c>
      <c r="C12" s="1323">
        <f>COUNTIF(Logs!$C11, C$8)+COUNTIF(Logs!$C29, C$8)+COUNTIF(Logs!$C47, C$8)+COUNTIF(Logs!$C65, C$8)+COUNTIF(Logs!$C83, C$8)+COUNTIF(Logs!$C102, C$8)+COUNTIF(Logs!$C122, C$8)+COUNTIF(Logs!$C141, C$8)+COUNTIF(Logs!$C161, C$8)+COUNTIF(Logs!$C179, C$8)+COUNTIF(Logs!$C200, C$8)+COUNTIF(Logs!$C217, C$8)+COUNTIF(Logs!$C235, C$8)+COUNTIF(Logs!$C252, C$8)+COUNTIF(Logs!$C269, C$8)+COUNTIF(Logs!$C287, C$8)+COUNTIF(Logs!$C304, C$8)+COUNTIF(Logs!$C322, C$8)+COUNTIF(Logs!$C340, C$8)+COUNTIF(Logs!$C358, C$8)+COUNTIF(Logs!$C376, C$8)+COUNTIF(Logs!$C395, C$8)+COUNTIF(Logs!$C413, C$8)+COUNTIF(Logs!$C431, C$8)+COUNTIF(Logs!$C449, C$8)+COUNTIF(Logs!$C467, C$8)+COUNTIF(Logs!$C485, C$8)+COUNTIF(Logs!$C503, C$8)+COUNTIF(Logs!$C521, C$8)+COUNTIF(Logs!$C539, C$8)+COUNTIF(Logs!$C557, C$8)+COUNTIF(Logs!$C574, C$8)+COUNTIF(Logs!$C593, C$8)+COUNTIF(Logs!$C609, C$8)+COUNTIF(Logs!$C625, C$8)+COUNTIF(Logs!$C642, C$8)+COUNTIF(Logs!$C657, C$8)+COUNTIF(Logs!$C673, C$8)</f>
        <v>24</v>
      </c>
      <c r="D12" s="1429">
        <f t="shared" si="0"/>
        <v>0.63157894736842102</v>
      </c>
      <c r="E12" s="342">
        <f>COUNTIF(Logs!$C11, E$8)+COUNTIF(Logs!$C29, E$8)+COUNTIF(Logs!$C47, E$8)+COUNTIF(Logs!$C65, E$8)+COUNTIF(Logs!$C$81, E$8)+COUNTIF(Logs!$C102, E$8)+COUNTIF(Logs!$C122, E$8)+COUNTIF(Logs!$C141, E$8)+COUNTIF(Logs!$C161, E$8)+COUNTIF(Logs!$C179, E$8)+COUNTIF(Logs!$C200, E$8)+COUNTIF(Logs!$C217, E$8)+COUNTIF(Logs!$C235, E$8)+COUNTIF(Logs!$C252, E$8)+COUNTIF(Logs!$C269, E$8)+COUNTIF(Logs!$C287, E$8)+COUNTIF(Logs!$C304, E$8)+COUNTIF(Logs!$C322, E$8)+COUNTIF(Logs!$C340, E$8)+COUNTIF(Logs!$C358, E$8)+COUNTIF(Logs!$C376, E$8)+COUNTIF(Logs!$C395, E$8)+COUNTIF(Logs!$C413, E$8)+COUNTIF(Logs!$C431, E$8)+COUNTIF(Logs!$C449, E$8)+COUNTIF(Logs!$C467, E$8)+COUNTIF(Logs!$C485, E$8)+COUNTIF(Logs!$C503, E$8)+COUNTIF(Logs!$C521, E$8)+COUNTIF(Logs!$C539, E$8)+COUNTIF(Logs!$C557, E$8)+COUNTIF(Logs!$C574, E$8)+COUNTIF(Logs!$C593, E$8)+COUNTIF(Logs!$C609, E$8)+COUNTIF(Logs!$C625, E$8)+COUNTIF(Logs!$C642, E$8)+COUNTIF(Logs!$C657, E$8)+COUNTIF(Logs!$C673, E$8)</f>
        <v>7</v>
      </c>
      <c r="F12" s="1437">
        <f t="shared" si="1"/>
        <v>0.18421052631578946</v>
      </c>
      <c r="G12" s="1439">
        <f>COUNTIF(Logs!$C11, G$8)+COUNTIF(Logs!$C29, G$8)+COUNTIF(Logs!$C47, G$8)+COUNTIF(Logs!$C65, G$8)+COUNTIF(Logs!$C$81, G$8)+COUNTIF(Logs!$C102, G$8)+COUNTIF(Logs!$C122, G$8)+COUNTIF(Logs!$C141, G$8)+COUNTIF(Logs!$C161, G$8)+COUNTIF(Logs!$C179, G$8)+COUNTIF(Logs!$C200, G$8)+COUNTIF(Logs!$C217, G$8)+COUNTIF(Logs!$C235, G$8)+COUNTIF(Logs!$C252, G$8)+COUNTIF(Logs!$C269, G$8)+COUNTIF(Logs!$C287, G$8)+COUNTIF(Logs!$C304, G$8)+COUNTIF(Logs!$C322, G$8)+COUNTIF(Logs!$C340, G$8)+COUNTIF(Logs!$C358, G$8)+COUNTIF(Logs!$C376, G$8)+COUNTIF(Logs!$C395, G$8)+COUNTIF(Logs!$C413, G$8)+COUNTIF(Logs!$C431, G$8)+COUNTIF(Logs!$C449, G$8)+COUNTIF(Logs!$C467, G$8)+COUNTIF(Logs!$C485, G$8)+COUNTIF(Logs!$C503, G$8)+COUNTIF(Logs!$C521, G$8)+COUNTIF(Logs!$C539, G$8)+COUNTIF(Logs!$C557, G$8)+COUNTIF(Logs!$C574, G$8)+COUNTIF(Logs!$C593, G$8)+COUNTIF(Logs!$C609, G$8)+COUNTIF(Logs!$C625, G$8)+COUNTIF(Logs!$C642, G$8)+COUNTIF(Logs!$C657, G$8)+COUNTIF(Logs!$C673, G$8)</f>
        <v>2</v>
      </c>
      <c r="H12" s="1440">
        <f t="shared" si="2"/>
        <v>5.2631578947368418E-2</v>
      </c>
      <c r="I12" s="1443">
        <f>COUNTIF(Logs!$C11, I$8)+COUNTIF(Logs!$C29, I$8)+COUNTIF(Logs!$C47, I$8)+COUNTIF(Logs!$C65, I$8)+COUNTIF(Logs!$C$81, I$8)+COUNTIF(Logs!$C102, I$8)+COUNTIF(Logs!$C122, I$8)+COUNTIF(Logs!$C141, I$8)+COUNTIF(Logs!$C161, I$8)+COUNTIF(Logs!$C179, I$8)+COUNTIF(Logs!$C200, I$8)+COUNTIF(Logs!$C217, I$8)+COUNTIF(Logs!$C235, I$8)+COUNTIF(Logs!$C252, I$8)+COUNTIF(Logs!$C269, I$8)+COUNTIF(Logs!$C287, I$8)+COUNTIF(Logs!$C304, I$8)+COUNTIF(Logs!$C322, I$8)+COUNTIF(Logs!$C340, I$8)+COUNTIF(Logs!$C358, I$8)+COUNTIF(Logs!$C376, I$8)+COUNTIF(Logs!$C395, I$8)+COUNTIF(Logs!$C413, I$8)+COUNTIF(Logs!$C431, I$8)+COUNTIF(Logs!$C449, I$8)+COUNTIF(Logs!$C467, I$8)+COUNTIF(Logs!$C485, I$8)+COUNTIF(Logs!$C503, I$8)+COUNTIF(Logs!$C521, I$8)+COUNTIF(Logs!$C539, I$8)+COUNTIF(Logs!$C557, I$8)+COUNTIF(Logs!$C574, I$8)+COUNTIF(Logs!$C593, I$8)+COUNTIF(Logs!$C609, I$8)+COUNTIF(Logs!$C625, I$8)+COUNTIF(Logs!$C642, I$8)+COUNTIF(Logs!$C657, I$8)+COUNTIF(Logs!$C673, I$8)</f>
        <v>0</v>
      </c>
      <c r="J12" s="1444" t="str">
        <f t="shared" si="3"/>
        <v/>
      </c>
      <c r="K12" s="1101">
        <f>COUNTIF(Logs!$C11, K$8)+COUNTIF(Logs!$C29, K$8)+COUNTIF(Logs!$C47, K$8)+COUNTIF(Logs!$C65, K$8)+COUNTIF(Logs!$C$81, K$8)+COUNTIF(Logs!$C102, K$8)+COUNTIF(Logs!$C122, K$8)+COUNTIF(Logs!$C141, K$8)+COUNTIF(Logs!$C161, K$8)+COUNTIF(Logs!$C179, K$8)+COUNTIF(Logs!$C200, K$8)+COUNTIF(Logs!$C217, K$8)+COUNTIF(Logs!$C235, K$8)+COUNTIF(Logs!$C252, K$8)+COUNTIF(Logs!$C269, K$8)+COUNTIF(Logs!$C287, K$8)+COUNTIF(Logs!$C304, K$8)+COUNTIF(Logs!$C322, K$8)+COUNTIF(Logs!$C340, K$8)+COUNTIF(Logs!$C358, K$8)+COUNTIF(Logs!$C376, K$8)+COUNTIF(Logs!$C395, K$8)+COUNTIF(Logs!$C413, K$8)+COUNTIF(Logs!$C431, K$8)+COUNTIF(Logs!$C449, K$8)+COUNTIF(Logs!$C467, K$8)+COUNTIF(Logs!$C485, K$8)+COUNTIF(Logs!$C503, K$8)+COUNTIF(Logs!$C521, K$8)+COUNTIF(Logs!$C539, K$8)+COUNTIF(Logs!$C557, K$8)+COUNTIF(Logs!$C574, K$8)+COUNTIF(Logs!$C593, K$8)+COUNTIF(Logs!$C609, K$8)+COUNTIF(Logs!$C625, K$8)+COUNTIF(Logs!$C642, K$8)+COUNTIF(Logs!$C657, K$8)+COUNTIF(Logs!$C673, K$8)</f>
        <v>5</v>
      </c>
      <c r="L12" s="1432">
        <f t="shared" si="4"/>
        <v>0.13157894736842105</v>
      </c>
      <c r="N12" s="1378" t="s">
        <v>187</v>
      </c>
      <c r="O12" s="319">
        <f>COUNTIF(Logs!$D11, O$8)+COUNTIF(Logs!$D29, O$8)+COUNTIF(Logs!$D47, O$8)+COUNTIF(Logs!$D65, O$8)+COUNTIF(Logs!$D83, O$8)+COUNTIF(Logs!$D102, O$8)+COUNTIF(Logs!$D122, O$8)+COUNTIF(Logs!$D141, O$8)+COUNTIF(Logs!$D161, O$8)+COUNTIF(Logs!$D179, O$8)+COUNTIF(Logs!$D200, O$8)+COUNTIF(Logs!$D217, O$8)+COUNTIF(Logs!$D235, O$8)+COUNTIF(Logs!$D252, O$8)+COUNTIF(Logs!$D269, O$8)+COUNTIF(Logs!$D287, O$8)+COUNTIF(Logs!$D304, O$8)+COUNTIF(Logs!$D322, O$8)+COUNTIF(Logs!$D340, O$8)+COUNTIF(Logs!$D358, O$8)+COUNTIF(Logs!$D376, O$8)+COUNTIF(Logs!$D395, O$8)+COUNTIF(Logs!$D413, O$8)+COUNTIF(Logs!$D431, O$8)+COUNTIF(Logs!$D449, O$8)+COUNTIF(Logs!$D467, O$8)+COUNTIF(Logs!$D485, O$8)+COUNTIF(Logs!$D503, O$8)+COUNTIF(Logs!$D521, O$8)+COUNTIF(Logs!$D539, O$8)+COUNTIF(Logs!$D557, O$8)+COUNTIF(Logs!$D574, O$8)+COUNTIF(Logs!$D593, O$8)+COUNTIF(Logs!$D609, O$8)+COUNTIF(Logs!$D625, O$8)+COUNTIF(Logs!$D642, O$8)+COUNTIF(Logs!$D657, O$8)+COUNTIF(Logs!$D673, O$8)</f>
        <v>28</v>
      </c>
      <c r="P12" s="1448">
        <f t="shared" si="5"/>
        <v>0.73684210526315785</v>
      </c>
      <c r="Q12" s="342">
        <f>COUNTIF(Logs!$D11, Q$8)+COUNTIF(Logs!$D29, Q$8)+COUNTIF(Logs!$D47, Q$8)+COUNTIF(Logs!$D65, Q$8)+COUNTIF(Logs!$D83, Q$8)+COUNTIF(Logs!$D102, Q$8)+COUNTIF(Logs!$D122, Q$8)+COUNTIF(Logs!$D141, Q$8)+COUNTIF(Logs!$D161, Q$8)+COUNTIF(Logs!$D179, Q$8)+COUNTIF(Logs!$D200, Q$8)+COUNTIF(Logs!$D217, Q$8)+COUNTIF(Logs!$D235, Q$8)+COUNTIF(Logs!$D252, Q$8)+COUNTIF(Logs!$D269, Q$8)+COUNTIF(Logs!$D287, Q$8)+COUNTIF(Logs!$D304, Q$8)+COUNTIF(Logs!$D322, Q$8)+COUNTIF(Logs!$D340, Q$8)+COUNTIF(Logs!$D358, Q$8)+COUNTIF(Logs!$D376, Q$8)+COUNTIF(Logs!$D395, Q$8)+COUNTIF(Logs!$D413, Q$8)+COUNTIF(Logs!$D431, Q$8)+COUNTIF(Logs!$D449, Q$8)+COUNTIF(Logs!$D467, Q$8)+COUNTIF(Logs!$D485, Q$8)+COUNTIF(Logs!$D503, Q$8)+COUNTIF(Logs!$D521, Q$8)+COUNTIF(Logs!$D539, Q$8)+COUNTIF(Logs!$D557, Q$8)+COUNTIF(Logs!$D574, Q$8)+COUNTIF(Logs!$D593, Q$8)+COUNTIF(Logs!$D609, Q$8)+COUNTIF(Logs!$D625, Q$8)+COUNTIF(Logs!$D642, Q$8)+COUNTIF(Logs!$D657, Q$8)+COUNTIF(Logs!$D673, Q$8)</f>
        <v>3</v>
      </c>
      <c r="R12" s="1437">
        <f t="shared" si="6"/>
        <v>7.8947368421052627E-2</v>
      </c>
      <c r="S12" s="1439">
        <f>COUNTIF(Logs!$D11, S$8)+COUNTIF(Logs!$D29, S$8)+COUNTIF(Logs!$D47, S$8)+COUNTIF(Logs!$D65, S$8)+COUNTIF(Logs!$D83, S$8)+COUNTIF(Logs!$D102, S$8)+COUNTIF(Logs!$D122, S$8)+COUNTIF(Logs!$D141, S$8)+COUNTIF(Logs!$D161, S$8)+COUNTIF(Logs!$D179, S$8)+COUNTIF(Logs!$D200, S$8)+COUNTIF(Logs!$D217, S$8)+COUNTIF(Logs!$D235, S$8)+COUNTIF(Logs!$D252, S$8)+COUNTIF(Logs!$D269, S$8)+COUNTIF(Logs!$D287, S$8)+COUNTIF(Logs!$D304, S$8)+COUNTIF(Logs!$D322, S$8)+COUNTIF(Logs!$D340, S$8)+COUNTIF(Logs!$D358, S$8)+COUNTIF(Logs!$D376, S$8)+COUNTIF(Logs!$D395, S$8)+COUNTIF(Logs!$D413, S$8)+COUNTIF(Logs!$D431, S$8)+COUNTIF(Logs!$D449, S$8)+COUNTIF(Logs!$D467, S$8)+COUNTIF(Logs!$D485, S$8)+COUNTIF(Logs!$D503, S$8)+COUNTIF(Logs!$D521, S$8)+COUNTIF(Logs!$D539, S$8)+COUNTIF(Logs!$D557, S$8)+COUNTIF(Logs!$D574, S$8)+COUNTIF(Logs!$D593, S$8)+COUNTIF(Logs!$D609, S$8)+COUNTIF(Logs!$D625, S$8)+COUNTIF(Logs!$D642, S$8)+COUNTIF(Logs!$D657, S$8)+COUNTIF(Logs!$D673, S$8)</f>
        <v>6</v>
      </c>
      <c r="T12" s="1440">
        <f t="shared" si="7"/>
        <v>0.15789473684210525</v>
      </c>
      <c r="U12" s="1443">
        <f>COUNTIF(Logs!$D11, U$8)+COUNTIF(Logs!$D29, U$8)+COUNTIF(Logs!$D47, U$8)+COUNTIF(Logs!$D65, U$8)+COUNTIF(Logs!$D83, U$8)+COUNTIF(Logs!$D102, U$8)+COUNTIF(Logs!$D122, U$8)+COUNTIF(Logs!$D141, U$8)+COUNTIF(Logs!$D161, U$8)+COUNTIF(Logs!$D179, U$8)+COUNTIF(Logs!$D200, U$8)+COUNTIF(Logs!$D217, U$8)+COUNTIF(Logs!$D235, U$8)+COUNTIF(Logs!$D252, U$8)+COUNTIF(Logs!$D269, U$8)+COUNTIF(Logs!$D287, U$8)+COUNTIF(Logs!$D304, U$8)+COUNTIF(Logs!$D322, U$8)+COUNTIF(Logs!$D340, U$8)+COUNTIF(Logs!$D358, U$8)+COUNTIF(Logs!$D376, U$8)+COUNTIF(Logs!$D395, U$8)+COUNTIF(Logs!$D413, U$8)+COUNTIF(Logs!$D431, U$8)+COUNTIF(Logs!$D449, U$8)+COUNTIF(Logs!$D467, U$8)+COUNTIF(Logs!$D485, U$8)+COUNTIF(Logs!$D503, U$8)+COUNTIF(Logs!$D521, U$8)+COUNTIF(Logs!$D539, U$8)+COUNTIF(Logs!$D557, U$8)+COUNTIF(Logs!$D574, U$8)+COUNTIF(Logs!$D593, U$8)+COUNTIF(Logs!$D609, U$8)+COUNTIF(Logs!$D625, U$8)+COUNTIF(Logs!$D642, U$8)+COUNTIF(Logs!$D657, U$8)+COUNTIF(Logs!$D673, U$8)</f>
        <v>1</v>
      </c>
      <c r="V12" s="1444">
        <f t="shared" si="8"/>
        <v>2.6315789473684209E-2</v>
      </c>
      <c r="W12" s="1101">
        <f>COUNTIF(Logs!$D11, W$8)+COUNTIF(Logs!$D29, W$8)+COUNTIF(Logs!$D47, W$8)+COUNTIF(Logs!$D65, W$8)+COUNTIF(Logs!$D83, W$8)+COUNTIF(Logs!$D102, W$8)+COUNTIF(Logs!$D122, W$8)+COUNTIF(Logs!$D141, W$8)+COUNTIF(Logs!$D161, W$8)+COUNTIF(Logs!$D179, W$8)+COUNTIF(Logs!$D200, W$8)+COUNTIF(Logs!$D217, W$8)+COUNTIF(Logs!$D235, W$8)+COUNTIF(Logs!$D252, W$8)+COUNTIF(Logs!$D269, W$8)+COUNTIF(Logs!$D287, W$8)+COUNTIF(Logs!$D304, W$8)+COUNTIF(Logs!$D322, W$8)+COUNTIF(Logs!$D340, W$8)+COUNTIF(Logs!$D358, W$8)+COUNTIF(Logs!$D376, W$8)+COUNTIF(Logs!$D395, W$8)+COUNTIF(Logs!$D413, W$8)+COUNTIF(Logs!$D431, W$8)+COUNTIF(Logs!$D449, W$8)+COUNTIF(Logs!$D467, W$8)+COUNTIF(Logs!$D485, W$8)+COUNTIF(Logs!$D503, W$8)+COUNTIF(Logs!$D521, W$8)+COUNTIF(Logs!$D539, W$8)+COUNTIF(Logs!$D557, W$8)+COUNTIF(Logs!$D574, W$8)+COUNTIF(Logs!$D593, W$8)+COUNTIF(Logs!$D609, W$8)+COUNTIF(Logs!$D625, W$8)+COUNTIF(Logs!$D642, W$8)+COUNTIF(Logs!$D657, W$8)+COUNTIF(Logs!$D673, W$8)</f>
        <v>0</v>
      </c>
      <c r="X12" s="1432" t="str">
        <f t="shared" si="9"/>
        <v/>
      </c>
    </row>
    <row r="13" spans="2:24">
      <c r="B13" s="1378" t="s">
        <v>188</v>
      </c>
      <c r="C13" s="1323">
        <f>COUNTIF(Logs!$C12, C$8)+COUNTIF(Logs!$C30, C$8)+COUNTIF(Logs!$C48, C$8)+COUNTIF(Logs!$C66, C$8)+COUNTIF(Logs!$C84, C$8)+COUNTIF(Logs!$C103, C$8)+COUNTIF(Logs!$C123, C$8)+COUNTIF(Logs!$C142, C$8)+COUNTIF(Logs!$C162, C$8)+COUNTIF(Logs!$C180, C$8)+COUNTIF(Logs!$C201, C$8)+COUNTIF(Logs!$C218, C$8)+COUNTIF(Logs!$C236, C$8)+COUNTIF(Logs!$C253, C$8)+COUNTIF(Logs!$C270, C$8)+COUNTIF(Logs!$C288, C$8)+COUNTIF(Logs!$C305, C$8)+COUNTIF(Logs!$C323, C$8)+COUNTIF(Logs!$C341, C$8)+COUNTIF(Logs!$C359, C$8)+COUNTIF(Logs!$C377, C$8)+COUNTIF(Logs!$C396, C$8)+COUNTIF(Logs!$C414, C$8)+COUNTIF(Logs!$C432, C$8)+COUNTIF(Logs!$C450, C$8)+COUNTIF(Logs!$C468, C$8)+COUNTIF(Logs!$C486, C$8)+COUNTIF(Logs!$C504, C$8)+COUNTIF(Logs!$C522, C$8)+COUNTIF(Logs!$C540, C$8)+COUNTIF(Logs!$C558, C$8)+COUNTIF(Logs!$C575, C$8)+COUNTIF(Logs!$C594, C$8)+COUNTIF(Logs!$C610, C$8)+COUNTIF(Logs!$C626, C$8)+COUNTIF(Logs!$C643, C$8)+COUNTIF(Logs!$C658, C$8)+COUNTIF(Logs!$C674, C$8)</f>
        <v>27</v>
      </c>
      <c r="D13" s="1429">
        <f t="shared" si="0"/>
        <v>0.75</v>
      </c>
      <c r="E13" s="342">
        <f>COUNTIF(Logs!$C12, E$8)+COUNTIF(Logs!$C30, E$8)+COUNTIF(Logs!$C48, E$8)+COUNTIF(Logs!$C66, E$8)+COUNTIF(Logs!$C$81, E$8)+COUNTIF(Logs!$C103, E$8)+COUNTIF(Logs!$C123, E$8)+COUNTIF(Logs!$C142, E$8)+COUNTIF(Logs!$C162, E$8)+COUNTIF(Logs!$C180, E$8)+COUNTIF(Logs!$C201, E$8)+COUNTIF(Logs!$C218, E$8)+COUNTIF(Logs!$C236, E$8)+COUNTIF(Logs!$C253, E$8)+COUNTIF(Logs!$C270, E$8)+COUNTIF(Logs!$C288, E$8)+COUNTIF(Logs!$C305, E$8)+COUNTIF(Logs!$C323, E$8)+COUNTIF(Logs!$C341, E$8)+COUNTIF(Logs!$C359, E$8)+COUNTIF(Logs!$C377, E$8)+COUNTIF(Logs!$C396, E$8)+COUNTIF(Logs!$C414, E$8)+COUNTIF(Logs!$C432, E$8)+COUNTIF(Logs!$C450, E$8)+COUNTIF(Logs!$C468, E$8)+COUNTIF(Logs!$C486, E$8)+COUNTIF(Logs!$C504, E$8)+COUNTIF(Logs!$C522, E$8)+COUNTIF(Logs!$C540, E$8)+COUNTIF(Logs!$C558, E$8)+COUNTIF(Logs!$C575, E$8)+COUNTIF(Logs!$C594, E$8)+COUNTIF(Logs!$C610, E$8)+COUNTIF(Logs!$C626, E$8)+COUNTIF(Logs!$C643, E$8)+COUNTIF(Logs!$C658, E$8)+COUNTIF(Logs!$C674, E$8)</f>
        <v>7</v>
      </c>
      <c r="F13" s="1437">
        <f t="shared" si="1"/>
        <v>0.19444444444444445</v>
      </c>
      <c r="G13" s="1439">
        <f>COUNTIF(Logs!$C12, G$8)+COUNTIF(Logs!$C30, G$8)+COUNTIF(Logs!$C48, G$8)+COUNTIF(Logs!$C66, G$8)+COUNTIF(Logs!$C$81, G$8)+COUNTIF(Logs!$C103, G$8)+COUNTIF(Logs!$C123, G$8)+COUNTIF(Logs!$C142, G$8)+COUNTIF(Logs!$C162, G$8)+COUNTIF(Logs!$C180, G$8)+COUNTIF(Logs!$C201, G$8)+COUNTIF(Logs!$C218, G$8)+COUNTIF(Logs!$C236, G$8)+COUNTIF(Logs!$C253, G$8)+COUNTIF(Logs!$C270, G$8)+COUNTIF(Logs!$C288, G$8)+COUNTIF(Logs!$C305, G$8)+COUNTIF(Logs!$C323, G$8)+COUNTIF(Logs!$C341, G$8)+COUNTIF(Logs!$C359, G$8)+COUNTIF(Logs!$C377, G$8)+COUNTIF(Logs!$C396, G$8)+COUNTIF(Logs!$C414, G$8)+COUNTIF(Logs!$C432, G$8)+COUNTIF(Logs!$C450, G$8)+COUNTIF(Logs!$C468, G$8)+COUNTIF(Logs!$C486, G$8)+COUNTIF(Logs!$C504, G$8)+COUNTIF(Logs!$C522, G$8)+COUNTIF(Logs!$C540, G$8)+COUNTIF(Logs!$C558, G$8)+COUNTIF(Logs!$C575, G$8)+COUNTIF(Logs!$C594, G$8)+COUNTIF(Logs!$C610, G$8)+COUNTIF(Logs!$C626, G$8)+COUNTIF(Logs!$C643, G$8)+COUNTIF(Logs!$C658, G$8)+COUNTIF(Logs!$C674, G$8)</f>
        <v>2</v>
      </c>
      <c r="H13" s="1440">
        <f t="shared" si="2"/>
        <v>5.5555555555555552E-2</v>
      </c>
      <c r="I13" s="1443">
        <f>COUNTIF(Logs!$C12, I$8)+COUNTIF(Logs!$C30, I$8)+COUNTIF(Logs!$C48, I$8)+COUNTIF(Logs!$C66, I$8)+COUNTIF(Logs!$C$81, I$8)+COUNTIF(Logs!$C103, I$8)+COUNTIF(Logs!$C123, I$8)+COUNTIF(Logs!$C142, I$8)+COUNTIF(Logs!$C162, I$8)+COUNTIF(Logs!$C180, I$8)+COUNTIF(Logs!$C201, I$8)+COUNTIF(Logs!$C218, I$8)+COUNTIF(Logs!$C236, I$8)+COUNTIF(Logs!$C253, I$8)+COUNTIF(Logs!$C270, I$8)+COUNTIF(Logs!$C288, I$8)+COUNTIF(Logs!$C305, I$8)+COUNTIF(Logs!$C323, I$8)+COUNTIF(Logs!$C341, I$8)+COUNTIF(Logs!$C359, I$8)+COUNTIF(Logs!$C377, I$8)+COUNTIF(Logs!$C396, I$8)+COUNTIF(Logs!$C414, I$8)+COUNTIF(Logs!$C432, I$8)+COUNTIF(Logs!$C450, I$8)+COUNTIF(Logs!$C468, I$8)+COUNTIF(Logs!$C486, I$8)+COUNTIF(Logs!$C504, I$8)+COUNTIF(Logs!$C522, I$8)+COUNTIF(Logs!$C540, I$8)+COUNTIF(Logs!$C558, I$8)+COUNTIF(Logs!$C575, I$8)+COUNTIF(Logs!$C594, I$8)+COUNTIF(Logs!$C610, I$8)+COUNTIF(Logs!$C626, I$8)+COUNTIF(Logs!$C643, I$8)+COUNTIF(Logs!$C658, I$8)+COUNTIF(Logs!$C674, I$8)</f>
        <v>0</v>
      </c>
      <c r="J13" s="1444" t="str">
        <f t="shared" si="3"/>
        <v/>
      </c>
      <c r="K13" s="1101">
        <f>COUNTIF(Logs!$C12, K$8)+COUNTIF(Logs!$C30, K$8)+COUNTIF(Logs!$C48, K$8)+COUNTIF(Logs!$C66, K$8)+COUNTIF(Logs!$C$81, K$8)+COUNTIF(Logs!$C103, K$8)+COUNTIF(Logs!$C123, K$8)+COUNTIF(Logs!$C142, K$8)+COUNTIF(Logs!$C162, K$8)+COUNTIF(Logs!$C180, K$8)+COUNTIF(Logs!$C201, K$8)+COUNTIF(Logs!$C218, K$8)+COUNTIF(Logs!$C236, K$8)+COUNTIF(Logs!$C253, K$8)+COUNTIF(Logs!$C270, K$8)+COUNTIF(Logs!$C288, K$8)+COUNTIF(Logs!$C305, K$8)+COUNTIF(Logs!$C323, K$8)+COUNTIF(Logs!$C341, K$8)+COUNTIF(Logs!$C359, K$8)+COUNTIF(Logs!$C377, K$8)+COUNTIF(Logs!$C396, K$8)+COUNTIF(Logs!$C414, K$8)+COUNTIF(Logs!$C432, K$8)+COUNTIF(Logs!$C450, K$8)+COUNTIF(Logs!$C468, K$8)+COUNTIF(Logs!$C486, K$8)+COUNTIF(Logs!$C504, K$8)+COUNTIF(Logs!$C522, K$8)+COUNTIF(Logs!$C540, K$8)+COUNTIF(Logs!$C558, K$8)+COUNTIF(Logs!$C575, K$8)+COUNTIF(Logs!$C594, K$8)+COUNTIF(Logs!$C610, K$8)+COUNTIF(Logs!$C626, K$8)+COUNTIF(Logs!$C643, K$8)+COUNTIF(Logs!$C658, K$8)+COUNTIF(Logs!$C674, K$8)</f>
        <v>0</v>
      </c>
      <c r="L13" s="1432" t="str">
        <f t="shared" si="4"/>
        <v/>
      </c>
      <c r="N13" s="1378" t="s">
        <v>188</v>
      </c>
      <c r="O13" s="319">
        <f>COUNTIF(Logs!$D12, O$8)+COUNTIF(Logs!$D30, O$8)+COUNTIF(Logs!$D48, O$8)+COUNTIF(Logs!$D66, O$8)+COUNTIF(Logs!$D84, O$8)+COUNTIF(Logs!$D103, O$8)+COUNTIF(Logs!$D123, O$8)+COUNTIF(Logs!$D142, O$8)+COUNTIF(Logs!$D162, O$8)+COUNTIF(Logs!$D180, O$8)+COUNTIF(Logs!$D201, O$8)+COUNTIF(Logs!$D218, O$8)+COUNTIF(Logs!$D236, O$8)+COUNTIF(Logs!$D253, O$8)+COUNTIF(Logs!$D270, O$8)+COUNTIF(Logs!$D288, O$8)+COUNTIF(Logs!$D305, O$8)+COUNTIF(Logs!$D323, O$8)+COUNTIF(Logs!$D341, O$8)+COUNTIF(Logs!$D359, O$8)+COUNTIF(Logs!$D377, O$8)+COUNTIF(Logs!$D396, O$8)+COUNTIF(Logs!$D414, O$8)+COUNTIF(Logs!$D432, O$8)+COUNTIF(Logs!$D450, O$8)+COUNTIF(Logs!$D468, O$8)+COUNTIF(Logs!$D486, O$8)+COUNTIF(Logs!$D504, O$8)+COUNTIF(Logs!$D522, O$8)+COUNTIF(Logs!$D540, O$8)+COUNTIF(Logs!$D558, O$8)+COUNTIF(Logs!$D575, O$8)+COUNTIF(Logs!$D594, O$8)+COUNTIF(Logs!$D610, O$8)+COUNTIF(Logs!$D626, O$8)+COUNTIF(Logs!$D643, O$8)+COUNTIF(Logs!$D658, O$8)+COUNTIF(Logs!$D674, O$8)</f>
        <v>12</v>
      </c>
      <c r="P13" s="1448">
        <f t="shared" si="5"/>
        <v>0.31578947368421051</v>
      </c>
      <c r="Q13" s="342">
        <f>COUNTIF(Logs!$D12, Q$8)+COUNTIF(Logs!$D30, Q$8)+COUNTIF(Logs!$D48, Q$8)+COUNTIF(Logs!$D66, Q$8)+COUNTIF(Logs!$D84, Q$8)+COUNTIF(Logs!$D103, Q$8)+COUNTIF(Logs!$D123, Q$8)+COUNTIF(Logs!$D142, Q$8)+COUNTIF(Logs!$D162, Q$8)+COUNTIF(Logs!$D180, Q$8)+COUNTIF(Logs!$D201, Q$8)+COUNTIF(Logs!$D218, Q$8)+COUNTIF(Logs!$D236, Q$8)+COUNTIF(Logs!$D253, Q$8)+COUNTIF(Logs!$D270, Q$8)+COUNTIF(Logs!$D288, Q$8)+COUNTIF(Logs!$D305, Q$8)+COUNTIF(Logs!$D323, Q$8)+COUNTIF(Logs!$D341, Q$8)+COUNTIF(Logs!$D359, Q$8)+COUNTIF(Logs!$D377, Q$8)+COUNTIF(Logs!$D396, Q$8)+COUNTIF(Logs!$D414, Q$8)+COUNTIF(Logs!$D432, Q$8)+COUNTIF(Logs!$D450, Q$8)+COUNTIF(Logs!$D468, Q$8)+COUNTIF(Logs!$D486, Q$8)+COUNTIF(Logs!$D504, Q$8)+COUNTIF(Logs!$D522, Q$8)+COUNTIF(Logs!$D540, Q$8)+COUNTIF(Logs!$D558, Q$8)+COUNTIF(Logs!$D575, Q$8)+COUNTIF(Logs!$D594, Q$8)+COUNTIF(Logs!$D610, Q$8)+COUNTIF(Logs!$D626, Q$8)+COUNTIF(Logs!$D643, Q$8)+COUNTIF(Logs!$D658, Q$8)+COUNTIF(Logs!$D674, Q$8)</f>
        <v>11</v>
      </c>
      <c r="R13" s="1437">
        <f t="shared" si="6"/>
        <v>0.28947368421052633</v>
      </c>
      <c r="S13" s="1439">
        <f>COUNTIF(Logs!$D12, S$8)+COUNTIF(Logs!$D30, S$8)+COUNTIF(Logs!$D48, S$8)+COUNTIF(Logs!$D66, S$8)+COUNTIF(Logs!$D84, S$8)+COUNTIF(Logs!$D103, S$8)+COUNTIF(Logs!$D123, S$8)+COUNTIF(Logs!$D142, S$8)+COUNTIF(Logs!$D162, S$8)+COUNTIF(Logs!$D180, S$8)+COUNTIF(Logs!$D201, S$8)+COUNTIF(Logs!$D218, S$8)+COUNTIF(Logs!$D236, S$8)+COUNTIF(Logs!$D253, S$8)+COUNTIF(Logs!$D270, S$8)+COUNTIF(Logs!$D288, S$8)+COUNTIF(Logs!$D305, S$8)+COUNTIF(Logs!$D323, S$8)+COUNTIF(Logs!$D341, S$8)+COUNTIF(Logs!$D359, S$8)+COUNTIF(Logs!$D377, S$8)+COUNTIF(Logs!$D396, S$8)+COUNTIF(Logs!$D414, S$8)+COUNTIF(Logs!$D432, S$8)+COUNTIF(Logs!$D450, S$8)+COUNTIF(Logs!$D468, S$8)+COUNTIF(Logs!$D486, S$8)+COUNTIF(Logs!$D504, S$8)+COUNTIF(Logs!$D522, S$8)+COUNTIF(Logs!$D540, S$8)+COUNTIF(Logs!$D558, S$8)+COUNTIF(Logs!$D575, S$8)+COUNTIF(Logs!$D594, S$8)+COUNTIF(Logs!$D610, S$8)+COUNTIF(Logs!$D626, S$8)+COUNTIF(Logs!$D643, S$8)+COUNTIF(Logs!$D658, S$8)+COUNTIF(Logs!$D674, S$8)</f>
        <v>14</v>
      </c>
      <c r="T13" s="1440">
        <f t="shared" si="7"/>
        <v>0.36842105263157893</v>
      </c>
      <c r="U13" s="1443">
        <f>COUNTIF(Logs!$D12, U$8)+COUNTIF(Logs!$D30, U$8)+COUNTIF(Logs!$D48, U$8)+COUNTIF(Logs!$D66, U$8)+COUNTIF(Logs!$D84, U$8)+COUNTIF(Logs!$D103, U$8)+COUNTIF(Logs!$D123, U$8)+COUNTIF(Logs!$D142, U$8)+COUNTIF(Logs!$D162, U$8)+COUNTIF(Logs!$D180, U$8)+COUNTIF(Logs!$D201, U$8)+COUNTIF(Logs!$D218, U$8)+COUNTIF(Logs!$D236, U$8)+COUNTIF(Logs!$D253, U$8)+COUNTIF(Logs!$D270, U$8)+COUNTIF(Logs!$D288, U$8)+COUNTIF(Logs!$D305, U$8)+COUNTIF(Logs!$D323, U$8)+COUNTIF(Logs!$D341, U$8)+COUNTIF(Logs!$D359, U$8)+COUNTIF(Logs!$D377, U$8)+COUNTIF(Logs!$D396, U$8)+COUNTIF(Logs!$D414, U$8)+COUNTIF(Logs!$D432, U$8)+COUNTIF(Logs!$D450, U$8)+COUNTIF(Logs!$D468, U$8)+COUNTIF(Logs!$D486, U$8)+COUNTIF(Logs!$D504, U$8)+COUNTIF(Logs!$D522, U$8)+COUNTIF(Logs!$D540, U$8)+COUNTIF(Logs!$D558, U$8)+COUNTIF(Logs!$D575, U$8)+COUNTIF(Logs!$D594, U$8)+COUNTIF(Logs!$D610, U$8)+COUNTIF(Logs!$D626, U$8)+COUNTIF(Logs!$D643, U$8)+COUNTIF(Logs!$D658, U$8)+COUNTIF(Logs!$D674, U$8)</f>
        <v>1</v>
      </c>
      <c r="V13" s="1444">
        <f t="shared" si="8"/>
        <v>2.6315789473684209E-2</v>
      </c>
      <c r="W13" s="1101">
        <f>COUNTIF(Logs!$D12, W$8)+COUNTIF(Logs!$D30, W$8)+COUNTIF(Logs!$D48, W$8)+COUNTIF(Logs!$D66, W$8)+COUNTIF(Logs!$D84, W$8)+COUNTIF(Logs!$D103, W$8)+COUNTIF(Logs!$D123, W$8)+COUNTIF(Logs!$D142, W$8)+COUNTIF(Logs!$D162, W$8)+COUNTIF(Logs!$D180, W$8)+COUNTIF(Logs!$D201, W$8)+COUNTIF(Logs!$D218, W$8)+COUNTIF(Logs!$D236, W$8)+COUNTIF(Logs!$D253, W$8)+COUNTIF(Logs!$D270, W$8)+COUNTIF(Logs!$D288, W$8)+COUNTIF(Logs!$D305, W$8)+COUNTIF(Logs!$D323, W$8)+COUNTIF(Logs!$D341, W$8)+COUNTIF(Logs!$D359, W$8)+COUNTIF(Logs!$D377, W$8)+COUNTIF(Logs!$D396, W$8)+COUNTIF(Logs!$D414, W$8)+COUNTIF(Logs!$D432, W$8)+COUNTIF(Logs!$D450, W$8)+COUNTIF(Logs!$D468, W$8)+COUNTIF(Logs!$D486, W$8)+COUNTIF(Logs!$D504, W$8)+COUNTIF(Logs!$D522, W$8)+COUNTIF(Logs!$D540, W$8)+COUNTIF(Logs!$D558, W$8)+COUNTIF(Logs!$D575, W$8)+COUNTIF(Logs!$D594, W$8)+COUNTIF(Logs!$D610, W$8)+COUNTIF(Logs!$D626, W$8)+COUNTIF(Logs!$D643, W$8)+COUNTIF(Logs!$D658, W$8)+COUNTIF(Logs!$D674, W$8)</f>
        <v>0</v>
      </c>
      <c r="X13" s="1432" t="str">
        <f t="shared" si="9"/>
        <v/>
      </c>
    </row>
    <row r="14" spans="2:24">
      <c r="B14" s="1378" t="s">
        <v>189</v>
      </c>
      <c r="C14" s="1323">
        <f>COUNTIF(Logs!$C13, C$8)+COUNTIF(Logs!$C31, C$8)+COUNTIF(Logs!$C49, C$8)+COUNTIF(Logs!$C67, C$8)+COUNTIF(Logs!$C85, C$8)+COUNTIF(Logs!$C104, C$8)+COUNTIF(Logs!$C124, C$8)+COUNTIF(Logs!$C143, C$8)+COUNTIF(Logs!$C163, C$8)+COUNTIF(Logs!$C181, C$8)+COUNTIF(Logs!$C202, C$8)+COUNTIF(Logs!$C219, C$8)+COUNTIF(Logs!$C237, C$8)+COUNTIF(Logs!$C254, C$8)+COUNTIF(Logs!$C271, C$8)+COUNTIF(Logs!$C289, C$8)+COUNTIF(Logs!$C306, C$8)+COUNTIF(Logs!$C324, C$8)+COUNTIF(Logs!$C342, C$8)+COUNTIF(Logs!$C360, C$8)+COUNTIF(Logs!$C378, C$8)+COUNTIF(Logs!$C397, C$8)+COUNTIF(Logs!$C415, C$8)+COUNTIF(Logs!$C433, C$8)+COUNTIF(Logs!$C451, C$8)+COUNTIF(Logs!$C469, C$8)+COUNTIF(Logs!$C487, C$8)+COUNTIF(Logs!$C505, C$8)+COUNTIF(Logs!$C523, C$8)+COUNTIF(Logs!$C541, C$8)+COUNTIF(Logs!$C559, C$8)+COUNTIF(Logs!$C576, C$8)+COUNTIF(Logs!$C595, C$8)+COUNTIF(Logs!$C611, C$8)+COUNTIF(Logs!$C627, C$8)+COUNTIF(Logs!$C644, C$8)+COUNTIF(Logs!$C659, C$8)+COUNTIF(Logs!$C675, C$8)</f>
        <v>21</v>
      </c>
      <c r="D14" s="1429">
        <f t="shared" si="0"/>
        <v>0.63636363636363635</v>
      </c>
      <c r="E14" s="342">
        <f>COUNTIF(Logs!$C13, E$8)+COUNTIF(Logs!$C31, E$8)+COUNTIF(Logs!$C49, E$8)+COUNTIF(Logs!$C67, E$8)+COUNTIF(Logs!$C$81, E$8)+COUNTIF(Logs!$C104, E$8)+COUNTIF(Logs!$C124, E$8)+COUNTIF(Logs!$C143, E$8)+COUNTIF(Logs!$C163, E$8)+COUNTIF(Logs!$C181, E$8)+COUNTIF(Logs!$C202, E$8)+COUNTIF(Logs!$C219, E$8)+COUNTIF(Logs!$C237, E$8)+COUNTIF(Logs!$C254, E$8)+COUNTIF(Logs!$C271, E$8)+COUNTIF(Logs!$C289, E$8)+COUNTIF(Logs!$C306, E$8)+COUNTIF(Logs!$C324, E$8)+COUNTIF(Logs!$C342, E$8)+COUNTIF(Logs!$C360, E$8)+COUNTIF(Logs!$C378, E$8)+COUNTIF(Logs!$C397, E$8)+COUNTIF(Logs!$C415, E$8)+COUNTIF(Logs!$C433, E$8)+COUNTIF(Logs!$C451, E$8)+COUNTIF(Logs!$C469, E$8)+COUNTIF(Logs!$C487, E$8)+COUNTIF(Logs!$C505, E$8)+COUNTIF(Logs!$C523, E$8)+COUNTIF(Logs!$C541, E$8)+COUNTIF(Logs!$C559, E$8)+COUNTIF(Logs!$C576, E$8)+COUNTIF(Logs!$C595, E$8)+COUNTIF(Logs!$C611, E$8)+COUNTIF(Logs!$C627, E$8)+COUNTIF(Logs!$C644, E$8)+COUNTIF(Logs!$C659, E$8)+COUNTIF(Logs!$C675, E$8)</f>
        <v>5</v>
      </c>
      <c r="F14" s="1437">
        <f t="shared" si="1"/>
        <v>0.15151515151515152</v>
      </c>
      <c r="G14" s="1439">
        <f>COUNTIF(Logs!$C13, G$8)+COUNTIF(Logs!$C31, G$8)+COUNTIF(Logs!$C49, G$8)+COUNTIF(Logs!$C67, G$8)+COUNTIF(Logs!$C$81, G$8)+COUNTIF(Logs!$C104, G$8)+COUNTIF(Logs!$C124, G$8)+COUNTIF(Logs!$C143, G$8)+COUNTIF(Logs!$C163, G$8)+COUNTIF(Logs!$C181, G$8)+COUNTIF(Logs!$C202, G$8)+COUNTIF(Logs!$C219, G$8)+COUNTIF(Logs!$C237, G$8)+COUNTIF(Logs!$C254, G$8)+COUNTIF(Logs!$C271, G$8)+COUNTIF(Logs!$C289, G$8)+COUNTIF(Logs!$C306, G$8)+COUNTIF(Logs!$C324, G$8)+COUNTIF(Logs!$C342, G$8)+COUNTIF(Logs!$C360, G$8)+COUNTIF(Logs!$C378, G$8)+COUNTIF(Logs!$C397, G$8)+COUNTIF(Logs!$C415, G$8)+COUNTIF(Logs!$C433, G$8)+COUNTIF(Logs!$C451, G$8)+COUNTIF(Logs!$C469, G$8)+COUNTIF(Logs!$C487, G$8)+COUNTIF(Logs!$C505, G$8)+COUNTIF(Logs!$C523, G$8)+COUNTIF(Logs!$C541, G$8)+COUNTIF(Logs!$C559, G$8)+COUNTIF(Logs!$C576, G$8)+COUNTIF(Logs!$C595, G$8)+COUNTIF(Logs!$C611, G$8)+COUNTIF(Logs!$C627, G$8)+COUNTIF(Logs!$C644, G$8)+COUNTIF(Logs!$C659, G$8)+COUNTIF(Logs!$C675, G$8)</f>
        <v>7</v>
      </c>
      <c r="H14" s="1440">
        <f t="shared" si="2"/>
        <v>0.21212121212121213</v>
      </c>
      <c r="I14" s="1443">
        <f>COUNTIF(Logs!$C13, I$8)+COUNTIF(Logs!$C31, I$8)+COUNTIF(Logs!$C49, I$8)+COUNTIF(Logs!$C67, I$8)+COUNTIF(Logs!$C$81, I$8)+COUNTIF(Logs!$C104, I$8)+COUNTIF(Logs!$C124, I$8)+COUNTIF(Logs!$C143, I$8)+COUNTIF(Logs!$C163, I$8)+COUNTIF(Logs!$C181, I$8)+COUNTIF(Logs!$C202, I$8)+COUNTIF(Logs!$C219, I$8)+COUNTIF(Logs!$C237, I$8)+COUNTIF(Logs!$C254, I$8)+COUNTIF(Logs!$C271, I$8)+COUNTIF(Logs!$C289, I$8)+COUNTIF(Logs!$C306, I$8)+COUNTIF(Logs!$C324, I$8)+COUNTIF(Logs!$C342, I$8)+COUNTIF(Logs!$C360, I$8)+COUNTIF(Logs!$C378, I$8)+COUNTIF(Logs!$C397, I$8)+COUNTIF(Logs!$C415, I$8)+COUNTIF(Logs!$C433, I$8)+COUNTIF(Logs!$C451, I$8)+COUNTIF(Logs!$C469, I$8)+COUNTIF(Logs!$C487, I$8)+COUNTIF(Logs!$C505, I$8)+COUNTIF(Logs!$C523, I$8)+COUNTIF(Logs!$C541, I$8)+COUNTIF(Logs!$C559, I$8)+COUNTIF(Logs!$C576, I$8)+COUNTIF(Logs!$C595, I$8)+COUNTIF(Logs!$C611, I$8)+COUNTIF(Logs!$C627, I$8)+COUNTIF(Logs!$C644, I$8)+COUNTIF(Logs!$C659, I$8)+COUNTIF(Logs!$C675, I$8)</f>
        <v>0</v>
      </c>
      <c r="J14" s="1444" t="str">
        <f t="shared" si="3"/>
        <v/>
      </c>
      <c r="K14" s="1101">
        <f>COUNTIF(Logs!$C13, K$8)+COUNTIF(Logs!$C31, K$8)+COUNTIF(Logs!$C49, K$8)+COUNTIF(Logs!$C67, K$8)+COUNTIF(Logs!$C$81, K$8)+COUNTIF(Logs!$C104, K$8)+COUNTIF(Logs!$C124, K$8)+COUNTIF(Logs!$C143, K$8)+COUNTIF(Logs!$C163, K$8)+COUNTIF(Logs!$C181, K$8)+COUNTIF(Logs!$C202, K$8)+COUNTIF(Logs!$C219, K$8)+COUNTIF(Logs!$C237, K$8)+COUNTIF(Logs!$C254, K$8)+COUNTIF(Logs!$C271, K$8)+COUNTIF(Logs!$C289, K$8)+COUNTIF(Logs!$C306, K$8)+COUNTIF(Logs!$C324, K$8)+COUNTIF(Logs!$C342, K$8)+COUNTIF(Logs!$C360, K$8)+COUNTIF(Logs!$C378, K$8)+COUNTIF(Logs!$C397, K$8)+COUNTIF(Logs!$C415, K$8)+COUNTIF(Logs!$C433, K$8)+COUNTIF(Logs!$C451, K$8)+COUNTIF(Logs!$C469, K$8)+COUNTIF(Logs!$C487, K$8)+COUNTIF(Logs!$C505, K$8)+COUNTIF(Logs!$C523, K$8)+COUNTIF(Logs!$C541, K$8)+COUNTIF(Logs!$C559, K$8)+COUNTIF(Logs!$C576, K$8)+COUNTIF(Logs!$C595, K$8)+COUNTIF(Logs!$C611, K$8)+COUNTIF(Logs!$C627, K$8)+COUNTIF(Logs!$C644, K$8)+COUNTIF(Logs!$C659, K$8)+COUNTIF(Logs!$C675, K$8)</f>
        <v>0</v>
      </c>
      <c r="L14" s="1432" t="str">
        <f t="shared" si="4"/>
        <v/>
      </c>
      <c r="N14" s="1378" t="s">
        <v>189</v>
      </c>
      <c r="O14" s="319">
        <f>COUNTIF(Logs!$D13, O$8)+COUNTIF(Logs!$D31, O$8)+COUNTIF(Logs!$D49, O$8)+COUNTIF(Logs!$D67, O$8)+COUNTIF(Logs!$D85, O$8)+COUNTIF(Logs!$D104, O$8)+COUNTIF(Logs!$D124, O$8)+COUNTIF(Logs!$D143, O$8)+COUNTIF(Logs!$D163, O$8)+COUNTIF(Logs!$D181, O$8)+COUNTIF(Logs!$D202, O$8)+COUNTIF(Logs!$D219, O$8)+COUNTIF(Logs!$D237, O$8)+COUNTIF(Logs!$D254, O$8)+COUNTIF(Logs!$D271, O$8)+COUNTIF(Logs!$D289, O$8)+COUNTIF(Logs!$D306, O$8)+COUNTIF(Logs!$D324, O$8)+COUNTIF(Logs!$D342, O$8)+COUNTIF(Logs!$D360, O$8)+COUNTIF(Logs!$D378, O$8)+COUNTIF(Logs!$D397, O$8)+COUNTIF(Logs!$D415, O$8)+COUNTIF(Logs!$D433, O$8)+COUNTIF(Logs!$D451, O$8)+COUNTIF(Logs!$D469, O$8)+COUNTIF(Logs!$D487, O$8)+COUNTIF(Logs!$D505, O$8)+COUNTIF(Logs!$D523, O$8)+COUNTIF(Logs!$D541, O$8)+COUNTIF(Logs!$D559, O$8)+COUNTIF(Logs!$D576, O$8)+COUNTIF(Logs!$D595, O$8)+COUNTIF(Logs!$D611, O$8)+COUNTIF(Logs!$D627, O$8)+COUNTIF(Logs!$D644, O$8)+COUNTIF(Logs!$D659, O$8)+COUNTIF(Logs!$D675, O$8)</f>
        <v>25</v>
      </c>
      <c r="P14" s="1448">
        <f t="shared" si="5"/>
        <v>0.69444444444444442</v>
      </c>
      <c r="Q14" s="342">
        <f>COUNTIF(Logs!$D13, Q$8)+COUNTIF(Logs!$D31, Q$8)+COUNTIF(Logs!$D49, Q$8)+COUNTIF(Logs!$D67, Q$8)+COUNTIF(Logs!$D85, Q$8)+COUNTIF(Logs!$D104, Q$8)+COUNTIF(Logs!$D124, Q$8)+COUNTIF(Logs!$D143, Q$8)+COUNTIF(Logs!$D163, Q$8)+COUNTIF(Logs!$D181, Q$8)+COUNTIF(Logs!$D202, Q$8)+COUNTIF(Logs!$D219, Q$8)+COUNTIF(Logs!$D237, Q$8)+COUNTIF(Logs!$D254, Q$8)+COUNTIF(Logs!$D271, Q$8)+COUNTIF(Logs!$D289, Q$8)+COUNTIF(Logs!$D306, Q$8)+COUNTIF(Logs!$D324, Q$8)+COUNTIF(Logs!$D342, Q$8)+COUNTIF(Logs!$D360, Q$8)+COUNTIF(Logs!$D378, Q$8)+COUNTIF(Logs!$D397, Q$8)+COUNTIF(Logs!$D415, Q$8)+COUNTIF(Logs!$D433, Q$8)+COUNTIF(Logs!$D451, Q$8)+COUNTIF(Logs!$D469, Q$8)+COUNTIF(Logs!$D487, Q$8)+COUNTIF(Logs!$D505, Q$8)+COUNTIF(Logs!$D523, Q$8)+COUNTIF(Logs!$D541, Q$8)+COUNTIF(Logs!$D559, Q$8)+COUNTIF(Logs!$D576, Q$8)+COUNTIF(Logs!$D595, Q$8)+COUNTIF(Logs!$D611, Q$8)+COUNTIF(Logs!$D627, Q$8)+COUNTIF(Logs!$D644, Q$8)+COUNTIF(Logs!$D659, Q$8)+COUNTIF(Logs!$D675, Q$8)</f>
        <v>6</v>
      </c>
      <c r="R14" s="1437">
        <f t="shared" si="6"/>
        <v>0.16666666666666666</v>
      </c>
      <c r="S14" s="1439">
        <f>COUNTIF(Logs!$D13, S$8)+COUNTIF(Logs!$D31, S$8)+COUNTIF(Logs!$D49, S$8)+COUNTIF(Logs!$D67, S$8)+COUNTIF(Logs!$D85, S$8)+COUNTIF(Logs!$D104, S$8)+COUNTIF(Logs!$D124, S$8)+COUNTIF(Logs!$D143, S$8)+COUNTIF(Logs!$D163, S$8)+COUNTIF(Logs!$D181, S$8)+COUNTIF(Logs!$D202, S$8)+COUNTIF(Logs!$D219, S$8)+COUNTIF(Logs!$D237, S$8)+COUNTIF(Logs!$D254, S$8)+COUNTIF(Logs!$D271, S$8)+COUNTIF(Logs!$D289, S$8)+COUNTIF(Logs!$D306, S$8)+COUNTIF(Logs!$D324, S$8)+COUNTIF(Logs!$D342, S$8)+COUNTIF(Logs!$D360, S$8)+COUNTIF(Logs!$D378, S$8)+COUNTIF(Logs!$D397, S$8)+COUNTIF(Logs!$D415, S$8)+COUNTIF(Logs!$D433, S$8)+COUNTIF(Logs!$D451, S$8)+COUNTIF(Logs!$D469, S$8)+COUNTIF(Logs!$D487, S$8)+COUNTIF(Logs!$D505, S$8)+COUNTIF(Logs!$D523, S$8)+COUNTIF(Logs!$D541, S$8)+COUNTIF(Logs!$D559, S$8)+COUNTIF(Logs!$D576, S$8)+COUNTIF(Logs!$D595, S$8)+COUNTIF(Logs!$D611, S$8)+COUNTIF(Logs!$D627, S$8)+COUNTIF(Logs!$D644, S$8)+COUNTIF(Logs!$D659, S$8)+COUNTIF(Logs!$D675, S$8)</f>
        <v>5</v>
      </c>
      <c r="T14" s="1440">
        <f t="shared" si="7"/>
        <v>0.1388888888888889</v>
      </c>
      <c r="U14" s="1443">
        <f>COUNTIF(Logs!$D13, U$8)+COUNTIF(Logs!$D31, U$8)+COUNTIF(Logs!$D49, U$8)+COUNTIF(Logs!$D67, U$8)+COUNTIF(Logs!$D85, U$8)+COUNTIF(Logs!$D104, U$8)+COUNTIF(Logs!$D124, U$8)+COUNTIF(Logs!$D143, U$8)+COUNTIF(Logs!$D163, U$8)+COUNTIF(Logs!$D181, U$8)+COUNTIF(Logs!$D202, U$8)+COUNTIF(Logs!$D219, U$8)+COUNTIF(Logs!$D237, U$8)+COUNTIF(Logs!$D254, U$8)+COUNTIF(Logs!$D271, U$8)+COUNTIF(Logs!$D289, U$8)+COUNTIF(Logs!$D306, U$8)+COUNTIF(Logs!$D324, U$8)+COUNTIF(Logs!$D342, U$8)+COUNTIF(Logs!$D360, U$8)+COUNTIF(Logs!$D378, U$8)+COUNTIF(Logs!$D397, U$8)+COUNTIF(Logs!$D415, U$8)+COUNTIF(Logs!$D433, U$8)+COUNTIF(Logs!$D451, U$8)+COUNTIF(Logs!$D469, U$8)+COUNTIF(Logs!$D487, U$8)+COUNTIF(Logs!$D505, U$8)+COUNTIF(Logs!$D523, U$8)+COUNTIF(Logs!$D541, U$8)+COUNTIF(Logs!$D559, U$8)+COUNTIF(Logs!$D576, U$8)+COUNTIF(Logs!$D595, U$8)+COUNTIF(Logs!$D611, U$8)+COUNTIF(Logs!$D627, U$8)+COUNTIF(Logs!$D644, U$8)+COUNTIF(Logs!$D659, U$8)+COUNTIF(Logs!$D675, U$8)</f>
        <v>0</v>
      </c>
      <c r="V14" s="1444" t="str">
        <f t="shared" si="8"/>
        <v/>
      </c>
      <c r="W14" s="1101">
        <f>COUNTIF(Logs!$D13, W$8)+COUNTIF(Logs!$D31, W$8)+COUNTIF(Logs!$D49, W$8)+COUNTIF(Logs!$D67, W$8)+COUNTIF(Logs!$D85, W$8)+COUNTIF(Logs!$D104, W$8)+COUNTIF(Logs!$D124, W$8)+COUNTIF(Logs!$D143, W$8)+COUNTIF(Logs!$D163, W$8)+COUNTIF(Logs!$D181, W$8)+COUNTIF(Logs!$D202, W$8)+COUNTIF(Logs!$D219, W$8)+COUNTIF(Logs!$D237, W$8)+COUNTIF(Logs!$D254, W$8)+COUNTIF(Logs!$D271, W$8)+COUNTIF(Logs!$D289, W$8)+COUNTIF(Logs!$D306, W$8)+COUNTIF(Logs!$D324, W$8)+COUNTIF(Logs!$D342, W$8)+COUNTIF(Logs!$D360, W$8)+COUNTIF(Logs!$D378, W$8)+COUNTIF(Logs!$D397, W$8)+COUNTIF(Logs!$D415, W$8)+COUNTIF(Logs!$D433, W$8)+COUNTIF(Logs!$D451, W$8)+COUNTIF(Logs!$D469, W$8)+COUNTIF(Logs!$D487, W$8)+COUNTIF(Logs!$D505, W$8)+COUNTIF(Logs!$D523, W$8)+COUNTIF(Logs!$D541, W$8)+COUNTIF(Logs!$D559, W$8)+COUNTIF(Logs!$D576, W$8)+COUNTIF(Logs!$D595, W$8)+COUNTIF(Logs!$D611, W$8)+COUNTIF(Logs!$D627, W$8)+COUNTIF(Logs!$D644, W$8)+COUNTIF(Logs!$D659, W$8)+COUNTIF(Logs!$D675, W$8)</f>
        <v>0</v>
      </c>
      <c r="X14" s="1432" t="str">
        <f t="shared" si="9"/>
        <v/>
      </c>
    </row>
    <row r="15" spans="2:24">
      <c r="B15" s="1378" t="s">
        <v>190</v>
      </c>
      <c r="C15" s="1323">
        <f>COUNTIF(Logs!$C14, C$8)+COUNTIF(Logs!$C32, C$8)+COUNTIF(Logs!$C50, C$8)+COUNTIF(Logs!$C68, C$8)+COUNTIF(Logs!$C86, C$8)+COUNTIF(Logs!$C105, C$8)+COUNTIF(Logs!$C125, C$8)+COUNTIF(Logs!$C144, C$8)+COUNTIF(Logs!$C164, C$8)+COUNTIF(Logs!$C182, C$8)+COUNTIF(Logs!$C203, C$8)+COUNTIF(Logs!$C220, C$8)+COUNTIF(Logs!$C238, C$8)+COUNTIF(Logs!$C255, C$8)+COUNTIF(Logs!$C272, C$8)+COUNTIF(Logs!$C290, C$8)+COUNTIF(Logs!$C307, C$8)+COUNTIF(Logs!$C325, C$8)+COUNTIF(Logs!$C343, C$8)+COUNTIF(Logs!$C361, C$8)+COUNTIF(Logs!$C379, C$8)+COUNTIF(Logs!$C398, C$8)+COUNTIF(Logs!$C416, C$8)+COUNTIF(Logs!$C434, C$8)+COUNTIF(Logs!$C452, C$8)+COUNTIF(Logs!$C470, C$8)+COUNTIF(Logs!$C488, C$8)+COUNTIF(Logs!$C506, C$8)+COUNTIF(Logs!$C524, C$8)+COUNTIF(Logs!$C542, C$8)+COUNTIF(Logs!$C560, C$8)+COUNTIF(Logs!$C577, C$8)+COUNTIF(Logs!$C596, C$8)+COUNTIF(Logs!$C612, C$8)+COUNTIF(Logs!$C628, C$8)+COUNTIF(Logs!$C645, C$8)+COUNTIF(Logs!$C660, C$8)+COUNTIF(Logs!$C676, C$8)</f>
        <v>21</v>
      </c>
      <c r="D15" s="1429">
        <f t="shared" si="0"/>
        <v>0.84</v>
      </c>
      <c r="E15" s="342">
        <f>COUNTIF(Logs!$C14, E$8)+COUNTIF(Logs!$C32, E$8)+COUNTIF(Logs!$C50, E$8)+COUNTIF(Logs!$C68, E$8)+COUNTIF(Logs!$C$81, E$8)+COUNTIF(Logs!$C105, E$8)+COUNTIF(Logs!$C125, E$8)+COUNTIF(Logs!$C144, E$8)+COUNTIF(Logs!$C164, E$8)+COUNTIF(Logs!$C182, E$8)+COUNTIF(Logs!$C203, E$8)+COUNTIF(Logs!$C220, E$8)+COUNTIF(Logs!$C238, E$8)+COUNTIF(Logs!$C255, E$8)+COUNTIF(Logs!$C272, E$8)+COUNTIF(Logs!$C290, E$8)+COUNTIF(Logs!$C307, E$8)+COUNTIF(Logs!$C325, E$8)+COUNTIF(Logs!$C343, E$8)+COUNTIF(Logs!$C361, E$8)+COUNTIF(Logs!$C379, E$8)+COUNTIF(Logs!$C398, E$8)+COUNTIF(Logs!$C416, E$8)+COUNTIF(Logs!$C434, E$8)+COUNTIF(Logs!$C452, E$8)+COUNTIF(Logs!$C470, E$8)+COUNTIF(Logs!$C488, E$8)+COUNTIF(Logs!$C506, E$8)+COUNTIF(Logs!$C524, E$8)+COUNTIF(Logs!$C542, E$8)+COUNTIF(Logs!$C560, E$8)+COUNTIF(Logs!$C577, E$8)+COUNTIF(Logs!$C596, E$8)+COUNTIF(Logs!$C612, E$8)+COUNTIF(Logs!$C628, E$8)+COUNTIF(Logs!$C645, E$8)+COUNTIF(Logs!$C660, E$8)+COUNTIF(Logs!$C676, E$8)</f>
        <v>2</v>
      </c>
      <c r="F15" s="1437">
        <f t="shared" si="1"/>
        <v>0.08</v>
      </c>
      <c r="G15" s="1439">
        <f>COUNTIF(Logs!$C14, G$8)+COUNTIF(Logs!$C32, G$8)+COUNTIF(Logs!$C50, G$8)+COUNTIF(Logs!$C68, G$8)+COUNTIF(Logs!$C$81, G$8)+COUNTIF(Logs!$C105, G$8)+COUNTIF(Logs!$C125, G$8)+COUNTIF(Logs!$C144, G$8)+COUNTIF(Logs!$C164, G$8)+COUNTIF(Logs!$C182, G$8)+COUNTIF(Logs!$C203, G$8)+COUNTIF(Logs!$C220, G$8)+COUNTIF(Logs!$C238, G$8)+COUNTIF(Logs!$C255, G$8)+COUNTIF(Logs!$C272, G$8)+COUNTIF(Logs!$C290, G$8)+COUNTIF(Logs!$C307, G$8)+COUNTIF(Logs!$C325, G$8)+COUNTIF(Logs!$C343, G$8)+COUNTIF(Logs!$C361, G$8)+COUNTIF(Logs!$C379, G$8)+COUNTIF(Logs!$C398, G$8)+COUNTIF(Logs!$C416, G$8)+COUNTIF(Logs!$C434, G$8)+COUNTIF(Logs!$C452, G$8)+COUNTIF(Logs!$C470, G$8)+COUNTIF(Logs!$C488, G$8)+COUNTIF(Logs!$C506, G$8)+COUNTIF(Logs!$C524, G$8)+COUNTIF(Logs!$C542, G$8)+COUNTIF(Logs!$C560, G$8)+COUNTIF(Logs!$C577, G$8)+COUNTIF(Logs!$C596, G$8)+COUNTIF(Logs!$C612, G$8)+COUNTIF(Logs!$C628, G$8)+COUNTIF(Logs!$C645, G$8)+COUNTIF(Logs!$C660, G$8)+COUNTIF(Logs!$C676, G$8)</f>
        <v>2</v>
      </c>
      <c r="H15" s="1440">
        <f t="shared" si="2"/>
        <v>0.08</v>
      </c>
      <c r="I15" s="1443">
        <f>COUNTIF(Logs!$C14, I$8)+COUNTIF(Logs!$C32, I$8)+COUNTIF(Logs!$C50, I$8)+COUNTIF(Logs!$C68, I$8)+COUNTIF(Logs!$C$81, I$8)+COUNTIF(Logs!$C105, I$8)+COUNTIF(Logs!$C125, I$8)+COUNTIF(Logs!$C144, I$8)+COUNTIF(Logs!$C164, I$8)+COUNTIF(Logs!$C182, I$8)+COUNTIF(Logs!$C203, I$8)+COUNTIF(Logs!$C220, I$8)+COUNTIF(Logs!$C238, I$8)+COUNTIF(Logs!$C255, I$8)+COUNTIF(Logs!$C272, I$8)+COUNTIF(Logs!$C290, I$8)+COUNTIF(Logs!$C307, I$8)+COUNTIF(Logs!$C325, I$8)+COUNTIF(Logs!$C343, I$8)+COUNTIF(Logs!$C361, I$8)+COUNTIF(Logs!$C379, I$8)+COUNTIF(Logs!$C398, I$8)+COUNTIF(Logs!$C416, I$8)+COUNTIF(Logs!$C434, I$8)+COUNTIF(Logs!$C452, I$8)+COUNTIF(Logs!$C470, I$8)+COUNTIF(Logs!$C488, I$8)+COUNTIF(Logs!$C506, I$8)+COUNTIF(Logs!$C524, I$8)+COUNTIF(Logs!$C542, I$8)+COUNTIF(Logs!$C560, I$8)+COUNTIF(Logs!$C577, I$8)+COUNTIF(Logs!$C596, I$8)+COUNTIF(Logs!$C612, I$8)+COUNTIF(Logs!$C628, I$8)+COUNTIF(Logs!$C645, I$8)+COUNTIF(Logs!$C660, I$8)+COUNTIF(Logs!$C676, I$8)</f>
        <v>0</v>
      </c>
      <c r="J15" s="1444" t="str">
        <f t="shared" si="3"/>
        <v/>
      </c>
      <c r="K15" s="1101">
        <f>COUNTIF(Logs!$C14, K$8)+COUNTIF(Logs!$C32, K$8)+COUNTIF(Logs!$C50, K$8)+COUNTIF(Logs!$C68, K$8)+COUNTIF(Logs!$C$81, K$8)+COUNTIF(Logs!$C105, K$8)+COUNTIF(Logs!$C125, K$8)+COUNTIF(Logs!$C144, K$8)+COUNTIF(Logs!$C164, K$8)+COUNTIF(Logs!$C182, K$8)+COUNTIF(Logs!$C203, K$8)+COUNTIF(Logs!$C220, K$8)+COUNTIF(Logs!$C238, K$8)+COUNTIF(Logs!$C255, K$8)+COUNTIF(Logs!$C272, K$8)+COUNTIF(Logs!$C290, K$8)+COUNTIF(Logs!$C307, K$8)+COUNTIF(Logs!$C325, K$8)+COUNTIF(Logs!$C343, K$8)+COUNTIF(Logs!$C361, K$8)+COUNTIF(Logs!$C379, K$8)+COUNTIF(Logs!$C398, K$8)+COUNTIF(Logs!$C416, K$8)+COUNTIF(Logs!$C434, K$8)+COUNTIF(Logs!$C452, K$8)+COUNTIF(Logs!$C470, K$8)+COUNTIF(Logs!$C488, K$8)+COUNTIF(Logs!$C506, K$8)+COUNTIF(Logs!$C524, K$8)+COUNTIF(Logs!$C542, K$8)+COUNTIF(Logs!$C560, K$8)+COUNTIF(Logs!$C577, K$8)+COUNTIF(Logs!$C596, K$8)+COUNTIF(Logs!$C612, K$8)+COUNTIF(Logs!$C628, K$8)+COUNTIF(Logs!$C645, K$8)+COUNTIF(Logs!$C660, K$8)+COUNTIF(Logs!$C676, K$8)</f>
        <v>0</v>
      </c>
      <c r="L15" s="1432" t="str">
        <f t="shared" si="4"/>
        <v/>
      </c>
      <c r="N15" s="1378" t="s">
        <v>190</v>
      </c>
      <c r="O15" s="319">
        <f>COUNTIF(Logs!$D14, O$8)+COUNTIF(Logs!$D32, O$8)+COUNTIF(Logs!$D50, O$8)+COUNTIF(Logs!$D68, O$8)+COUNTIF(Logs!$D86, O$8)+COUNTIF(Logs!$D105, O$8)+COUNTIF(Logs!$D125, O$8)+COUNTIF(Logs!$D144, O$8)+COUNTIF(Logs!$D164, O$8)+COUNTIF(Logs!$D182, O$8)+COUNTIF(Logs!$D203, O$8)+COUNTIF(Logs!$D220, O$8)+COUNTIF(Logs!$D238, O$8)+COUNTIF(Logs!$D255, O$8)+COUNTIF(Logs!$D272, O$8)+COUNTIF(Logs!$D290, O$8)+COUNTIF(Logs!$D307, O$8)+COUNTIF(Logs!$D325, O$8)+COUNTIF(Logs!$D343, O$8)+COUNTIF(Logs!$D361, O$8)+COUNTIF(Logs!$D379, O$8)+COUNTIF(Logs!$D398, O$8)+COUNTIF(Logs!$D416, O$8)+COUNTIF(Logs!$D434, O$8)+COUNTIF(Logs!$D452, O$8)+COUNTIF(Logs!$D470, O$8)+COUNTIF(Logs!$D488, O$8)+COUNTIF(Logs!$D506, O$8)+COUNTIF(Logs!$D524, O$8)+COUNTIF(Logs!$D542, O$8)+COUNTIF(Logs!$D560, O$8)+COUNTIF(Logs!$D577, O$8)+COUNTIF(Logs!$D596, O$8)+COUNTIF(Logs!$D612, O$8)+COUNTIF(Logs!$D628, O$8)+COUNTIF(Logs!$D645, O$8)+COUNTIF(Logs!$D660, O$8)+COUNTIF(Logs!$D676, O$8)</f>
        <v>16</v>
      </c>
      <c r="P15" s="1448">
        <f t="shared" si="5"/>
        <v>0.76190476190476186</v>
      </c>
      <c r="Q15" s="342">
        <f>COUNTIF(Logs!$D14, Q$8)+COUNTIF(Logs!$D32, Q$8)+COUNTIF(Logs!$D50, Q$8)+COUNTIF(Logs!$D68, Q$8)+COUNTIF(Logs!$D86, Q$8)+COUNTIF(Logs!$D105, Q$8)+COUNTIF(Logs!$D125, Q$8)+COUNTIF(Logs!$D144, Q$8)+COUNTIF(Logs!$D164, Q$8)+COUNTIF(Logs!$D182, Q$8)+COUNTIF(Logs!$D203, Q$8)+COUNTIF(Logs!$D220, Q$8)+COUNTIF(Logs!$D238, Q$8)+COUNTIF(Logs!$D255, Q$8)+COUNTIF(Logs!$D272, Q$8)+COUNTIF(Logs!$D290, Q$8)+COUNTIF(Logs!$D307, Q$8)+COUNTIF(Logs!$D325, Q$8)+COUNTIF(Logs!$D343, Q$8)+COUNTIF(Logs!$D361, Q$8)+COUNTIF(Logs!$D379, Q$8)+COUNTIF(Logs!$D398, Q$8)+COUNTIF(Logs!$D416, Q$8)+COUNTIF(Logs!$D434, Q$8)+COUNTIF(Logs!$D452, Q$8)+COUNTIF(Logs!$D470, Q$8)+COUNTIF(Logs!$D488, Q$8)+COUNTIF(Logs!$D506, Q$8)+COUNTIF(Logs!$D524, Q$8)+COUNTIF(Logs!$D542, Q$8)+COUNTIF(Logs!$D560, Q$8)+COUNTIF(Logs!$D577, Q$8)+COUNTIF(Logs!$D596, Q$8)+COUNTIF(Logs!$D612, Q$8)+COUNTIF(Logs!$D628, Q$8)+COUNTIF(Logs!$D645, Q$8)+COUNTIF(Logs!$D660, Q$8)+COUNTIF(Logs!$D676, Q$8)</f>
        <v>3</v>
      </c>
      <c r="R15" s="1437">
        <f t="shared" si="6"/>
        <v>0.14285714285714285</v>
      </c>
      <c r="S15" s="1439">
        <f>COUNTIF(Logs!$D14, S$8)+COUNTIF(Logs!$D32, S$8)+COUNTIF(Logs!$D50, S$8)+COUNTIF(Logs!$D68, S$8)+COUNTIF(Logs!$D86, S$8)+COUNTIF(Logs!$D105, S$8)+COUNTIF(Logs!$D125, S$8)+COUNTIF(Logs!$D144, S$8)+COUNTIF(Logs!$D164, S$8)+COUNTIF(Logs!$D182, S$8)+COUNTIF(Logs!$D203, S$8)+COUNTIF(Logs!$D220, S$8)+COUNTIF(Logs!$D238, S$8)+COUNTIF(Logs!$D255, S$8)+COUNTIF(Logs!$D272, S$8)+COUNTIF(Logs!$D290, S$8)+COUNTIF(Logs!$D307, S$8)+COUNTIF(Logs!$D325, S$8)+COUNTIF(Logs!$D343, S$8)+COUNTIF(Logs!$D361, S$8)+COUNTIF(Logs!$D379, S$8)+COUNTIF(Logs!$D398, S$8)+COUNTIF(Logs!$D416, S$8)+COUNTIF(Logs!$D434, S$8)+COUNTIF(Logs!$D452, S$8)+COUNTIF(Logs!$D470, S$8)+COUNTIF(Logs!$D488, S$8)+COUNTIF(Logs!$D506, S$8)+COUNTIF(Logs!$D524, S$8)+COUNTIF(Logs!$D542, S$8)+COUNTIF(Logs!$D560, S$8)+COUNTIF(Logs!$D577, S$8)+COUNTIF(Logs!$D596, S$8)+COUNTIF(Logs!$D612, S$8)+COUNTIF(Logs!$D628, S$8)+COUNTIF(Logs!$D645, S$8)+COUNTIF(Logs!$D660, S$8)+COUNTIF(Logs!$D676, S$8)</f>
        <v>2</v>
      </c>
      <c r="T15" s="1440">
        <f t="shared" si="7"/>
        <v>9.5238095238095233E-2</v>
      </c>
      <c r="U15" s="1443">
        <f>COUNTIF(Logs!$D14, U$8)+COUNTIF(Logs!$D32, U$8)+COUNTIF(Logs!$D50, U$8)+COUNTIF(Logs!$D68, U$8)+COUNTIF(Logs!$D86, U$8)+COUNTIF(Logs!$D105, U$8)+COUNTIF(Logs!$D125, U$8)+COUNTIF(Logs!$D144, U$8)+COUNTIF(Logs!$D164, U$8)+COUNTIF(Logs!$D182, U$8)+COUNTIF(Logs!$D203, U$8)+COUNTIF(Logs!$D220, U$8)+COUNTIF(Logs!$D238, U$8)+COUNTIF(Logs!$D255, U$8)+COUNTIF(Logs!$D272, U$8)+COUNTIF(Logs!$D290, U$8)+COUNTIF(Logs!$D307, U$8)+COUNTIF(Logs!$D325, U$8)+COUNTIF(Logs!$D343, U$8)+COUNTIF(Logs!$D361, U$8)+COUNTIF(Logs!$D379, U$8)+COUNTIF(Logs!$D398, U$8)+COUNTIF(Logs!$D416, U$8)+COUNTIF(Logs!$D434, U$8)+COUNTIF(Logs!$D452, U$8)+COUNTIF(Logs!$D470, U$8)+COUNTIF(Logs!$D488, U$8)+COUNTIF(Logs!$D506, U$8)+COUNTIF(Logs!$D524, U$8)+COUNTIF(Logs!$D542, U$8)+COUNTIF(Logs!$D560, U$8)+COUNTIF(Logs!$D577, U$8)+COUNTIF(Logs!$D596, U$8)+COUNTIF(Logs!$D612, U$8)+COUNTIF(Logs!$D628, U$8)+COUNTIF(Logs!$D645, U$8)+COUNTIF(Logs!$D660, U$8)+COUNTIF(Logs!$D676, U$8)</f>
        <v>0</v>
      </c>
      <c r="V15" s="1444" t="str">
        <f t="shared" si="8"/>
        <v/>
      </c>
      <c r="W15" s="1101">
        <f>COUNTIF(Logs!$D14, W$8)+COUNTIF(Logs!$D32, W$8)+COUNTIF(Logs!$D50, W$8)+COUNTIF(Logs!$D68, W$8)+COUNTIF(Logs!$D86, W$8)+COUNTIF(Logs!$D105, W$8)+COUNTIF(Logs!$D125, W$8)+COUNTIF(Logs!$D144, W$8)+COUNTIF(Logs!$D164, W$8)+COUNTIF(Logs!$D182, W$8)+COUNTIF(Logs!$D203, W$8)+COUNTIF(Logs!$D220, W$8)+COUNTIF(Logs!$D238, W$8)+COUNTIF(Logs!$D255, W$8)+COUNTIF(Logs!$D272, W$8)+COUNTIF(Logs!$D290, W$8)+COUNTIF(Logs!$D307, W$8)+COUNTIF(Logs!$D325, W$8)+COUNTIF(Logs!$D343, W$8)+COUNTIF(Logs!$D361, W$8)+COUNTIF(Logs!$D379, W$8)+COUNTIF(Logs!$D398, W$8)+COUNTIF(Logs!$D416, W$8)+COUNTIF(Logs!$D434, W$8)+COUNTIF(Logs!$D452, W$8)+COUNTIF(Logs!$D470, W$8)+COUNTIF(Logs!$D488, W$8)+COUNTIF(Logs!$D506, W$8)+COUNTIF(Logs!$D524, W$8)+COUNTIF(Logs!$D542, W$8)+COUNTIF(Logs!$D560, W$8)+COUNTIF(Logs!$D577, W$8)+COUNTIF(Logs!$D596, W$8)+COUNTIF(Logs!$D612, W$8)+COUNTIF(Logs!$D628, W$8)+COUNTIF(Logs!$D645, W$8)+COUNTIF(Logs!$D660, W$8)+COUNTIF(Logs!$D676, W$8)</f>
        <v>0</v>
      </c>
      <c r="X15" s="1432" t="str">
        <f t="shared" si="9"/>
        <v/>
      </c>
    </row>
    <row r="16" spans="2:24">
      <c r="B16" s="1378" t="s">
        <v>191</v>
      </c>
      <c r="C16" s="1323">
        <f>COUNTIF(Logs!$C15, C$8)+COUNTIF(Logs!$C33, C$8)+COUNTIF(Logs!$C51, C$8)+COUNTIF(Logs!$C69, C$8)+COUNTIF(Logs!$C87, C$8)+COUNTIF(Logs!$C106, C$8)+COUNTIF(Logs!$C126, C$8)+COUNTIF(Logs!$C145, C$8)+COUNTIF(Logs!$C165, C$8)+COUNTIF(Logs!$C183, C$8)+COUNTIF(Logs!$C204, C$8)+COUNTIF(Logs!$C221, C$8)+COUNTIF(Logs!$C239, C$8)+COUNTIF(Logs!$C256, C$8)+COUNTIF(Logs!$C273, C$8)+COUNTIF(Logs!$C291, C$8)+COUNTIF(Logs!$C308, C$8)+COUNTIF(Logs!$C326, C$8)+COUNTIF(Logs!$C344, C$8)+COUNTIF(Logs!$C362, C$8)+COUNTIF(Logs!$C380, C$8)+COUNTIF(Logs!$C399, C$8)+COUNTIF(Logs!$C417, C$8)+COUNTIF(Logs!$C435, C$8)+COUNTIF(Logs!$C453, C$8)+COUNTIF(Logs!$C471, C$8)+COUNTIF(Logs!$C489, C$8)+COUNTIF(Logs!$C507, C$8)+COUNTIF(Logs!$C525, C$8)+COUNTIF(Logs!$C543, C$8)+COUNTIF(Logs!$C561, C$8)+COUNTIF(Logs!$C578, C$8)+COUNTIF(Logs!$C597, C$8)+COUNTIF(Logs!$C613, C$8)+COUNTIF(Logs!$C629, C$8)+COUNTIF(Logs!$C646, C$8)+COUNTIF(Logs!$C661, C$8)+COUNTIF(Logs!$C677, C$8)</f>
        <v>7</v>
      </c>
      <c r="D16" s="1429">
        <f t="shared" si="0"/>
        <v>0.77777777777777779</v>
      </c>
      <c r="E16" s="342">
        <f>COUNTIF(Logs!$C15, E$8)+COUNTIF(Logs!$C33, E$8)+COUNTIF(Logs!$C51, E$8)+COUNTIF(Logs!$C69, E$8)+COUNTIF(Logs!$C$81, E$8)+COUNTIF(Logs!$C106, E$8)+COUNTIF(Logs!$C126, E$8)+COUNTIF(Logs!$C145, E$8)+COUNTIF(Logs!$C165, E$8)+COUNTIF(Logs!$C183, E$8)+COUNTIF(Logs!$C204, E$8)+COUNTIF(Logs!$C221, E$8)+COUNTIF(Logs!$C239, E$8)+COUNTIF(Logs!$C256, E$8)+COUNTIF(Logs!$C273, E$8)+COUNTIF(Logs!$C291, E$8)+COUNTIF(Logs!$C308, E$8)+COUNTIF(Logs!$C326, E$8)+COUNTIF(Logs!$C344, E$8)+COUNTIF(Logs!$C362, E$8)+COUNTIF(Logs!$C380, E$8)+COUNTIF(Logs!$C399, E$8)+COUNTIF(Logs!$C417, E$8)+COUNTIF(Logs!$C435, E$8)+COUNTIF(Logs!$C453, E$8)+COUNTIF(Logs!$C471, E$8)+COUNTIF(Logs!$C489, E$8)+COUNTIF(Logs!$C507, E$8)+COUNTIF(Logs!$C525, E$8)+COUNTIF(Logs!$C543, E$8)+COUNTIF(Logs!$C561, E$8)+COUNTIF(Logs!$C578, E$8)+COUNTIF(Logs!$C597, E$8)+COUNTIF(Logs!$C613, E$8)+COUNTIF(Logs!$C629, E$8)+COUNTIF(Logs!$C646, E$8)+COUNTIF(Logs!$C661, E$8)+COUNTIF(Logs!$C677, E$8)</f>
        <v>0</v>
      </c>
      <c r="F16" s="1437" t="str">
        <f t="shared" si="1"/>
        <v/>
      </c>
      <c r="G16" s="1439">
        <f>COUNTIF(Logs!$C15, G$8)+COUNTIF(Logs!$C33, G$8)+COUNTIF(Logs!$C51, G$8)+COUNTIF(Logs!$C69, G$8)+COUNTIF(Logs!$C$81, G$8)+COUNTIF(Logs!$C106, G$8)+COUNTIF(Logs!$C126, G$8)+COUNTIF(Logs!$C145, G$8)+COUNTIF(Logs!$C165, G$8)+COUNTIF(Logs!$C183, G$8)+COUNTIF(Logs!$C204, G$8)+COUNTIF(Logs!$C221, G$8)+COUNTIF(Logs!$C239, G$8)+COUNTIF(Logs!$C256, G$8)+COUNTIF(Logs!$C273, G$8)+COUNTIF(Logs!$C291, G$8)+COUNTIF(Logs!$C308, G$8)+COUNTIF(Logs!$C326, G$8)+COUNTIF(Logs!$C344, G$8)+COUNTIF(Logs!$C362, G$8)+COUNTIF(Logs!$C380, G$8)+COUNTIF(Logs!$C399, G$8)+COUNTIF(Logs!$C417, G$8)+COUNTIF(Logs!$C435, G$8)+COUNTIF(Logs!$C453, G$8)+COUNTIF(Logs!$C471, G$8)+COUNTIF(Logs!$C489, G$8)+COUNTIF(Logs!$C507, G$8)+COUNTIF(Logs!$C525, G$8)+COUNTIF(Logs!$C543, G$8)+COUNTIF(Logs!$C561, G$8)+COUNTIF(Logs!$C578, G$8)+COUNTIF(Logs!$C597, G$8)+COUNTIF(Logs!$C613, G$8)+COUNTIF(Logs!$C629, G$8)+COUNTIF(Logs!$C646, G$8)+COUNTIF(Logs!$C661, G$8)+COUNTIF(Logs!$C677, G$8)</f>
        <v>2</v>
      </c>
      <c r="H16" s="1440">
        <f t="shared" si="2"/>
        <v>0.22222222222222221</v>
      </c>
      <c r="I16" s="1443">
        <f>COUNTIF(Logs!$C15, I$8)+COUNTIF(Logs!$C33, I$8)+COUNTIF(Logs!$C51, I$8)+COUNTIF(Logs!$C69, I$8)+COUNTIF(Logs!$C$81, I$8)+COUNTIF(Logs!$C106, I$8)+COUNTIF(Logs!$C126, I$8)+COUNTIF(Logs!$C145, I$8)+COUNTIF(Logs!$C165, I$8)+COUNTIF(Logs!$C183, I$8)+COUNTIF(Logs!$C204, I$8)+COUNTIF(Logs!$C221, I$8)+COUNTIF(Logs!$C239, I$8)+COUNTIF(Logs!$C256, I$8)+COUNTIF(Logs!$C273, I$8)+COUNTIF(Logs!$C291, I$8)+COUNTIF(Logs!$C308, I$8)+COUNTIF(Logs!$C326, I$8)+COUNTIF(Logs!$C344, I$8)+COUNTIF(Logs!$C362, I$8)+COUNTIF(Logs!$C380, I$8)+COUNTIF(Logs!$C399, I$8)+COUNTIF(Logs!$C417, I$8)+COUNTIF(Logs!$C435, I$8)+COUNTIF(Logs!$C453, I$8)+COUNTIF(Logs!$C471, I$8)+COUNTIF(Logs!$C489, I$8)+COUNTIF(Logs!$C507, I$8)+COUNTIF(Logs!$C525, I$8)+COUNTIF(Logs!$C543, I$8)+COUNTIF(Logs!$C561, I$8)+COUNTIF(Logs!$C578, I$8)+COUNTIF(Logs!$C597, I$8)+COUNTIF(Logs!$C613, I$8)+COUNTIF(Logs!$C629, I$8)+COUNTIF(Logs!$C646, I$8)+COUNTIF(Logs!$C661, I$8)+COUNTIF(Logs!$C677, I$8)</f>
        <v>0</v>
      </c>
      <c r="J16" s="1444" t="str">
        <f t="shared" si="3"/>
        <v/>
      </c>
      <c r="K16" s="1101">
        <f>COUNTIF(Logs!$C15, K$8)+COUNTIF(Logs!$C33, K$8)+COUNTIF(Logs!$C51, K$8)+COUNTIF(Logs!$C69, K$8)+COUNTIF(Logs!$C$81, K$8)+COUNTIF(Logs!$C106, K$8)+COUNTIF(Logs!$C126, K$8)+COUNTIF(Logs!$C145, K$8)+COUNTIF(Logs!$C165, K$8)+COUNTIF(Logs!$C183, K$8)+COUNTIF(Logs!$C204, K$8)+COUNTIF(Logs!$C221, K$8)+COUNTIF(Logs!$C239, K$8)+COUNTIF(Logs!$C256, K$8)+COUNTIF(Logs!$C273, K$8)+COUNTIF(Logs!$C291, K$8)+COUNTIF(Logs!$C308, K$8)+COUNTIF(Logs!$C326, K$8)+COUNTIF(Logs!$C344, K$8)+COUNTIF(Logs!$C362, K$8)+COUNTIF(Logs!$C380, K$8)+COUNTIF(Logs!$C399, K$8)+COUNTIF(Logs!$C417, K$8)+COUNTIF(Logs!$C435, K$8)+COUNTIF(Logs!$C453, K$8)+COUNTIF(Logs!$C471, K$8)+COUNTIF(Logs!$C489, K$8)+COUNTIF(Logs!$C507, K$8)+COUNTIF(Logs!$C525, K$8)+COUNTIF(Logs!$C543, K$8)+COUNTIF(Logs!$C561, K$8)+COUNTIF(Logs!$C578, K$8)+COUNTIF(Logs!$C597, K$8)+COUNTIF(Logs!$C613, K$8)+COUNTIF(Logs!$C629, K$8)+COUNTIF(Logs!$C646, K$8)+COUNTIF(Logs!$C661, K$8)+COUNTIF(Logs!$C677, K$8)</f>
        <v>0</v>
      </c>
      <c r="L16" s="1432" t="str">
        <f t="shared" si="4"/>
        <v/>
      </c>
      <c r="N16" s="1378" t="s">
        <v>191</v>
      </c>
      <c r="O16" s="319">
        <f>COUNTIF(Logs!$D15, O$8)+COUNTIF(Logs!$D33, O$8)+COUNTIF(Logs!$D51, O$8)+COUNTIF(Logs!$D69, O$8)+COUNTIF(Logs!$D87, O$8)+COUNTIF(Logs!$D106, O$8)+COUNTIF(Logs!$D126, O$8)+COUNTIF(Logs!$D145, O$8)+COUNTIF(Logs!$D165, O$8)+COUNTIF(Logs!$D183, O$8)+COUNTIF(Logs!$D204, O$8)+COUNTIF(Logs!$D221, O$8)+COUNTIF(Logs!$D239, O$8)+COUNTIF(Logs!$D256, O$8)+COUNTIF(Logs!$D273, O$8)+COUNTIF(Logs!$D291, O$8)+COUNTIF(Logs!$D308, O$8)+COUNTIF(Logs!$D326, O$8)+COUNTIF(Logs!$D344, O$8)+COUNTIF(Logs!$D362, O$8)+COUNTIF(Logs!$D380, O$8)+COUNTIF(Logs!$D399, O$8)+COUNTIF(Logs!$D417, O$8)+COUNTIF(Logs!$D435, O$8)+COUNTIF(Logs!$D453, O$8)+COUNTIF(Logs!$D471, O$8)+COUNTIF(Logs!$D489, O$8)+COUNTIF(Logs!$D507, O$8)+COUNTIF(Logs!$D525, O$8)+COUNTIF(Logs!$D543, O$8)+COUNTIF(Logs!$D561, O$8)+COUNTIF(Logs!$D578, O$8)+COUNTIF(Logs!$D597, O$8)+COUNTIF(Logs!$D613, O$8)+COUNTIF(Logs!$D629, O$8)+COUNTIF(Logs!$D646, O$8)+COUNTIF(Logs!$D661, O$8)+COUNTIF(Logs!$D677, O$8)</f>
        <v>6</v>
      </c>
      <c r="P16" s="1448">
        <f t="shared" si="5"/>
        <v>0.75</v>
      </c>
      <c r="Q16" s="342">
        <f>COUNTIF(Logs!$D15, Q$8)+COUNTIF(Logs!$D33, Q$8)+COUNTIF(Logs!$D51, Q$8)+COUNTIF(Logs!$D69, Q$8)+COUNTIF(Logs!$D87, Q$8)+COUNTIF(Logs!$D106, Q$8)+COUNTIF(Logs!$D126, Q$8)+COUNTIF(Logs!$D145, Q$8)+COUNTIF(Logs!$D165, Q$8)+COUNTIF(Logs!$D183, Q$8)+COUNTIF(Logs!$D204, Q$8)+COUNTIF(Logs!$D221, Q$8)+COUNTIF(Logs!$D239, Q$8)+COUNTIF(Logs!$D256, Q$8)+COUNTIF(Logs!$D273, Q$8)+COUNTIF(Logs!$D291, Q$8)+COUNTIF(Logs!$D308, Q$8)+COUNTIF(Logs!$D326, Q$8)+COUNTIF(Logs!$D344, Q$8)+COUNTIF(Logs!$D362, Q$8)+COUNTIF(Logs!$D380, Q$8)+COUNTIF(Logs!$D399, Q$8)+COUNTIF(Logs!$D417, Q$8)+COUNTIF(Logs!$D435, Q$8)+COUNTIF(Logs!$D453, Q$8)+COUNTIF(Logs!$D471, Q$8)+COUNTIF(Logs!$D489, Q$8)+COUNTIF(Logs!$D507, Q$8)+COUNTIF(Logs!$D525, Q$8)+COUNTIF(Logs!$D543, Q$8)+COUNTIF(Logs!$D561, Q$8)+COUNTIF(Logs!$D578, Q$8)+COUNTIF(Logs!$D597, Q$8)+COUNTIF(Logs!$D613, Q$8)+COUNTIF(Logs!$D629, Q$8)+COUNTIF(Logs!$D646, Q$8)+COUNTIF(Logs!$D661, Q$8)+COUNTIF(Logs!$D677, Q$8)</f>
        <v>1</v>
      </c>
      <c r="R16" s="1437">
        <f t="shared" si="6"/>
        <v>0.125</v>
      </c>
      <c r="S16" s="1439">
        <f>COUNTIF(Logs!$D15, S$8)+COUNTIF(Logs!$D33, S$8)+COUNTIF(Logs!$D51, S$8)+COUNTIF(Logs!$D69, S$8)+COUNTIF(Logs!$D87, S$8)+COUNTIF(Logs!$D106, S$8)+COUNTIF(Logs!$D126, S$8)+COUNTIF(Logs!$D145, S$8)+COUNTIF(Logs!$D165, S$8)+COUNTIF(Logs!$D183, S$8)+COUNTIF(Logs!$D204, S$8)+COUNTIF(Logs!$D221, S$8)+COUNTIF(Logs!$D239, S$8)+COUNTIF(Logs!$D256, S$8)+COUNTIF(Logs!$D273, S$8)+COUNTIF(Logs!$D291, S$8)+COUNTIF(Logs!$D308, S$8)+COUNTIF(Logs!$D326, S$8)+COUNTIF(Logs!$D344, S$8)+COUNTIF(Logs!$D362, S$8)+COUNTIF(Logs!$D380, S$8)+COUNTIF(Logs!$D399, S$8)+COUNTIF(Logs!$D417, S$8)+COUNTIF(Logs!$D435, S$8)+COUNTIF(Logs!$D453, S$8)+COUNTIF(Logs!$D471, S$8)+COUNTIF(Logs!$D489, S$8)+COUNTIF(Logs!$D507, S$8)+COUNTIF(Logs!$D525, S$8)+COUNTIF(Logs!$D543, S$8)+COUNTIF(Logs!$D561, S$8)+COUNTIF(Logs!$D578, S$8)+COUNTIF(Logs!$D597, S$8)+COUNTIF(Logs!$D613, S$8)+COUNTIF(Logs!$D629, S$8)+COUNTIF(Logs!$D646, S$8)+COUNTIF(Logs!$D661, S$8)+COUNTIF(Logs!$D677, S$8)</f>
        <v>1</v>
      </c>
      <c r="T16" s="1440">
        <f t="shared" si="7"/>
        <v>0.125</v>
      </c>
      <c r="U16" s="1443">
        <f>COUNTIF(Logs!$D15, U$8)+COUNTIF(Logs!$D33, U$8)+COUNTIF(Logs!$D51, U$8)+COUNTIF(Logs!$D69, U$8)+COUNTIF(Logs!$D87, U$8)+COUNTIF(Logs!$D106, U$8)+COUNTIF(Logs!$D126, U$8)+COUNTIF(Logs!$D145, U$8)+COUNTIF(Logs!$D165, U$8)+COUNTIF(Logs!$D183, U$8)+COUNTIF(Logs!$D204, U$8)+COUNTIF(Logs!$D221, U$8)+COUNTIF(Logs!$D239, U$8)+COUNTIF(Logs!$D256, U$8)+COUNTIF(Logs!$D273, U$8)+COUNTIF(Logs!$D291, U$8)+COUNTIF(Logs!$D308, U$8)+COUNTIF(Logs!$D326, U$8)+COUNTIF(Logs!$D344, U$8)+COUNTIF(Logs!$D362, U$8)+COUNTIF(Logs!$D380, U$8)+COUNTIF(Logs!$D399, U$8)+COUNTIF(Logs!$D417, U$8)+COUNTIF(Logs!$D435, U$8)+COUNTIF(Logs!$D453, U$8)+COUNTIF(Logs!$D471, U$8)+COUNTIF(Logs!$D489, U$8)+COUNTIF(Logs!$D507, U$8)+COUNTIF(Logs!$D525, U$8)+COUNTIF(Logs!$D543, U$8)+COUNTIF(Logs!$D561, U$8)+COUNTIF(Logs!$D578, U$8)+COUNTIF(Logs!$D597, U$8)+COUNTIF(Logs!$D613, U$8)+COUNTIF(Logs!$D629, U$8)+COUNTIF(Logs!$D646, U$8)+COUNTIF(Logs!$D661, U$8)+COUNTIF(Logs!$D677, U$8)</f>
        <v>0</v>
      </c>
      <c r="V16" s="1444" t="str">
        <f t="shared" si="8"/>
        <v/>
      </c>
      <c r="W16" s="1101">
        <f>COUNTIF(Logs!$D15, W$8)+COUNTIF(Logs!$D33, W$8)+COUNTIF(Logs!$D51, W$8)+COUNTIF(Logs!$D69, W$8)+COUNTIF(Logs!$D87, W$8)+COUNTIF(Logs!$D106, W$8)+COUNTIF(Logs!$D126, W$8)+COUNTIF(Logs!$D145, W$8)+COUNTIF(Logs!$D165, W$8)+COUNTIF(Logs!$D183, W$8)+COUNTIF(Logs!$D204, W$8)+COUNTIF(Logs!$D221, W$8)+COUNTIF(Logs!$D239, W$8)+COUNTIF(Logs!$D256, W$8)+COUNTIF(Logs!$D273, W$8)+COUNTIF(Logs!$D291, W$8)+COUNTIF(Logs!$D308, W$8)+COUNTIF(Logs!$D326, W$8)+COUNTIF(Logs!$D344, W$8)+COUNTIF(Logs!$D362, W$8)+COUNTIF(Logs!$D380, W$8)+COUNTIF(Logs!$D399, W$8)+COUNTIF(Logs!$D417, W$8)+COUNTIF(Logs!$D435, W$8)+COUNTIF(Logs!$D453, W$8)+COUNTIF(Logs!$D471, W$8)+COUNTIF(Logs!$D489, W$8)+COUNTIF(Logs!$D507, W$8)+COUNTIF(Logs!$D525, W$8)+COUNTIF(Logs!$D543, W$8)+COUNTIF(Logs!$D561, W$8)+COUNTIF(Logs!$D578, W$8)+COUNTIF(Logs!$D597, W$8)+COUNTIF(Logs!$D613, W$8)+COUNTIF(Logs!$D629, W$8)+COUNTIF(Logs!$D646, W$8)+COUNTIF(Logs!$D661, W$8)+COUNTIF(Logs!$D677, W$8)</f>
        <v>0</v>
      </c>
      <c r="X16" s="1432" t="str">
        <f t="shared" si="9"/>
        <v/>
      </c>
    </row>
    <row r="17" spans="2:24">
      <c r="B17" s="1378" t="s">
        <v>192</v>
      </c>
      <c r="C17" s="1323">
        <f>COUNTIF(Logs!$C16, C$8)+COUNTIF(Logs!$C34, C$8)+COUNTIF(Logs!$C52, C$8)+COUNTIF(Logs!$C70, C$8)+COUNTIF(Logs!$C88, C$8)+COUNTIF(Logs!$C107, C$8)+COUNTIF(Logs!$C127, C$8)+COUNTIF(Logs!$C146, C$8)+COUNTIF(Logs!$C166, C$8)+COUNTIF(Logs!$C184, C$8)+COUNTIF(Logs!$C205, C$8)+COUNTIF(Logs!$C222, C$8)+COUNTIF(Logs!$C240, C$8)+COUNTIF(Logs!$C257, C$8)+COUNTIF(Logs!$C274, C$8)+COUNTIF(Logs!$C292, C$8)+COUNTIF(Logs!$C309, C$8)+COUNTIF(Logs!$C327, C$8)+COUNTIF(Logs!$C345, C$8)+COUNTIF(Logs!$C363, C$8)+COUNTIF(Logs!$C381, C$8)+COUNTIF(Logs!$C400, C$8)+COUNTIF(Logs!$C418, C$8)+COUNTIF(Logs!$C436, C$8)+COUNTIF(Logs!$C454, C$8)+COUNTIF(Logs!$C472, C$8)+COUNTIF(Logs!$C490, C$8)+COUNTIF(Logs!$C508, C$8)+COUNTIF(Logs!$C526, C$8)+COUNTIF(Logs!$C544, C$8)+COUNTIF(Logs!$C562, C$8)+COUNTIF(Logs!$C579, C$8)+COUNTIF(Logs!$C598, C$8)+COUNTIF(Logs!$C614, C$8)+COUNTIF(Logs!$C630, C$8)+COUNTIF(Logs!$C647, C$8)+COUNTIF(Logs!$C662, C$8)+COUNTIF(Logs!$C678, C$8)</f>
        <v>6</v>
      </c>
      <c r="D17" s="1429">
        <f t="shared" si="0"/>
        <v>0.8571428571428571</v>
      </c>
      <c r="E17" s="342">
        <f>COUNTIF(Logs!$C16, E$8)+COUNTIF(Logs!$C34, E$8)+COUNTIF(Logs!$C52, E$8)+COUNTIF(Logs!$C70, E$8)+COUNTIF(Logs!$C$81, E$8)+COUNTIF(Logs!$C107, E$8)+COUNTIF(Logs!$C127, E$8)+COUNTIF(Logs!$C146, E$8)+COUNTIF(Logs!$C166, E$8)+COUNTIF(Logs!$C184, E$8)+COUNTIF(Logs!$C205, E$8)+COUNTIF(Logs!$C222, E$8)+COUNTIF(Logs!$C240, E$8)+COUNTIF(Logs!$C257, E$8)+COUNTIF(Logs!$C274, E$8)+COUNTIF(Logs!$C292, E$8)+COUNTIF(Logs!$C309, E$8)+COUNTIF(Logs!$C327, E$8)+COUNTIF(Logs!$C345, E$8)+COUNTIF(Logs!$C363, E$8)+COUNTIF(Logs!$C381, E$8)+COUNTIF(Logs!$C400, E$8)+COUNTIF(Logs!$C418, E$8)+COUNTIF(Logs!$C436, E$8)+COUNTIF(Logs!$C454, E$8)+COUNTIF(Logs!$C472, E$8)+COUNTIF(Logs!$C490, E$8)+COUNTIF(Logs!$C508, E$8)+COUNTIF(Logs!$C526, E$8)+COUNTIF(Logs!$C544, E$8)+COUNTIF(Logs!$C562, E$8)+COUNTIF(Logs!$C579, E$8)+COUNTIF(Logs!$C598, E$8)+COUNTIF(Logs!$C614, E$8)+COUNTIF(Logs!$C630, E$8)+COUNTIF(Logs!$C647, E$8)+COUNTIF(Logs!$C662, E$8)+COUNTIF(Logs!$C678, E$8)</f>
        <v>1</v>
      </c>
      <c r="F17" s="1437">
        <f t="shared" si="1"/>
        <v>0.14285714285714285</v>
      </c>
      <c r="G17" s="1439">
        <f>COUNTIF(Logs!$C16, G$8)+COUNTIF(Logs!$C34, G$8)+COUNTIF(Logs!$C52, G$8)+COUNTIF(Logs!$C70, G$8)+COUNTIF(Logs!$C$81, G$8)+COUNTIF(Logs!$C107, G$8)+COUNTIF(Logs!$C127, G$8)+COUNTIF(Logs!$C146, G$8)+COUNTIF(Logs!$C166, G$8)+COUNTIF(Logs!$C184, G$8)+COUNTIF(Logs!$C205, G$8)+COUNTIF(Logs!$C222, G$8)+COUNTIF(Logs!$C240, G$8)+COUNTIF(Logs!$C257, G$8)+COUNTIF(Logs!$C274, G$8)+COUNTIF(Logs!$C292, G$8)+COUNTIF(Logs!$C309, G$8)+COUNTIF(Logs!$C327, G$8)+COUNTIF(Logs!$C345, G$8)+COUNTIF(Logs!$C363, G$8)+COUNTIF(Logs!$C381, G$8)+COUNTIF(Logs!$C400, G$8)+COUNTIF(Logs!$C418, G$8)+COUNTIF(Logs!$C436, G$8)+COUNTIF(Logs!$C454, G$8)+COUNTIF(Logs!$C472, G$8)+COUNTIF(Logs!$C490, G$8)+COUNTIF(Logs!$C508, G$8)+COUNTIF(Logs!$C526, G$8)+COUNTIF(Logs!$C544, G$8)+COUNTIF(Logs!$C562, G$8)+COUNTIF(Logs!$C579, G$8)+COUNTIF(Logs!$C598, G$8)+COUNTIF(Logs!$C614, G$8)+COUNTIF(Logs!$C630, G$8)+COUNTIF(Logs!$C647, G$8)+COUNTIF(Logs!$C662, G$8)+COUNTIF(Logs!$C678, G$8)</f>
        <v>0</v>
      </c>
      <c r="H17" s="1440" t="str">
        <f t="shared" si="2"/>
        <v/>
      </c>
      <c r="I17" s="1443">
        <f>COUNTIF(Logs!$C16, I$8)+COUNTIF(Logs!$C34, I$8)+COUNTIF(Logs!$C52, I$8)+COUNTIF(Logs!$C70, I$8)+COUNTIF(Logs!$C$81, I$8)+COUNTIF(Logs!$C107, I$8)+COUNTIF(Logs!$C127, I$8)+COUNTIF(Logs!$C146, I$8)+COUNTIF(Logs!$C166, I$8)+COUNTIF(Logs!$C184, I$8)+COUNTIF(Logs!$C205, I$8)+COUNTIF(Logs!$C222, I$8)+COUNTIF(Logs!$C240, I$8)+COUNTIF(Logs!$C257, I$8)+COUNTIF(Logs!$C274, I$8)+COUNTIF(Logs!$C292, I$8)+COUNTIF(Logs!$C309, I$8)+COUNTIF(Logs!$C327, I$8)+COUNTIF(Logs!$C345, I$8)+COUNTIF(Logs!$C363, I$8)+COUNTIF(Logs!$C381, I$8)+COUNTIF(Logs!$C400, I$8)+COUNTIF(Logs!$C418, I$8)+COUNTIF(Logs!$C436, I$8)+COUNTIF(Logs!$C454, I$8)+COUNTIF(Logs!$C472, I$8)+COUNTIF(Logs!$C490, I$8)+COUNTIF(Logs!$C508, I$8)+COUNTIF(Logs!$C526, I$8)+COUNTIF(Logs!$C544, I$8)+COUNTIF(Logs!$C562, I$8)+COUNTIF(Logs!$C579, I$8)+COUNTIF(Logs!$C598, I$8)+COUNTIF(Logs!$C614, I$8)+COUNTIF(Logs!$C630, I$8)+COUNTIF(Logs!$C647, I$8)+COUNTIF(Logs!$C662, I$8)+COUNTIF(Logs!$C678, I$8)</f>
        <v>0</v>
      </c>
      <c r="J17" s="1444" t="str">
        <f t="shared" si="3"/>
        <v/>
      </c>
      <c r="K17" s="1101">
        <f>COUNTIF(Logs!$C16, K$8)+COUNTIF(Logs!$C34, K$8)+COUNTIF(Logs!$C52, K$8)+COUNTIF(Logs!$C70, K$8)+COUNTIF(Logs!$C$81, K$8)+COUNTIF(Logs!$C107, K$8)+COUNTIF(Logs!$C127, K$8)+COUNTIF(Logs!$C146, K$8)+COUNTIF(Logs!$C166, K$8)+COUNTIF(Logs!$C184, K$8)+COUNTIF(Logs!$C205, K$8)+COUNTIF(Logs!$C222, K$8)+COUNTIF(Logs!$C240, K$8)+COUNTIF(Logs!$C257, K$8)+COUNTIF(Logs!$C274, K$8)+COUNTIF(Logs!$C292, K$8)+COUNTIF(Logs!$C309, K$8)+COUNTIF(Logs!$C327, K$8)+COUNTIF(Logs!$C345, K$8)+COUNTIF(Logs!$C363, K$8)+COUNTIF(Logs!$C381, K$8)+COUNTIF(Logs!$C400, K$8)+COUNTIF(Logs!$C418, K$8)+COUNTIF(Logs!$C436, K$8)+COUNTIF(Logs!$C454, K$8)+COUNTIF(Logs!$C472, K$8)+COUNTIF(Logs!$C490, K$8)+COUNTIF(Logs!$C508, K$8)+COUNTIF(Logs!$C526, K$8)+COUNTIF(Logs!$C544, K$8)+COUNTIF(Logs!$C562, K$8)+COUNTIF(Logs!$C579, K$8)+COUNTIF(Logs!$C598, K$8)+COUNTIF(Logs!$C614, K$8)+COUNTIF(Logs!$C630, K$8)+COUNTIF(Logs!$C647, K$8)+COUNTIF(Logs!$C662, K$8)+COUNTIF(Logs!$C678, K$8)</f>
        <v>0</v>
      </c>
      <c r="L17" s="1432" t="str">
        <f t="shared" si="4"/>
        <v/>
      </c>
      <c r="N17" s="1378" t="s">
        <v>192</v>
      </c>
      <c r="O17" s="319">
        <f>COUNTIF(Logs!$D16, O$8)+COUNTIF(Logs!$D34, O$8)+COUNTIF(Logs!$D52, O$8)+COUNTIF(Logs!$D70, O$8)+COUNTIF(Logs!$D88, O$8)+COUNTIF(Logs!$D107, O$8)+COUNTIF(Logs!$D127, O$8)+COUNTIF(Logs!$D146, O$8)+COUNTIF(Logs!$D166, O$8)+COUNTIF(Logs!$D184, O$8)+COUNTIF(Logs!$D205, O$8)+COUNTIF(Logs!$D222, O$8)+COUNTIF(Logs!$D240, O$8)+COUNTIF(Logs!$D257, O$8)+COUNTIF(Logs!$D274, O$8)+COUNTIF(Logs!$D292, O$8)+COUNTIF(Logs!$D309, O$8)+COUNTIF(Logs!$D327, O$8)+COUNTIF(Logs!$D345, O$8)+COUNTIF(Logs!$D363, O$8)+COUNTIF(Logs!$D381, O$8)+COUNTIF(Logs!$D400, O$8)+COUNTIF(Logs!$D418, O$8)+COUNTIF(Logs!$D436, O$8)+COUNTIF(Logs!$D454, O$8)+COUNTIF(Logs!$D472, O$8)+COUNTIF(Logs!$D490, O$8)+COUNTIF(Logs!$D508, O$8)+COUNTIF(Logs!$D526, O$8)+COUNTIF(Logs!$D544, O$8)+COUNTIF(Logs!$D562, O$8)+COUNTIF(Logs!$D579, O$8)+COUNTIF(Logs!$D598, O$8)+COUNTIF(Logs!$D614, O$8)+COUNTIF(Logs!$D630, O$8)+COUNTIF(Logs!$D647, O$8)+COUNTIF(Logs!$D662, O$8)+COUNTIF(Logs!$D678, O$8)</f>
        <v>2</v>
      </c>
      <c r="P17" s="1448">
        <f t="shared" si="5"/>
        <v>1</v>
      </c>
      <c r="Q17" s="342">
        <f>COUNTIF(Logs!$D16, Q$8)+COUNTIF(Logs!$D34, Q$8)+COUNTIF(Logs!$D52, Q$8)+COUNTIF(Logs!$D70, Q$8)+COUNTIF(Logs!$D88, Q$8)+COUNTIF(Logs!$D107, Q$8)+COUNTIF(Logs!$D127, Q$8)+COUNTIF(Logs!$D146, Q$8)+COUNTIF(Logs!$D166, Q$8)+COUNTIF(Logs!$D184, Q$8)+COUNTIF(Logs!$D205, Q$8)+COUNTIF(Logs!$D222, Q$8)+COUNTIF(Logs!$D240, Q$8)+COUNTIF(Logs!$D257, Q$8)+COUNTIF(Logs!$D274, Q$8)+COUNTIF(Logs!$D292, Q$8)+COUNTIF(Logs!$D309, Q$8)+COUNTIF(Logs!$D327, Q$8)+COUNTIF(Logs!$D345, Q$8)+COUNTIF(Logs!$D363, Q$8)+COUNTIF(Logs!$D381, Q$8)+COUNTIF(Logs!$D400, Q$8)+COUNTIF(Logs!$D418, Q$8)+COUNTIF(Logs!$D436, Q$8)+COUNTIF(Logs!$D454, Q$8)+COUNTIF(Logs!$D472, Q$8)+COUNTIF(Logs!$D490, Q$8)+COUNTIF(Logs!$D508, Q$8)+COUNTIF(Logs!$D526, Q$8)+COUNTIF(Logs!$D544, Q$8)+COUNTIF(Logs!$D562, Q$8)+COUNTIF(Logs!$D579, Q$8)+COUNTIF(Logs!$D598, Q$8)+COUNTIF(Logs!$D614, Q$8)+COUNTIF(Logs!$D630, Q$8)+COUNTIF(Logs!$D647, Q$8)+COUNTIF(Logs!$D662, Q$8)+COUNTIF(Logs!$D678, Q$8)</f>
        <v>0</v>
      </c>
      <c r="R17" s="1437" t="str">
        <f t="shared" si="6"/>
        <v/>
      </c>
      <c r="S17" s="1439">
        <f>COUNTIF(Logs!$D16, S$8)+COUNTIF(Logs!$D34, S$8)+COUNTIF(Logs!$D52, S$8)+COUNTIF(Logs!$D70, S$8)+COUNTIF(Logs!$D88, S$8)+COUNTIF(Logs!$D107, S$8)+COUNTIF(Logs!$D127, S$8)+COUNTIF(Logs!$D146, S$8)+COUNTIF(Logs!$D166, S$8)+COUNTIF(Logs!$D184, S$8)+COUNTIF(Logs!$D205, S$8)+COUNTIF(Logs!$D222, S$8)+COUNTIF(Logs!$D240, S$8)+COUNTIF(Logs!$D257, S$8)+COUNTIF(Logs!$D274, S$8)+COUNTIF(Logs!$D292, S$8)+COUNTIF(Logs!$D309, S$8)+COUNTIF(Logs!$D327, S$8)+COUNTIF(Logs!$D345, S$8)+COUNTIF(Logs!$D363, S$8)+COUNTIF(Logs!$D381, S$8)+COUNTIF(Logs!$D400, S$8)+COUNTIF(Logs!$D418, S$8)+COUNTIF(Logs!$D436, S$8)+COUNTIF(Logs!$D454, S$8)+COUNTIF(Logs!$D472, S$8)+COUNTIF(Logs!$D490, S$8)+COUNTIF(Logs!$D508, S$8)+COUNTIF(Logs!$D526, S$8)+COUNTIF(Logs!$D544, S$8)+COUNTIF(Logs!$D562, S$8)+COUNTIF(Logs!$D579, S$8)+COUNTIF(Logs!$D598, S$8)+COUNTIF(Logs!$D614, S$8)+COUNTIF(Logs!$D630, S$8)+COUNTIF(Logs!$D647, S$8)+COUNTIF(Logs!$D662, S$8)+COUNTIF(Logs!$D678, S$8)</f>
        <v>0</v>
      </c>
      <c r="T17" s="1440" t="str">
        <f t="shared" si="7"/>
        <v/>
      </c>
      <c r="U17" s="1443">
        <f>COUNTIF(Logs!$D16, U$8)+COUNTIF(Logs!$D34, U$8)+COUNTIF(Logs!$D52, U$8)+COUNTIF(Logs!$D70, U$8)+COUNTIF(Logs!$D88, U$8)+COUNTIF(Logs!$D107, U$8)+COUNTIF(Logs!$D127, U$8)+COUNTIF(Logs!$D146, U$8)+COUNTIF(Logs!$D166, U$8)+COUNTIF(Logs!$D184, U$8)+COUNTIF(Logs!$D205, U$8)+COUNTIF(Logs!$D222, U$8)+COUNTIF(Logs!$D240, U$8)+COUNTIF(Logs!$D257, U$8)+COUNTIF(Logs!$D274, U$8)+COUNTIF(Logs!$D292, U$8)+COUNTIF(Logs!$D309, U$8)+COUNTIF(Logs!$D327, U$8)+COUNTIF(Logs!$D345, U$8)+COUNTIF(Logs!$D363, U$8)+COUNTIF(Logs!$D381, U$8)+COUNTIF(Logs!$D400, U$8)+COUNTIF(Logs!$D418, U$8)+COUNTIF(Logs!$D436, U$8)+COUNTIF(Logs!$D454, U$8)+COUNTIF(Logs!$D472, U$8)+COUNTIF(Logs!$D490, U$8)+COUNTIF(Logs!$D508, U$8)+COUNTIF(Logs!$D526, U$8)+COUNTIF(Logs!$D544, U$8)+COUNTIF(Logs!$D562, U$8)+COUNTIF(Logs!$D579, U$8)+COUNTIF(Logs!$D598, U$8)+COUNTIF(Logs!$D614, U$8)+COUNTIF(Logs!$D630, U$8)+COUNTIF(Logs!$D647, U$8)+COUNTIF(Logs!$D662, U$8)+COUNTIF(Logs!$D678, U$8)</f>
        <v>0</v>
      </c>
      <c r="V17" s="1444" t="str">
        <f t="shared" si="8"/>
        <v/>
      </c>
      <c r="W17" s="1101">
        <f>COUNTIF(Logs!$D16, W$8)+COUNTIF(Logs!$D34, W$8)+COUNTIF(Logs!$D52, W$8)+COUNTIF(Logs!$D70, W$8)+COUNTIF(Logs!$D88, W$8)+COUNTIF(Logs!$D107, W$8)+COUNTIF(Logs!$D127, W$8)+COUNTIF(Logs!$D146, W$8)+COUNTIF(Logs!$D166, W$8)+COUNTIF(Logs!$D184, W$8)+COUNTIF(Logs!$D205, W$8)+COUNTIF(Logs!$D222, W$8)+COUNTIF(Logs!$D240, W$8)+COUNTIF(Logs!$D257, W$8)+COUNTIF(Logs!$D274, W$8)+COUNTIF(Logs!$D292, W$8)+COUNTIF(Logs!$D309, W$8)+COUNTIF(Logs!$D327, W$8)+COUNTIF(Logs!$D345, W$8)+COUNTIF(Logs!$D363, W$8)+COUNTIF(Logs!$D381, W$8)+COUNTIF(Logs!$D400, W$8)+COUNTIF(Logs!$D418, W$8)+COUNTIF(Logs!$D436, W$8)+COUNTIF(Logs!$D454, W$8)+COUNTIF(Logs!$D472, W$8)+COUNTIF(Logs!$D490, W$8)+COUNTIF(Logs!$D508, W$8)+COUNTIF(Logs!$D526, W$8)+COUNTIF(Logs!$D544, W$8)+COUNTIF(Logs!$D562, W$8)+COUNTIF(Logs!$D579, W$8)+COUNTIF(Logs!$D598, W$8)+COUNTIF(Logs!$D614, W$8)+COUNTIF(Logs!$D630, W$8)+COUNTIF(Logs!$D647, W$8)+COUNTIF(Logs!$D662, W$8)+COUNTIF(Logs!$D678, W$8)</f>
        <v>0</v>
      </c>
      <c r="X17" s="1432" t="str">
        <f t="shared" si="9"/>
        <v/>
      </c>
    </row>
    <row r="18" spans="2:24">
      <c r="B18" s="1378" t="s">
        <v>193</v>
      </c>
      <c r="C18" s="1323">
        <f>COUNTIF(Logs!$C17, C$8)+COUNTIF(Logs!$C35, C$8)+COUNTIF(Logs!$C53, C$8)+COUNTIF(Logs!$C71, C$8)+COUNTIF(Logs!$C89, C$8)+COUNTIF(Logs!$C108, C$8)+COUNTIF(Logs!$C128, C$8)+COUNTIF(Logs!$C147, C$8)+COUNTIF(Logs!$C167, C$8)+COUNTIF(Logs!$C185, C$8)+COUNTIF(Logs!$C206, C$8)+COUNTIF(Logs!$C223, C$8)+COUNTIF(Logs!$C241, C$8)+COUNTIF(Logs!$C258, C$8)+COUNTIF(Logs!$C275, C$8)+COUNTIF(Logs!$C293, C$8)+COUNTIF(Logs!$C310, C$8)+COUNTIF(Logs!$C328, C$8)+COUNTIF(Logs!$C346, C$8)+COUNTIF(Logs!$C364, C$8)+COUNTIF(Logs!$C382, C$8)+COUNTIF(Logs!$C401, C$8)+COUNTIF(Logs!$C419, C$8)+COUNTIF(Logs!$C437, C$8)+COUNTIF(Logs!$C455, C$8)+COUNTIF(Logs!$C473, C$8)+COUNTIF(Logs!$C491, C$8)+COUNTIF(Logs!$C509, C$8)+COUNTIF(Logs!$C527, C$8)+COUNTIF(Logs!$C545, C$8)+COUNTIF(Logs!$C563, C$8)+COUNTIF(Logs!$C580, C$8)+COUNTIF(Logs!$C599, C$8)+COUNTIF(Logs!$C615, C$8)+COUNTIF(Logs!$C631, C$8)+COUNTIF(Logs!$C648, C$8)+COUNTIF(Logs!$C663, C$8)+COUNTIF(Logs!$C679, C$8)</f>
        <v>1</v>
      </c>
      <c r="D18" s="1429">
        <f t="shared" si="0"/>
        <v>0.5</v>
      </c>
      <c r="E18" s="342">
        <f>COUNTIF(Logs!$C17, E$8)+COUNTIF(Logs!$C35, E$8)+COUNTIF(Logs!$C53, E$8)+COUNTIF(Logs!$C71, E$8)+COUNTIF(Logs!$C$81, E$8)+COUNTIF(Logs!$C108, E$8)+COUNTIF(Logs!$C128, E$8)+COUNTIF(Logs!$C147, E$8)+COUNTIF(Logs!$C167, E$8)+COUNTIF(Logs!$C185, E$8)+COUNTIF(Logs!$C206, E$8)+COUNTIF(Logs!$C223, E$8)+COUNTIF(Logs!$C241, E$8)+COUNTIF(Logs!$C258, E$8)+COUNTIF(Logs!$C275, E$8)+COUNTIF(Logs!$C293, E$8)+COUNTIF(Logs!$C310, E$8)+COUNTIF(Logs!$C328, E$8)+COUNTIF(Logs!$C346, E$8)+COUNTIF(Logs!$C364, E$8)+COUNTIF(Logs!$C382, E$8)+COUNTIF(Logs!$C401, E$8)+COUNTIF(Logs!$C419, E$8)+COUNTIF(Logs!$C437, E$8)+COUNTIF(Logs!$C455, E$8)+COUNTIF(Logs!$C473, E$8)+COUNTIF(Logs!$C491, E$8)+COUNTIF(Logs!$C509, E$8)+COUNTIF(Logs!$C527, E$8)+COUNTIF(Logs!$C545, E$8)+COUNTIF(Logs!$C563, E$8)+COUNTIF(Logs!$C580, E$8)+COUNTIF(Logs!$C599, E$8)+COUNTIF(Logs!$C615, E$8)+COUNTIF(Logs!$C631, E$8)+COUNTIF(Logs!$C648, E$8)+COUNTIF(Logs!$C663, E$8)+COUNTIF(Logs!$C679, E$8)</f>
        <v>1</v>
      </c>
      <c r="F18" s="1437">
        <f t="shared" si="1"/>
        <v>0.5</v>
      </c>
      <c r="G18" s="1439">
        <f>COUNTIF(Logs!$C17, G$8)+COUNTIF(Logs!$C35, G$8)+COUNTIF(Logs!$C53, G$8)+COUNTIF(Logs!$C71, G$8)+COUNTIF(Logs!$C$81, G$8)+COUNTIF(Logs!$C108, G$8)+COUNTIF(Logs!$C128, G$8)+COUNTIF(Logs!$C147, G$8)+COUNTIF(Logs!$C167, G$8)+COUNTIF(Logs!$C185, G$8)+COUNTIF(Logs!$C206, G$8)+COUNTIF(Logs!$C223, G$8)+COUNTIF(Logs!$C241, G$8)+COUNTIF(Logs!$C258, G$8)+COUNTIF(Logs!$C275, G$8)+COUNTIF(Logs!$C293, G$8)+COUNTIF(Logs!$C310, G$8)+COUNTIF(Logs!$C328, G$8)+COUNTIF(Logs!$C346, G$8)+COUNTIF(Logs!$C364, G$8)+COUNTIF(Logs!$C382, G$8)+COUNTIF(Logs!$C401, G$8)+COUNTIF(Logs!$C419, G$8)+COUNTIF(Logs!$C437, G$8)+COUNTIF(Logs!$C455, G$8)+COUNTIF(Logs!$C473, G$8)+COUNTIF(Logs!$C491, G$8)+COUNTIF(Logs!$C509, G$8)+COUNTIF(Logs!$C527, G$8)+COUNTIF(Logs!$C545, G$8)+COUNTIF(Logs!$C563, G$8)+COUNTIF(Logs!$C580, G$8)+COUNTIF(Logs!$C599, G$8)+COUNTIF(Logs!$C615, G$8)+COUNTIF(Logs!$C631, G$8)+COUNTIF(Logs!$C648, G$8)+COUNTIF(Logs!$C663, G$8)+COUNTIF(Logs!$C679, G$8)</f>
        <v>0</v>
      </c>
      <c r="H18" s="1440" t="str">
        <f t="shared" si="2"/>
        <v/>
      </c>
      <c r="I18" s="1443">
        <f>COUNTIF(Logs!$C17, I$8)+COUNTIF(Logs!$C35, I$8)+COUNTIF(Logs!$C53, I$8)+COUNTIF(Logs!$C71, I$8)+COUNTIF(Logs!$C$81, I$8)+COUNTIF(Logs!$C108, I$8)+COUNTIF(Logs!$C128, I$8)+COUNTIF(Logs!$C147, I$8)+COUNTIF(Logs!$C167, I$8)+COUNTIF(Logs!$C185, I$8)+COUNTIF(Logs!$C206, I$8)+COUNTIF(Logs!$C223, I$8)+COUNTIF(Logs!$C241, I$8)+COUNTIF(Logs!$C258, I$8)+COUNTIF(Logs!$C275, I$8)+COUNTIF(Logs!$C293, I$8)+COUNTIF(Logs!$C310, I$8)+COUNTIF(Logs!$C328, I$8)+COUNTIF(Logs!$C346, I$8)+COUNTIF(Logs!$C364, I$8)+COUNTIF(Logs!$C382, I$8)+COUNTIF(Logs!$C401, I$8)+COUNTIF(Logs!$C419, I$8)+COUNTIF(Logs!$C437, I$8)+COUNTIF(Logs!$C455, I$8)+COUNTIF(Logs!$C473, I$8)+COUNTIF(Logs!$C491, I$8)+COUNTIF(Logs!$C509, I$8)+COUNTIF(Logs!$C527, I$8)+COUNTIF(Logs!$C545, I$8)+COUNTIF(Logs!$C563, I$8)+COUNTIF(Logs!$C580, I$8)+COUNTIF(Logs!$C599, I$8)+COUNTIF(Logs!$C615, I$8)+COUNTIF(Logs!$C631, I$8)+COUNTIF(Logs!$C648, I$8)+COUNTIF(Logs!$C663, I$8)+COUNTIF(Logs!$C679, I$8)</f>
        <v>0</v>
      </c>
      <c r="J18" s="1444" t="str">
        <f t="shared" si="3"/>
        <v/>
      </c>
      <c r="K18" s="1101">
        <f>COUNTIF(Logs!$C17, K$8)+COUNTIF(Logs!$C35, K$8)+COUNTIF(Logs!$C53, K$8)+COUNTIF(Logs!$C71, K$8)+COUNTIF(Logs!$C$81, K$8)+COUNTIF(Logs!$C108, K$8)+COUNTIF(Logs!$C128, K$8)+COUNTIF(Logs!$C147, K$8)+COUNTIF(Logs!$C167, K$8)+COUNTIF(Logs!$C185, K$8)+COUNTIF(Logs!$C206, K$8)+COUNTIF(Logs!$C223, K$8)+COUNTIF(Logs!$C241, K$8)+COUNTIF(Logs!$C258, K$8)+COUNTIF(Logs!$C275, K$8)+COUNTIF(Logs!$C293, K$8)+COUNTIF(Logs!$C310, K$8)+COUNTIF(Logs!$C328, K$8)+COUNTIF(Logs!$C346, K$8)+COUNTIF(Logs!$C364, K$8)+COUNTIF(Logs!$C382, K$8)+COUNTIF(Logs!$C401, K$8)+COUNTIF(Logs!$C419, K$8)+COUNTIF(Logs!$C437, K$8)+COUNTIF(Logs!$C455, K$8)+COUNTIF(Logs!$C473, K$8)+COUNTIF(Logs!$C491, K$8)+COUNTIF(Logs!$C509, K$8)+COUNTIF(Logs!$C527, K$8)+COUNTIF(Logs!$C545, K$8)+COUNTIF(Logs!$C563, K$8)+COUNTIF(Logs!$C580, K$8)+COUNTIF(Logs!$C599, K$8)+COUNTIF(Logs!$C615, K$8)+COUNTIF(Logs!$C631, K$8)+COUNTIF(Logs!$C648, K$8)+COUNTIF(Logs!$C663, K$8)+COUNTIF(Logs!$C679, K$8)</f>
        <v>0</v>
      </c>
      <c r="L18" s="1432" t="str">
        <f t="shared" si="4"/>
        <v/>
      </c>
      <c r="N18" s="1378" t="s">
        <v>193</v>
      </c>
      <c r="O18" s="319">
        <f>COUNTIF(Logs!$D17, O$8)+COUNTIF(Logs!$D35, O$8)+COUNTIF(Logs!$D53, O$8)+COUNTIF(Logs!$D71, O$8)+COUNTIF(Logs!$D89, O$8)+COUNTIF(Logs!$D108, O$8)+COUNTIF(Logs!$D128, O$8)+COUNTIF(Logs!$D147, O$8)+COUNTIF(Logs!$D167, O$8)+COUNTIF(Logs!$D185, O$8)+COUNTIF(Logs!$D206, O$8)+COUNTIF(Logs!$D223, O$8)+COUNTIF(Logs!$D241, O$8)+COUNTIF(Logs!$D258, O$8)+COUNTIF(Logs!$D275, O$8)+COUNTIF(Logs!$D293, O$8)+COUNTIF(Logs!$D310, O$8)+COUNTIF(Logs!$D328, O$8)+COUNTIF(Logs!$D346, O$8)+COUNTIF(Logs!$D364, O$8)+COUNTIF(Logs!$D382, O$8)+COUNTIF(Logs!$D401, O$8)+COUNTIF(Logs!$D419, O$8)+COUNTIF(Logs!$D437, O$8)+COUNTIF(Logs!$D455, O$8)+COUNTIF(Logs!$D473, O$8)+COUNTIF(Logs!$D491, O$8)+COUNTIF(Logs!$D509, O$8)+COUNTIF(Logs!$D527, O$8)+COUNTIF(Logs!$D545, O$8)+COUNTIF(Logs!$D563, O$8)+COUNTIF(Logs!$D580, O$8)+COUNTIF(Logs!$D599, O$8)+COUNTIF(Logs!$D615, O$8)+COUNTIF(Logs!$D631, O$8)+COUNTIF(Logs!$D648, O$8)+COUNTIF(Logs!$D663, O$8)+COUNTIF(Logs!$D679, O$8)</f>
        <v>0</v>
      </c>
      <c r="P18" s="1448" t="str">
        <f t="shared" si="5"/>
        <v/>
      </c>
      <c r="Q18" s="342">
        <f>COUNTIF(Logs!$D17, Q$8)+COUNTIF(Logs!$D35, Q$8)+COUNTIF(Logs!$D53, Q$8)+COUNTIF(Logs!$D71, Q$8)+COUNTIF(Logs!$D89, Q$8)+COUNTIF(Logs!$D108, Q$8)+COUNTIF(Logs!$D128, Q$8)+COUNTIF(Logs!$D147, Q$8)+COUNTIF(Logs!$D167, Q$8)+COUNTIF(Logs!$D185, Q$8)+COUNTIF(Logs!$D206, Q$8)+COUNTIF(Logs!$D223, Q$8)+COUNTIF(Logs!$D241, Q$8)+COUNTIF(Logs!$D258, Q$8)+COUNTIF(Logs!$D275, Q$8)+COUNTIF(Logs!$D293, Q$8)+COUNTIF(Logs!$D310, Q$8)+COUNTIF(Logs!$D328, Q$8)+COUNTIF(Logs!$D346, Q$8)+COUNTIF(Logs!$D364, Q$8)+COUNTIF(Logs!$D382, Q$8)+COUNTIF(Logs!$D401, Q$8)+COUNTIF(Logs!$D419, Q$8)+COUNTIF(Logs!$D437, Q$8)+COUNTIF(Logs!$D455, Q$8)+COUNTIF(Logs!$D473, Q$8)+COUNTIF(Logs!$D491, Q$8)+COUNTIF(Logs!$D509, Q$8)+COUNTIF(Logs!$D527, Q$8)+COUNTIF(Logs!$D545, Q$8)+COUNTIF(Logs!$D563, Q$8)+COUNTIF(Logs!$D580, Q$8)+COUNTIF(Logs!$D599, Q$8)+COUNTIF(Logs!$D615, Q$8)+COUNTIF(Logs!$D631, Q$8)+COUNTIF(Logs!$D648, Q$8)+COUNTIF(Logs!$D663, Q$8)+COUNTIF(Logs!$D679, Q$8)</f>
        <v>0</v>
      </c>
      <c r="R18" s="1437" t="str">
        <f t="shared" si="6"/>
        <v/>
      </c>
      <c r="S18" s="1439">
        <f>COUNTIF(Logs!$D17, S$8)+COUNTIF(Logs!$D35, S$8)+COUNTIF(Logs!$D53, S$8)+COUNTIF(Logs!$D71, S$8)+COUNTIF(Logs!$D89, S$8)+COUNTIF(Logs!$D108, S$8)+COUNTIF(Logs!$D128, S$8)+COUNTIF(Logs!$D147, S$8)+COUNTIF(Logs!$D167, S$8)+COUNTIF(Logs!$D185, S$8)+COUNTIF(Logs!$D206, S$8)+COUNTIF(Logs!$D223, S$8)+COUNTIF(Logs!$D241, S$8)+COUNTIF(Logs!$D258, S$8)+COUNTIF(Logs!$D275, S$8)+COUNTIF(Logs!$D293, S$8)+COUNTIF(Logs!$D310, S$8)+COUNTIF(Logs!$D328, S$8)+COUNTIF(Logs!$D346, S$8)+COUNTIF(Logs!$D364, S$8)+COUNTIF(Logs!$D382, S$8)+COUNTIF(Logs!$D401, S$8)+COUNTIF(Logs!$D419, S$8)+COUNTIF(Logs!$D437, S$8)+COUNTIF(Logs!$D455, S$8)+COUNTIF(Logs!$D473, S$8)+COUNTIF(Logs!$D491, S$8)+COUNTIF(Logs!$D509, S$8)+COUNTIF(Logs!$D527, S$8)+COUNTIF(Logs!$D545, S$8)+COUNTIF(Logs!$D563, S$8)+COUNTIF(Logs!$D580, S$8)+COUNTIF(Logs!$D599, S$8)+COUNTIF(Logs!$D615, S$8)+COUNTIF(Logs!$D631, S$8)+COUNTIF(Logs!$D648, S$8)+COUNTIF(Logs!$D663, S$8)+COUNTIF(Logs!$D679, S$8)</f>
        <v>0</v>
      </c>
      <c r="T18" s="1440" t="str">
        <f t="shared" si="7"/>
        <v/>
      </c>
      <c r="U18" s="1443">
        <f>COUNTIF(Logs!$D17, U$8)+COUNTIF(Logs!$D35, U$8)+COUNTIF(Logs!$D53, U$8)+COUNTIF(Logs!$D71, U$8)+COUNTIF(Logs!$D89, U$8)+COUNTIF(Logs!$D108, U$8)+COUNTIF(Logs!$D128, U$8)+COUNTIF(Logs!$D147, U$8)+COUNTIF(Logs!$D167, U$8)+COUNTIF(Logs!$D185, U$8)+COUNTIF(Logs!$D206, U$8)+COUNTIF(Logs!$D223, U$8)+COUNTIF(Logs!$D241, U$8)+COUNTIF(Logs!$D258, U$8)+COUNTIF(Logs!$D275, U$8)+COUNTIF(Logs!$D293, U$8)+COUNTIF(Logs!$D310, U$8)+COUNTIF(Logs!$D328, U$8)+COUNTIF(Logs!$D346, U$8)+COUNTIF(Logs!$D364, U$8)+COUNTIF(Logs!$D382, U$8)+COUNTIF(Logs!$D401, U$8)+COUNTIF(Logs!$D419, U$8)+COUNTIF(Logs!$D437, U$8)+COUNTIF(Logs!$D455, U$8)+COUNTIF(Logs!$D473, U$8)+COUNTIF(Logs!$D491, U$8)+COUNTIF(Logs!$D509, U$8)+COUNTIF(Logs!$D527, U$8)+COUNTIF(Logs!$D545, U$8)+COUNTIF(Logs!$D563, U$8)+COUNTIF(Logs!$D580, U$8)+COUNTIF(Logs!$D599, U$8)+COUNTIF(Logs!$D615, U$8)+COUNTIF(Logs!$D631, U$8)+COUNTIF(Logs!$D648, U$8)+COUNTIF(Logs!$D663, U$8)+COUNTIF(Logs!$D679, U$8)</f>
        <v>0</v>
      </c>
      <c r="V18" s="1444" t="str">
        <f t="shared" si="8"/>
        <v/>
      </c>
      <c r="W18" s="1101">
        <f>COUNTIF(Logs!$D17, W$8)+COUNTIF(Logs!$D35, W$8)+COUNTIF(Logs!$D53, W$8)+COUNTIF(Logs!$D71, W$8)+COUNTIF(Logs!$D89, W$8)+COUNTIF(Logs!$D108, W$8)+COUNTIF(Logs!$D128, W$8)+COUNTIF(Logs!$D147, W$8)+COUNTIF(Logs!$D167, W$8)+COUNTIF(Logs!$D185, W$8)+COUNTIF(Logs!$D206, W$8)+COUNTIF(Logs!$D223, W$8)+COUNTIF(Logs!$D241, W$8)+COUNTIF(Logs!$D258, W$8)+COUNTIF(Logs!$D275, W$8)+COUNTIF(Logs!$D293, W$8)+COUNTIF(Logs!$D310, W$8)+COUNTIF(Logs!$D328, W$8)+COUNTIF(Logs!$D346, W$8)+COUNTIF(Logs!$D364, W$8)+COUNTIF(Logs!$D382, W$8)+COUNTIF(Logs!$D401, W$8)+COUNTIF(Logs!$D419, W$8)+COUNTIF(Logs!$D437, W$8)+COUNTIF(Logs!$D455, W$8)+COUNTIF(Logs!$D473, W$8)+COUNTIF(Logs!$D491, W$8)+COUNTIF(Logs!$D509, W$8)+COUNTIF(Logs!$D527, W$8)+COUNTIF(Logs!$D545, W$8)+COUNTIF(Logs!$D563, W$8)+COUNTIF(Logs!$D580, W$8)+COUNTIF(Logs!$D599, W$8)+COUNTIF(Logs!$D615, W$8)+COUNTIF(Logs!$D631, W$8)+COUNTIF(Logs!$D648, W$8)+COUNTIF(Logs!$D663, W$8)+COUNTIF(Logs!$D679, W$8)</f>
        <v>0</v>
      </c>
      <c r="X18" s="1432" t="str">
        <f t="shared" si="9"/>
        <v/>
      </c>
    </row>
    <row r="19" spans="2:24">
      <c r="B19" s="1378" t="s">
        <v>194</v>
      </c>
      <c r="C19" s="1323">
        <f>COUNTIF(Logs!$C18, C$8)+COUNTIF(Logs!$C36, C$8)+COUNTIF(Logs!$C54, C$8)+COUNTIF(Logs!$C72, C$8)+COUNTIF(Logs!$C90, C$8)+COUNTIF(Logs!$C109, C$8)+COUNTIF(Logs!$C129, C$8)+COUNTIF(Logs!$C148, C$8)+COUNTIF(Logs!$C168, C$8)+COUNTIF(Logs!$C186, C$8)+COUNTIF(Logs!$C207, C$8)+COUNTIF(Logs!$C224, C$8)+COUNTIF(Logs!$C242, C$8)+COUNTIF(Logs!$C259, C$8)+COUNTIF(Logs!$C276, C$8)+COUNTIF(Logs!$C294, C$8)+COUNTIF(Logs!$C311, C$8)+COUNTIF(Logs!$C329, C$8)+COUNTIF(Logs!$C347, C$8)+COUNTIF(Logs!$C365, C$8)+COUNTIF(Logs!$C383, C$8)+COUNTIF(Logs!$C402, C$8)+COUNTIF(Logs!$C420, C$8)+COUNTIF(Logs!$C438, C$8)+COUNTIF(Logs!$C456, C$8)+COUNTIF(Logs!$C474, C$8)+COUNTIF(Logs!$C492, C$8)+COUNTIF(Logs!$C510, C$8)+COUNTIF(Logs!$C528, C$8)+COUNTIF(Logs!$C546, C$8)+COUNTIF(Logs!$C564, C$8)+COUNTIF(Logs!$C581, C$8)+COUNTIF(Logs!$C600, C$8)+COUNTIF(Logs!$C616, C$8)+COUNTIF(Logs!$C632, C$8)+COUNTIF(Logs!$C649, C$8)+COUNTIF(Logs!$C664, C$8)+COUNTIF(Logs!$C680, C$8)</f>
        <v>1</v>
      </c>
      <c r="D19" s="1429">
        <f t="shared" si="0"/>
        <v>1</v>
      </c>
      <c r="E19" s="342">
        <f>COUNTIF(Logs!$C18, E$8)+COUNTIF(Logs!$C36, E$8)+COUNTIF(Logs!$C54, E$8)+COUNTIF(Logs!$C72, E$8)+COUNTIF(Logs!$C$81, E$8)+COUNTIF(Logs!$C109, E$8)+COUNTIF(Logs!$C129, E$8)+COUNTIF(Logs!$C148, E$8)+COUNTIF(Logs!$C168, E$8)+COUNTIF(Logs!$C186, E$8)+COUNTIF(Logs!$C207, E$8)+COUNTIF(Logs!$C224, E$8)+COUNTIF(Logs!$C242, E$8)+COUNTIF(Logs!$C259, E$8)+COUNTIF(Logs!$C276, E$8)+COUNTIF(Logs!$C294, E$8)+COUNTIF(Logs!$C311, E$8)+COUNTIF(Logs!$C329, E$8)+COUNTIF(Logs!$C347, E$8)+COUNTIF(Logs!$C365, E$8)+COUNTIF(Logs!$C383, E$8)+COUNTIF(Logs!$C402, E$8)+COUNTIF(Logs!$C420, E$8)+COUNTIF(Logs!$C438, E$8)+COUNTIF(Logs!$C456, E$8)+COUNTIF(Logs!$C474, E$8)+COUNTIF(Logs!$C492, E$8)+COUNTIF(Logs!$C510, E$8)+COUNTIF(Logs!$C528, E$8)+COUNTIF(Logs!$C546, E$8)+COUNTIF(Logs!$C564, E$8)+COUNTIF(Logs!$C581, E$8)+COUNTIF(Logs!$C600, E$8)+COUNTIF(Logs!$C616, E$8)+COUNTIF(Logs!$C632, E$8)+COUNTIF(Logs!$C649, E$8)+COUNTIF(Logs!$C664, E$8)+COUNTIF(Logs!$C680, E$8)</f>
        <v>0</v>
      </c>
      <c r="F19" s="1437" t="str">
        <f t="shared" si="1"/>
        <v/>
      </c>
      <c r="G19" s="1439">
        <f>COUNTIF(Logs!$C18, G$8)+COUNTIF(Logs!$C36, G$8)+COUNTIF(Logs!$C54, G$8)+COUNTIF(Logs!$C72, G$8)+COUNTIF(Logs!$C$81, G$8)+COUNTIF(Logs!$C109, G$8)+COUNTIF(Logs!$C129, G$8)+COUNTIF(Logs!$C148, G$8)+COUNTIF(Logs!$C168, G$8)+COUNTIF(Logs!$C186, G$8)+COUNTIF(Logs!$C207, G$8)+COUNTIF(Logs!$C224, G$8)+COUNTIF(Logs!$C242, G$8)+COUNTIF(Logs!$C259, G$8)+COUNTIF(Logs!$C276, G$8)+COUNTIF(Logs!$C294, G$8)+COUNTIF(Logs!$C311, G$8)+COUNTIF(Logs!$C329, G$8)+COUNTIF(Logs!$C347, G$8)+COUNTIF(Logs!$C365, G$8)+COUNTIF(Logs!$C383, G$8)+COUNTIF(Logs!$C402, G$8)+COUNTIF(Logs!$C420, G$8)+COUNTIF(Logs!$C438, G$8)+COUNTIF(Logs!$C456, G$8)+COUNTIF(Logs!$C474, G$8)+COUNTIF(Logs!$C492, G$8)+COUNTIF(Logs!$C510, G$8)+COUNTIF(Logs!$C528, G$8)+COUNTIF(Logs!$C546, G$8)+COUNTIF(Logs!$C564, G$8)+COUNTIF(Logs!$C581, G$8)+COUNTIF(Logs!$C600, G$8)+COUNTIF(Logs!$C616, G$8)+COUNTIF(Logs!$C632, G$8)+COUNTIF(Logs!$C649, G$8)+COUNTIF(Logs!$C664, G$8)+COUNTIF(Logs!$C680, G$8)</f>
        <v>0</v>
      </c>
      <c r="H19" s="1440" t="str">
        <f t="shared" si="2"/>
        <v/>
      </c>
      <c r="I19" s="1443">
        <f>COUNTIF(Logs!$C18, I$8)+COUNTIF(Logs!$C36, I$8)+COUNTIF(Logs!$C54, I$8)+COUNTIF(Logs!$C72, I$8)+COUNTIF(Logs!$C$81, I$8)+COUNTIF(Logs!$C109, I$8)+COUNTIF(Logs!$C129, I$8)+COUNTIF(Logs!$C148, I$8)+COUNTIF(Logs!$C168, I$8)+COUNTIF(Logs!$C186, I$8)+COUNTIF(Logs!$C207, I$8)+COUNTIF(Logs!$C224, I$8)+COUNTIF(Logs!$C242, I$8)+COUNTIF(Logs!$C259, I$8)+COUNTIF(Logs!$C276, I$8)+COUNTIF(Logs!$C294, I$8)+COUNTIF(Logs!$C311, I$8)+COUNTIF(Logs!$C329, I$8)+COUNTIF(Logs!$C347, I$8)+COUNTIF(Logs!$C365, I$8)+COUNTIF(Logs!$C383, I$8)+COUNTIF(Logs!$C402, I$8)+COUNTIF(Logs!$C420, I$8)+COUNTIF(Logs!$C438, I$8)+COUNTIF(Logs!$C456, I$8)+COUNTIF(Logs!$C474, I$8)+COUNTIF(Logs!$C492, I$8)+COUNTIF(Logs!$C510, I$8)+COUNTIF(Logs!$C528, I$8)+COUNTIF(Logs!$C546, I$8)+COUNTIF(Logs!$C564, I$8)+COUNTIF(Logs!$C581, I$8)+COUNTIF(Logs!$C600, I$8)+COUNTIF(Logs!$C616, I$8)+COUNTIF(Logs!$C632, I$8)+COUNTIF(Logs!$C649, I$8)+COUNTIF(Logs!$C664, I$8)+COUNTIF(Logs!$C680, I$8)</f>
        <v>0</v>
      </c>
      <c r="J19" s="1444" t="str">
        <f t="shared" si="3"/>
        <v/>
      </c>
      <c r="K19" s="1101">
        <f>COUNTIF(Logs!$C18, K$8)+COUNTIF(Logs!$C36, K$8)+COUNTIF(Logs!$C54, K$8)+COUNTIF(Logs!$C72, K$8)+COUNTIF(Logs!$C$81, K$8)+COUNTIF(Logs!$C109, K$8)+COUNTIF(Logs!$C129, K$8)+COUNTIF(Logs!$C148, K$8)+COUNTIF(Logs!$C168, K$8)+COUNTIF(Logs!$C186, K$8)+COUNTIF(Logs!$C207, K$8)+COUNTIF(Logs!$C224, K$8)+COUNTIF(Logs!$C242, K$8)+COUNTIF(Logs!$C259, K$8)+COUNTIF(Logs!$C276, K$8)+COUNTIF(Logs!$C294, K$8)+COUNTIF(Logs!$C311, K$8)+COUNTIF(Logs!$C329, K$8)+COUNTIF(Logs!$C347, K$8)+COUNTIF(Logs!$C365, K$8)+COUNTIF(Logs!$C383, K$8)+COUNTIF(Logs!$C402, K$8)+COUNTIF(Logs!$C420, K$8)+COUNTIF(Logs!$C438, K$8)+COUNTIF(Logs!$C456, K$8)+COUNTIF(Logs!$C474, K$8)+COUNTIF(Logs!$C492, K$8)+COUNTIF(Logs!$C510, K$8)+COUNTIF(Logs!$C528, K$8)+COUNTIF(Logs!$C546, K$8)+COUNTIF(Logs!$C564, K$8)+COUNTIF(Logs!$C581, K$8)+COUNTIF(Logs!$C600, K$8)+COUNTIF(Logs!$C616, K$8)+COUNTIF(Logs!$C632, K$8)+COUNTIF(Logs!$C649, K$8)+COUNTIF(Logs!$C664, K$8)+COUNTIF(Logs!$C680, K$8)</f>
        <v>0</v>
      </c>
      <c r="L19" s="1432" t="str">
        <f t="shared" si="4"/>
        <v/>
      </c>
      <c r="N19" s="1378" t="s">
        <v>194</v>
      </c>
      <c r="O19" s="319">
        <f>COUNTIF(Logs!$D18, O$8)+COUNTIF(Logs!$D36, O$8)+COUNTIF(Logs!$D54, O$8)+COUNTIF(Logs!$D72, O$8)+COUNTIF(Logs!$D90, O$8)+COUNTIF(Logs!$D109, O$8)+COUNTIF(Logs!$D129, O$8)+COUNTIF(Logs!$D148, O$8)+COUNTIF(Logs!$D168, O$8)+COUNTIF(Logs!$D186, O$8)+COUNTIF(Logs!$D207, O$8)+COUNTIF(Logs!$D224, O$8)+COUNTIF(Logs!$D242, O$8)+COUNTIF(Logs!$D259, O$8)+COUNTIF(Logs!$D276, O$8)+COUNTIF(Logs!$D294, O$8)+COUNTIF(Logs!$D311, O$8)+COUNTIF(Logs!$D329, O$8)+COUNTIF(Logs!$D347, O$8)+COUNTIF(Logs!$D365, O$8)+COUNTIF(Logs!$D383, O$8)+COUNTIF(Logs!$D402, O$8)+COUNTIF(Logs!$D420, O$8)+COUNTIF(Logs!$D438, O$8)+COUNTIF(Logs!$D456, O$8)+COUNTIF(Logs!$D474, O$8)+COUNTIF(Logs!$D492, O$8)+COUNTIF(Logs!$D510, O$8)+COUNTIF(Logs!$D528, O$8)+COUNTIF(Logs!$D546, O$8)+COUNTIF(Logs!$D564, O$8)+COUNTIF(Logs!$D581, O$8)+COUNTIF(Logs!$D600, O$8)+COUNTIF(Logs!$D616, O$8)+COUNTIF(Logs!$D632, O$8)+COUNTIF(Logs!$D649, O$8)+COUNTIF(Logs!$D664, O$8)+COUNTIF(Logs!$D680, O$8)</f>
        <v>0</v>
      </c>
      <c r="P19" s="1448" t="str">
        <f t="shared" si="5"/>
        <v/>
      </c>
      <c r="Q19" s="342">
        <f>COUNTIF(Logs!$D18, Q$8)+COUNTIF(Logs!$D36, Q$8)+COUNTIF(Logs!$D54, Q$8)+COUNTIF(Logs!$D72, Q$8)+COUNTIF(Logs!$D90, Q$8)+COUNTIF(Logs!$D109, Q$8)+COUNTIF(Logs!$D129, Q$8)+COUNTIF(Logs!$D148, Q$8)+COUNTIF(Logs!$D168, Q$8)+COUNTIF(Logs!$D186, Q$8)+COUNTIF(Logs!$D207, Q$8)+COUNTIF(Logs!$D224, Q$8)+COUNTIF(Logs!$D242, Q$8)+COUNTIF(Logs!$D259, Q$8)+COUNTIF(Logs!$D276, Q$8)+COUNTIF(Logs!$D294, Q$8)+COUNTIF(Logs!$D311, Q$8)+COUNTIF(Logs!$D329, Q$8)+COUNTIF(Logs!$D347, Q$8)+COUNTIF(Logs!$D365, Q$8)+COUNTIF(Logs!$D383, Q$8)+COUNTIF(Logs!$D402, Q$8)+COUNTIF(Logs!$D420, Q$8)+COUNTIF(Logs!$D438, Q$8)+COUNTIF(Logs!$D456, Q$8)+COUNTIF(Logs!$D474, Q$8)+COUNTIF(Logs!$D492, Q$8)+COUNTIF(Logs!$D510, Q$8)+COUNTIF(Logs!$D528, Q$8)+COUNTIF(Logs!$D546, Q$8)+COUNTIF(Logs!$D564, Q$8)+COUNTIF(Logs!$D581, Q$8)+COUNTIF(Logs!$D600, Q$8)+COUNTIF(Logs!$D616, Q$8)+COUNTIF(Logs!$D632, Q$8)+COUNTIF(Logs!$D649, Q$8)+COUNTIF(Logs!$D664, Q$8)+COUNTIF(Logs!$D680, Q$8)</f>
        <v>0</v>
      </c>
      <c r="R19" s="1437" t="str">
        <f t="shared" si="6"/>
        <v/>
      </c>
      <c r="S19" s="1439">
        <f>COUNTIF(Logs!$D18, S$8)+COUNTIF(Logs!$D36, S$8)+COUNTIF(Logs!$D54, S$8)+COUNTIF(Logs!$D72, S$8)+COUNTIF(Logs!$D90, S$8)+COUNTIF(Logs!$D109, S$8)+COUNTIF(Logs!$D129, S$8)+COUNTIF(Logs!$D148, S$8)+COUNTIF(Logs!$D168, S$8)+COUNTIF(Logs!$D186, S$8)+COUNTIF(Logs!$D207, S$8)+COUNTIF(Logs!$D224, S$8)+COUNTIF(Logs!$D242, S$8)+COUNTIF(Logs!$D259, S$8)+COUNTIF(Logs!$D276, S$8)+COUNTIF(Logs!$D294, S$8)+COUNTIF(Logs!$D311, S$8)+COUNTIF(Logs!$D329, S$8)+COUNTIF(Logs!$D347, S$8)+COUNTIF(Logs!$D365, S$8)+COUNTIF(Logs!$D383, S$8)+COUNTIF(Logs!$D402, S$8)+COUNTIF(Logs!$D420, S$8)+COUNTIF(Logs!$D438, S$8)+COUNTIF(Logs!$D456, S$8)+COUNTIF(Logs!$D474, S$8)+COUNTIF(Logs!$D492, S$8)+COUNTIF(Logs!$D510, S$8)+COUNTIF(Logs!$D528, S$8)+COUNTIF(Logs!$D546, S$8)+COUNTIF(Logs!$D564, S$8)+COUNTIF(Logs!$D581, S$8)+COUNTIF(Logs!$D600, S$8)+COUNTIF(Logs!$D616, S$8)+COUNTIF(Logs!$D632, S$8)+COUNTIF(Logs!$D649, S$8)+COUNTIF(Logs!$D664, S$8)+COUNTIF(Logs!$D680, S$8)</f>
        <v>0</v>
      </c>
      <c r="T19" s="1440" t="str">
        <f t="shared" si="7"/>
        <v/>
      </c>
      <c r="U19" s="1443">
        <f>COUNTIF(Logs!$D18, U$8)+COUNTIF(Logs!$D36, U$8)+COUNTIF(Logs!$D54, U$8)+COUNTIF(Logs!$D72, U$8)+COUNTIF(Logs!$D90, U$8)+COUNTIF(Logs!$D109, U$8)+COUNTIF(Logs!$D129, U$8)+COUNTIF(Logs!$D148, U$8)+COUNTIF(Logs!$D168, U$8)+COUNTIF(Logs!$D186, U$8)+COUNTIF(Logs!$D207, U$8)+COUNTIF(Logs!$D224, U$8)+COUNTIF(Logs!$D242, U$8)+COUNTIF(Logs!$D259, U$8)+COUNTIF(Logs!$D276, U$8)+COUNTIF(Logs!$D294, U$8)+COUNTIF(Logs!$D311, U$8)+COUNTIF(Logs!$D329, U$8)+COUNTIF(Logs!$D347, U$8)+COUNTIF(Logs!$D365, U$8)+COUNTIF(Logs!$D383, U$8)+COUNTIF(Logs!$D402, U$8)+COUNTIF(Logs!$D420, U$8)+COUNTIF(Logs!$D438, U$8)+COUNTIF(Logs!$D456, U$8)+COUNTIF(Logs!$D474, U$8)+COUNTIF(Logs!$D492, U$8)+COUNTIF(Logs!$D510, U$8)+COUNTIF(Logs!$D528, U$8)+COUNTIF(Logs!$D546, U$8)+COUNTIF(Logs!$D564, U$8)+COUNTIF(Logs!$D581, U$8)+COUNTIF(Logs!$D600, U$8)+COUNTIF(Logs!$D616, U$8)+COUNTIF(Logs!$D632, U$8)+COUNTIF(Logs!$D649, U$8)+COUNTIF(Logs!$D664, U$8)+COUNTIF(Logs!$D680, U$8)</f>
        <v>0</v>
      </c>
      <c r="V19" s="1444" t="str">
        <f t="shared" si="8"/>
        <v/>
      </c>
      <c r="W19" s="1101">
        <f>COUNTIF(Logs!$D18, W$8)+COUNTIF(Logs!$D36, W$8)+COUNTIF(Logs!$D54, W$8)+COUNTIF(Logs!$D72, W$8)+COUNTIF(Logs!$D90, W$8)+COUNTIF(Logs!$D109, W$8)+COUNTIF(Logs!$D129, W$8)+COUNTIF(Logs!$D148, W$8)+COUNTIF(Logs!$D168, W$8)+COUNTIF(Logs!$D186, W$8)+COUNTIF(Logs!$D207, W$8)+COUNTIF(Logs!$D224, W$8)+COUNTIF(Logs!$D242, W$8)+COUNTIF(Logs!$D259, W$8)+COUNTIF(Logs!$D276, W$8)+COUNTIF(Logs!$D294, W$8)+COUNTIF(Logs!$D311, W$8)+COUNTIF(Logs!$D329, W$8)+COUNTIF(Logs!$D347, W$8)+COUNTIF(Logs!$D365, W$8)+COUNTIF(Logs!$D383, W$8)+COUNTIF(Logs!$D402, W$8)+COUNTIF(Logs!$D420, W$8)+COUNTIF(Logs!$D438, W$8)+COUNTIF(Logs!$D456, W$8)+COUNTIF(Logs!$D474, W$8)+COUNTIF(Logs!$D492, W$8)+COUNTIF(Logs!$D510, W$8)+COUNTIF(Logs!$D528, W$8)+COUNTIF(Logs!$D546, W$8)+COUNTIF(Logs!$D564, W$8)+COUNTIF(Logs!$D581, W$8)+COUNTIF(Logs!$D600, W$8)+COUNTIF(Logs!$D616, W$8)+COUNTIF(Logs!$D632, W$8)+COUNTIF(Logs!$D649, W$8)+COUNTIF(Logs!$D664, W$8)+COUNTIF(Logs!$D680, W$8)</f>
        <v>0</v>
      </c>
      <c r="X19" s="1432" t="str">
        <f t="shared" si="9"/>
        <v/>
      </c>
    </row>
    <row r="20" spans="2:24">
      <c r="B20" s="1378" t="s">
        <v>1637</v>
      </c>
      <c r="C20" s="1323">
        <f>COUNTIF(Logs!$C19, C$8)+COUNTIF(Logs!$C37, C$8)+COUNTIF(Logs!$C55, C$8)+COUNTIF(Logs!$C73, C$8)+COUNTIF(Logs!$C91, C$8)+COUNTIF(Logs!$C110, C$8)+COUNTIF(Logs!$C130, C$8)+COUNTIF(Logs!$C149, C$8)+COUNTIF(Logs!$C169, C$8)+COUNTIF(Logs!$C187, C$8)+COUNTIF(Logs!$C208, C$8)+COUNTIF(Logs!$C225, C$8)+COUNTIF(Logs!$C243, C$8)+COUNTIF(Logs!$C260, C$8)+COUNTIF(Logs!$C277, C$8)+COUNTIF(Logs!$C295, C$8)+COUNTIF(Logs!$C312, C$8)+COUNTIF(Logs!$C330, C$8)+COUNTIF(Logs!$C348, C$8)+COUNTIF(Logs!$C366, C$8)+COUNTIF(Logs!$C384, C$8)+COUNTIF(Logs!$C403, C$8)+COUNTIF(Logs!$C421, C$8)+COUNTIF(Logs!$C439, C$8)+COUNTIF(Logs!$C457, C$8)+COUNTIF(Logs!$C475, C$8)+COUNTIF(Logs!$C493, C$8)+COUNTIF(Logs!$C511, C$8)+COUNTIF(Logs!$C529, C$8)+COUNTIF(Logs!$C547, C$8)+COUNTIF(Logs!$C565, C$8)+COUNTIF(Logs!$C582, C$8)+COUNTIF(Logs!$C601, C$8)+COUNTIF(Logs!$C617, C$8)+COUNTIF(Logs!$C633, C$8)+COUNTIF(Logs!$C650, C$8)+COUNTIF(Logs!$C665, C$8)+COUNTIF(Logs!$C681, C$8)</f>
        <v>0</v>
      </c>
      <c r="D20" s="1429" t="str">
        <f t="shared" si="0"/>
        <v/>
      </c>
      <c r="E20" s="342">
        <f>COUNTIF(Logs!$C19, E$8)+COUNTIF(Logs!$C37, E$8)+COUNTIF(Logs!$C55, E$8)+COUNTIF(Logs!$C73, E$8)+COUNTIF(Logs!$C$81, E$8)+COUNTIF(Logs!$C110, E$8)+COUNTIF(Logs!$C130, E$8)+COUNTIF(Logs!$C149, E$8)+COUNTIF(Logs!$C169, E$8)+COUNTIF(Logs!$C187, E$8)+COUNTIF(Logs!$C208, E$8)+COUNTIF(Logs!$C225, E$8)+COUNTIF(Logs!$C243, E$8)+COUNTIF(Logs!$C260, E$8)+COUNTIF(Logs!$C277, E$8)+COUNTIF(Logs!$C295, E$8)+COUNTIF(Logs!$C312, E$8)+COUNTIF(Logs!$C330, E$8)+COUNTIF(Logs!$C348, E$8)+COUNTIF(Logs!$C366, E$8)+COUNTIF(Logs!$C384, E$8)+COUNTIF(Logs!$C403, E$8)+COUNTIF(Logs!$C421, E$8)+COUNTIF(Logs!$C439, E$8)+COUNTIF(Logs!$C457, E$8)+COUNTIF(Logs!$C475, E$8)+COUNTIF(Logs!$C493, E$8)+COUNTIF(Logs!$C511, E$8)+COUNTIF(Logs!$C529, E$8)+COUNTIF(Logs!$C547, E$8)+COUNTIF(Logs!$C565, E$8)+COUNTIF(Logs!$C582, E$8)+COUNTIF(Logs!$C601, E$8)+COUNTIF(Logs!$C617, E$8)+COUNTIF(Logs!$C633, E$8)+COUNTIF(Logs!$C650, E$8)+COUNTIF(Logs!$C665, E$8)+COUNTIF(Logs!$C681, E$8)</f>
        <v>0</v>
      </c>
      <c r="F20" s="1437" t="str">
        <f t="shared" si="1"/>
        <v/>
      </c>
      <c r="G20" s="1439">
        <f>COUNTIF(Logs!$C19, G$8)+COUNTIF(Logs!$C37, G$8)+COUNTIF(Logs!$C55, G$8)+COUNTIF(Logs!$C73, G$8)+COUNTIF(Logs!$C$81, G$8)+COUNTIF(Logs!$C110, G$8)+COUNTIF(Logs!$C130, G$8)+COUNTIF(Logs!$C149, G$8)+COUNTIF(Logs!$C169, G$8)+COUNTIF(Logs!$C187, G$8)+COUNTIF(Logs!$C208, G$8)+COUNTIF(Logs!$C225, G$8)+COUNTIF(Logs!$C243, G$8)+COUNTIF(Logs!$C260, G$8)+COUNTIF(Logs!$C277, G$8)+COUNTIF(Logs!$C295, G$8)+COUNTIF(Logs!$C312, G$8)+COUNTIF(Logs!$C330, G$8)+COUNTIF(Logs!$C348, G$8)+COUNTIF(Logs!$C366, G$8)+COUNTIF(Logs!$C384, G$8)+COUNTIF(Logs!$C403, G$8)+COUNTIF(Logs!$C421, G$8)+COUNTIF(Logs!$C439, G$8)+COUNTIF(Logs!$C457, G$8)+COUNTIF(Logs!$C475, G$8)+COUNTIF(Logs!$C493, G$8)+COUNTIF(Logs!$C511, G$8)+COUNTIF(Logs!$C529, G$8)+COUNTIF(Logs!$C547, G$8)+COUNTIF(Logs!$C565, G$8)+COUNTIF(Logs!$C582, G$8)+COUNTIF(Logs!$C601, G$8)+COUNTIF(Logs!$C617, G$8)+COUNTIF(Logs!$C633, G$8)+COUNTIF(Logs!$C650, G$8)+COUNTIF(Logs!$C665, G$8)+COUNTIF(Logs!$C681, G$8)</f>
        <v>0</v>
      </c>
      <c r="H20" s="1440" t="str">
        <f t="shared" si="2"/>
        <v/>
      </c>
      <c r="I20" s="1443">
        <f>COUNTIF(Logs!$C19, I$8)+COUNTIF(Logs!$C37, I$8)+COUNTIF(Logs!$C55, I$8)+COUNTIF(Logs!$C73, I$8)+COUNTIF(Logs!$C$81, I$8)+COUNTIF(Logs!$C110, I$8)+COUNTIF(Logs!$C130, I$8)+COUNTIF(Logs!$C149, I$8)+COUNTIF(Logs!$C169, I$8)+COUNTIF(Logs!$C187, I$8)+COUNTIF(Logs!$C208, I$8)+COUNTIF(Logs!$C225, I$8)+COUNTIF(Logs!$C243, I$8)+COUNTIF(Logs!$C260, I$8)+COUNTIF(Logs!$C277, I$8)+COUNTIF(Logs!$C295, I$8)+COUNTIF(Logs!$C312, I$8)+COUNTIF(Logs!$C330, I$8)+COUNTIF(Logs!$C348, I$8)+COUNTIF(Logs!$C366, I$8)+COUNTIF(Logs!$C384, I$8)+COUNTIF(Logs!$C403, I$8)+COUNTIF(Logs!$C421, I$8)+COUNTIF(Logs!$C439, I$8)+COUNTIF(Logs!$C457, I$8)+COUNTIF(Logs!$C475, I$8)+COUNTIF(Logs!$C493, I$8)+COUNTIF(Logs!$C511, I$8)+COUNTIF(Logs!$C529, I$8)+COUNTIF(Logs!$C547, I$8)+COUNTIF(Logs!$C565, I$8)+COUNTIF(Logs!$C582, I$8)+COUNTIF(Logs!$C601, I$8)+COUNTIF(Logs!$C617, I$8)+COUNTIF(Logs!$C633, I$8)+COUNTIF(Logs!$C650, I$8)+COUNTIF(Logs!$C665, I$8)+COUNTIF(Logs!$C681, I$8)</f>
        <v>0</v>
      </c>
      <c r="J20" s="1444" t="str">
        <f t="shared" si="3"/>
        <v/>
      </c>
      <c r="K20" s="1101">
        <f>COUNTIF(Logs!$C19, K$8)+COUNTIF(Logs!$C37, K$8)+COUNTIF(Logs!$C55, K$8)+COUNTIF(Logs!$C73, K$8)+COUNTIF(Logs!$C$81, K$8)+COUNTIF(Logs!$C110, K$8)+COUNTIF(Logs!$C130, K$8)+COUNTIF(Logs!$C149, K$8)+COUNTIF(Logs!$C169, K$8)+COUNTIF(Logs!$C187, K$8)+COUNTIF(Logs!$C208, K$8)+COUNTIF(Logs!$C225, K$8)+COUNTIF(Logs!$C243, K$8)+COUNTIF(Logs!$C260, K$8)+COUNTIF(Logs!$C277, K$8)+COUNTIF(Logs!$C295, K$8)+COUNTIF(Logs!$C312, K$8)+COUNTIF(Logs!$C330, K$8)+COUNTIF(Logs!$C348, K$8)+COUNTIF(Logs!$C366, K$8)+COUNTIF(Logs!$C384, K$8)+COUNTIF(Logs!$C403, K$8)+COUNTIF(Logs!$C421, K$8)+COUNTIF(Logs!$C439, K$8)+COUNTIF(Logs!$C457, K$8)+COUNTIF(Logs!$C475, K$8)+COUNTIF(Logs!$C493, K$8)+COUNTIF(Logs!$C511, K$8)+COUNTIF(Logs!$C529, K$8)+COUNTIF(Logs!$C547, K$8)+COUNTIF(Logs!$C565, K$8)+COUNTIF(Logs!$C582, K$8)+COUNTIF(Logs!$C601, K$8)+COUNTIF(Logs!$C617, K$8)+COUNTIF(Logs!$C633, K$8)+COUNTIF(Logs!$C650, K$8)+COUNTIF(Logs!$C665, K$8)+COUNTIF(Logs!$C681, K$8)</f>
        <v>0</v>
      </c>
      <c r="L20" s="1432" t="str">
        <f t="shared" si="4"/>
        <v/>
      </c>
      <c r="N20" s="1378" t="s">
        <v>1637</v>
      </c>
      <c r="O20" s="319">
        <f>COUNTIF(Logs!$D19, O$8)+COUNTIF(Logs!$D37, O$8)+COUNTIF(Logs!$D55, O$8)+COUNTIF(Logs!$D73, O$8)+COUNTIF(Logs!$D91, O$8)+COUNTIF(Logs!$D110, O$8)+COUNTIF(Logs!$D130, O$8)+COUNTIF(Logs!$D149, O$8)+COUNTIF(Logs!$D169, O$8)+COUNTIF(Logs!$D187, O$8)+COUNTIF(Logs!$D208, O$8)+COUNTIF(Logs!$D225, O$8)+COUNTIF(Logs!$D243, O$8)+COUNTIF(Logs!$D260, O$8)+COUNTIF(Logs!$D277, O$8)+COUNTIF(Logs!$D295, O$8)+COUNTIF(Logs!$D312, O$8)+COUNTIF(Logs!$D330, O$8)+COUNTIF(Logs!$D348, O$8)+COUNTIF(Logs!$D366, O$8)+COUNTIF(Logs!$D384, O$8)+COUNTIF(Logs!$D403, O$8)+COUNTIF(Logs!$D421, O$8)+COUNTIF(Logs!$D439, O$8)+COUNTIF(Logs!$D457, O$8)+COUNTIF(Logs!$D475, O$8)+COUNTIF(Logs!$D493, O$8)+COUNTIF(Logs!$D511, O$8)+COUNTIF(Logs!$D529, O$8)+COUNTIF(Logs!$D547, O$8)+COUNTIF(Logs!$D565, O$8)+COUNTIF(Logs!$D582, O$8)+COUNTIF(Logs!$D601, O$8)+COUNTIF(Logs!$D617, O$8)+COUNTIF(Logs!$D633, O$8)+COUNTIF(Logs!$D650, O$8)+COUNTIF(Logs!$D665, O$8)+COUNTIF(Logs!$D681, O$8)</f>
        <v>0</v>
      </c>
      <c r="P20" s="1448" t="str">
        <f t="shared" si="5"/>
        <v/>
      </c>
      <c r="Q20" s="342">
        <f>COUNTIF(Logs!$D19, Q$8)+COUNTIF(Logs!$D37, Q$8)+COUNTIF(Logs!$D55, Q$8)+COUNTIF(Logs!$D73, Q$8)+COUNTIF(Logs!$D91, Q$8)+COUNTIF(Logs!$D110, Q$8)+COUNTIF(Logs!$D130, Q$8)+COUNTIF(Logs!$D149, Q$8)+COUNTIF(Logs!$D169, Q$8)+COUNTIF(Logs!$D187, Q$8)+COUNTIF(Logs!$D208, Q$8)+COUNTIF(Logs!$D225, Q$8)+COUNTIF(Logs!$D243, Q$8)+COUNTIF(Logs!$D260, Q$8)+COUNTIF(Logs!$D277, Q$8)+COUNTIF(Logs!$D295, Q$8)+COUNTIF(Logs!$D312, Q$8)+COUNTIF(Logs!$D330, Q$8)+COUNTIF(Logs!$D348, Q$8)+COUNTIF(Logs!$D366, Q$8)+COUNTIF(Logs!$D384, Q$8)+COUNTIF(Logs!$D403, Q$8)+COUNTIF(Logs!$D421, Q$8)+COUNTIF(Logs!$D439, Q$8)+COUNTIF(Logs!$D457, Q$8)+COUNTIF(Logs!$D475, Q$8)+COUNTIF(Logs!$D493, Q$8)+COUNTIF(Logs!$D511, Q$8)+COUNTIF(Logs!$D529, Q$8)+COUNTIF(Logs!$D547, Q$8)+COUNTIF(Logs!$D565, Q$8)+COUNTIF(Logs!$D582, Q$8)+COUNTIF(Logs!$D601, Q$8)+COUNTIF(Logs!$D617, Q$8)+COUNTIF(Logs!$D633, Q$8)+COUNTIF(Logs!$D650, Q$8)+COUNTIF(Logs!$D665, Q$8)+COUNTIF(Logs!$D681, Q$8)</f>
        <v>0</v>
      </c>
      <c r="R20" s="1437" t="str">
        <f t="shared" si="6"/>
        <v/>
      </c>
      <c r="S20" s="1439">
        <f>COUNTIF(Logs!$D19, S$8)+COUNTIF(Logs!$D37, S$8)+COUNTIF(Logs!$D55, S$8)+COUNTIF(Logs!$D73, S$8)+COUNTIF(Logs!$D91, S$8)+COUNTIF(Logs!$D110, S$8)+COUNTIF(Logs!$D130, S$8)+COUNTIF(Logs!$D149, S$8)+COUNTIF(Logs!$D169, S$8)+COUNTIF(Logs!$D187, S$8)+COUNTIF(Logs!$D208, S$8)+COUNTIF(Logs!$D225, S$8)+COUNTIF(Logs!$D243, S$8)+COUNTIF(Logs!$D260, S$8)+COUNTIF(Logs!$D277, S$8)+COUNTIF(Logs!$D295, S$8)+COUNTIF(Logs!$D312, S$8)+COUNTIF(Logs!$D330, S$8)+COUNTIF(Logs!$D348, S$8)+COUNTIF(Logs!$D366, S$8)+COUNTIF(Logs!$D384, S$8)+COUNTIF(Logs!$D403, S$8)+COUNTIF(Logs!$D421, S$8)+COUNTIF(Logs!$D439, S$8)+COUNTIF(Logs!$D457, S$8)+COUNTIF(Logs!$D475, S$8)+COUNTIF(Logs!$D493, S$8)+COUNTIF(Logs!$D511, S$8)+COUNTIF(Logs!$D529, S$8)+COUNTIF(Logs!$D547, S$8)+COUNTIF(Logs!$D565, S$8)+COUNTIF(Logs!$D582, S$8)+COUNTIF(Logs!$D601, S$8)+COUNTIF(Logs!$D617, S$8)+COUNTIF(Logs!$D633, S$8)+COUNTIF(Logs!$D650, S$8)+COUNTIF(Logs!$D665, S$8)+COUNTIF(Logs!$D681, S$8)</f>
        <v>0</v>
      </c>
      <c r="T20" s="1440" t="str">
        <f t="shared" si="7"/>
        <v/>
      </c>
      <c r="U20" s="1443">
        <f>COUNTIF(Logs!$D19, U$8)+COUNTIF(Logs!$D37, U$8)+COUNTIF(Logs!$D55, U$8)+COUNTIF(Logs!$D73, U$8)+COUNTIF(Logs!$D91, U$8)+COUNTIF(Logs!$D110, U$8)+COUNTIF(Logs!$D130, U$8)+COUNTIF(Logs!$D149, U$8)+COUNTIF(Logs!$D169, U$8)+COUNTIF(Logs!$D187, U$8)+COUNTIF(Logs!$D208, U$8)+COUNTIF(Logs!$D225, U$8)+COUNTIF(Logs!$D243, U$8)+COUNTIF(Logs!$D260, U$8)+COUNTIF(Logs!$D277, U$8)+COUNTIF(Logs!$D295, U$8)+COUNTIF(Logs!$D312, U$8)+COUNTIF(Logs!$D330, U$8)+COUNTIF(Logs!$D348, U$8)+COUNTIF(Logs!$D366, U$8)+COUNTIF(Logs!$D384, U$8)+COUNTIF(Logs!$D403, U$8)+COUNTIF(Logs!$D421, U$8)+COUNTIF(Logs!$D439, U$8)+COUNTIF(Logs!$D457, U$8)+COUNTIF(Logs!$D475, U$8)+COUNTIF(Logs!$D493, U$8)+COUNTIF(Logs!$D511, U$8)+COUNTIF(Logs!$D529, U$8)+COUNTIF(Logs!$D547, U$8)+COUNTIF(Logs!$D565, U$8)+COUNTIF(Logs!$D582, U$8)+COUNTIF(Logs!$D601, U$8)+COUNTIF(Logs!$D617, U$8)+COUNTIF(Logs!$D633, U$8)+COUNTIF(Logs!$D650, U$8)+COUNTIF(Logs!$D665, U$8)+COUNTIF(Logs!$D681, U$8)</f>
        <v>0</v>
      </c>
      <c r="V20" s="1444" t="str">
        <f t="shared" si="8"/>
        <v/>
      </c>
      <c r="W20" s="1101">
        <f>COUNTIF(Logs!$D19, W$8)+COUNTIF(Logs!$D37, W$8)+COUNTIF(Logs!$D55, W$8)+COUNTIF(Logs!$D73, W$8)+COUNTIF(Logs!$D91, W$8)+COUNTIF(Logs!$D110, W$8)+COUNTIF(Logs!$D130, W$8)+COUNTIF(Logs!$D149, W$8)+COUNTIF(Logs!$D169, W$8)+COUNTIF(Logs!$D187, W$8)+COUNTIF(Logs!$D208, W$8)+COUNTIF(Logs!$D225, W$8)+COUNTIF(Logs!$D243, W$8)+COUNTIF(Logs!$D260, W$8)+COUNTIF(Logs!$D277, W$8)+COUNTIF(Logs!$D295, W$8)+COUNTIF(Logs!$D312, W$8)+COUNTIF(Logs!$D330, W$8)+COUNTIF(Logs!$D348, W$8)+COUNTIF(Logs!$D366, W$8)+COUNTIF(Logs!$D384, W$8)+COUNTIF(Logs!$D403, W$8)+COUNTIF(Logs!$D421, W$8)+COUNTIF(Logs!$D439, W$8)+COUNTIF(Logs!$D457, W$8)+COUNTIF(Logs!$D475, W$8)+COUNTIF(Logs!$D493, W$8)+COUNTIF(Logs!$D511, W$8)+COUNTIF(Logs!$D529, W$8)+COUNTIF(Logs!$D547, W$8)+COUNTIF(Logs!$D565, W$8)+COUNTIF(Logs!$D582, W$8)+COUNTIF(Logs!$D601, W$8)+COUNTIF(Logs!$D617, W$8)+COUNTIF(Logs!$D633, W$8)+COUNTIF(Logs!$D650, W$8)+COUNTIF(Logs!$D665, W$8)+COUNTIF(Logs!$D681, W$8)</f>
        <v>0</v>
      </c>
      <c r="X20" s="1432" t="str">
        <f t="shared" si="9"/>
        <v/>
      </c>
    </row>
    <row r="21" spans="2:24">
      <c r="B21" s="1378" t="s">
        <v>1638</v>
      </c>
      <c r="C21" s="1323">
        <f>COUNTIF(Logs!$C20, C$8)+COUNTIF(Logs!$C38, C$8)+COUNTIF(Logs!$C56, C$8)+COUNTIF(Logs!$C74, C$8)+COUNTIF(Logs!$C92, C$8)+COUNTIF(Logs!$C111, C$8)+COUNTIF(Logs!$C131, C$8)+COUNTIF(Logs!$C150, C$8)+COUNTIF(Logs!$C170, C$8)+COUNTIF(Logs!$C188, C$8)+COUNTIF(Logs!$C209, C$8)+COUNTIF(Logs!$C226, C$8)+COUNTIF(Logs!$C244, C$8)+COUNTIF(Logs!$C261, C$8)+COUNTIF(Logs!$C278, C$8)+COUNTIF(Logs!$C296, C$8)+COUNTIF(Logs!$C313, C$8)+COUNTIF(Logs!$C331, C$8)+COUNTIF(Logs!$C349, C$8)+COUNTIF(Logs!$C367, C$8)+COUNTIF(Logs!$C385, C$8)+COUNTIF(Logs!$C404, C$8)+COUNTIF(Logs!$C422, C$8)+COUNTIF(Logs!$C440, C$8)+COUNTIF(Logs!$C458, C$8)+COUNTIF(Logs!$C476, C$8)+COUNTIF(Logs!$C494, C$8)+COUNTIF(Logs!$C512, C$8)+COUNTIF(Logs!$C530, C$8)+COUNTIF(Logs!$C548, C$8)+COUNTIF(Logs!$C566, C$8)+COUNTIF(Logs!$C583, C$8)+COUNTIF(Logs!$C602, C$8)+COUNTIF(Logs!$C618, C$8)+COUNTIF(Logs!$C634, C$8)+COUNTIF(Logs!$C651, C$8)+COUNTIF(Logs!$C666, C$8)+COUNTIF(Logs!$C682, C$8)</f>
        <v>0</v>
      </c>
      <c r="D21" s="1429" t="str">
        <f t="shared" si="0"/>
        <v/>
      </c>
      <c r="E21" s="342">
        <f>COUNTIF(Logs!$C20, E$8)+COUNTIF(Logs!$C38, E$8)+COUNTIF(Logs!$C56, E$8)+COUNTIF(Logs!$C74, E$8)+COUNTIF(Logs!$C$81, E$8)+COUNTIF(Logs!$C111, E$8)+COUNTIF(Logs!$C131, E$8)+COUNTIF(Logs!$C150, E$8)+COUNTIF(Logs!$C170, E$8)+COUNTIF(Logs!$C188, E$8)+COUNTIF(Logs!$C209, E$8)+COUNTIF(Logs!$C226, E$8)+COUNTIF(Logs!$C244, E$8)+COUNTIF(Logs!$C261, E$8)+COUNTIF(Logs!$C278, E$8)+COUNTIF(Logs!$C296, E$8)+COUNTIF(Logs!$C313, E$8)+COUNTIF(Logs!$C331, E$8)+COUNTIF(Logs!$C349, E$8)+COUNTIF(Logs!$C367, E$8)+COUNTIF(Logs!$C385, E$8)+COUNTIF(Logs!$C404, E$8)+COUNTIF(Logs!$C422, E$8)+COUNTIF(Logs!$C440, E$8)+COUNTIF(Logs!$C458, E$8)+COUNTIF(Logs!$C476, E$8)+COUNTIF(Logs!$C494, E$8)+COUNTIF(Logs!$C512, E$8)+COUNTIF(Logs!$C530, E$8)+COUNTIF(Logs!$C548, E$8)+COUNTIF(Logs!$C566, E$8)+COUNTIF(Logs!$C583, E$8)+COUNTIF(Logs!$C602, E$8)+COUNTIF(Logs!$C618, E$8)+COUNTIF(Logs!$C634, E$8)+COUNTIF(Logs!$C651, E$8)+COUNTIF(Logs!$C666, E$8)+COUNTIF(Logs!$C682, E$8)</f>
        <v>0</v>
      </c>
      <c r="F21" s="1437" t="str">
        <f t="shared" si="1"/>
        <v/>
      </c>
      <c r="G21" s="1439">
        <f>COUNTIF(Logs!$C20, G$8)+COUNTIF(Logs!$C38, G$8)+COUNTIF(Logs!$C56, G$8)+COUNTIF(Logs!$C74, G$8)+COUNTIF(Logs!$C$81, G$8)+COUNTIF(Logs!$C111, G$8)+COUNTIF(Logs!$C131, G$8)+COUNTIF(Logs!$C150, G$8)+COUNTIF(Logs!$C170, G$8)+COUNTIF(Logs!$C188, G$8)+COUNTIF(Logs!$C209, G$8)+COUNTIF(Logs!$C226, G$8)+COUNTIF(Logs!$C244, G$8)+COUNTIF(Logs!$C261, G$8)+COUNTIF(Logs!$C278, G$8)+COUNTIF(Logs!$C296, G$8)+COUNTIF(Logs!$C313, G$8)+COUNTIF(Logs!$C331, G$8)+COUNTIF(Logs!$C349, G$8)+COUNTIF(Logs!$C367, G$8)+COUNTIF(Logs!$C385, G$8)+COUNTIF(Logs!$C404, G$8)+COUNTIF(Logs!$C422, G$8)+COUNTIF(Logs!$C440, G$8)+COUNTIF(Logs!$C458, G$8)+COUNTIF(Logs!$C476, G$8)+COUNTIF(Logs!$C494, G$8)+COUNTIF(Logs!$C512, G$8)+COUNTIF(Logs!$C530, G$8)+COUNTIF(Logs!$C548, G$8)+COUNTIF(Logs!$C566, G$8)+COUNTIF(Logs!$C583, G$8)+COUNTIF(Logs!$C602, G$8)+COUNTIF(Logs!$C618, G$8)+COUNTIF(Logs!$C634, G$8)+COUNTIF(Logs!$C651, G$8)+COUNTIF(Logs!$C666, G$8)+COUNTIF(Logs!$C682, G$8)</f>
        <v>0</v>
      </c>
      <c r="H21" s="1440" t="str">
        <f t="shared" si="2"/>
        <v/>
      </c>
      <c r="I21" s="1443">
        <f>COUNTIF(Logs!$C20, I$8)+COUNTIF(Logs!$C38, I$8)+COUNTIF(Logs!$C56, I$8)+COUNTIF(Logs!$C74, I$8)+COUNTIF(Logs!$C$81, I$8)+COUNTIF(Logs!$C111, I$8)+COUNTIF(Logs!$C131, I$8)+COUNTIF(Logs!$C150, I$8)+COUNTIF(Logs!$C170, I$8)+COUNTIF(Logs!$C188, I$8)+COUNTIF(Logs!$C209, I$8)+COUNTIF(Logs!$C226, I$8)+COUNTIF(Logs!$C244, I$8)+COUNTIF(Logs!$C261, I$8)+COUNTIF(Logs!$C278, I$8)+COUNTIF(Logs!$C296, I$8)+COUNTIF(Logs!$C313, I$8)+COUNTIF(Logs!$C331, I$8)+COUNTIF(Logs!$C349, I$8)+COUNTIF(Logs!$C367, I$8)+COUNTIF(Logs!$C385, I$8)+COUNTIF(Logs!$C404, I$8)+COUNTIF(Logs!$C422, I$8)+COUNTIF(Logs!$C440, I$8)+COUNTIF(Logs!$C458, I$8)+COUNTIF(Logs!$C476, I$8)+COUNTIF(Logs!$C494, I$8)+COUNTIF(Logs!$C512, I$8)+COUNTIF(Logs!$C530, I$8)+COUNTIF(Logs!$C548, I$8)+COUNTIF(Logs!$C566, I$8)+COUNTIF(Logs!$C583, I$8)+COUNTIF(Logs!$C602, I$8)+COUNTIF(Logs!$C618, I$8)+COUNTIF(Logs!$C634, I$8)+COUNTIF(Logs!$C651, I$8)+COUNTIF(Logs!$C666, I$8)+COUNTIF(Logs!$C682, I$8)</f>
        <v>0</v>
      </c>
      <c r="J21" s="1444" t="str">
        <f t="shared" si="3"/>
        <v/>
      </c>
      <c r="K21" s="1101">
        <f>COUNTIF(Logs!$C20, K$8)+COUNTIF(Logs!$C38, K$8)+COUNTIF(Logs!$C56, K$8)+COUNTIF(Logs!$C74, K$8)+COUNTIF(Logs!$C$81, K$8)+COUNTIF(Logs!$C111, K$8)+COUNTIF(Logs!$C131, K$8)+COUNTIF(Logs!$C150, K$8)+COUNTIF(Logs!$C170, K$8)+COUNTIF(Logs!$C188, K$8)+COUNTIF(Logs!$C209, K$8)+COUNTIF(Logs!$C226, K$8)+COUNTIF(Logs!$C244, K$8)+COUNTIF(Logs!$C261, K$8)+COUNTIF(Logs!$C278, K$8)+COUNTIF(Logs!$C296, K$8)+COUNTIF(Logs!$C313, K$8)+COUNTIF(Logs!$C331, K$8)+COUNTIF(Logs!$C349, K$8)+COUNTIF(Logs!$C367, K$8)+COUNTIF(Logs!$C385, K$8)+COUNTIF(Logs!$C404, K$8)+COUNTIF(Logs!$C422, K$8)+COUNTIF(Logs!$C440, K$8)+COUNTIF(Logs!$C458, K$8)+COUNTIF(Logs!$C476, K$8)+COUNTIF(Logs!$C494, K$8)+COUNTIF(Logs!$C512, K$8)+COUNTIF(Logs!$C530, K$8)+COUNTIF(Logs!$C548, K$8)+COUNTIF(Logs!$C566, K$8)+COUNTIF(Logs!$C583, K$8)+COUNTIF(Logs!$C602, K$8)+COUNTIF(Logs!$C618, K$8)+COUNTIF(Logs!$C634, K$8)+COUNTIF(Logs!$C651, K$8)+COUNTIF(Logs!$C666, K$8)+COUNTIF(Logs!$C682, K$8)</f>
        <v>0</v>
      </c>
      <c r="L21" s="1432" t="str">
        <f t="shared" si="4"/>
        <v/>
      </c>
      <c r="N21" s="1378" t="s">
        <v>1638</v>
      </c>
      <c r="O21" s="319">
        <f>COUNTIF(Logs!$D20, O$8)+COUNTIF(Logs!$D38, O$8)+COUNTIF(Logs!$D56, O$8)+COUNTIF(Logs!$D74, O$8)+COUNTIF(Logs!$D92, O$8)+COUNTIF(Logs!$D111, O$8)+COUNTIF(Logs!$D131, O$8)+COUNTIF(Logs!$D150, O$8)+COUNTIF(Logs!$D170, O$8)+COUNTIF(Logs!$D188, O$8)+COUNTIF(Logs!$D209, O$8)+COUNTIF(Logs!$D226, O$8)+COUNTIF(Logs!$D244, O$8)+COUNTIF(Logs!$D261, O$8)+COUNTIF(Logs!$D278, O$8)+COUNTIF(Logs!$D296, O$8)+COUNTIF(Logs!$D313, O$8)+COUNTIF(Logs!$D331, O$8)+COUNTIF(Logs!$D349, O$8)+COUNTIF(Logs!$D367, O$8)+COUNTIF(Logs!$D385, O$8)+COUNTIF(Logs!$D404, O$8)+COUNTIF(Logs!$D422, O$8)+COUNTIF(Logs!$D440, O$8)+COUNTIF(Logs!$D458, O$8)+COUNTIF(Logs!$D476, O$8)+COUNTIF(Logs!$D494, O$8)+COUNTIF(Logs!$D512, O$8)+COUNTIF(Logs!$D530, O$8)+COUNTIF(Logs!$D548, O$8)+COUNTIF(Logs!$D566, O$8)+COUNTIF(Logs!$D583, O$8)+COUNTIF(Logs!$D602, O$8)+COUNTIF(Logs!$D618, O$8)+COUNTIF(Logs!$D634, O$8)+COUNTIF(Logs!$D651, O$8)+COUNTIF(Logs!$D666, O$8)+COUNTIF(Logs!$D682, O$8)</f>
        <v>0</v>
      </c>
      <c r="P21" s="1448" t="str">
        <f t="shared" si="5"/>
        <v/>
      </c>
      <c r="Q21" s="342">
        <f>COUNTIF(Logs!$D20, Q$8)+COUNTIF(Logs!$D38, Q$8)+COUNTIF(Logs!$D56, Q$8)+COUNTIF(Logs!$D74, Q$8)+COUNTIF(Logs!$D92, Q$8)+COUNTIF(Logs!$D111, Q$8)+COUNTIF(Logs!$D131, Q$8)+COUNTIF(Logs!$D150, Q$8)+COUNTIF(Logs!$D170, Q$8)+COUNTIF(Logs!$D188, Q$8)+COUNTIF(Logs!$D209, Q$8)+COUNTIF(Logs!$D226, Q$8)+COUNTIF(Logs!$D244, Q$8)+COUNTIF(Logs!$D261, Q$8)+COUNTIF(Logs!$D278, Q$8)+COUNTIF(Logs!$D296, Q$8)+COUNTIF(Logs!$D313, Q$8)+COUNTIF(Logs!$D331, Q$8)+COUNTIF(Logs!$D349, Q$8)+COUNTIF(Logs!$D367, Q$8)+COUNTIF(Logs!$D385, Q$8)+COUNTIF(Logs!$D404, Q$8)+COUNTIF(Logs!$D422, Q$8)+COUNTIF(Logs!$D440, Q$8)+COUNTIF(Logs!$D458, Q$8)+COUNTIF(Logs!$D476, Q$8)+COUNTIF(Logs!$D494, Q$8)+COUNTIF(Logs!$D512, Q$8)+COUNTIF(Logs!$D530, Q$8)+COUNTIF(Logs!$D548, Q$8)+COUNTIF(Logs!$D566, Q$8)+COUNTIF(Logs!$D583, Q$8)+COUNTIF(Logs!$D602, Q$8)+COUNTIF(Logs!$D618, Q$8)+COUNTIF(Logs!$D634, Q$8)+COUNTIF(Logs!$D651, Q$8)+COUNTIF(Logs!$D666, Q$8)+COUNTIF(Logs!$D682, Q$8)</f>
        <v>0</v>
      </c>
      <c r="R21" s="1437" t="str">
        <f t="shared" si="6"/>
        <v/>
      </c>
      <c r="S21" s="1439">
        <f>COUNTIF(Logs!$D20, S$8)+COUNTIF(Logs!$D38, S$8)+COUNTIF(Logs!$D56, S$8)+COUNTIF(Logs!$D74, S$8)+COUNTIF(Logs!$D92, S$8)+COUNTIF(Logs!$D111, S$8)+COUNTIF(Logs!$D131, S$8)+COUNTIF(Logs!$D150, S$8)+COUNTIF(Logs!$D170, S$8)+COUNTIF(Logs!$D188, S$8)+COUNTIF(Logs!$D209, S$8)+COUNTIF(Logs!$D226, S$8)+COUNTIF(Logs!$D244, S$8)+COUNTIF(Logs!$D261, S$8)+COUNTIF(Logs!$D278, S$8)+COUNTIF(Logs!$D296, S$8)+COUNTIF(Logs!$D313, S$8)+COUNTIF(Logs!$D331, S$8)+COUNTIF(Logs!$D349, S$8)+COUNTIF(Logs!$D367, S$8)+COUNTIF(Logs!$D385, S$8)+COUNTIF(Logs!$D404, S$8)+COUNTIF(Logs!$D422, S$8)+COUNTIF(Logs!$D440, S$8)+COUNTIF(Logs!$D458, S$8)+COUNTIF(Logs!$D476, S$8)+COUNTIF(Logs!$D494, S$8)+COUNTIF(Logs!$D512, S$8)+COUNTIF(Logs!$D530, S$8)+COUNTIF(Logs!$D548, S$8)+COUNTIF(Logs!$D566, S$8)+COUNTIF(Logs!$D583, S$8)+COUNTIF(Logs!$D602, S$8)+COUNTIF(Logs!$D618, S$8)+COUNTIF(Logs!$D634, S$8)+COUNTIF(Logs!$D651, S$8)+COUNTIF(Logs!$D666, S$8)+COUNTIF(Logs!$D682, S$8)</f>
        <v>0</v>
      </c>
      <c r="T21" s="1440" t="str">
        <f t="shared" si="7"/>
        <v/>
      </c>
      <c r="U21" s="1443">
        <f>COUNTIF(Logs!$D20, U$8)+COUNTIF(Logs!$D38, U$8)+COUNTIF(Logs!$D56, U$8)+COUNTIF(Logs!$D74, U$8)+COUNTIF(Logs!$D92, U$8)+COUNTIF(Logs!$D111, U$8)+COUNTIF(Logs!$D131, U$8)+COUNTIF(Logs!$D150, U$8)+COUNTIF(Logs!$D170, U$8)+COUNTIF(Logs!$D188, U$8)+COUNTIF(Logs!$D209, U$8)+COUNTIF(Logs!$D226, U$8)+COUNTIF(Logs!$D244, U$8)+COUNTIF(Logs!$D261, U$8)+COUNTIF(Logs!$D278, U$8)+COUNTIF(Logs!$D296, U$8)+COUNTIF(Logs!$D313, U$8)+COUNTIF(Logs!$D331, U$8)+COUNTIF(Logs!$D349, U$8)+COUNTIF(Logs!$D367, U$8)+COUNTIF(Logs!$D385, U$8)+COUNTIF(Logs!$D404, U$8)+COUNTIF(Logs!$D422, U$8)+COUNTIF(Logs!$D440, U$8)+COUNTIF(Logs!$D458, U$8)+COUNTIF(Logs!$D476, U$8)+COUNTIF(Logs!$D494, U$8)+COUNTIF(Logs!$D512, U$8)+COUNTIF(Logs!$D530, U$8)+COUNTIF(Logs!$D548, U$8)+COUNTIF(Logs!$D566, U$8)+COUNTIF(Logs!$D583, U$8)+COUNTIF(Logs!$D602, U$8)+COUNTIF(Logs!$D618, U$8)+COUNTIF(Logs!$D634, U$8)+COUNTIF(Logs!$D651, U$8)+COUNTIF(Logs!$D666, U$8)+COUNTIF(Logs!$D682, U$8)</f>
        <v>0</v>
      </c>
      <c r="V21" s="1444" t="str">
        <f t="shared" si="8"/>
        <v/>
      </c>
      <c r="W21" s="1101">
        <f>COUNTIF(Logs!$D20, W$8)+COUNTIF(Logs!$D38, W$8)+COUNTIF(Logs!$D56, W$8)+COUNTIF(Logs!$D74, W$8)+COUNTIF(Logs!$D92, W$8)+COUNTIF(Logs!$D111, W$8)+COUNTIF(Logs!$D131, W$8)+COUNTIF(Logs!$D150, W$8)+COUNTIF(Logs!$D170, W$8)+COUNTIF(Logs!$D188, W$8)+COUNTIF(Logs!$D209, W$8)+COUNTIF(Logs!$D226, W$8)+COUNTIF(Logs!$D244, W$8)+COUNTIF(Logs!$D261, W$8)+COUNTIF(Logs!$D278, W$8)+COUNTIF(Logs!$D296, W$8)+COUNTIF(Logs!$D313, W$8)+COUNTIF(Logs!$D331, W$8)+COUNTIF(Logs!$D349, W$8)+COUNTIF(Logs!$D367, W$8)+COUNTIF(Logs!$D385, W$8)+COUNTIF(Logs!$D404, W$8)+COUNTIF(Logs!$D422, W$8)+COUNTIF(Logs!$D440, W$8)+COUNTIF(Logs!$D458, W$8)+COUNTIF(Logs!$D476, W$8)+COUNTIF(Logs!$D494, W$8)+COUNTIF(Logs!$D512, W$8)+COUNTIF(Logs!$D530, W$8)+COUNTIF(Logs!$D548, W$8)+COUNTIF(Logs!$D566, W$8)+COUNTIF(Logs!$D583, W$8)+COUNTIF(Logs!$D602, W$8)+COUNTIF(Logs!$D618, W$8)+COUNTIF(Logs!$D634, W$8)+COUNTIF(Logs!$D651, W$8)+COUNTIF(Logs!$D666, W$8)+COUNTIF(Logs!$D682, W$8)</f>
        <v>0</v>
      </c>
      <c r="X21" s="1432" t="str">
        <f t="shared" si="9"/>
        <v/>
      </c>
    </row>
    <row r="22" spans="2:24" ht="16.5" thickBot="1">
      <c r="B22" s="1379" t="s">
        <v>1639</v>
      </c>
      <c r="C22" s="1430">
        <f>COUNTIF(Logs!$C21, C$8)+COUNTIF(Logs!$C39, C$8)+COUNTIF(Logs!$C57, C$8)+COUNTIF(Logs!$C75, C$8)+COUNTIF(Logs!$C93, C$8)+COUNTIF(Logs!$C112, C$8)+COUNTIF(Logs!$C132, C$8)+COUNTIF(Logs!$C151, C$8)+COUNTIF(Logs!$C171, C$8)+COUNTIF(Logs!$C189, C$8)+COUNTIF(Logs!$C210, C$8)+COUNTIF(Logs!$C227, C$8)+COUNTIF(Logs!$C245, C$8)+COUNTIF(Logs!$C262, C$8)+COUNTIF(Logs!$C279, C$8)+COUNTIF(Logs!$C297, C$8)+COUNTIF(Logs!$C314, C$8)+COUNTIF(Logs!$C332, C$8)+COUNTIF(Logs!$C350, C$8)+COUNTIF(Logs!$C368, C$8)+COUNTIF(Logs!$C386, C$8)+COUNTIF(Logs!$C405, C$8)+COUNTIF(Logs!$C423, C$8)+COUNTIF(Logs!$C441, C$8)+COUNTIF(Logs!$C459, C$8)+COUNTIF(Logs!$C477, C$8)+COUNTIF(Logs!$C495, C$8)+COUNTIF(Logs!$C513, C$8)+COUNTIF(Logs!$C531, C$8)+COUNTIF(Logs!$C549, C$8)+COUNTIF(Logs!$C567, C$8)+COUNTIF(Logs!$C584, C$8)+COUNTIF(Logs!$C603, C$8)+COUNTIF(Logs!$C619, C$8)+COUNTIF(Logs!$C635, C$8)+COUNTIF(Logs!$C652, C$8)+COUNTIF(Logs!$C667, C$8)+COUNTIF(Logs!$C683, C$8)</f>
        <v>0</v>
      </c>
      <c r="D22" s="1431" t="str">
        <f t="shared" si="0"/>
        <v/>
      </c>
      <c r="E22" s="1435">
        <f>COUNTIF(Logs!$C21, E$8)+COUNTIF(Logs!$C39, E$8)+COUNTIF(Logs!$C57, E$8)+COUNTIF(Logs!$C75, E$8)+COUNTIF(Logs!$C$81, E$8)+COUNTIF(Logs!$C112, E$8)+COUNTIF(Logs!$C132, E$8)+COUNTIF(Logs!$C151, E$8)+COUNTIF(Logs!$C171, E$8)+COUNTIF(Logs!$C189, E$8)+COUNTIF(Logs!$C210, E$8)+COUNTIF(Logs!$C227, E$8)+COUNTIF(Logs!$C245, E$8)+COUNTIF(Logs!$C262, E$8)+COUNTIF(Logs!$C279, E$8)+COUNTIF(Logs!$C297, E$8)+COUNTIF(Logs!$C314, E$8)+COUNTIF(Logs!$C332, E$8)+COUNTIF(Logs!$C350, E$8)+COUNTIF(Logs!$C368, E$8)+COUNTIF(Logs!$C386, E$8)+COUNTIF(Logs!$C405, E$8)+COUNTIF(Logs!$C423, E$8)+COUNTIF(Logs!$C441, E$8)+COUNTIF(Logs!$C459, E$8)+COUNTIF(Logs!$C477, E$8)+COUNTIF(Logs!$C495, E$8)+COUNTIF(Logs!$C513, E$8)+COUNTIF(Logs!$C531, E$8)+COUNTIF(Logs!$C549, E$8)+COUNTIF(Logs!$C567, E$8)+COUNTIF(Logs!$C584, E$8)+COUNTIF(Logs!$C603, E$8)+COUNTIF(Logs!$C619, E$8)+COUNTIF(Logs!$C635, E$8)+COUNTIF(Logs!$C652, E$8)+COUNTIF(Logs!$C667, E$8)+COUNTIF(Logs!$C683, E$8)</f>
        <v>0</v>
      </c>
      <c r="F22" s="1438" t="str">
        <f t="shared" si="1"/>
        <v/>
      </c>
      <c r="G22" s="1441">
        <f>COUNTIF(Logs!$C21, G$8)+COUNTIF(Logs!$C39, G$8)+COUNTIF(Logs!$C57, G$8)+COUNTIF(Logs!$C75, G$8)+COUNTIF(Logs!$C$81, G$8)+COUNTIF(Logs!$C112, G$8)+COUNTIF(Logs!$C132, G$8)+COUNTIF(Logs!$C151, G$8)+COUNTIF(Logs!$C171, G$8)+COUNTIF(Logs!$C189, G$8)+COUNTIF(Logs!$C210, G$8)+COUNTIF(Logs!$C227, G$8)+COUNTIF(Logs!$C245, G$8)+COUNTIF(Logs!$C262, G$8)+COUNTIF(Logs!$C279, G$8)+COUNTIF(Logs!$C297, G$8)+COUNTIF(Logs!$C314, G$8)+COUNTIF(Logs!$C332, G$8)+COUNTIF(Logs!$C350, G$8)+COUNTIF(Logs!$C368, G$8)+COUNTIF(Logs!$C386, G$8)+COUNTIF(Logs!$C405, G$8)+COUNTIF(Logs!$C423, G$8)+COUNTIF(Logs!$C441, G$8)+COUNTIF(Logs!$C459, G$8)+COUNTIF(Logs!$C477, G$8)+COUNTIF(Logs!$C495, G$8)+COUNTIF(Logs!$C513, G$8)+COUNTIF(Logs!$C531, G$8)+COUNTIF(Logs!$C549, G$8)+COUNTIF(Logs!$C567, G$8)+COUNTIF(Logs!$C584, G$8)+COUNTIF(Logs!$C603, G$8)+COUNTIF(Logs!$C619, G$8)+COUNTIF(Logs!$C635, G$8)+COUNTIF(Logs!$C652, G$8)+COUNTIF(Logs!$C667, G$8)+COUNTIF(Logs!$C683, G$8)</f>
        <v>0</v>
      </c>
      <c r="H22" s="1442" t="str">
        <f t="shared" si="2"/>
        <v/>
      </c>
      <c r="I22" s="1445">
        <f>COUNTIF(Logs!$C21, I$8)+COUNTIF(Logs!$C39, I$8)+COUNTIF(Logs!$C57, I$8)+COUNTIF(Logs!$C75, I$8)+COUNTIF(Logs!$C$81, I$8)+COUNTIF(Logs!$C112, I$8)+COUNTIF(Logs!$C132, I$8)+COUNTIF(Logs!$C151, I$8)+COUNTIF(Logs!$C171, I$8)+COUNTIF(Logs!$C189, I$8)+COUNTIF(Logs!$C210, I$8)+COUNTIF(Logs!$C227, I$8)+COUNTIF(Logs!$C245, I$8)+COUNTIF(Logs!$C262, I$8)+COUNTIF(Logs!$C279, I$8)+COUNTIF(Logs!$C297, I$8)+COUNTIF(Logs!$C314, I$8)+COUNTIF(Logs!$C332, I$8)+COUNTIF(Logs!$C350, I$8)+COUNTIF(Logs!$C368, I$8)+COUNTIF(Logs!$C386, I$8)+COUNTIF(Logs!$C405, I$8)+COUNTIF(Logs!$C423, I$8)+COUNTIF(Logs!$C441, I$8)+COUNTIF(Logs!$C459, I$8)+COUNTIF(Logs!$C477, I$8)+COUNTIF(Logs!$C495, I$8)+COUNTIF(Logs!$C513, I$8)+COUNTIF(Logs!$C531, I$8)+COUNTIF(Logs!$C549, I$8)+COUNTIF(Logs!$C567, I$8)+COUNTIF(Logs!$C584, I$8)+COUNTIF(Logs!$C603, I$8)+COUNTIF(Logs!$C619, I$8)+COUNTIF(Logs!$C635, I$8)+COUNTIF(Logs!$C652, I$8)+COUNTIF(Logs!$C667, I$8)+COUNTIF(Logs!$C683, I$8)</f>
        <v>0</v>
      </c>
      <c r="J22" s="1446" t="str">
        <f t="shared" si="3"/>
        <v/>
      </c>
      <c r="K22" s="1433">
        <f>COUNTIF(Logs!$C21, K$8)+COUNTIF(Logs!$C39, K$8)+COUNTIF(Logs!$C57, K$8)+COUNTIF(Logs!$C75, K$8)+COUNTIF(Logs!$C$81, K$8)+COUNTIF(Logs!$C112, K$8)+COUNTIF(Logs!$C132, K$8)+COUNTIF(Logs!$C151, K$8)+COUNTIF(Logs!$C171, K$8)+COUNTIF(Logs!$C189, K$8)+COUNTIF(Logs!$C210, K$8)+COUNTIF(Logs!$C227, K$8)+COUNTIF(Logs!$C245, K$8)+COUNTIF(Logs!$C262, K$8)+COUNTIF(Logs!$C279, K$8)+COUNTIF(Logs!$C297, K$8)+COUNTIF(Logs!$C314, K$8)+COUNTIF(Logs!$C332, K$8)+COUNTIF(Logs!$C350, K$8)+COUNTIF(Logs!$C368, K$8)+COUNTIF(Logs!$C386, K$8)+COUNTIF(Logs!$C405, K$8)+COUNTIF(Logs!$C423, K$8)+COUNTIF(Logs!$C441, K$8)+COUNTIF(Logs!$C459, K$8)+COUNTIF(Logs!$C477, K$8)+COUNTIF(Logs!$C495, K$8)+COUNTIF(Logs!$C513, K$8)+COUNTIF(Logs!$C531, K$8)+COUNTIF(Logs!$C549, K$8)+COUNTIF(Logs!$C567, K$8)+COUNTIF(Logs!$C584, K$8)+COUNTIF(Logs!$C603, K$8)+COUNTIF(Logs!$C619, K$8)+COUNTIF(Logs!$C635, K$8)+COUNTIF(Logs!$C652, K$8)+COUNTIF(Logs!$C667, K$8)+COUNTIF(Logs!$C683, K$8)</f>
        <v>0</v>
      </c>
      <c r="L22" s="1434" t="str">
        <f t="shared" si="4"/>
        <v/>
      </c>
      <c r="N22" s="1379" t="s">
        <v>1639</v>
      </c>
      <c r="O22" s="1447">
        <f>COUNTIF(Logs!$D21, O$8)+COUNTIF(Logs!$D39, O$8)+COUNTIF(Logs!$D57, O$8)+COUNTIF(Logs!$D75, O$8)+COUNTIF(Logs!$D93, O$8)+COUNTIF(Logs!$D112, O$8)+COUNTIF(Logs!$D132, O$8)+COUNTIF(Logs!$D151, O$8)+COUNTIF(Logs!$D171, O$8)+COUNTIF(Logs!$D189, O$8)+COUNTIF(Logs!$D210, O$8)+COUNTIF(Logs!$D227, O$8)+COUNTIF(Logs!$D245, O$8)+COUNTIF(Logs!$D262, O$8)+COUNTIF(Logs!$D279, O$8)+COUNTIF(Logs!$D297, O$8)+COUNTIF(Logs!$D314, O$8)+COUNTIF(Logs!$D332, O$8)+COUNTIF(Logs!$D350, O$8)+COUNTIF(Logs!$D368, O$8)+COUNTIF(Logs!$D386, O$8)+COUNTIF(Logs!$D405, O$8)+COUNTIF(Logs!$D423, O$8)+COUNTIF(Logs!$D441, O$8)+COUNTIF(Logs!$D459, O$8)+COUNTIF(Logs!$D477, O$8)+COUNTIF(Logs!$D495, O$8)+COUNTIF(Logs!$D513, O$8)+COUNTIF(Logs!$D531, O$8)+COUNTIF(Logs!$D549, O$8)+COUNTIF(Logs!$D567, O$8)+COUNTIF(Logs!$D584, O$8)+COUNTIF(Logs!$D603, O$8)+COUNTIF(Logs!$D619, O$8)+COUNTIF(Logs!$D635, O$8)+COUNTIF(Logs!$D652, O$8)+COUNTIF(Logs!$D667, O$8)+COUNTIF(Logs!$D683, O$8)</f>
        <v>0</v>
      </c>
      <c r="P22" s="1449" t="str">
        <f t="shared" si="5"/>
        <v/>
      </c>
      <c r="Q22" s="1435">
        <f>COUNTIF(Logs!$D21, Q$8)+COUNTIF(Logs!$D39, Q$8)+COUNTIF(Logs!$D57, Q$8)+COUNTIF(Logs!$D75, Q$8)+COUNTIF(Logs!$D93, Q$8)+COUNTIF(Logs!$D112, Q$8)+COUNTIF(Logs!$D132, Q$8)+COUNTIF(Logs!$D151, Q$8)+COUNTIF(Logs!$D171, Q$8)+COUNTIF(Logs!$D189, Q$8)+COUNTIF(Logs!$D210, Q$8)+COUNTIF(Logs!$D227, Q$8)+COUNTIF(Logs!$D245, Q$8)+COUNTIF(Logs!$D262, Q$8)+COUNTIF(Logs!$D279, Q$8)+COUNTIF(Logs!$D297, Q$8)+COUNTIF(Logs!$D314, Q$8)+COUNTIF(Logs!$D332, Q$8)+COUNTIF(Logs!$D350, Q$8)+COUNTIF(Logs!$D368, Q$8)+COUNTIF(Logs!$D386, Q$8)+COUNTIF(Logs!$D405, Q$8)+COUNTIF(Logs!$D423, Q$8)+COUNTIF(Logs!$D441, Q$8)+COUNTIF(Logs!$D459, Q$8)+COUNTIF(Logs!$D477, Q$8)+COUNTIF(Logs!$D495, Q$8)+COUNTIF(Logs!$D513, Q$8)+COUNTIF(Logs!$D531, Q$8)+COUNTIF(Logs!$D549, Q$8)+COUNTIF(Logs!$D567, Q$8)+COUNTIF(Logs!$D584, Q$8)+COUNTIF(Logs!$D603, Q$8)+COUNTIF(Logs!$D619, Q$8)+COUNTIF(Logs!$D635, Q$8)+COUNTIF(Logs!$D652, Q$8)+COUNTIF(Logs!$D667, Q$8)+COUNTIF(Logs!$D683, Q$8)</f>
        <v>0</v>
      </c>
      <c r="R22" s="1438" t="str">
        <f t="shared" si="6"/>
        <v/>
      </c>
      <c r="S22" s="1441">
        <f>COUNTIF(Logs!$D21, S$8)+COUNTIF(Logs!$D39, S$8)+COUNTIF(Logs!$D57, S$8)+COUNTIF(Logs!$D75, S$8)+COUNTIF(Logs!$D93, S$8)+COUNTIF(Logs!$D112, S$8)+COUNTIF(Logs!$D132, S$8)+COUNTIF(Logs!$D151, S$8)+COUNTIF(Logs!$D171, S$8)+COUNTIF(Logs!$D189, S$8)+COUNTIF(Logs!$D210, S$8)+COUNTIF(Logs!$D227, S$8)+COUNTIF(Logs!$D245, S$8)+COUNTIF(Logs!$D262, S$8)+COUNTIF(Logs!$D279, S$8)+COUNTIF(Logs!$D297, S$8)+COUNTIF(Logs!$D314, S$8)+COUNTIF(Logs!$D332, S$8)+COUNTIF(Logs!$D350, S$8)+COUNTIF(Logs!$D368, S$8)+COUNTIF(Logs!$D386, S$8)+COUNTIF(Logs!$D405, S$8)+COUNTIF(Logs!$D423, S$8)+COUNTIF(Logs!$D441, S$8)+COUNTIF(Logs!$D459, S$8)+COUNTIF(Logs!$D477, S$8)+COUNTIF(Logs!$D495, S$8)+COUNTIF(Logs!$D513, S$8)+COUNTIF(Logs!$D531, S$8)+COUNTIF(Logs!$D549, S$8)+COUNTIF(Logs!$D567, S$8)+COUNTIF(Logs!$D584, S$8)+COUNTIF(Logs!$D603, S$8)+COUNTIF(Logs!$D619, S$8)+COUNTIF(Logs!$D635, S$8)+COUNTIF(Logs!$D652, S$8)+COUNTIF(Logs!$D667, S$8)+COUNTIF(Logs!$D683, S$8)</f>
        <v>0</v>
      </c>
      <c r="T22" s="1442" t="str">
        <f t="shared" si="7"/>
        <v/>
      </c>
      <c r="U22" s="1445">
        <f>COUNTIF(Logs!$D21, U$8)+COUNTIF(Logs!$D39, U$8)+COUNTIF(Logs!$D57, U$8)+COUNTIF(Logs!$D75, U$8)+COUNTIF(Logs!$D93, U$8)+COUNTIF(Logs!$D112, U$8)+COUNTIF(Logs!$D132, U$8)+COUNTIF(Logs!$D151, U$8)+COUNTIF(Logs!$D171, U$8)+COUNTIF(Logs!$D189, U$8)+COUNTIF(Logs!$D210, U$8)+COUNTIF(Logs!$D227, U$8)+COUNTIF(Logs!$D245, U$8)+COUNTIF(Logs!$D262, U$8)+COUNTIF(Logs!$D279, U$8)+COUNTIF(Logs!$D297, U$8)+COUNTIF(Logs!$D314, U$8)+COUNTIF(Logs!$D332, U$8)+COUNTIF(Logs!$D350, U$8)+COUNTIF(Logs!$D368, U$8)+COUNTIF(Logs!$D386, U$8)+COUNTIF(Logs!$D405, U$8)+COUNTIF(Logs!$D423, U$8)+COUNTIF(Logs!$D441, U$8)+COUNTIF(Logs!$D459, U$8)+COUNTIF(Logs!$D477, U$8)+COUNTIF(Logs!$D495, U$8)+COUNTIF(Logs!$D513, U$8)+COUNTIF(Logs!$D531, U$8)+COUNTIF(Logs!$D549, U$8)+COUNTIF(Logs!$D567, U$8)+COUNTIF(Logs!$D584, U$8)+COUNTIF(Logs!$D603, U$8)+COUNTIF(Logs!$D619, U$8)+COUNTIF(Logs!$D635, U$8)+COUNTIF(Logs!$D652, U$8)+COUNTIF(Logs!$D667, U$8)+COUNTIF(Logs!$D683, U$8)</f>
        <v>0</v>
      </c>
      <c r="V22" s="1446" t="str">
        <f t="shared" si="8"/>
        <v/>
      </c>
      <c r="W22" s="1433">
        <f>COUNTIF(Logs!$D21, W$8)+COUNTIF(Logs!$D39, W$8)+COUNTIF(Logs!$D57, W$8)+COUNTIF(Logs!$D75, W$8)+COUNTIF(Logs!$D93, W$8)+COUNTIF(Logs!$D112, W$8)+COUNTIF(Logs!$D132, W$8)+COUNTIF(Logs!$D151, W$8)+COUNTIF(Logs!$D171, W$8)+COUNTIF(Logs!$D189, W$8)+COUNTIF(Logs!$D210, W$8)+COUNTIF(Logs!$D227, W$8)+COUNTIF(Logs!$D245, W$8)+COUNTIF(Logs!$D262, W$8)+COUNTIF(Logs!$D279, W$8)+COUNTIF(Logs!$D297, W$8)+COUNTIF(Logs!$D314, W$8)+COUNTIF(Logs!$D332, W$8)+COUNTIF(Logs!$D350, W$8)+COUNTIF(Logs!$D368, W$8)+COUNTIF(Logs!$D386, W$8)+COUNTIF(Logs!$D405, W$8)+COUNTIF(Logs!$D423, W$8)+COUNTIF(Logs!$D441, W$8)+COUNTIF(Logs!$D459, W$8)+COUNTIF(Logs!$D477, W$8)+COUNTIF(Logs!$D495, W$8)+COUNTIF(Logs!$D513, W$8)+COUNTIF(Logs!$D531, W$8)+COUNTIF(Logs!$D549, W$8)+COUNTIF(Logs!$D567, W$8)+COUNTIF(Logs!$D584, W$8)+COUNTIF(Logs!$D603, W$8)+COUNTIF(Logs!$D619, W$8)+COUNTIF(Logs!$D635, W$8)+COUNTIF(Logs!$D652, W$8)+COUNTIF(Logs!$D667, W$8)+COUNTIF(Logs!$D683, W$8)</f>
        <v>0</v>
      </c>
      <c r="X22" s="1434" t="str">
        <f t="shared" si="9"/>
        <v/>
      </c>
    </row>
    <row r="23" spans="2:24" ht="16.5" thickBot="1"/>
    <row r="24" spans="2:24" ht="19.5" thickBot="1">
      <c r="B24" s="1380" t="s">
        <v>3</v>
      </c>
      <c r="C24" s="1744" t="s">
        <v>12</v>
      </c>
      <c r="D24" s="1751"/>
      <c r="E24" s="1745" t="s">
        <v>14</v>
      </c>
      <c r="F24" s="1746"/>
      <c r="G24" s="1747" t="s">
        <v>13</v>
      </c>
      <c r="H24" s="1748"/>
      <c r="I24" s="1749" t="s">
        <v>49</v>
      </c>
      <c r="J24" s="1750"/>
      <c r="K24" s="1742" t="s">
        <v>71</v>
      </c>
      <c r="L24" s="1743"/>
      <c r="N24" s="1380" t="s">
        <v>4</v>
      </c>
      <c r="O24" s="1744" t="s">
        <v>12</v>
      </c>
      <c r="P24" s="1751"/>
      <c r="Q24" s="1745" t="s">
        <v>14</v>
      </c>
      <c r="R24" s="1746"/>
      <c r="S24" s="1747" t="s">
        <v>13</v>
      </c>
      <c r="T24" s="1748"/>
      <c r="U24" s="1749" t="s">
        <v>49</v>
      </c>
      <c r="V24" s="1750"/>
      <c r="W24" s="1742" t="s">
        <v>71</v>
      </c>
      <c r="X24" s="1743"/>
    </row>
    <row r="25" spans="2:24">
      <c r="B25" s="1376" t="s">
        <v>1635</v>
      </c>
      <c r="C25" s="355" t="s">
        <v>150</v>
      </c>
      <c r="D25" s="1436" t="s">
        <v>195</v>
      </c>
      <c r="E25" s="563" t="s">
        <v>150</v>
      </c>
      <c r="F25" s="1436" t="s">
        <v>195</v>
      </c>
      <c r="G25" s="563" t="s">
        <v>150</v>
      </c>
      <c r="H25" s="1436" t="s">
        <v>195</v>
      </c>
      <c r="I25" s="563" t="s">
        <v>150</v>
      </c>
      <c r="J25" s="1436" t="s">
        <v>195</v>
      </c>
      <c r="K25" s="355" t="s">
        <v>150</v>
      </c>
      <c r="L25" s="1377" t="s">
        <v>195</v>
      </c>
      <c r="N25" s="1376" t="s">
        <v>1635</v>
      </c>
      <c r="O25" s="355" t="s">
        <v>150</v>
      </c>
      <c r="P25" s="1436" t="s">
        <v>195</v>
      </c>
      <c r="Q25" s="563" t="s">
        <v>150</v>
      </c>
      <c r="R25" s="1436" t="s">
        <v>195</v>
      </c>
      <c r="S25" s="563" t="s">
        <v>150</v>
      </c>
      <c r="T25" s="1436" t="s">
        <v>195</v>
      </c>
      <c r="U25" s="563" t="s">
        <v>150</v>
      </c>
      <c r="V25" s="1436" t="s">
        <v>195</v>
      </c>
      <c r="W25" s="355" t="s">
        <v>150</v>
      </c>
      <c r="X25" s="1377" t="s">
        <v>195</v>
      </c>
    </row>
    <row r="26" spans="2:24">
      <c r="B26" s="1378" t="s">
        <v>185</v>
      </c>
      <c r="C26" s="319">
        <f>COUNTIF(Logs!$E9, C$24)+COUNTIF(Logs!$E27, C$24)+COUNTIF(Logs!$E45, C$24)+COUNTIF(Logs!$E63, C$24)+COUNTIF(Logs!$E81, C$24)+COUNTIF(Logs!$E100, C$24)+COUNTIF(Logs!$E120, C$24)+COUNTIF(Logs!$E139, C$24)+COUNTIF(Logs!$E159, C$24)+COUNTIF(Logs!$E177, C$24)+COUNTIF(Logs!$E198, C$24)+COUNTIF(Logs!$E215, C$24)+COUNTIF(Logs!$E233, C$24)+COUNTIF(Logs!$E250, C$24)+COUNTIF(Logs!$E267, C$24)+COUNTIF(Logs!$E285, C$24)+COUNTIF(Logs!$E302, C$24)+COUNTIF(Logs!$E320, C$24)+COUNTIF(Logs!$E338, C$24)+COUNTIF(Logs!$E356, C$24)+COUNTIF(Logs!$E374, C$24)+COUNTIF(Logs!$E393, C$24)+COUNTIF(Logs!$E411, C$24)+COUNTIF(Logs!$E429, C$24)+COUNTIF(Logs!$E447, C$24)+COUNTIF(Logs!$E465, C$24)+COUNTIF(Logs!$E483, C$24)+COUNTIF(Logs!$E501, C$24)+COUNTIF(Logs!$E519, C$24)+COUNTIF(Logs!$E537, C$24)+COUNTIF(Logs!$E555, C$24)+COUNTIF(Logs!$E572, C$24)+COUNTIF(Logs!$E591, C$24)+COUNTIF(Logs!$E607, C$24)+COUNTIF(Logs!$E623, C$24)+COUNTIF(Logs!$E640, C$24)+COUNTIF(Logs!$E655, C$24)+COUNTIF(Logs!$E671, C$24)</f>
        <v>36</v>
      </c>
      <c r="D26" s="1448">
        <f>IF(C26&gt;0, C26/SUM($C26,$E26, $G26,$I26,$K26), "")</f>
        <v>0.94736842105263153</v>
      </c>
      <c r="E26" s="342">
        <f>COUNTIF(Logs!$E9, E$24)+COUNTIF(Logs!$E27, E$24)+COUNTIF(Logs!$E45, E$24)+COUNTIF(Logs!$E63, E$24)+COUNTIF(Logs!$E81, E$24)+COUNTIF(Logs!$E100, E$24)+COUNTIF(Logs!$E120, E$24)+COUNTIF(Logs!$E139, E$24)+COUNTIF(Logs!$E159, E$24)+COUNTIF(Logs!$E177, E$24)+COUNTIF(Logs!$E198, E$24)+COUNTIF(Logs!$E215, E$24)+COUNTIF(Logs!$E233, E$24)+COUNTIF(Logs!$E250, E$24)+COUNTIF(Logs!$E267, E$24)+COUNTIF(Logs!$E285, E$24)+COUNTIF(Logs!$E302, E$24)+COUNTIF(Logs!$E320, E$24)+COUNTIF(Logs!$E338, E$24)+COUNTIF(Logs!$E356, E$24)+COUNTIF(Logs!$E374, E$24)+COUNTIF(Logs!$E393, E$24)+COUNTIF(Logs!$E411, E$24)+COUNTIF(Logs!$E429, E$24)+COUNTIF(Logs!$E447, E$24)+COUNTIF(Logs!$E465, E$24)+COUNTIF(Logs!$E483, E$24)+COUNTIF(Logs!$E501, E$24)+COUNTIF(Logs!$E519, E$24)+COUNTIF(Logs!$E537, E$24)+COUNTIF(Logs!$E555, E$24)+COUNTIF(Logs!$E572, E$24)+COUNTIF(Logs!$E591, E$24)+COUNTIF(Logs!$E607, E$24)+COUNTIF(Logs!$E623, E$24)+COUNTIF(Logs!$E640, E$24)+COUNTIF(Logs!$E655, E$24)+COUNTIF(Logs!$E671, E$24)</f>
        <v>0</v>
      </c>
      <c r="F26" s="1437" t="str">
        <f>IF(E26&gt;0, E26/SUM($C26,$E26, $G26,$I26,$K26), "")</f>
        <v/>
      </c>
      <c r="G26" s="1439">
        <f>COUNTIF(Logs!$E9, G$24)+COUNTIF(Logs!$E27, G$24)+COUNTIF(Logs!$E45, G$24)+COUNTIF(Logs!$E63, G$24)+COUNTIF(Logs!$E81, G$24)+COUNTIF(Logs!$E100, G$24)+COUNTIF(Logs!$E120, G$24)+COUNTIF(Logs!$E139, G$24)+COUNTIF(Logs!$E159, G$24)+COUNTIF(Logs!$E177, G$24)+COUNTIF(Logs!$E198, G$24)+COUNTIF(Logs!$E215, G$24)+COUNTIF(Logs!$E233, G$24)+COUNTIF(Logs!$E250, G$24)+COUNTIF(Logs!$E267, G$24)+COUNTIF(Logs!$E285, G$24)+COUNTIF(Logs!$E302, G$24)+COUNTIF(Logs!$E320, G$24)+COUNTIF(Logs!$E338, G$24)+COUNTIF(Logs!$E356, G$24)+COUNTIF(Logs!$E374, G$24)+COUNTIF(Logs!$E393, G$24)+COUNTIF(Logs!$E411, G$24)+COUNTIF(Logs!$E429, G$24)+COUNTIF(Logs!$E447, G$24)+COUNTIF(Logs!$E465, G$24)+COUNTIF(Logs!$E483, G$24)+COUNTIF(Logs!$E501, G$24)+COUNTIF(Logs!$E519, G$24)+COUNTIF(Logs!$E537, G$24)+COUNTIF(Logs!$E555, G$24)+COUNTIF(Logs!$E572, G$24)+COUNTIF(Logs!$E591, G$24)+COUNTIF(Logs!$E607, G$24)+COUNTIF(Logs!$E623, G$24)+COUNTIF(Logs!$E640, G$24)+COUNTIF(Logs!$E655, G$24)+COUNTIF(Logs!$E671, G$24)</f>
        <v>0</v>
      </c>
      <c r="H26" s="1440" t="str">
        <f>IF(G26&gt;0, G26/SUM($C26,$E26, $G26,$I26,$K26), "")</f>
        <v/>
      </c>
      <c r="I26" s="1443">
        <f>COUNTIF(Logs!$E9, I$24)+COUNTIF(Logs!$E27, I$24)+COUNTIF(Logs!$E45, I$24)+COUNTIF(Logs!$E63, I$24)+COUNTIF(Logs!$E81, I$24)+COUNTIF(Logs!$E100, I$24)+COUNTIF(Logs!$E120, I$24)+COUNTIF(Logs!$E139, I$24)+COUNTIF(Logs!$E159, I$24)+COUNTIF(Logs!$E177, I$24)+COUNTIF(Logs!$E198, I$24)+COUNTIF(Logs!$E215, I$24)+COUNTIF(Logs!$E233, I$24)+COUNTIF(Logs!$E250, I$24)+COUNTIF(Logs!$E267, I$24)+COUNTIF(Logs!$E285, I$24)+COUNTIF(Logs!$E302, I$24)+COUNTIF(Logs!$E320, I$24)+COUNTIF(Logs!$E338, I$24)+COUNTIF(Logs!$E356, I$24)+COUNTIF(Logs!$E374, I$24)+COUNTIF(Logs!$E393, I$24)+COUNTIF(Logs!$E411, I$24)+COUNTIF(Logs!$E429, I$24)+COUNTIF(Logs!$E447, I$24)+COUNTIF(Logs!$E465, I$24)+COUNTIF(Logs!$E483, I$24)+COUNTIF(Logs!$E501, I$24)+COUNTIF(Logs!$E519, I$24)+COUNTIF(Logs!$E537, I$24)+COUNTIF(Logs!$E555, I$24)+COUNTIF(Logs!$E572, I$24)+COUNTIF(Logs!$E591, I$24)+COUNTIF(Logs!$E607, I$24)+COUNTIF(Logs!$E623, I$24)+COUNTIF(Logs!$E640, I$24)+COUNTIF(Logs!$E655, I$24)+COUNTIF(Logs!$E671, I$24)</f>
        <v>0</v>
      </c>
      <c r="J26" s="1444" t="str">
        <f>IF(I26&gt;0, I26/SUM($C26,$E26, $G26,$I26,$K26), "")</f>
        <v/>
      </c>
      <c r="K26" s="1101">
        <f>COUNTIF(Logs!$E9, K$24)+COUNTIF(Logs!$E27, K$24)+COUNTIF(Logs!$E45, K$24)+COUNTIF(Logs!$E63, K$24)+COUNTIF(Logs!$E81, K$24)+COUNTIF(Logs!$E100, K$24)+COUNTIF(Logs!$E120, K$24)+COUNTIF(Logs!$E139, K$24)+COUNTIF(Logs!$E159, K$24)+COUNTIF(Logs!$E177, K$24)+COUNTIF(Logs!$E198, K$24)+COUNTIF(Logs!$E215, K$24)+COUNTIF(Logs!$E233, K$24)+COUNTIF(Logs!$E250, K$24)+COUNTIF(Logs!$E267, K$24)+COUNTIF(Logs!$E285, K$24)+COUNTIF(Logs!$E302, K$24)+COUNTIF(Logs!$E320, K$24)+COUNTIF(Logs!$E338, K$24)+COUNTIF(Logs!$E356, K$24)+COUNTIF(Logs!$E374, K$24)+COUNTIF(Logs!$E393, K$24)+COUNTIF(Logs!$E411, K$24)+COUNTIF(Logs!$E429, K$24)+COUNTIF(Logs!$E447, K$24)+COUNTIF(Logs!$E465, K$24)+COUNTIF(Logs!$E483, K$24)+COUNTIF(Logs!$E501, K$24)+COUNTIF(Logs!$E519, K$24)+COUNTIF(Logs!$E537, K$24)+COUNTIF(Logs!$E555, K$24)+COUNTIF(Logs!$E572, K$24)+COUNTIF(Logs!$E591, K$24)+COUNTIF(Logs!$E607, K$24)+COUNTIF(Logs!$E623, K$24)+COUNTIF(Logs!$E640, K$24)+COUNTIF(Logs!$E655, K$24)+COUNTIF(Logs!$E671, K$24)</f>
        <v>2</v>
      </c>
      <c r="L26" s="1432">
        <f>IF(K26&gt;0, K26/SUM($C26,$E26, $G26,$I26,$K26), "")</f>
        <v>5.2631578947368418E-2</v>
      </c>
      <c r="N26" s="1378" t="s">
        <v>185</v>
      </c>
      <c r="O26" s="319">
        <f>COUNTIF(Logs!$F9, O$24)+COUNTIF(Logs!$F27, O$24)+COUNTIF(Logs!$F45, O$24)+COUNTIF(Logs!$F63, O$24)+COUNTIF(Logs!$F81, O$24)+COUNTIF(Logs!$F100, O$24)+COUNTIF(Logs!$F120, O$24)+COUNTIF(Logs!$F139, O$24)+COUNTIF(Logs!$F159, O$24)+COUNTIF(Logs!$F177, O$24)+COUNTIF(Logs!$F198, O$24)+COUNTIF(Logs!$F215, O$24)+COUNTIF(Logs!$F233, O$24)+COUNTIF(Logs!$F250, O$24)+COUNTIF(Logs!$F267, O$24)+COUNTIF(Logs!$F285, O$24)+COUNTIF(Logs!$F302, O$24)+COUNTIF(Logs!$F320, O$24)+COUNTIF(Logs!$F338, O$24)+COUNTIF(Logs!$F356, O$24)+COUNTIF(Logs!$F374, O$24)+COUNTIF(Logs!$F393, O$24)+COUNTIF(Logs!$F411, O$24)+COUNTIF(Logs!$F429, O$24)+COUNTIF(Logs!$F447, O$24)+COUNTIF(Logs!$F465, O$24)+COUNTIF(Logs!$F483, O$24)+COUNTIF(Logs!$F501, O$24)+COUNTIF(Logs!$F519, O$24)+COUNTIF(Logs!$F537, O$24)+COUNTIF(Logs!$F555, O$24)+COUNTIF(Logs!$F572, O$24)+COUNTIF(Logs!$F591, O$24)+COUNTIF(Logs!$F607, O$24)+COUNTIF(Logs!$F623, O$24)+COUNTIF(Logs!$F640, O$24)+COUNTIF(Logs!$F655, O$24)+COUNTIF(Logs!$F671, O$24)</f>
        <v>36</v>
      </c>
      <c r="P26" s="1448">
        <f>IF(O26&gt;0, O26/SUM($O26,$Q26, $S26,$U26,$W26), "")</f>
        <v>0.94736842105263153</v>
      </c>
      <c r="Q26" s="342">
        <f>COUNTIF(Logs!$F9, Q$24)+COUNTIF(Logs!$F27, Q$24)+COUNTIF(Logs!$F45, Q$24)+COUNTIF(Logs!$F63, Q$24)+COUNTIF(Logs!$F81, Q$24)+COUNTIF(Logs!$F100, Q$24)+COUNTIF(Logs!$F120, Q$24)+COUNTIF(Logs!$F139, Q$24)+COUNTIF(Logs!$F159, Q$24)+COUNTIF(Logs!$F177, Q$24)+COUNTIF(Logs!$F198, Q$24)+COUNTIF(Logs!$F215, Q$24)+COUNTIF(Logs!$F233, Q$24)+COUNTIF(Logs!$F250, Q$24)+COUNTIF(Logs!$F267, Q$24)+COUNTIF(Logs!$F285, Q$24)+COUNTIF(Logs!$F302, Q$24)+COUNTIF(Logs!$F320, Q$24)+COUNTIF(Logs!$F338, Q$24)+COUNTIF(Logs!$F356, Q$24)+COUNTIF(Logs!$F374, Q$24)+COUNTIF(Logs!$F393, Q$24)+COUNTIF(Logs!$F411, Q$24)+COUNTIF(Logs!$F429, Q$24)+COUNTIF(Logs!$F447, Q$24)+COUNTIF(Logs!$F465, Q$24)+COUNTIF(Logs!$F483, Q$24)+COUNTIF(Logs!$F501, Q$24)+COUNTIF(Logs!$F519, Q$24)+COUNTIF(Logs!$F537, Q$24)+COUNTIF(Logs!$F555, Q$24)+COUNTIF(Logs!$F572, Q$24)+COUNTIF(Logs!$F591, Q$24)+COUNTIF(Logs!$F607, Q$24)+COUNTIF(Logs!$F623, Q$24)+COUNTIF(Logs!$F640, Q$24)+COUNTIF(Logs!$F655, Q$24)+COUNTIF(Logs!$F671, Q$24)</f>
        <v>0</v>
      </c>
      <c r="R26" s="1437" t="str">
        <f>IF(Q26&gt;0, Q26/SUM($O26,$Q26, $S26,$U26,$W26), "")</f>
        <v/>
      </c>
      <c r="S26" s="1439">
        <f>COUNTIF(Logs!$F9, S$24)+COUNTIF(Logs!$F27, S$24)+COUNTIF(Logs!$F45, S$24)+COUNTIF(Logs!$F63, S$24)+COUNTIF(Logs!$F81, S$24)+COUNTIF(Logs!$F100, S$24)+COUNTIF(Logs!$F120, S$24)+COUNTIF(Logs!$F139, S$24)+COUNTIF(Logs!$F159, S$24)+COUNTIF(Logs!$F177, S$24)+COUNTIF(Logs!$F198, S$24)+COUNTIF(Logs!$F215, S$24)+COUNTIF(Logs!$F233, S$24)+COUNTIF(Logs!$F250, S$24)+COUNTIF(Logs!$F267, S$24)+COUNTIF(Logs!$F285, S$24)+COUNTIF(Logs!$F302, S$24)+COUNTIF(Logs!$F320, S$24)+COUNTIF(Logs!$F338, S$24)+COUNTIF(Logs!$F356, S$24)+COUNTIF(Logs!$F374, S$24)+COUNTIF(Logs!$F393, S$24)+COUNTIF(Logs!$F411, S$24)+COUNTIF(Logs!$F429, S$24)+COUNTIF(Logs!$F447, S$24)+COUNTIF(Logs!$F465, S$24)+COUNTIF(Logs!$F483, S$24)+COUNTIF(Logs!$F501, S$24)+COUNTIF(Logs!$F519, S$24)+COUNTIF(Logs!$F537, S$24)+COUNTIF(Logs!$F555, S$24)+COUNTIF(Logs!$F572, S$24)+COUNTIF(Logs!$F591, S$24)+COUNTIF(Logs!$F607, S$24)+COUNTIF(Logs!$F623, S$24)+COUNTIF(Logs!$F640, S$24)+COUNTIF(Logs!$F655, S$24)+COUNTIF(Logs!$F671, S$24)</f>
        <v>0</v>
      </c>
      <c r="T26" s="1440" t="str">
        <f>IF(S26&gt;0, S26/SUM($O26,$Q26, $S26,$U26,$W26), "")</f>
        <v/>
      </c>
      <c r="U26" s="1443">
        <f>COUNTIF(Logs!$F9, U$24)+COUNTIF(Logs!$F27, U$24)+COUNTIF(Logs!$F45, U$24)+COUNTIF(Logs!$F63, U$24)+COUNTIF(Logs!$F81, U$24)+COUNTIF(Logs!$F100, U$24)+COUNTIF(Logs!$F120, U$24)+COUNTIF(Logs!$F139, U$24)+COUNTIF(Logs!$F159, U$24)+COUNTIF(Logs!$F177, U$24)+COUNTIF(Logs!$F198, U$24)+COUNTIF(Logs!$F215, U$24)+COUNTIF(Logs!$F233, U$24)+COUNTIF(Logs!$F250, U$24)+COUNTIF(Logs!$F267, U$24)+COUNTIF(Logs!$F285, U$24)+COUNTIF(Logs!$F302, U$24)+COUNTIF(Logs!$F320, U$24)+COUNTIF(Logs!$F338, U$24)+COUNTIF(Logs!$F356, U$24)+COUNTIF(Logs!$F374, U$24)+COUNTIF(Logs!$F393, U$24)+COUNTIF(Logs!$F411, U$24)+COUNTIF(Logs!$F429, U$24)+COUNTIF(Logs!$F447, U$24)+COUNTIF(Logs!$F465, U$24)+COUNTIF(Logs!$F483, U$24)+COUNTIF(Logs!$F501, U$24)+COUNTIF(Logs!$F519, U$24)+COUNTIF(Logs!$F537, U$24)+COUNTIF(Logs!$F555, U$24)+COUNTIF(Logs!$F572, U$24)+COUNTIF(Logs!$F591, U$24)+COUNTIF(Logs!$F607, U$24)+COUNTIF(Logs!$F623, U$24)+COUNTIF(Logs!$F640, U$24)+COUNTIF(Logs!$F655, U$24)+COUNTIF(Logs!$F671, U$24)</f>
        <v>0</v>
      </c>
      <c r="V26" s="1444" t="str">
        <f>IF(U26&gt;0, U26/SUM($O26,$Q26, $S26,$U26,$W26), "")</f>
        <v/>
      </c>
      <c r="W26" s="1101">
        <f>COUNTIF(Logs!$F9, W$24)+COUNTIF(Logs!$F27, W$24)+COUNTIF(Logs!$F45, W$24)+COUNTIF(Logs!$F63, W$24)+COUNTIF(Logs!$F81, W$24)+COUNTIF(Logs!$F100, W$24)+COUNTIF(Logs!$F120, W$24)+COUNTIF(Logs!$F139, W$24)+COUNTIF(Logs!$F159, W$24)+COUNTIF(Logs!$F177, W$24)+COUNTIF(Logs!$F198, W$24)+COUNTIF(Logs!$F215, W$24)+COUNTIF(Logs!$F233, W$24)+COUNTIF(Logs!$F250, W$24)+COUNTIF(Logs!$F267, W$24)+COUNTIF(Logs!$F285, W$24)+COUNTIF(Logs!$F302, W$24)+COUNTIF(Logs!$F320, W$24)+COUNTIF(Logs!$F338, W$24)+COUNTIF(Logs!$F356, W$24)+COUNTIF(Logs!$F374, W$24)+COUNTIF(Logs!$F393, W$24)+COUNTIF(Logs!$F411, W$24)+COUNTIF(Logs!$F429, W$24)+COUNTIF(Logs!$F447, W$24)+COUNTIF(Logs!$F465, W$24)+COUNTIF(Logs!$F483, W$24)+COUNTIF(Logs!$F501, W$24)+COUNTIF(Logs!$F519, W$24)+COUNTIF(Logs!$F537, W$24)+COUNTIF(Logs!$F555, W$24)+COUNTIF(Logs!$F572, W$24)+COUNTIF(Logs!$F591, W$24)+COUNTIF(Logs!$F607, W$24)+COUNTIF(Logs!$F623, W$24)+COUNTIF(Logs!$F640, W$24)+COUNTIF(Logs!$F655, W$24)+COUNTIF(Logs!$F671, W$24)</f>
        <v>2</v>
      </c>
      <c r="X26" s="1432">
        <f>IF(W26&gt;0, W26/SUM($O26,$Q26, $S26,$U26,$W26), "")</f>
        <v>5.2631578947368418E-2</v>
      </c>
    </row>
    <row r="27" spans="2:24">
      <c r="B27" s="1378" t="s">
        <v>186</v>
      </c>
      <c r="C27" s="319">
        <f>COUNTIF(Logs!$E10, C$24)+COUNTIF(Logs!$E28, C$24)+COUNTIF(Logs!$E46, C$24)+COUNTIF(Logs!$E64, C$24)+COUNTIF(Logs!$E82, C$24)+COUNTIF(Logs!$E101, C$24)+COUNTIF(Logs!$E121, C$24)+COUNTIF(Logs!$E140, C$24)+COUNTIF(Logs!$E160, C$24)+COUNTIF(Logs!$E178, C$24)+COUNTIF(Logs!$E199, C$24)+COUNTIF(Logs!$E216, C$24)+COUNTIF(Logs!$E234, C$24)+COUNTIF(Logs!$E251, C$24)+COUNTIF(Logs!$E268, C$24)+COUNTIF(Logs!$E286, C$24)+COUNTIF(Logs!$E303, C$24)+COUNTIF(Logs!$E321, C$24)+COUNTIF(Logs!$E339, C$24)+COUNTIF(Logs!$E357, C$24)+COUNTIF(Logs!$E375, C$24)+COUNTIF(Logs!$E394, C$24)+COUNTIF(Logs!$E412, C$24)+COUNTIF(Logs!$E430, C$24)+COUNTIF(Logs!$E448, C$24)+COUNTIF(Logs!$E466, C$24)+COUNTIF(Logs!$E484, C$24)+COUNTIF(Logs!$E502, C$24)+COUNTIF(Logs!$E520, C$24)+COUNTIF(Logs!$E538, C$24)+COUNTIF(Logs!$E556, C$24)+COUNTIF(Logs!$E573, C$24)+COUNTIF(Logs!$E592, C$24)+COUNTIF(Logs!$E608, C$24)+COUNTIF(Logs!$E624, C$24)+COUNTIF(Logs!$E641, C$24)+COUNTIF(Logs!$E656, C$24)+COUNTIF(Logs!$E672, C$24)</f>
        <v>24</v>
      </c>
      <c r="D27" s="1448">
        <f t="shared" ref="D27:D38" si="10">IF(C27&gt;0, C27/SUM($C27,$E27, $G27,$I27,$K27), "")</f>
        <v>0.63157894736842102</v>
      </c>
      <c r="E27" s="342">
        <f>COUNTIF(Logs!$E10, E$24)+COUNTIF(Logs!$E28, E$24)+COUNTIF(Logs!$E46, E$24)+COUNTIF(Logs!$E64, E$24)+COUNTIF(Logs!$E82, E$24)+COUNTIF(Logs!$E101, E$24)+COUNTIF(Logs!$E121, E$24)+COUNTIF(Logs!$E140, E$24)+COUNTIF(Logs!$E160, E$24)+COUNTIF(Logs!$E178, E$24)+COUNTIF(Logs!$E199, E$24)+COUNTIF(Logs!$E216, E$24)+COUNTIF(Logs!$E234, E$24)+COUNTIF(Logs!$E251, E$24)+COUNTIF(Logs!$E268, E$24)+COUNTIF(Logs!$E286, E$24)+COUNTIF(Logs!$E303, E$24)+COUNTIF(Logs!$E321, E$24)+COUNTIF(Logs!$E339, E$24)+COUNTIF(Logs!$E357, E$24)+COUNTIF(Logs!$E375, E$24)+COUNTIF(Logs!$E394, E$24)+COUNTIF(Logs!$E412, E$24)+COUNTIF(Logs!$E430, E$24)+COUNTIF(Logs!$E448, E$24)+COUNTIF(Logs!$E466, E$24)+COUNTIF(Logs!$E484, E$24)+COUNTIF(Logs!$E502, E$24)+COUNTIF(Logs!$E520, E$24)+COUNTIF(Logs!$E538, E$24)+COUNTIF(Logs!$E556, E$24)+COUNTIF(Logs!$E573, E$24)+COUNTIF(Logs!$E592, E$24)+COUNTIF(Logs!$E608, E$24)+COUNTIF(Logs!$E624, E$24)+COUNTIF(Logs!$E641, E$24)+COUNTIF(Logs!$E656, E$24)+COUNTIF(Logs!$E672, E$24)</f>
        <v>6</v>
      </c>
      <c r="F27" s="1437">
        <f t="shared" ref="F27:F38" si="11">IF(E27&gt;0, E27/SUM($C27,$E27, $G27,$I27,$K27), "")</f>
        <v>0.15789473684210525</v>
      </c>
      <c r="G27" s="1439">
        <f>COUNTIF(Logs!$E10, G$24)+COUNTIF(Logs!$E28, G$24)+COUNTIF(Logs!$E46, G$24)+COUNTIF(Logs!$E64, G$24)+COUNTIF(Logs!$E82, G$24)+COUNTIF(Logs!$E101, G$24)+COUNTIF(Logs!$E121, G$24)+COUNTIF(Logs!$E140, G$24)+COUNTIF(Logs!$E160, G$24)+COUNTIF(Logs!$E178, G$24)+COUNTIF(Logs!$E199, G$24)+COUNTIF(Logs!$E216, G$24)+COUNTIF(Logs!$E234, G$24)+COUNTIF(Logs!$E251, G$24)+COUNTIF(Logs!$E268, G$24)+COUNTIF(Logs!$E286, G$24)+COUNTIF(Logs!$E303, G$24)+COUNTIF(Logs!$E321, G$24)+COUNTIF(Logs!$E339, G$24)+COUNTIF(Logs!$E357, G$24)+COUNTIF(Logs!$E375, G$24)+COUNTIF(Logs!$E394, G$24)+COUNTIF(Logs!$E412, G$24)+COUNTIF(Logs!$E430, G$24)+COUNTIF(Logs!$E448, G$24)+COUNTIF(Logs!$E466, G$24)+COUNTIF(Logs!$E484, G$24)+COUNTIF(Logs!$E502, G$24)+COUNTIF(Logs!$E520, G$24)+COUNTIF(Logs!$E538, G$24)+COUNTIF(Logs!$E556, G$24)+COUNTIF(Logs!$E573, G$24)+COUNTIF(Logs!$E592, G$24)+COUNTIF(Logs!$E608, G$24)+COUNTIF(Logs!$E624, G$24)+COUNTIF(Logs!$E641, G$24)+COUNTIF(Logs!$E656, G$24)+COUNTIF(Logs!$E672, G$24)</f>
        <v>6</v>
      </c>
      <c r="H27" s="1440">
        <f t="shared" ref="H27:H38" si="12">IF(G27&gt;0, G27/SUM($C27,$E27, $G27,$I27,$K27), "")</f>
        <v>0.15789473684210525</v>
      </c>
      <c r="I27" s="1443">
        <f>COUNTIF(Logs!$E10, I$24)+COUNTIF(Logs!$E28, I$24)+COUNTIF(Logs!$E46, I$24)+COUNTIF(Logs!$E64, I$24)+COUNTIF(Logs!$E82, I$24)+COUNTIF(Logs!$E101, I$24)+COUNTIF(Logs!$E121, I$24)+COUNTIF(Logs!$E140, I$24)+COUNTIF(Logs!$E160, I$24)+COUNTIF(Logs!$E178, I$24)+COUNTIF(Logs!$E199, I$24)+COUNTIF(Logs!$E216, I$24)+COUNTIF(Logs!$E234, I$24)+COUNTIF(Logs!$E251, I$24)+COUNTIF(Logs!$E268, I$24)+COUNTIF(Logs!$E286, I$24)+COUNTIF(Logs!$E303, I$24)+COUNTIF(Logs!$E321, I$24)+COUNTIF(Logs!$E339, I$24)+COUNTIF(Logs!$E357, I$24)+COUNTIF(Logs!$E375, I$24)+COUNTIF(Logs!$E394, I$24)+COUNTIF(Logs!$E412, I$24)+COUNTIF(Logs!$E430, I$24)+COUNTIF(Logs!$E448, I$24)+COUNTIF(Logs!$E466, I$24)+COUNTIF(Logs!$E484, I$24)+COUNTIF(Logs!$E502, I$24)+COUNTIF(Logs!$E520, I$24)+COUNTIF(Logs!$E538, I$24)+COUNTIF(Logs!$E556, I$24)+COUNTIF(Logs!$E573, I$24)+COUNTIF(Logs!$E592, I$24)+COUNTIF(Logs!$E608, I$24)+COUNTIF(Logs!$E624, I$24)+COUNTIF(Logs!$E641, I$24)+COUNTIF(Logs!$E656, I$24)+COUNTIF(Logs!$E672, I$24)</f>
        <v>0</v>
      </c>
      <c r="J27" s="1444" t="str">
        <f t="shared" ref="J27:J38" si="13">IF(I27&gt;0, I27/SUM($C27,$E27, $G27,$I27,$K27), "")</f>
        <v/>
      </c>
      <c r="K27" s="1101">
        <f>COUNTIF(Logs!$E10, K$24)+COUNTIF(Logs!$E28, K$24)+COUNTIF(Logs!$E46, K$24)+COUNTIF(Logs!$E64, K$24)+COUNTIF(Logs!$E82, K$24)+COUNTIF(Logs!$E101, K$24)+COUNTIF(Logs!$E121, K$24)+COUNTIF(Logs!$E140, K$24)+COUNTIF(Logs!$E160, K$24)+COUNTIF(Logs!$E178, K$24)+COUNTIF(Logs!$E199, K$24)+COUNTIF(Logs!$E216, K$24)+COUNTIF(Logs!$E234, K$24)+COUNTIF(Logs!$E251, K$24)+COUNTIF(Logs!$E268, K$24)+COUNTIF(Logs!$E286, K$24)+COUNTIF(Logs!$E303, K$24)+COUNTIF(Logs!$E321, K$24)+COUNTIF(Logs!$E339, K$24)+COUNTIF(Logs!$E357, K$24)+COUNTIF(Logs!$E375, K$24)+COUNTIF(Logs!$E394, K$24)+COUNTIF(Logs!$E412, K$24)+COUNTIF(Logs!$E430, K$24)+COUNTIF(Logs!$E448, K$24)+COUNTIF(Logs!$E466, K$24)+COUNTIF(Logs!$E484, K$24)+COUNTIF(Logs!$E502, K$24)+COUNTIF(Logs!$E520, K$24)+COUNTIF(Logs!$E538, K$24)+COUNTIF(Logs!$E556, K$24)+COUNTIF(Logs!$E573, K$24)+COUNTIF(Logs!$E592, K$24)+COUNTIF(Logs!$E608, K$24)+COUNTIF(Logs!$E624, K$24)+COUNTIF(Logs!$E641, K$24)+COUNTIF(Logs!$E656, K$24)+COUNTIF(Logs!$E672, K$24)</f>
        <v>2</v>
      </c>
      <c r="L27" s="1432">
        <f t="shared" ref="L27:L38" si="14">IF(K27&gt;0, K27/SUM($C27,$E27, $G27,$I27,$K27), "")</f>
        <v>5.2631578947368418E-2</v>
      </c>
      <c r="N27" s="1378" t="s">
        <v>186</v>
      </c>
      <c r="O27" s="319">
        <f>COUNTIF(Logs!$F10, O$24)+COUNTIF(Logs!$F28, O$24)+COUNTIF(Logs!$F46, O$24)+COUNTIF(Logs!$F64, O$24)+COUNTIF(Logs!$F82, O$24)+COUNTIF(Logs!$F101, O$24)+COUNTIF(Logs!$F121, O$24)+COUNTIF(Logs!$F140, O$24)+COUNTIF(Logs!$F160, O$24)+COUNTIF(Logs!$F178, O$24)+COUNTIF(Logs!$F199, O$24)+COUNTIF(Logs!$F216, O$24)+COUNTIF(Logs!$F234, O$24)+COUNTIF(Logs!$F251, O$24)+COUNTIF(Logs!$F268, O$24)+COUNTIF(Logs!$F286, O$24)+COUNTIF(Logs!$F303, O$24)+COUNTIF(Logs!$F321, O$24)+COUNTIF(Logs!$F339, O$24)+COUNTIF(Logs!$F357, O$24)+COUNTIF(Logs!$F375, O$24)+COUNTIF(Logs!$F394, O$24)+COUNTIF(Logs!$F412, O$24)+COUNTIF(Logs!$F430, O$24)+COUNTIF(Logs!$F448, O$24)+COUNTIF(Logs!$F466, O$24)+COUNTIF(Logs!$F484, O$24)+COUNTIF(Logs!$F502, O$24)+COUNTIF(Logs!$F520, O$24)+COUNTIF(Logs!$F538, O$24)+COUNTIF(Logs!$F556, O$24)+COUNTIF(Logs!$F573, O$24)+COUNTIF(Logs!$F592, O$24)+COUNTIF(Logs!$F608, O$24)+COUNTIF(Logs!$F624, O$24)+COUNTIF(Logs!$F641, O$24)+COUNTIF(Logs!$F656, O$24)+COUNTIF(Logs!$F672, O$24)</f>
        <v>18</v>
      </c>
      <c r="P27" s="1448">
        <f t="shared" ref="P27:P38" si="15">IF(O27&gt;0, O27/SUM($O27,$Q27, $S27,$U27,$W27), "")</f>
        <v>0.47368421052631576</v>
      </c>
      <c r="Q27" s="342">
        <f>COUNTIF(Logs!$F10, Q$24)+COUNTIF(Logs!$F28, Q$24)+COUNTIF(Logs!$F46, Q$24)+COUNTIF(Logs!$F64, Q$24)+COUNTIF(Logs!$F82, Q$24)+COUNTIF(Logs!$F101, Q$24)+COUNTIF(Logs!$F121, Q$24)+COUNTIF(Logs!$F140, Q$24)+COUNTIF(Logs!$F160, Q$24)+COUNTIF(Logs!$F178, Q$24)+COUNTIF(Logs!$F199, Q$24)+COUNTIF(Logs!$F216, Q$24)+COUNTIF(Logs!$F234, Q$24)+COUNTIF(Logs!$F251, Q$24)+COUNTIF(Logs!$F268, Q$24)+COUNTIF(Logs!$F286, Q$24)+COUNTIF(Logs!$F303, Q$24)+COUNTIF(Logs!$F321, Q$24)+COUNTIF(Logs!$F339, Q$24)+COUNTIF(Logs!$F357, Q$24)+COUNTIF(Logs!$F375, Q$24)+COUNTIF(Logs!$F394, Q$24)+COUNTIF(Logs!$F412, Q$24)+COUNTIF(Logs!$F430, Q$24)+COUNTIF(Logs!$F448, Q$24)+COUNTIF(Logs!$F466, Q$24)+COUNTIF(Logs!$F484, Q$24)+COUNTIF(Logs!$F502, Q$24)+COUNTIF(Logs!$F520, Q$24)+COUNTIF(Logs!$F538, Q$24)+COUNTIF(Logs!$F556, Q$24)+COUNTIF(Logs!$F573, Q$24)+COUNTIF(Logs!$F592, Q$24)+COUNTIF(Logs!$F608, Q$24)+COUNTIF(Logs!$F624, Q$24)+COUNTIF(Logs!$F641, Q$24)+COUNTIF(Logs!$F656, Q$24)+COUNTIF(Logs!$F672, Q$24)</f>
        <v>6</v>
      </c>
      <c r="R27" s="1437">
        <f t="shared" ref="R27:R38" si="16">IF(Q27&gt;0, Q27/SUM($O27,$Q27, $S27,$U27,$W27), "")</f>
        <v>0.15789473684210525</v>
      </c>
      <c r="S27" s="1439">
        <f>COUNTIF(Logs!$F10, S$24)+COUNTIF(Logs!$F28, S$24)+COUNTIF(Logs!$F46, S$24)+COUNTIF(Logs!$F64, S$24)+COUNTIF(Logs!$F82, S$24)+COUNTIF(Logs!$F101, S$24)+COUNTIF(Logs!$F121, S$24)+COUNTIF(Logs!$F140, S$24)+COUNTIF(Logs!$F160, S$24)+COUNTIF(Logs!$F178, S$24)+COUNTIF(Logs!$F199, S$24)+COUNTIF(Logs!$F216, S$24)+COUNTIF(Logs!$F234, S$24)+COUNTIF(Logs!$F251, S$24)+COUNTIF(Logs!$F268, S$24)+COUNTIF(Logs!$F286, S$24)+COUNTIF(Logs!$F303, S$24)+COUNTIF(Logs!$F321, S$24)+COUNTIF(Logs!$F339, S$24)+COUNTIF(Logs!$F357, S$24)+COUNTIF(Logs!$F375, S$24)+COUNTIF(Logs!$F394, S$24)+COUNTIF(Logs!$F412, S$24)+COUNTIF(Logs!$F430, S$24)+COUNTIF(Logs!$F448, S$24)+COUNTIF(Logs!$F466, S$24)+COUNTIF(Logs!$F484, S$24)+COUNTIF(Logs!$F502, S$24)+COUNTIF(Logs!$F520, S$24)+COUNTIF(Logs!$F538, S$24)+COUNTIF(Logs!$F556, S$24)+COUNTIF(Logs!$F573, S$24)+COUNTIF(Logs!$F592, S$24)+COUNTIF(Logs!$F608, S$24)+COUNTIF(Logs!$F624, S$24)+COUNTIF(Logs!$F641, S$24)+COUNTIF(Logs!$F656, S$24)+COUNTIF(Logs!$F672, S$24)</f>
        <v>9</v>
      </c>
      <c r="T27" s="1440">
        <f t="shared" ref="T27:T38" si="17">IF(S27&gt;0, S27/SUM($O27,$Q27, $S27,$U27,$W27), "")</f>
        <v>0.23684210526315788</v>
      </c>
      <c r="U27" s="1443">
        <f>COUNTIF(Logs!$F10, U$24)+COUNTIF(Logs!$F28, U$24)+COUNTIF(Logs!$F46, U$24)+COUNTIF(Logs!$F64, U$24)+COUNTIF(Logs!$F82, U$24)+COUNTIF(Logs!$F101, U$24)+COUNTIF(Logs!$F121, U$24)+COUNTIF(Logs!$F140, U$24)+COUNTIF(Logs!$F160, U$24)+COUNTIF(Logs!$F178, U$24)+COUNTIF(Logs!$F199, U$24)+COUNTIF(Logs!$F216, U$24)+COUNTIF(Logs!$F234, U$24)+COUNTIF(Logs!$F251, U$24)+COUNTIF(Logs!$F268, U$24)+COUNTIF(Logs!$F286, U$24)+COUNTIF(Logs!$F303, U$24)+COUNTIF(Logs!$F321, U$24)+COUNTIF(Logs!$F339, U$24)+COUNTIF(Logs!$F357, U$24)+COUNTIF(Logs!$F375, U$24)+COUNTIF(Logs!$F394, U$24)+COUNTIF(Logs!$F412, U$24)+COUNTIF(Logs!$F430, U$24)+COUNTIF(Logs!$F448, U$24)+COUNTIF(Logs!$F466, U$24)+COUNTIF(Logs!$F484, U$24)+COUNTIF(Logs!$F502, U$24)+COUNTIF(Logs!$F520, U$24)+COUNTIF(Logs!$F538, U$24)+COUNTIF(Logs!$F556, U$24)+COUNTIF(Logs!$F573, U$24)+COUNTIF(Logs!$F592, U$24)+COUNTIF(Logs!$F608, U$24)+COUNTIF(Logs!$F624, U$24)+COUNTIF(Logs!$F641, U$24)+COUNTIF(Logs!$F656, U$24)+COUNTIF(Logs!$F672, U$24)</f>
        <v>3</v>
      </c>
      <c r="V27" s="1444">
        <f t="shared" ref="V27:V38" si="18">IF(U27&gt;0, U27/SUM($O27,$Q27, $S27,$U27,$W27), "")</f>
        <v>7.8947368421052627E-2</v>
      </c>
      <c r="W27" s="1101">
        <f>COUNTIF(Logs!$F10, W$24)+COUNTIF(Logs!$F28, W$24)+COUNTIF(Logs!$F46, W$24)+COUNTIF(Logs!$F64, W$24)+COUNTIF(Logs!$F82, W$24)+COUNTIF(Logs!$F101, W$24)+COUNTIF(Logs!$F121, W$24)+COUNTIF(Logs!$F140, W$24)+COUNTIF(Logs!$F160, W$24)+COUNTIF(Logs!$F178, W$24)+COUNTIF(Logs!$F199, W$24)+COUNTIF(Logs!$F216, W$24)+COUNTIF(Logs!$F234, W$24)+COUNTIF(Logs!$F251, W$24)+COUNTIF(Logs!$F268, W$24)+COUNTIF(Logs!$F286, W$24)+COUNTIF(Logs!$F303, W$24)+COUNTIF(Logs!$F321, W$24)+COUNTIF(Logs!$F339, W$24)+COUNTIF(Logs!$F357, W$24)+COUNTIF(Logs!$F375, W$24)+COUNTIF(Logs!$F394, W$24)+COUNTIF(Logs!$F412, W$24)+COUNTIF(Logs!$F430, W$24)+COUNTIF(Logs!$F448, W$24)+COUNTIF(Logs!$F466, W$24)+COUNTIF(Logs!$F484, W$24)+COUNTIF(Logs!$F502, W$24)+COUNTIF(Logs!$F520, W$24)+COUNTIF(Logs!$F538, W$24)+COUNTIF(Logs!$F556, W$24)+COUNTIF(Logs!$F573, W$24)+COUNTIF(Logs!$F592, W$24)+COUNTIF(Logs!$F608, W$24)+COUNTIF(Logs!$F624, W$24)+COUNTIF(Logs!$F641, W$24)+COUNTIF(Logs!$F656, W$24)+COUNTIF(Logs!$F672, W$24)</f>
        <v>2</v>
      </c>
      <c r="X27" s="1432">
        <f t="shared" ref="X27:X38" si="19">IF(W27&gt;0, W27/SUM($O27,$Q27, $S27,$U27,$W27), "")</f>
        <v>5.2631578947368418E-2</v>
      </c>
    </row>
    <row r="28" spans="2:24">
      <c r="B28" s="1378" t="s">
        <v>187</v>
      </c>
      <c r="C28" s="319">
        <f>COUNTIF(Logs!$E11, C$24)+COUNTIF(Logs!$E29, C$24)+COUNTIF(Logs!$E47, C$24)+COUNTIF(Logs!$E65, C$24)+COUNTIF(Logs!$E83, C$24)+COUNTIF(Logs!$E102, C$24)+COUNTIF(Logs!$E122, C$24)+COUNTIF(Logs!$E141, C$24)+COUNTIF(Logs!$E161, C$24)+COUNTIF(Logs!$E179, C$24)+COUNTIF(Logs!$E200, C$24)+COUNTIF(Logs!$E217, C$24)+COUNTIF(Logs!$E235, C$24)+COUNTIF(Logs!$E252, C$24)+COUNTIF(Logs!$E269, C$24)+COUNTIF(Logs!$E287, C$24)+COUNTIF(Logs!$E304, C$24)+COUNTIF(Logs!$E322, C$24)+COUNTIF(Logs!$E340, C$24)+COUNTIF(Logs!$E358, C$24)+COUNTIF(Logs!$E376, C$24)+COUNTIF(Logs!$E395, C$24)+COUNTIF(Logs!$E413, C$24)+COUNTIF(Logs!$E431, C$24)+COUNTIF(Logs!$E449, C$24)+COUNTIF(Logs!$E467, C$24)+COUNTIF(Logs!$E485, C$24)+COUNTIF(Logs!$E503, C$24)+COUNTIF(Logs!$E521, C$24)+COUNTIF(Logs!$E539, C$24)+COUNTIF(Logs!$E557, C$24)+COUNTIF(Logs!$E574, C$24)+COUNTIF(Logs!$E593, C$24)+COUNTIF(Logs!$E609, C$24)+COUNTIF(Logs!$E625, C$24)+COUNTIF(Logs!$E642, C$24)+COUNTIF(Logs!$E657, C$24)+COUNTIF(Logs!$E673, C$24)</f>
        <v>16</v>
      </c>
      <c r="D28" s="1448">
        <f t="shared" si="10"/>
        <v>0.42105263157894735</v>
      </c>
      <c r="E28" s="342">
        <f>COUNTIF(Logs!$E11, E$24)+COUNTIF(Logs!$E29, E$24)+COUNTIF(Logs!$E47, E$24)+COUNTIF(Logs!$E65, E$24)+COUNTIF(Logs!$E83, E$24)+COUNTIF(Logs!$E102, E$24)+COUNTIF(Logs!$E122, E$24)+COUNTIF(Logs!$E141, E$24)+COUNTIF(Logs!$E161, E$24)+COUNTIF(Logs!$E179, E$24)+COUNTIF(Logs!$E200, E$24)+COUNTIF(Logs!$E217, E$24)+COUNTIF(Logs!$E235, E$24)+COUNTIF(Logs!$E252, E$24)+COUNTIF(Logs!$E269, E$24)+COUNTIF(Logs!$E287, E$24)+COUNTIF(Logs!$E304, E$24)+COUNTIF(Logs!$E322, E$24)+COUNTIF(Logs!$E340, E$24)+COUNTIF(Logs!$E358, E$24)+COUNTIF(Logs!$E376, E$24)+COUNTIF(Logs!$E395, E$24)+COUNTIF(Logs!$E413, E$24)+COUNTIF(Logs!$E431, E$24)+COUNTIF(Logs!$E449, E$24)+COUNTIF(Logs!$E467, E$24)+COUNTIF(Logs!$E485, E$24)+COUNTIF(Logs!$E503, E$24)+COUNTIF(Logs!$E521, E$24)+COUNTIF(Logs!$E539, E$24)+COUNTIF(Logs!$E557, E$24)+COUNTIF(Logs!$E574, E$24)+COUNTIF(Logs!$E593, E$24)+COUNTIF(Logs!$E609, E$24)+COUNTIF(Logs!$E625, E$24)+COUNTIF(Logs!$E642, E$24)+COUNTIF(Logs!$E657, E$24)+COUNTIF(Logs!$E673, E$24)</f>
        <v>10</v>
      </c>
      <c r="F28" s="1437">
        <f t="shared" si="11"/>
        <v>0.26315789473684209</v>
      </c>
      <c r="G28" s="1439">
        <f>COUNTIF(Logs!$E11, G$24)+COUNTIF(Logs!$E29, G$24)+COUNTIF(Logs!$E47, G$24)+COUNTIF(Logs!$E65, G$24)+COUNTIF(Logs!$E83, G$24)+COUNTIF(Logs!$E102, G$24)+COUNTIF(Logs!$E122, G$24)+COUNTIF(Logs!$E141, G$24)+COUNTIF(Logs!$E161, G$24)+COUNTIF(Logs!$E179, G$24)+COUNTIF(Logs!$E200, G$24)+COUNTIF(Logs!$E217, G$24)+COUNTIF(Logs!$E235, G$24)+COUNTIF(Logs!$E252, G$24)+COUNTIF(Logs!$E269, G$24)+COUNTIF(Logs!$E287, G$24)+COUNTIF(Logs!$E304, G$24)+COUNTIF(Logs!$E322, G$24)+COUNTIF(Logs!$E340, G$24)+COUNTIF(Logs!$E358, G$24)+COUNTIF(Logs!$E376, G$24)+COUNTIF(Logs!$E395, G$24)+COUNTIF(Logs!$E413, G$24)+COUNTIF(Logs!$E431, G$24)+COUNTIF(Logs!$E449, G$24)+COUNTIF(Logs!$E467, G$24)+COUNTIF(Logs!$E485, G$24)+COUNTIF(Logs!$E503, G$24)+COUNTIF(Logs!$E521, G$24)+COUNTIF(Logs!$E539, G$24)+COUNTIF(Logs!$E557, G$24)+COUNTIF(Logs!$E574, G$24)+COUNTIF(Logs!$E593, G$24)+COUNTIF(Logs!$E609, G$24)+COUNTIF(Logs!$E625, G$24)+COUNTIF(Logs!$E642, G$24)+COUNTIF(Logs!$E657, G$24)+COUNTIF(Logs!$E673, G$24)</f>
        <v>12</v>
      </c>
      <c r="H28" s="1440">
        <f t="shared" si="12"/>
        <v>0.31578947368421051</v>
      </c>
      <c r="I28" s="1443">
        <f>COUNTIF(Logs!$E11, I$24)+COUNTIF(Logs!$E29, I$24)+COUNTIF(Logs!$E47, I$24)+COUNTIF(Logs!$E65, I$24)+COUNTIF(Logs!$E83, I$24)+COUNTIF(Logs!$E102, I$24)+COUNTIF(Logs!$E122, I$24)+COUNTIF(Logs!$E141, I$24)+COUNTIF(Logs!$E161, I$24)+COUNTIF(Logs!$E179, I$24)+COUNTIF(Logs!$E200, I$24)+COUNTIF(Logs!$E217, I$24)+COUNTIF(Logs!$E235, I$24)+COUNTIF(Logs!$E252, I$24)+COUNTIF(Logs!$E269, I$24)+COUNTIF(Logs!$E287, I$24)+COUNTIF(Logs!$E304, I$24)+COUNTIF(Logs!$E322, I$24)+COUNTIF(Logs!$E340, I$24)+COUNTIF(Logs!$E358, I$24)+COUNTIF(Logs!$E376, I$24)+COUNTIF(Logs!$E395, I$24)+COUNTIF(Logs!$E413, I$24)+COUNTIF(Logs!$E431, I$24)+COUNTIF(Logs!$E449, I$24)+COUNTIF(Logs!$E467, I$24)+COUNTIF(Logs!$E485, I$24)+COUNTIF(Logs!$E503, I$24)+COUNTIF(Logs!$E521, I$24)+COUNTIF(Logs!$E539, I$24)+COUNTIF(Logs!$E557, I$24)+COUNTIF(Logs!$E574, I$24)+COUNTIF(Logs!$E593, I$24)+COUNTIF(Logs!$E609, I$24)+COUNTIF(Logs!$E625, I$24)+COUNTIF(Logs!$E642, I$24)+COUNTIF(Logs!$E657, I$24)+COUNTIF(Logs!$E673, I$24)</f>
        <v>0</v>
      </c>
      <c r="J28" s="1444" t="str">
        <f t="shared" si="13"/>
        <v/>
      </c>
      <c r="K28" s="1101">
        <f>COUNTIF(Logs!$E11, K$24)+COUNTIF(Logs!$E29, K$24)+COUNTIF(Logs!$E47, K$24)+COUNTIF(Logs!$E65, K$24)+COUNTIF(Logs!$E83, K$24)+COUNTIF(Logs!$E102, K$24)+COUNTIF(Logs!$E122, K$24)+COUNTIF(Logs!$E141, K$24)+COUNTIF(Logs!$E161, K$24)+COUNTIF(Logs!$E179, K$24)+COUNTIF(Logs!$E200, K$24)+COUNTIF(Logs!$E217, K$24)+COUNTIF(Logs!$E235, K$24)+COUNTIF(Logs!$E252, K$24)+COUNTIF(Logs!$E269, K$24)+COUNTIF(Logs!$E287, K$24)+COUNTIF(Logs!$E304, K$24)+COUNTIF(Logs!$E322, K$24)+COUNTIF(Logs!$E340, K$24)+COUNTIF(Logs!$E358, K$24)+COUNTIF(Logs!$E376, K$24)+COUNTIF(Logs!$E395, K$24)+COUNTIF(Logs!$E413, K$24)+COUNTIF(Logs!$E431, K$24)+COUNTIF(Logs!$E449, K$24)+COUNTIF(Logs!$E467, K$24)+COUNTIF(Logs!$E485, K$24)+COUNTIF(Logs!$E503, K$24)+COUNTIF(Logs!$E521, K$24)+COUNTIF(Logs!$E539, K$24)+COUNTIF(Logs!$E557, K$24)+COUNTIF(Logs!$E574, K$24)+COUNTIF(Logs!$E593, K$24)+COUNTIF(Logs!$E609, K$24)+COUNTIF(Logs!$E625, K$24)+COUNTIF(Logs!$E642, K$24)+COUNTIF(Logs!$E657, K$24)+COUNTIF(Logs!$E673, K$24)</f>
        <v>0</v>
      </c>
      <c r="L28" s="1432" t="str">
        <f t="shared" si="14"/>
        <v/>
      </c>
      <c r="N28" s="1378" t="s">
        <v>187</v>
      </c>
      <c r="O28" s="319">
        <f>COUNTIF(Logs!$F11, O$24)+COUNTIF(Logs!$F29, O$24)+COUNTIF(Logs!$F47, O$24)+COUNTIF(Logs!$F65, O$24)+COUNTIF(Logs!$F83, O$24)+COUNTIF(Logs!$F102, O$24)+COUNTIF(Logs!$F122, O$24)+COUNTIF(Logs!$F141, O$24)+COUNTIF(Logs!$F161, O$24)+COUNTIF(Logs!$F179, O$24)+COUNTIF(Logs!$F200, O$24)+COUNTIF(Logs!$F217, O$24)+COUNTIF(Logs!$F235, O$24)+COUNTIF(Logs!$F252, O$24)+COUNTIF(Logs!$F269, O$24)+COUNTIF(Logs!$F287, O$24)+COUNTIF(Logs!$F304, O$24)+COUNTIF(Logs!$F322, O$24)+COUNTIF(Logs!$F340, O$24)+COUNTIF(Logs!$F358, O$24)+COUNTIF(Logs!$F376, O$24)+COUNTIF(Logs!$F395, O$24)+COUNTIF(Logs!$F413, O$24)+COUNTIF(Logs!$F431, O$24)+COUNTIF(Logs!$F449, O$24)+COUNTIF(Logs!$F467, O$24)+COUNTIF(Logs!$F485, O$24)+COUNTIF(Logs!$F503, O$24)+COUNTIF(Logs!$F521, O$24)+COUNTIF(Logs!$F539, O$24)+COUNTIF(Logs!$F557, O$24)+COUNTIF(Logs!$F574, O$24)+COUNTIF(Logs!$F593, O$24)+COUNTIF(Logs!$F609, O$24)+COUNTIF(Logs!$F625, O$24)+COUNTIF(Logs!$F642, O$24)+COUNTIF(Logs!$F657, O$24)+COUNTIF(Logs!$F673, O$24)</f>
        <v>23</v>
      </c>
      <c r="P28" s="1448">
        <f t="shared" si="15"/>
        <v>0.60526315789473684</v>
      </c>
      <c r="Q28" s="342">
        <f>COUNTIF(Logs!$F11, Q$24)+COUNTIF(Logs!$F29, Q$24)+COUNTIF(Logs!$F47, Q$24)+COUNTIF(Logs!$F65, Q$24)+COUNTIF(Logs!$F83, Q$24)+COUNTIF(Logs!$F102, Q$24)+COUNTIF(Logs!$F122, Q$24)+COUNTIF(Logs!$F141, Q$24)+COUNTIF(Logs!$F161, Q$24)+COUNTIF(Logs!$F179, Q$24)+COUNTIF(Logs!$F200, Q$24)+COUNTIF(Logs!$F217, Q$24)+COUNTIF(Logs!$F235, Q$24)+COUNTIF(Logs!$F252, Q$24)+COUNTIF(Logs!$F269, Q$24)+COUNTIF(Logs!$F287, Q$24)+COUNTIF(Logs!$F304, Q$24)+COUNTIF(Logs!$F322, Q$24)+COUNTIF(Logs!$F340, Q$24)+COUNTIF(Logs!$F358, Q$24)+COUNTIF(Logs!$F376, Q$24)+COUNTIF(Logs!$F395, Q$24)+COUNTIF(Logs!$F413, Q$24)+COUNTIF(Logs!$F431, Q$24)+COUNTIF(Logs!$F449, Q$24)+COUNTIF(Logs!$F467, Q$24)+COUNTIF(Logs!$F485, Q$24)+COUNTIF(Logs!$F503, Q$24)+COUNTIF(Logs!$F521, Q$24)+COUNTIF(Logs!$F539, Q$24)+COUNTIF(Logs!$F557, Q$24)+COUNTIF(Logs!$F574, Q$24)+COUNTIF(Logs!$F593, Q$24)+COUNTIF(Logs!$F609, Q$24)+COUNTIF(Logs!$F625, Q$24)+COUNTIF(Logs!$F642, Q$24)+COUNTIF(Logs!$F657, Q$24)+COUNTIF(Logs!$F673, Q$24)</f>
        <v>6</v>
      </c>
      <c r="R28" s="1437">
        <f t="shared" si="16"/>
        <v>0.15789473684210525</v>
      </c>
      <c r="S28" s="1439">
        <f>COUNTIF(Logs!$F11, S$24)+COUNTIF(Logs!$F29, S$24)+COUNTIF(Logs!$F47, S$24)+COUNTIF(Logs!$F65, S$24)+COUNTIF(Logs!$F83, S$24)+COUNTIF(Logs!$F102, S$24)+COUNTIF(Logs!$F122, S$24)+COUNTIF(Logs!$F141, S$24)+COUNTIF(Logs!$F161, S$24)+COUNTIF(Logs!$F179, S$24)+COUNTIF(Logs!$F200, S$24)+COUNTIF(Logs!$F217, S$24)+COUNTIF(Logs!$F235, S$24)+COUNTIF(Logs!$F252, S$24)+COUNTIF(Logs!$F269, S$24)+COUNTIF(Logs!$F287, S$24)+COUNTIF(Logs!$F304, S$24)+COUNTIF(Logs!$F322, S$24)+COUNTIF(Logs!$F340, S$24)+COUNTIF(Logs!$F358, S$24)+COUNTIF(Logs!$F376, S$24)+COUNTIF(Logs!$F395, S$24)+COUNTIF(Logs!$F413, S$24)+COUNTIF(Logs!$F431, S$24)+COUNTIF(Logs!$F449, S$24)+COUNTIF(Logs!$F467, S$24)+COUNTIF(Logs!$F485, S$24)+COUNTIF(Logs!$F503, S$24)+COUNTIF(Logs!$F521, S$24)+COUNTIF(Logs!$F539, S$24)+COUNTIF(Logs!$F557, S$24)+COUNTIF(Logs!$F574, S$24)+COUNTIF(Logs!$F593, S$24)+COUNTIF(Logs!$F609, S$24)+COUNTIF(Logs!$F625, S$24)+COUNTIF(Logs!$F642, S$24)+COUNTIF(Logs!$F657, S$24)+COUNTIF(Logs!$F673, S$24)</f>
        <v>6</v>
      </c>
      <c r="T28" s="1440">
        <f t="shared" si="17"/>
        <v>0.15789473684210525</v>
      </c>
      <c r="U28" s="1443">
        <f>COUNTIF(Logs!$F11, U$24)+COUNTIF(Logs!$F29, U$24)+COUNTIF(Logs!$F47, U$24)+COUNTIF(Logs!$F65, U$24)+COUNTIF(Logs!$F83, U$24)+COUNTIF(Logs!$F102, U$24)+COUNTIF(Logs!$F122, U$24)+COUNTIF(Logs!$F141, U$24)+COUNTIF(Logs!$F161, U$24)+COUNTIF(Logs!$F179, U$24)+COUNTIF(Logs!$F200, U$24)+COUNTIF(Logs!$F217, U$24)+COUNTIF(Logs!$F235, U$24)+COUNTIF(Logs!$F252, U$24)+COUNTIF(Logs!$F269, U$24)+COUNTIF(Logs!$F287, U$24)+COUNTIF(Logs!$F304, U$24)+COUNTIF(Logs!$F322, U$24)+COUNTIF(Logs!$F340, U$24)+COUNTIF(Logs!$F358, U$24)+COUNTIF(Logs!$F376, U$24)+COUNTIF(Logs!$F395, U$24)+COUNTIF(Logs!$F413, U$24)+COUNTIF(Logs!$F431, U$24)+COUNTIF(Logs!$F449, U$24)+COUNTIF(Logs!$F467, U$24)+COUNTIF(Logs!$F485, U$24)+COUNTIF(Logs!$F503, U$24)+COUNTIF(Logs!$F521, U$24)+COUNTIF(Logs!$F539, U$24)+COUNTIF(Logs!$F557, U$24)+COUNTIF(Logs!$F574, U$24)+COUNTIF(Logs!$F593, U$24)+COUNTIF(Logs!$F609, U$24)+COUNTIF(Logs!$F625, U$24)+COUNTIF(Logs!$F642, U$24)+COUNTIF(Logs!$F657, U$24)+COUNTIF(Logs!$F673, U$24)</f>
        <v>1</v>
      </c>
      <c r="V28" s="1444">
        <f t="shared" si="18"/>
        <v>2.6315789473684209E-2</v>
      </c>
      <c r="W28" s="1101">
        <f>COUNTIF(Logs!$F11, W$24)+COUNTIF(Logs!$F29, W$24)+COUNTIF(Logs!$F47, W$24)+COUNTIF(Logs!$F65, W$24)+COUNTIF(Logs!$F83, W$24)+COUNTIF(Logs!$F102, W$24)+COUNTIF(Logs!$F122, W$24)+COUNTIF(Logs!$F141, W$24)+COUNTIF(Logs!$F161, W$24)+COUNTIF(Logs!$F179, W$24)+COUNTIF(Logs!$F200, W$24)+COUNTIF(Logs!$F217, W$24)+COUNTIF(Logs!$F235, W$24)+COUNTIF(Logs!$F252, W$24)+COUNTIF(Logs!$F269, W$24)+COUNTIF(Logs!$F287, W$24)+COUNTIF(Logs!$F304, W$24)+COUNTIF(Logs!$F322, W$24)+COUNTIF(Logs!$F340, W$24)+COUNTIF(Logs!$F358, W$24)+COUNTIF(Logs!$F376, W$24)+COUNTIF(Logs!$F395, W$24)+COUNTIF(Logs!$F413, W$24)+COUNTIF(Logs!$F431, W$24)+COUNTIF(Logs!$F449, W$24)+COUNTIF(Logs!$F467, W$24)+COUNTIF(Logs!$F485, W$24)+COUNTIF(Logs!$F503, W$24)+COUNTIF(Logs!$F521, W$24)+COUNTIF(Logs!$F539, W$24)+COUNTIF(Logs!$F557, W$24)+COUNTIF(Logs!$F574, W$24)+COUNTIF(Logs!$F593, W$24)+COUNTIF(Logs!$F609, W$24)+COUNTIF(Logs!$F625, W$24)+COUNTIF(Logs!$F642, W$24)+COUNTIF(Logs!$F657, W$24)+COUNTIF(Logs!$F673, W$24)</f>
        <v>2</v>
      </c>
      <c r="X28" s="1432">
        <f t="shared" si="19"/>
        <v>5.2631578947368418E-2</v>
      </c>
    </row>
    <row r="29" spans="2:24">
      <c r="B29" s="1378" t="s">
        <v>188</v>
      </c>
      <c r="C29" s="319">
        <f>COUNTIF(Logs!$E12, C$24)+COUNTIF(Logs!$E30, C$24)+COUNTIF(Logs!$E48, C$24)+COUNTIF(Logs!$E66, C$24)+COUNTIF(Logs!$E84, C$24)+COUNTIF(Logs!$E103, C$24)+COUNTIF(Logs!$E123, C$24)+COUNTIF(Logs!$E142, C$24)+COUNTIF(Logs!$E162, C$24)+COUNTIF(Logs!$E180, C$24)+COUNTIF(Logs!$E201, C$24)+COUNTIF(Logs!$E218, C$24)+COUNTIF(Logs!$E236, C$24)+COUNTIF(Logs!$E253, C$24)+COUNTIF(Logs!$E270, C$24)+COUNTIF(Logs!$E288, C$24)+COUNTIF(Logs!$E305, C$24)+COUNTIF(Logs!$E323, C$24)+COUNTIF(Logs!$E341, C$24)+COUNTIF(Logs!$E359, C$24)+COUNTIF(Logs!$E377, C$24)+COUNTIF(Logs!$E396, C$24)+COUNTIF(Logs!$E414, C$24)+COUNTIF(Logs!$E432, C$24)+COUNTIF(Logs!$E450, C$24)+COUNTIF(Logs!$E468, C$24)+COUNTIF(Logs!$E486, C$24)+COUNTIF(Logs!$E504, C$24)+COUNTIF(Logs!$E522, C$24)+COUNTIF(Logs!$E540, C$24)+COUNTIF(Logs!$E558, C$24)+COUNTIF(Logs!$E575, C$24)+COUNTIF(Logs!$E594, C$24)+COUNTIF(Logs!$E610, C$24)+COUNTIF(Logs!$E626, C$24)+COUNTIF(Logs!$E643, C$24)+COUNTIF(Logs!$E658, C$24)+COUNTIF(Logs!$E674, C$24)</f>
        <v>24</v>
      </c>
      <c r="D29" s="1448">
        <f t="shared" si="10"/>
        <v>0.63157894736842102</v>
      </c>
      <c r="E29" s="342">
        <f>COUNTIF(Logs!$E12, E$24)+COUNTIF(Logs!$E30, E$24)+COUNTIF(Logs!$E48, E$24)+COUNTIF(Logs!$E66, E$24)+COUNTIF(Logs!$E84, E$24)+COUNTIF(Logs!$E103, E$24)+COUNTIF(Logs!$E123, E$24)+COUNTIF(Logs!$E142, E$24)+COUNTIF(Logs!$E162, E$24)+COUNTIF(Logs!$E180, E$24)+COUNTIF(Logs!$E201, E$24)+COUNTIF(Logs!$E218, E$24)+COUNTIF(Logs!$E236, E$24)+COUNTIF(Logs!$E253, E$24)+COUNTIF(Logs!$E270, E$24)+COUNTIF(Logs!$E288, E$24)+COUNTIF(Logs!$E305, E$24)+COUNTIF(Logs!$E323, E$24)+COUNTIF(Logs!$E341, E$24)+COUNTIF(Logs!$E359, E$24)+COUNTIF(Logs!$E377, E$24)+COUNTIF(Logs!$E396, E$24)+COUNTIF(Logs!$E414, E$24)+COUNTIF(Logs!$E432, E$24)+COUNTIF(Logs!$E450, E$24)+COUNTIF(Logs!$E468, E$24)+COUNTIF(Logs!$E486, E$24)+COUNTIF(Logs!$E504, E$24)+COUNTIF(Logs!$E522, E$24)+COUNTIF(Logs!$E540, E$24)+COUNTIF(Logs!$E558, E$24)+COUNTIF(Logs!$E575, E$24)+COUNTIF(Logs!$E594, E$24)+COUNTIF(Logs!$E610, E$24)+COUNTIF(Logs!$E626, E$24)+COUNTIF(Logs!$E643, E$24)+COUNTIF(Logs!$E658, E$24)+COUNTIF(Logs!$E674, E$24)</f>
        <v>5</v>
      </c>
      <c r="F29" s="1437">
        <f t="shared" si="11"/>
        <v>0.13157894736842105</v>
      </c>
      <c r="G29" s="1439">
        <f>COUNTIF(Logs!$E12, G$24)+COUNTIF(Logs!$E30, G$24)+COUNTIF(Logs!$E48, G$24)+COUNTIF(Logs!$E66, G$24)+COUNTIF(Logs!$E84, G$24)+COUNTIF(Logs!$E103, G$24)+COUNTIF(Logs!$E123, G$24)+COUNTIF(Logs!$E142, G$24)+COUNTIF(Logs!$E162, G$24)+COUNTIF(Logs!$E180, G$24)+COUNTIF(Logs!$E201, G$24)+COUNTIF(Logs!$E218, G$24)+COUNTIF(Logs!$E236, G$24)+COUNTIF(Logs!$E253, G$24)+COUNTIF(Logs!$E270, G$24)+COUNTIF(Logs!$E288, G$24)+COUNTIF(Logs!$E305, G$24)+COUNTIF(Logs!$E323, G$24)+COUNTIF(Logs!$E341, G$24)+COUNTIF(Logs!$E359, G$24)+COUNTIF(Logs!$E377, G$24)+COUNTIF(Logs!$E396, G$24)+COUNTIF(Logs!$E414, G$24)+COUNTIF(Logs!$E432, G$24)+COUNTIF(Logs!$E450, G$24)+COUNTIF(Logs!$E468, G$24)+COUNTIF(Logs!$E486, G$24)+COUNTIF(Logs!$E504, G$24)+COUNTIF(Logs!$E522, G$24)+COUNTIF(Logs!$E540, G$24)+COUNTIF(Logs!$E558, G$24)+COUNTIF(Logs!$E575, G$24)+COUNTIF(Logs!$E594, G$24)+COUNTIF(Logs!$E610, G$24)+COUNTIF(Logs!$E626, G$24)+COUNTIF(Logs!$E643, G$24)+COUNTIF(Logs!$E658, G$24)+COUNTIF(Logs!$E674, G$24)</f>
        <v>9</v>
      </c>
      <c r="H29" s="1440">
        <f t="shared" si="12"/>
        <v>0.23684210526315788</v>
      </c>
      <c r="I29" s="1443">
        <f>COUNTIF(Logs!$E12, I$24)+COUNTIF(Logs!$E30, I$24)+COUNTIF(Logs!$E48, I$24)+COUNTIF(Logs!$E66, I$24)+COUNTIF(Logs!$E84, I$24)+COUNTIF(Logs!$E103, I$24)+COUNTIF(Logs!$E123, I$24)+COUNTIF(Logs!$E142, I$24)+COUNTIF(Logs!$E162, I$24)+COUNTIF(Logs!$E180, I$24)+COUNTIF(Logs!$E201, I$24)+COUNTIF(Logs!$E218, I$24)+COUNTIF(Logs!$E236, I$24)+COUNTIF(Logs!$E253, I$24)+COUNTIF(Logs!$E270, I$24)+COUNTIF(Logs!$E288, I$24)+COUNTIF(Logs!$E305, I$24)+COUNTIF(Logs!$E323, I$24)+COUNTIF(Logs!$E341, I$24)+COUNTIF(Logs!$E359, I$24)+COUNTIF(Logs!$E377, I$24)+COUNTIF(Logs!$E396, I$24)+COUNTIF(Logs!$E414, I$24)+COUNTIF(Logs!$E432, I$24)+COUNTIF(Logs!$E450, I$24)+COUNTIF(Logs!$E468, I$24)+COUNTIF(Logs!$E486, I$24)+COUNTIF(Logs!$E504, I$24)+COUNTIF(Logs!$E522, I$24)+COUNTIF(Logs!$E540, I$24)+COUNTIF(Logs!$E558, I$24)+COUNTIF(Logs!$E575, I$24)+COUNTIF(Logs!$E594, I$24)+COUNTIF(Logs!$E610, I$24)+COUNTIF(Logs!$E626, I$24)+COUNTIF(Logs!$E643, I$24)+COUNTIF(Logs!$E658, I$24)+COUNTIF(Logs!$E674, I$24)</f>
        <v>0</v>
      </c>
      <c r="J29" s="1444" t="str">
        <f t="shared" si="13"/>
        <v/>
      </c>
      <c r="K29" s="1101">
        <f>COUNTIF(Logs!$E12, K$24)+COUNTIF(Logs!$E30, K$24)+COUNTIF(Logs!$E48, K$24)+COUNTIF(Logs!$E66, K$24)+COUNTIF(Logs!$E84, K$24)+COUNTIF(Logs!$E103, K$24)+COUNTIF(Logs!$E123, K$24)+COUNTIF(Logs!$E142, K$24)+COUNTIF(Logs!$E162, K$24)+COUNTIF(Logs!$E180, K$24)+COUNTIF(Logs!$E201, K$24)+COUNTIF(Logs!$E218, K$24)+COUNTIF(Logs!$E236, K$24)+COUNTIF(Logs!$E253, K$24)+COUNTIF(Logs!$E270, K$24)+COUNTIF(Logs!$E288, K$24)+COUNTIF(Logs!$E305, K$24)+COUNTIF(Logs!$E323, K$24)+COUNTIF(Logs!$E341, K$24)+COUNTIF(Logs!$E359, K$24)+COUNTIF(Logs!$E377, K$24)+COUNTIF(Logs!$E396, K$24)+COUNTIF(Logs!$E414, K$24)+COUNTIF(Logs!$E432, K$24)+COUNTIF(Logs!$E450, K$24)+COUNTIF(Logs!$E468, K$24)+COUNTIF(Logs!$E486, K$24)+COUNTIF(Logs!$E504, K$24)+COUNTIF(Logs!$E522, K$24)+COUNTIF(Logs!$E540, K$24)+COUNTIF(Logs!$E558, K$24)+COUNTIF(Logs!$E575, K$24)+COUNTIF(Logs!$E594, K$24)+COUNTIF(Logs!$E610, K$24)+COUNTIF(Logs!$E626, K$24)+COUNTIF(Logs!$E643, K$24)+COUNTIF(Logs!$E658, K$24)+COUNTIF(Logs!$E674, K$24)</f>
        <v>0</v>
      </c>
      <c r="L29" s="1432" t="str">
        <f t="shared" si="14"/>
        <v/>
      </c>
      <c r="N29" s="1378" t="s">
        <v>188</v>
      </c>
      <c r="O29" s="319">
        <f>COUNTIF(Logs!$F12, O$24)+COUNTIF(Logs!$F30, O$24)+COUNTIF(Logs!$F48, O$24)+COUNTIF(Logs!$F66, O$24)+COUNTIF(Logs!$F84, O$24)+COUNTIF(Logs!$F103, O$24)+COUNTIF(Logs!$F123, O$24)+COUNTIF(Logs!$F142, O$24)+COUNTIF(Logs!$F162, O$24)+COUNTIF(Logs!$F180, O$24)+COUNTIF(Logs!$F201, O$24)+COUNTIF(Logs!$F218, O$24)+COUNTIF(Logs!$F236, O$24)+COUNTIF(Logs!$F253, O$24)+COUNTIF(Logs!$F270, O$24)+COUNTIF(Logs!$F288, O$24)+COUNTIF(Logs!$F305, O$24)+COUNTIF(Logs!$F323, O$24)+COUNTIF(Logs!$F341, O$24)+COUNTIF(Logs!$F359, O$24)+COUNTIF(Logs!$F377, O$24)+COUNTIF(Logs!$F396, O$24)+COUNTIF(Logs!$F414, O$24)+COUNTIF(Logs!$F432, O$24)+COUNTIF(Logs!$F450, O$24)+COUNTIF(Logs!$F468, O$24)+COUNTIF(Logs!$F486, O$24)+COUNTIF(Logs!$F504, O$24)+COUNTIF(Logs!$F522, O$24)+COUNTIF(Logs!$F540, O$24)+COUNTIF(Logs!$F558, O$24)+COUNTIF(Logs!$F575, O$24)+COUNTIF(Logs!$F594, O$24)+COUNTIF(Logs!$F610, O$24)+COUNTIF(Logs!$F626, O$24)+COUNTIF(Logs!$F643, O$24)+COUNTIF(Logs!$F658, O$24)+COUNTIF(Logs!$F674, O$24)</f>
        <v>20</v>
      </c>
      <c r="P29" s="1448">
        <f t="shared" si="15"/>
        <v>0.52631578947368418</v>
      </c>
      <c r="Q29" s="342">
        <f>COUNTIF(Logs!$F12, Q$24)+COUNTIF(Logs!$F30, Q$24)+COUNTIF(Logs!$F48, Q$24)+COUNTIF(Logs!$F66, Q$24)+COUNTIF(Logs!$F84, Q$24)+COUNTIF(Logs!$F103, Q$24)+COUNTIF(Logs!$F123, Q$24)+COUNTIF(Logs!$F142, Q$24)+COUNTIF(Logs!$F162, Q$24)+COUNTIF(Logs!$F180, Q$24)+COUNTIF(Logs!$F201, Q$24)+COUNTIF(Logs!$F218, Q$24)+COUNTIF(Logs!$F236, Q$24)+COUNTIF(Logs!$F253, Q$24)+COUNTIF(Logs!$F270, Q$24)+COUNTIF(Logs!$F288, Q$24)+COUNTIF(Logs!$F305, Q$24)+COUNTIF(Logs!$F323, Q$24)+COUNTIF(Logs!$F341, Q$24)+COUNTIF(Logs!$F359, Q$24)+COUNTIF(Logs!$F377, Q$24)+COUNTIF(Logs!$F396, Q$24)+COUNTIF(Logs!$F414, Q$24)+COUNTIF(Logs!$F432, Q$24)+COUNTIF(Logs!$F450, Q$24)+COUNTIF(Logs!$F468, Q$24)+COUNTIF(Logs!$F486, Q$24)+COUNTIF(Logs!$F504, Q$24)+COUNTIF(Logs!$F522, Q$24)+COUNTIF(Logs!$F540, Q$24)+COUNTIF(Logs!$F558, Q$24)+COUNTIF(Logs!$F575, Q$24)+COUNTIF(Logs!$F594, Q$24)+COUNTIF(Logs!$F610, Q$24)+COUNTIF(Logs!$F626, Q$24)+COUNTIF(Logs!$F643, Q$24)+COUNTIF(Logs!$F658, Q$24)+COUNTIF(Logs!$F674, Q$24)</f>
        <v>11</v>
      </c>
      <c r="R29" s="1437">
        <f t="shared" si="16"/>
        <v>0.28947368421052633</v>
      </c>
      <c r="S29" s="1439">
        <f>COUNTIF(Logs!$F12, S$24)+COUNTIF(Logs!$F30, S$24)+COUNTIF(Logs!$F48, S$24)+COUNTIF(Logs!$F66, S$24)+COUNTIF(Logs!$F84, S$24)+COUNTIF(Logs!$F103, S$24)+COUNTIF(Logs!$F123, S$24)+COUNTIF(Logs!$F142, S$24)+COUNTIF(Logs!$F162, S$24)+COUNTIF(Logs!$F180, S$24)+COUNTIF(Logs!$F201, S$24)+COUNTIF(Logs!$F218, S$24)+COUNTIF(Logs!$F236, S$24)+COUNTIF(Logs!$F253, S$24)+COUNTIF(Logs!$F270, S$24)+COUNTIF(Logs!$F288, S$24)+COUNTIF(Logs!$F305, S$24)+COUNTIF(Logs!$F323, S$24)+COUNTIF(Logs!$F341, S$24)+COUNTIF(Logs!$F359, S$24)+COUNTIF(Logs!$F377, S$24)+COUNTIF(Logs!$F396, S$24)+COUNTIF(Logs!$F414, S$24)+COUNTIF(Logs!$F432, S$24)+COUNTIF(Logs!$F450, S$24)+COUNTIF(Logs!$F468, S$24)+COUNTIF(Logs!$F486, S$24)+COUNTIF(Logs!$F504, S$24)+COUNTIF(Logs!$F522, S$24)+COUNTIF(Logs!$F540, S$24)+COUNTIF(Logs!$F558, S$24)+COUNTIF(Logs!$F575, S$24)+COUNTIF(Logs!$F594, S$24)+COUNTIF(Logs!$F610, S$24)+COUNTIF(Logs!$F626, S$24)+COUNTIF(Logs!$F643, S$24)+COUNTIF(Logs!$F658, S$24)+COUNTIF(Logs!$F674, S$24)</f>
        <v>5</v>
      </c>
      <c r="T29" s="1440">
        <f t="shared" si="17"/>
        <v>0.13157894736842105</v>
      </c>
      <c r="U29" s="1443">
        <f>COUNTIF(Logs!$F12, U$24)+COUNTIF(Logs!$F30, U$24)+COUNTIF(Logs!$F48, U$24)+COUNTIF(Logs!$F66, U$24)+COUNTIF(Logs!$F84, U$24)+COUNTIF(Logs!$F103, U$24)+COUNTIF(Logs!$F123, U$24)+COUNTIF(Logs!$F142, U$24)+COUNTIF(Logs!$F162, U$24)+COUNTIF(Logs!$F180, U$24)+COUNTIF(Logs!$F201, U$24)+COUNTIF(Logs!$F218, U$24)+COUNTIF(Logs!$F236, U$24)+COUNTIF(Logs!$F253, U$24)+COUNTIF(Logs!$F270, U$24)+COUNTIF(Logs!$F288, U$24)+COUNTIF(Logs!$F305, U$24)+COUNTIF(Logs!$F323, U$24)+COUNTIF(Logs!$F341, U$24)+COUNTIF(Logs!$F359, U$24)+COUNTIF(Logs!$F377, U$24)+COUNTIF(Logs!$F396, U$24)+COUNTIF(Logs!$F414, U$24)+COUNTIF(Logs!$F432, U$24)+COUNTIF(Logs!$F450, U$24)+COUNTIF(Logs!$F468, U$24)+COUNTIF(Logs!$F486, U$24)+COUNTIF(Logs!$F504, U$24)+COUNTIF(Logs!$F522, U$24)+COUNTIF(Logs!$F540, U$24)+COUNTIF(Logs!$F558, U$24)+COUNTIF(Logs!$F575, U$24)+COUNTIF(Logs!$F594, U$24)+COUNTIF(Logs!$F610, U$24)+COUNTIF(Logs!$F626, U$24)+COUNTIF(Logs!$F643, U$24)+COUNTIF(Logs!$F658, U$24)+COUNTIF(Logs!$F674, U$24)</f>
        <v>0</v>
      </c>
      <c r="V29" s="1444" t="str">
        <f t="shared" si="18"/>
        <v/>
      </c>
      <c r="W29" s="1101">
        <f>COUNTIF(Logs!$F12, W$24)+COUNTIF(Logs!$F30, W$24)+COUNTIF(Logs!$F48, W$24)+COUNTIF(Logs!$F66, W$24)+COUNTIF(Logs!$F84, W$24)+COUNTIF(Logs!$F103, W$24)+COUNTIF(Logs!$F123, W$24)+COUNTIF(Logs!$F142, W$24)+COUNTIF(Logs!$F162, W$24)+COUNTIF(Logs!$F180, W$24)+COUNTIF(Logs!$F201, W$24)+COUNTIF(Logs!$F218, W$24)+COUNTIF(Logs!$F236, W$24)+COUNTIF(Logs!$F253, W$24)+COUNTIF(Logs!$F270, W$24)+COUNTIF(Logs!$F288, W$24)+COUNTIF(Logs!$F305, W$24)+COUNTIF(Logs!$F323, W$24)+COUNTIF(Logs!$F341, W$24)+COUNTIF(Logs!$F359, W$24)+COUNTIF(Logs!$F377, W$24)+COUNTIF(Logs!$F396, W$24)+COUNTIF(Logs!$F414, W$24)+COUNTIF(Logs!$F432, W$24)+COUNTIF(Logs!$F450, W$24)+COUNTIF(Logs!$F468, W$24)+COUNTIF(Logs!$F486, W$24)+COUNTIF(Logs!$F504, W$24)+COUNTIF(Logs!$F522, W$24)+COUNTIF(Logs!$F540, W$24)+COUNTIF(Logs!$F558, W$24)+COUNTIF(Logs!$F575, W$24)+COUNTIF(Logs!$F594, W$24)+COUNTIF(Logs!$F610, W$24)+COUNTIF(Logs!$F626, W$24)+COUNTIF(Logs!$F643, W$24)+COUNTIF(Logs!$F658, W$24)+COUNTIF(Logs!$F674, W$24)</f>
        <v>2</v>
      </c>
      <c r="X29" s="1432">
        <f t="shared" si="19"/>
        <v>5.2631578947368418E-2</v>
      </c>
    </row>
    <row r="30" spans="2:24">
      <c r="B30" s="1378" t="s">
        <v>189</v>
      </c>
      <c r="C30" s="319">
        <f>COUNTIF(Logs!$E13, C$24)+COUNTIF(Logs!$E31, C$24)+COUNTIF(Logs!$E49, C$24)+COUNTIF(Logs!$E67, C$24)+COUNTIF(Logs!$E85, C$24)+COUNTIF(Logs!$E104, C$24)+COUNTIF(Logs!$E124, C$24)+COUNTIF(Logs!$E143, C$24)+COUNTIF(Logs!$E163, C$24)+COUNTIF(Logs!$E181, C$24)+COUNTIF(Logs!$E202, C$24)+COUNTIF(Logs!$E219, C$24)+COUNTIF(Logs!$E237, C$24)+COUNTIF(Logs!$E254, C$24)+COUNTIF(Logs!$E271, C$24)+COUNTIF(Logs!$E289, C$24)+COUNTIF(Logs!$E306, C$24)+COUNTIF(Logs!$E324, C$24)+COUNTIF(Logs!$E342, C$24)+COUNTIF(Logs!$E360, C$24)+COUNTIF(Logs!$E378, C$24)+COUNTIF(Logs!$E397, C$24)+COUNTIF(Logs!$E415, C$24)+COUNTIF(Logs!$E433, C$24)+COUNTIF(Logs!$E451, C$24)+COUNTIF(Logs!$E469, C$24)+COUNTIF(Logs!$E487, C$24)+COUNTIF(Logs!$E505, C$24)+COUNTIF(Logs!$E523, C$24)+COUNTIF(Logs!$E541, C$24)+COUNTIF(Logs!$E559, C$24)+COUNTIF(Logs!$E576, C$24)+COUNTIF(Logs!$E595, C$24)+COUNTIF(Logs!$E611, C$24)+COUNTIF(Logs!$E627, C$24)+COUNTIF(Logs!$E644, C$24)+COUNTIF(Logs!$E659, C$24)+COUNTIF(Logs!$E675, C$24)</f>
        <v>19</v>
      </c>
      <c r="D30" s="1448">
        <f t="shared" si="10"/>
        <v>0.51351351351351349</v>
      </c>
      <c r="E30" s="342">
        <f>COUNTIF(Logs!$E13, E$24)+COUNTIF(Logs!$E31, E$24)+COUNTIF(Logs!$E49, E$24)+COUNTIF(Logs!$E67, E$24)+COUNTIF(Logs!$E85, E$24)+COUNTIF(Logs!$E104, E$24)+COUNTIF(Logs!$E124, E$24)+COUNTIF(Logs!$E143, E$24)+COUNTIF(Logs!$E163, E$24)+COUNTIF(Logs!$E181, E$24)+COUNTIF(Logs!$E202, E$24)+COUNTIF(Logs!$E219, E$24)+COUNTIF(Logs!$E237, E$24)+COUNTIF(Logs!$E254, E$24)+COUNTIF(Logs!$E271, E$24)+COUNTIF(Logs!$E289, E$24)+COUNTIF(Logs!$E306, E$24)+COUNTIF(Logs!$E324, E$24)+COUNTIF(Logs!$E342, E$24)+COUNTIF(Logs!$E360, E$24)+COUNTIF(Logs!$E378, E$24)+COUNTIF(Logs!$E397, E$24)+COUNTIF(Logs!$E415, E$24)+COUNTIF(Logs!$E433, E$24)+COUNTIF(Logs!$E451, E$24)+COUNTIF(Logs!$E469, E$24)+COUNTIF(Logs!$E487, E$24)+COUNTIF(Logs!$E505, E$24)+COUNTIF(Logs!$E523, E$24)+COUNTIF(Logs!$E541, E$24)+COUNTIF(Logs!$E559, E$24)+COUNTIF(Logs!$E576, E$24)+COUNTIF(Logs!$E595, E$24)+COUNTIF(Logs!$E611, E$24)+COUNTIF(Logs!$E627, E$24)+COUNTIF(Logs!$E644, E$24)+COUNTIF(Logs!$E659, E$24)+COUNTIF(Logs!$E675, E$24)</f>
        <v>10</v>
      </c>
      <c r="F30" s="1437">
        <f t="shared" si="11"/>
        <v>0.27027027027027029</v>
      </c>
      <c r="G30" s="1439">
        <f>COUNTIF(Logs!$E13, G$24)+COUNTIF(Logs!$E31, G$24)+COUNTIF(Logs!$E49, G$24)+COUNTIF(Logs!$E67, G$24)+COUNTIF(Logs!$E85, G$24)+COUNTIF(Logs!$E104, G$24)+COUNTIF(Logs!$E124, G$24)+COUNTIF(Logs!$E143, G$24)+COUNTIF(Logs!$E163, G$24)+COUNTIF(Logs!$E181, G$24)+COUNTIF(Logs!$E202, G$24)+COUNTIF(Logs!$E219, G$24)+COUNTIF(Logs!$E237, G$24)+COUNTIF(Logs!$E254, G$24)+COUNTIF(Logs!$E271, G$24)+COUNTIF(Logs!$E289, G$24)+COUNTIF(Logs!$E306, G$24)+COUNTIF(Logs!$E324, G$24)+COUNTIF(Logs!$E342, G$24)+COUNTIF(Logs!$E360, G$24)+COUNTIF(Logs!$E378, G$24)+COUNTIF(Logs!$E397, G$24)+COUNTIF(Logs!$E415, G$24)+COUNTIF(Logs!$E433, G$24)+COUNTIF(Logs!$E451, G$24)+COUNTIF(Logs!$E469, G$24)+COUNTIF(Logs!$E487, G$24)+COUNTIF(Logs!$E505, G$24)+COUNTIF(Logs!$E523, G$24)+COUNTIF(Logs!$E541, G$24)+COUNTIF(Logs!$E559, G$24)+COUNTIF(Logs!$E576, G$24)+COUNTIF(Logs!$E595, G$24)+COUNTIF(Logs!$E611, G$24)+COUNTIF(Logs!$E627, G$24)+COUNTIF(Logs!$E644, G$24)+COUNTIF(Logs!$E659, G$24)+COUNTIF(Logs!$E675, G$24)</f>
        <v>8</v>
      </c>
      <c r="H30" s="1440">
        <f t="shared" si="12"/>
        <v>0.21621621621621623</v>
      </c>
      <c r="I30" s="1443">
        <f>COUNTIF(Logs!$E13, I$24)+COUNTIF(Logs!$E31, I$24)+COUNTIF(Logs!$E49, I$24)+COUNTIF(Logs!$E67, I$24)+COUNTIF(Logs!$E85, I$24)+COUNTIF(Logs!$E104, I$24)+COUNTIF(Logs!$E124, I$24)+COUNTIF(Logs!$E143, I$24)+COUNTIF(Logs!$E163, I$24)+COUNTIF(Logs!$E181, I$24)+COUNTIF(Logs!$E202, I$24)+COUNTIF(Logs!$E219, I$24)+COUNTIF(Logs!$E237, I$24)+COUNTIF(Logs!$E254, I$24)+COUNTIF(Logs!$E271, I$24)+COUNTIF(Logs!$E289, I$24)+COUNTIF(Logs!$E306, I$24)+COUNTIF(Logs!$E324, I$24)+COUNTIF(Logs!$E342, I$24)+COUNTIF(Logs!$E360, I$24)+COUNTIF(Logs!$E378, I$24)+COUNTIF(Logs!$E397, I$24)+COUNTIF(Logs!$E415, I$24)+COUNTIF(Logs!$E433, I$24)+COUNTIF(Logs!$E451, I$24)+COUNTIF(Logs!$E469, I$24)+COUNTIF(Logs!$E487, I$24)+COUNTIF(Logs!$E505, I$24)+COUNTIF(Logs!$E523, I$24)+COUNTIF(Logs!$E541, I$24)+COUNTIF(Logs!$E559, I$24)+COUNTIF(Logs!$E576, I$24)+COUNTIF(Logs!$E595, I$24)+COUNTIF(Logs!$E611, I$24)+COUNTIF(Logs!$E627, I$24)+COUNTIF(Logs!$E644, I$24)+COUNTIF(Logs!$E659, I$24)+COUNTIF(Logs!$E675, I$24)</f>
        <v>0</v>
      </c>
      <c r="J30" s="1444" t="str">
        <f t="shared" si="13"/>
        <v/>
      </c>
      <c r="K30" s="1101">
        <f>COUNTIF(Logs!$E13, K$24)+COUNTIF(Logs!$E31, K$24)+COUNTIF(Logs!$E49, K$24)+COUNTIF(Logs!$E67, K$24)+COUNTIF(Logs!$E85, K$24)+COUNTIF(Logs!$E104, K$24)+COUNTIF(Logs!$E124, K$24)+COUNTIF(Logs!$E143, K$24)+COUNTIF(Logs!$E163, K$24)+COUNTIF(Logs!$E181, K$24)+COUNTIF(Logs!$E202, K$24)+COUNTIF(Logs!$E219, K$24)+COUNTIF(Logs!$E237, K$24)+COUNTIF(Logs!$E254, K$24)+COUNTIF(Logs!$E271, K$24)+COUNTIF(Logs!$E289, K$24)+COUNTIF(Logs!$E306, K$24)+COUNTIF(Logs!$E324, K$24)+COUNTIF(Logs!$E342, K$24)+COUNTIF(Logs!$E360, K$24)+COUNTIF(Logs!$E378, K$24)+COUNTIF(Logs!$E397, K$24)+COUNTIF(Logs!$E415, K$24)+COUNTIF(Logs!$E433, K$24)+COUNTIF(Logs!$E451, K$24)+COUNTIF(Logs!$E469, K$24)+COUNTIF(Logs!$E487, K$24)+COUNTIF(Logs!$E505, K$24)+COUNTIF(Logs!$E523, K$24)+COUNTIF(Logs!$E541, K$24)+COUNTIF(Logs!$E559, K$24)+COUNTIF(Logs!$E576, K$24)+COUNTIF(Logs!$E595, K$24)+COUNTIF(Logs!$E611, K$24)+COUNTIF(Logs!$E627, K$24)+COUNTIF(Logs!$E644, K$24)+COUNTIF(Logs!$E659, K$24)+COUNTIF(Logs!$E675, K$24)</f>
        <v>0</v>
      </c>
      <c r="L30" s="1432" t="str">
        <f t="shared" si="14"/>
        <v/>
      </c>
      <c r="N30" s="1378" t="s">
        <v>189</v>
      </c>
      <c r="O30" s="319">
        <f>COUNTIF(Logs!$F13, O$24)+COUNTIF(Logs!$F31, O$24)+COUNTIF(Logs!$F49, O$24)+COUNTIF(Logs!$F67, O$24)+COUNTIF(Logs!$F85, O$24)+COUNTIF(Logs!$F104, O$24)+COUNTIF(Logs!$F124, O$24)+COUNTIF(Logs!$F143, O$24)+COUNTIF(Logs!$F163, O$24)+COUNTIF(Logs!$F181, O$24)+COUNTIF(Logs!$F202, O$24)+COUNTIF(Logs!$F219, O$24)+COUNTIF(Logs!$F237, O$24)+COUNTIF(Logs!$F254, O$24)+COUNTIF(Logs!$F271, O$24)+COUNTIF(Logs!$F289, O$24)+COUNTIF(Logs!$F306, O$24)+COUNTIF(Logs!$F324, O$24)+COUNTIF(Logs!$F342, O$24)+COUNTIF(Logs!$F360, O$24)+COUNTIF(Logs!$F378, O$24)+COUNTIF(Logs!$F397, O$24)+COUNTIF(Logs!$F415, O$24)+COUNTIF(Logs!$F433, O$24)+COUNTIF(Logs!$F451, O$24)+COUNTIF(Logs!$F469, O$24)+COUNTIF(Logs!$F487, O$24)+COUNTIF(Logs!$F505, O$24)+COUNTIF(Logs!$F523, O$24)+COUNTIF(Logs!$F541, O$24)+COUNTIF(Logs!$F559, O$24)+COUNTIF(Logs!$F576, O$24)+COUNTIF(Logs!$F595, O$24)+COUNTIF(Logs!$F611, O$24)+COUNTIF(Logs!$F627, O$24)+COUNTIF(Logs!$F644, O$24)+COUNTIF(Logs!$F659, O$24)+COUNTIF(Logs!$F675, O$24)</f>
        <v>22</v>
      </c>
      <c r="P30" s="1448">
        <f t="shared" si="15"/>
        <v>0.59459459459459463</v>
      </c>
      <c r="Q30" s="342">
        <f>COUNTIF(Logs!$F13, Q$24)+COUNTIF(Logs!$F31, Q$24)+COUNTIF(Logs!$F49, Q$24)+COUNTIF(Logs!$F67, Q$24)+COUNTIF(Logs!$F85, Q$24)+COUNTIF(Logs!$F104, Q$24)+COUNTIF(Logs!$F124, Q$24)+COUNTIF(Logs!$F143, Q$24)+COUNTIF(Logs!$F163, Q$24)+COUNTIF(Logs!$F181, Q$24)+COUNTIF(Logs!$F202, Q$24)+COUNTIF(Logs!$F219, Q$24)+COUNTIF(Logs!$F237, Q$24)+COUNTIF(Logs!$F254, Q$24)+COUNTIF(Logs!$F271, Q$24)+COUNTIF(Logs!$F289, Q$24)+COUNTIF(Logs!$F306, Q$24)+COUNTIF(Logs!$F324, Q$24)+COUNTIF(Logs!$F342, Q$24)+COUNTIF(Logs!$F360, Q$24)+COUNTIF(Logs!$F378, Q$24)+COUNTIF(Logs!$F397, Q$24)+COUNTIF(Logs!$F415, Q$24)+COUNTIF(Logs!$F433, Q$24)+COUNTIF(Logs!$F451, Q$24)+COUNTIF(Logs!$F469, Q$24)+COUNTIF(Logs!$F487, Q$24)+COUNTIF(Logs!$F505, Q$24)+COUNTIF(Logs!$F523, Q$24)+COUNTIF(Logs!$F541, Q$24)+COUNTIF(Logs!$F559, Q$24)+COUNTIF(Logs!$F576, Q$24)+COUNTIF(Logs!$F595, Q$24)+COUNTIF(Logs!$F611, Q$24)+COUNTIF(Logs!$F627, Q$24)+COUNTIF(Logs!$F644, Q$24)+COUNTIF(Logs!$F659, Q$24)+COUNTIF(Logs!$F675, Q$24)</f>
        <v>9</v>
      </c>
      <c r="R30" s="1437">
        <f t="shared" si="16"/>
        <v>0.24324324324324326</v>
      </c>
      <c r="S30" s="1439">
        <f>COUNTIF(Logs!$F13, S$24)+COUNTIF(Logs!$F31, S$24)+COUNTIF(Logs!$F49, S$24)+COUNTIF(Logs!$F67, S$24)+COUNTIF(Logs!$F85, S$24)+COUNTIF(Logs!$F104, S$24)+COUNTIF(Logs!$F124, S$24)+COUNTIF(Logs!$F143, S$24)+COUNTIF(Logs!$F163, S$24)+COUNTIF(Logs!$F181, S$24)+COUNTIF(Logs!$F202, S$24)+COUNTIF(Logs!$F219, S$24)+COUNTIF(Logs!$F237, S$24)+COUNTIF(Logs!$F254, S$24)+COUNTIF(Logs!$F271, S$24)+COUNTIF(Logs!$F289, S$24)+COUNTIF(Logs!$F306, S$24)+COUNTIF(Logs!$F324, S$24)+COUNTIF(Logs!$F342, S$24)+COUNTIF(Logs!$F360, S$24)+COUNTIF(Logs!$F378, S$24)+COUNTIF(Logs!$F397, S$24)+COUNTIF(Logs!$F415, S$24)+COUNTIF(Logs!$F433, S$24)+COUNTIF(Logs!$F451, S$24)+COUNTIF(Logs!$F469, S$24)+COUNTIF(Logs!$F487, S$24)+COUNTIF(Logs!$F505, S$24)+COUNTIF(Logs!$F523, S$24)+COUNTIF(Logs!$F541, S$24)+COUNTIF(Logs!$F559, S$24)+COUNTIF(Logs!$F576, S$24)+COUNTIF(Logs!$F595, S$24)+COUNTIF(Logs!$F611, S$24)+COUNTIF(Logs!$F627, S$24)+COUNTIF(Logs!$F644, S$24)+COUNTIF(Logs!$F659, S$24)+COUNTIF(Logs!$F675, S$24)</f>
        <v>6</v>
      </c>
      <c r="T30" s="1440">
        <f t="shared" si="17"/>
        <v>0.16216216216216217</v>
      </c>
      <c r="U30" s="1443">
        <f>COUNTIF(Logs!$F13, U$24)+COUNTIF(Logs!$F31, U$24)+COUNTIF(Logs!$F49, U$24)+COUNTIF(Logs!$F67, U$24)+COUNTIF(Logs!$F85, U$24)+COUNTIF(Logs!$F104, U$24)+COUNTIF(Logs!$F124, U$24)+COUNTIF(Logs!$F143, U$24)+COUNTIF(Logs!$F163, U$24)+COUNTIF(Logs!$F181, U$24)+COUNTIF(Logs!$F202, U$24)+COUNTIF(Logs!$F219, U$24)+COUNTIF(Logs!$F237, U$24)+COUNTIF(Logs!$F254, U$24)+COUNTIF(Logs!$F271, U$24)+COUNTIF(Logs!$F289, U$24)+COUNTIF(Logs!$F306, U$24)+COUNTIF(Logs!$F324, U$24)+COUNTIF(Logs!$F342, U$24)+COUNTIF(Logs!$F360, U$24)+COUNTIF(Logs!$F378, U$24)+COUNTIF(Logs!$F397, U$24)+COUNTIF(Logs!$F415, U$24)+COUNTIF(Logs!$F433, U$24)+COUNTIF(Logs!$F451, U$24)+COUNTIF(Logs!$F469, U$24)+COUNTIF(Logs!$F487, U$24)+COUNTIF(Logs!$F505, U$24)+COUNTIF(Logs!$F523, U$24)+COUNTIF(Logs!$F541, U$24)+COUNTIF(Logs!$F559, U$24)+COUNTIF(Logs!$F576, U$24)+COUNTIF(Logs!$F595, U$24)+COUNTIF(Logs!$F611, U$24)+COUNTIF(Logs!$F627, U$24)+COUNTIF(Logs!$F644, U$24)+COUNTIF(Logs!$F659, U$24)+COUNTIF(Logs!$F675, U$24)</f>
        <v>0</v>
      </c>
      <c r="V30" s="1444" t="str">
        <f t="shared" si="18"/>
        <v/>
      </c>
      <c r="W30" s="1101">
        <f>COUNTIF(Logs!$F13, W$24)+COUNTIF(Logs!$F31, W$24)+COUNTIF(Logs!$F49, W$24)+COUNTIF(Logs!$F67, W$24)+COUNTIF(Logs!$F85, W$24)+COUNTIF(Logs!$F104, W$24)+COUNTIF(Logs!$F124, W$24)+COUNTIF(Logs!$F143, W$24)+COUNTIF(Logs!$F163, W$24)+COUNTIF(Logs!$F181, W$24)+COUNTIF(Logs!$F202, W$24)+COUNTIF(Logs!$F219, W$24)+COUNTIF(Logs!$F237, W$24)+COUNTIF(Logs!$F254, W$24)+COUNTIF(Logs!$F271, W$24)+COUNTIF(Logs!$F289, W$24)+COUNTIF(Logs!$F306, W$24)+COUNTIF(Logs!$F324, W$24)+COUNTIF(Logs!$F342, W$24)+COUNTIF(Logs!$F360, W$24)+COUNTIF(Logs!$F378, W$24)+COUNTIF(Logs!$F397, W$24)+COUNTIF(Logs!$F415, W$24)+COUNTIF(Logs!$F433, W$24)+COUNTIF(Logs!$F451, W$24)+COUNTIF(Logs!$F469, W$24)+COUNTIF(Logs!$F487, W$24)+COUNTIF(Logs!$F505, W$24)+COUNTIF(Logs!$F523, W$24)+COUNTIF(Logs!$F541, W$24)+COUNTIF(Logs!$F559, W$24)+COUNTIF(Logs!$F576, W$24)+COUNTIF(Logs!$F595, W$24)+COUNTIF(Logs!$F611, W$24)+COUNTIF(Logs!$F627, W$24)+COUNTIF(Logs!$F644, W$24)+COUNTIF(Logs!$F659, W$24)+COUNTIF(Logs!$F675, W$24)</f>
        <v>0</v>
      </c>
      <c r="X30" s="1432" t="str">
        <f t="shared" si="19"/>
        <v/>
      </c>
    </row>
    <row r="31" spans="2:24">
      <c r="B31" s="1378" t="s">
        <v>190</v>
      </c>
      <c r="C31" s="319">
        <f>COUNTIF(Logs!$E14, C$24)+COUNTIF(Logs!$E32, C$24)+COUNTIF(Logs!$E50, C$24)+COUNTIF(Logs!$E68, C$24)+COUNTIF(Logs!$E86, C$24)+COUNTIF(Logs!$E105, C$24)+COUNTIF(Logs!$E125, C$24)+COUNTIF(Logs!$E144, C$24)+COUNTIF(Logs!$E164, C$24)+COUNTIF(Logs!$E182, C$24)+COUNTIF(Logs!$E203, C$24)+COUNTIF(Logs!$E220, C$24)+COUNTIF(Logs!$E238, C$24)+COUNTIF(Logs!$E255, C$24)+COUNTIF(Logs!$E272, C$24)+COUNTIF(Logs!$E290, C$24)+COUNTIF(Logs!$E307, C$24)+COUNTIF(Logs!$E325, C$24)+COUNTIF(Logs!$E343, C$24)+COUNTIF(Logs!$E361, C$24)+COUNTIF(Logs!$E379, C$24)+COUNTIF(Logs!$E398, C$24)+COUNTIF(Logs!$E416, C$24)+COUNTIF(Logs!$E434, C$24)+COUNTIF(Logs!$E452, C$24)+COUNTIF(Logs!$E470, C$24)+COUNTIF(Logs!$E488, C$24)+COUNTIF(Logs!$E506, C$24)+COUNTIF(Logs!$E524, C$24)+COUNTIF(Logs!$E542, C$24)+COUNTIF(Logs!$E560, C$24)+COUNTIF(Logs!$E577, C$24)+COUNTIF(Logs!$E596, C$24)+COUNTIF(Logs!$E612, C$24)+COUNTIF(Logs!$E628, C$24)+COUNTIF(Logs!$E645, C$24)+COUNTIF(Logs!$E660, C$24)+COUNTIF(Logs!$E676, C$24)</f>
        <v>21</v>
      </c>
      <c r="D31" s="1448">
        <f t="shared" si="10"/>
        <v>0.75</v>
      </c>
      <c r="E31" s="342">
        <f>COUNTIF(Logs!$E14, E$24)+COUNTIF(Logs!$E32, E$24)+COUNTIF(Logs!$E50, E$24)+COUNTIF(Logs!$E68, E$24)+COUNTIF(Logs!$E86, E$24)+COUNTIF(Logs!$E105, E$24)+COUNTIF(Logs!$E125, E$24)+COUNTIF(Logs!$E144, E$24)+COUNTIF(Logs!$E164, E$24)+COUNTIF(Logs!$E182, E$24)+COUNTIF(Logs!$E203, E$24)+COUNTIF(Logs!$E220, E$24)+COUNTIF(Logs!$E238, E$24)+COUNTIF(Logs!$E255, E$24)+COUNTIF(Logs!$E272, E$24)+COUNTIF(Logs!$E290, E$24)+COUNTIF(Logs!$E307, E$24)+COUNTIF(Logs!$E325, E$24)+COUNTIF(Logs!$E343, E$24)+COUNTIF(Logs!$E361, E$24)+COUNTIF(Logs!$E379, E$24)+COUNTIF(Logs!$E398, E$24)+COUNTIF(Logs!$E416, E$24)+COUNTIF(Logs!$E434, E$24)+COUNTIF(Logs!$E452, E$24)+COUNTIF(Logs!$E470, E$24)+COUNTIF(Logs!$E488, E$24)+COUNTIF(Logs!$E506, E$24)+COUNTIF(Logs!$E524, E$24)+COUNTIF(Logs!$E542, E$24)+COUNTIF(Logs!$E560, E$24)+COUNTIF(Logs!$E577, E$24)+COUNTIF(Logs!$E596, E$24)+COUNTIF(Logs!$E612, E$24)+COUNTIF(Logs!$E628, E$24)+COUNTIF(Logs!$E645, E$24)+COUNTIF(Logs!$E660, E$24)+COUNTIF(Logs!$E676, E$24)</f>
        <v>5</v>
      </c>
      <c r="F31" s="1437">
        <f t="shared" si="11"/>
        <v>0.17857142857142858</v>
      </c>
      <c r="G31" s="1439">
        <f>COUNTIF(Logs!$E14, G$24)+COUNTIF(Logs!$E32, G$24)+COUNTIF(Logs!$E50, G$24)+COUNTIF(Logs!$E68, G$24)+COUNTIF(Logs!$E86, G$24)+COUNTIF(Logs!$E105, G$24)+COUNTIF(Logs!$E125, G$24)+COUNTIF(Logs!$E144, G$24)+COUNTIF(Logs!$E164, G$24)+COUNTIF(Logs!$E182, G$24)+COUNTIF(Logs!$E203, G$24)+COUNTIF(Logs!$E220, G$24)+COUNTIF(Logs!$E238, G$24)+COUNTIF(Logs!$E255, G$24)+COUNTIF(Logs!$E272, G$24)+COUNTIF(Logs!$E290, G$24)+COUNTIF(Logs!$E307, G$24)+COUNTIF(Logs!$E325, G$24)+COUNTIF(Logs!$E343, G$24)+COUNTIF(Logs!$E361, G$24)+COUNTIF(Logs!$E379, G$24)+COUNTIF(Logs!$E398, G$24)+COUNTIF(Logs!$E416, G$24)+COUNTIF(Logs!$E434, G$24)+COUNTIF(Logs!$E452, G$24)+COUNTIF(Logs!$E470, G$24)+COUNTIF(Logs!$E488, G$24)+COUNTIF(Logs!$E506, G$24)+COUNTIF(Logs!$E524, G$24)+COUNTIF(Logs!$E542, G$24)+COUNTIF(Logs!$E560, G$24)+COUNTIF(Logs!$E577, G$24)+COUNTIF(Logs!$E596, G$24)+COUNTIF(Logs!$E612, G$24)+COUNTIF(Logs!$E628, G$24)+COUNTIF(Logs!$E645, G$24)+COUNTIF(Logs!$E660, G$24)+COUNTIF(Logs!$E676, G$24)</f>
        <v>2</v>
      </c>
      <c r="H31" s="1440">
        <f t="shared" si="12"/>
        <v>7.1428571428571425E-2</v>
      </c>
      <c r="I31" s="1443">
        <f>COUNTIF(Logs!$E14, I$24)+COUNTIF(Logs!$E32, I$24)+COUNTIF(Logs!$E50, I$24)+COUNTIF(Logs!$E68, I$24)+COUNTIF(Logs!$E86, I$24)+COUNTIF(Logs!$E105, I$24)+COUNTIF(Logs!$E125, I$24)+COUNTIF(Logs!$E144, I$24)+COUNTIF(Logs!$E164, I$24)+COUNTIF(Logs!$E182, I$24)+COUNTIF(Logs!$E203, I$24)+COUNTIF(Logs!$E220, I$24)+COUNTIF(Logs!$E238, I$24)+COUNTIF(Logs!$E255, I$24)+COUNTIF(Logs!$E272, I$24)+COUNTIF(Logs!$E290, I$24)+COUNTIF(Logs!$E307, I$24)+COUNTIF(Logs!$E325, I$24)+COUNTIF(Logs!$E343, I$24)+COUNTIF(Logs!$E361, I$24)+COUNTIF(Logs!$E379, I$24)+COUNTIF(Logs!$E398, I$24)+COUNTIF(Logs!$E416, I$24)+COUNTIF(Logs!$E434, I$24)+COUNTIF(Logs!$E452, I$24)+COUNTIF(Logs!$E470, I$24)+COUNTIF(Logs!$E488, I$24)+COUNTIF(Logs!$E506, I$24)+COUNTIF(Logs!$E524, I$24)+COUNTIF(Logs!$E542, I$24)+COUNTIF(Logs!$E560, I$24)+COUNTIF(Logs!$E577, I$24)+COUNTIF(Logs!$E596, I$24)+COUNTIF(Logs!$E612, I$24)+COUNTIF(Logs!$E628, I$24)+COUNTIF(Logs!$E645, I$24)+COUNTIF(Logs!$E660, I$24)+COUNTIF(Logs!$E676, I$24)</f>
        <v>0</v>
      </c>
      <c r="J31" s="1444" t="str">
        <f t="shared" si="13"/>
        <v/>
      </c>
      <c r="K31" s="1101">
        <f>COUNTIF(Logs!$E14, K$24)+COUNTIF(Logs!$E32, K$24)+COUNTIF(Logs!$E50, K$24)+COUNTIF(Logs!$E68, K$24)+COUNTIF(Logs!$E86, K$24)+COUNTIF(Logs!$E105, K$24)+COUNTIF(Logs!$E125, K$24)+COUNTIF(Logs!$E144, K$24)+COUNTIF(Logs!$E164, K$24)+COUNTIF(Logs!$E182, K$24)+COUNTIF(Logs!$E203, K$24)+COUNTIF(Logs!$E220, K$24)+COUNTIF(Logs!$E238, K$24)+COUNTIF(Logs!$E255, K$24)+COUNTIF(Logs!$E272, K$24)+COUNTIF(Logs!$E290, K$24)+COUNTIF(Logs!$E307, K$24)+COUNTIF(Logs!$E325, K$24)+COUNTIF(Logs!$E343, K$24)+COUNTIF(Logs!$E361, K$24)+COUNTIF(Logs!$E379, K$24)+COUNTIF(Logs!$E398, K$24)+COUNTIF(Logs!$E416, K$24)+COUNTIF(Logs!$E434, K$24)+COUNTIF(Logs!$E452, K$24)+COUNTIF(Logs!$E470, K$24)+COUNTIF(Logs!$E488, K$24)+COUNTIF(Logs!$E506, K$24)+COUNTIF(Logs!$E524, K$24)+COUNTIF(Logs!$E542, K$24)+COUNTIF(Logs!$E560, K$24)+COUNTIF(Logs!$E577, K$24)+COUNTIF(Logs!$E596, K$24)+COUNTIF(Logs!$E612, K$24)+COUNTIF(Logs!$E628, K$24)+COUNTIF(Logs!$E645, K$24)+COUNTIF(Logs!$E660, K$24)+COUNTIF(Logs!$E676, K$24)</f>
        <v>0</v>
      </c>
      <c r="L31" s="1432" t="str">
        <f t="shared" si="14"/>
        <v/>
      </c>
      <c r="N31" s="1378" t="s">
        <v>190</v>
      </c>
      <c r="O31" s="319">
        <f>COUNTIF(Logs!$F14, O$24)+COUNTIF(Logs!$F32, O$24)+COUNTIF(Logs!$F50, O$24)+COUNTIF(Logs!$F68, O$24)+COUNTIF(Logs!$F86, O$24)+COUNTIF(Logs!$F105, O$24)+COUNTIF(Logs!$F125, O$24)+COUNTIF(Logs!$F144, O$24)+COUNTIF(Logs!$F164, O$24)+COUNTIF(Logs!$F182, O$24)+COUNTIF(Logs!$F203, O$24)+COUNTIF(Logs!$F220, O$24)+COUNTIF(Logs!$F238, O$24)+COUNTIF(Logs!$F255, O$24)+COUNTIF(Logs!$F272, O$24)+COUNTIF(Logs!$F290, O$24)+COUNTIF(Logs!$F307, O$24)+COUNTIF(Logs!$F325, O$24)+COUNTIF(Logs!$F343, O$24)+COUNTIF(Logs!$F361, O$24)+COUNTIF(Logs!$F379, O$24)+COUNTIF(Logs!$F398, O$24)+COUNTIF(Logs!$F416, O$24)+COUNTIF(Logs!$F434, O$24)+COUNTIF(Logs!$F452, O$24)+COUNTIF(Logs!$F470, O$24)+COUNTIF(Logs!$F488, O$24)+COUNTIF(Logs!$F506, O$24)+COUNTIF(Logs!$F524, O$24)+COUNTIF(Logs!$F542, O$24)+COUNTIF(Logs!$F560, O$24)+COUNTIF(Logs!$F577, O$24)+COUNTIF(Logs!$F596, O$24)+COUNTIF(Logs!$F612, O$24)+COUNTIF(Logs!$F628, O$24)+COUNTIF(Logs!$F645, O$24)+COUNTIF(Logs!$F660, O$24)+COUNTIF(Logs!$F676, O$24)</f>
        <v>16</v>
      </c>
      <c r="P31" s="1448">
        <f t="shared" si="15"/>
        <v>0.55172413793103448</v>
      </c>
      <c r="Q31" s="342">
        <f>COUNTIF(Logs!$F14, Q$24)+COUNTIF(Logs!$F32, Q$24)+COUNTIF(Logs!$F50, Q$24)+COUNTIF(Logs!$F68, Q$24)+COUNTIF(Logs!$F86, Q$24)+COUNTIF(Logs!$F105, Q$24)+COUNTIF(Logs!$F125, Q$24)+COUNTIF(Logs!$F144, Q$24)+COUNTIF(Logs!$F164, Q$24)+COUNTIF(Logs!$F182, Q$24)+COUNTIF(Logs!$F203, Q$24)+COUNTIF(Logs!$F220, Q$24)+COUNTIF(Logs!$F238, Q$24)+COUNTIF(Logs!$F255, Q$24)+COUNTIF(Logs!$F272, Q$24)+COUNTIF(Logs!$F290, Q$24)+COUNTIF(Logs!$F307, Q$24)+COUNTIF(Logs!$F325, Q$24)+COUNTIF(Logs!$F343, Q$24)+COUNTIF(Logs!$F361, Q$24)+COUNTIF(Logs!$F379, Q$24)+COUNTIF(Logs!$F398, Q$24)+COUNTIF(Logs!$F416, Q$24)+COUNTIF(Logs!$F434, Q$24)+COUNTIF(Logs!$F452, Q$24)+COUNTIF(Logs!$F470, Q$24)+COUNTIF(Logs!$F488, Q$24)+COUNTIF(Logs!$F506, Q$24)+COUNTIF(Logs!$F524, Q$24)+COUNTIF(Logs!$F542, Q$24)+COUNTIF(Logs!$F560, Q$24)+COUNTIF(Logs!$F577, Q$24)+COUNTIF(Logs!$F596, Q$24)+COUNTIF(Logs!$F612, Q$24)+COUNTIF(Logs!$F628, Q$24)+COUNTIF(Logs!$F645, Q$24)+COUNTIF(Logs!$F660, Q$24)+COUNTIF(Logs!$F676, Q$24)</f>
        <v>4</v>
      </c>
      <c r="R31" s="1437">
        <f t="shared" si="16"/>
        <v>0.13793103448275862</v>
      </c>
      <c r="S31" s="1439">
        <f>COUNTIF(Logs!$F14, S$24)+COUNTIF(Logs!$F32, S$24)+COUNTIF(Logs!$F50, S$24)+COUNTIF(Logs!$F68, S$24)+COUNTIF(Logs!$F86, S$24)+COUNTIF(Logs!$F105, S$24)+COUNTIF(Logs!$F125, S$24)+COUNTIF(Logs!$F144, S$24)+COUNTIF(Logs!$F164, S$24)+COUNTIF(Logs!$F182, S$24)+COUNTIF(Logs!$F203, S$24)+COUNTIF(Logs!$F220, S$24)+COUNTIF(Logs!$F238, S$24)+COUNTIF(Logs!$F255, S$24)+COUNTIF(Logs!$F272, S$24)+COUNTIF(Logs!$F290, S$24)+COUNTIF(Logs!$F307, S$24)+COUNTIF(Logs!$F325, S$24)+COUNTIF(Logs!$F343, S$24)+COUNTIF(Logs!$F361, S$24)+COUNTIF(Logs!$F379, S$24)+COUNTIF(Logs!$F398, S$24)+COUNTIF(Logs!$F416, S$24)+COUNTIF(Logs!$F434, S$24)+COUNTIF(Logs!$F452, S$24)+COUNTIF(Logs!$F470, S$24)+COUNTIF(Logs!$F488, S$24)+COUNTIF(Logs!$F506, S$24)+COUNTIF(Logs!$F524, S$24)+COUNTIF(Logs!$F542, S$24)+COUNTIF(Logs!$F560, S$24)+COUNTIF(Logs!$F577, S$24)+COUNTIF(Logs!$F596, S$24)+COUNTIF(Logs!$F612, S$24)+COUNTIF(Logs!$F628, S$24)+COUNTIF(Logs!$F645, S$24)+COUNTIF(Logs!$F660, S$24)+COUNTIF(Logs!$F676, S$24)</f>
        <v>8</v>
      </c>
      <c r="T31" s="1440">
        <f t="shared" si="17"/>
        <v>0.27586206896551724</v>
      </c>
      <c r="U31" s="1443">
        <f>COUNTIF(Logs!$F14, U$24)+COUNTIF(Logs!$F32, U$24)+COUNTIF(Logs!$F50, U$24)+COUNTIF(Logs!$F68, U$24)+COUNTIF(Logs!$F86, U$24)+COUNTIF(Logs!$F105, U$24)+COUNTIF(Logs!$F125, U$24)+COUNTIF(Logs!$F144, U$24)+COUNTIF(Logs!$F164, U$24)+COUNTIF(Logs!$F182, U$24)+COUNTIF(Logs!$F203, U$24)+COUNTIF(Logs!$F220, U$24)+COUNTIF(Logs!$F238, U$24)+COUNTIF(Logs!$F255, U$24)+COUNTIF(Logs!$F272, U$24)+COUNTIF(Logs!$F290, U$24)+COUNTIF(Logs!$F307, U$24)+COUNTIF(Logs!$F325, U$24)+COUNTIF(Logs!$F343, U$24)+COUNTIF(Logs!$F361, U$24)+COUNTIF(Logs!$F379, U$24)+COUNTIF(Logs!$F398, U$24)+COUNTIF(Logs!$F416, U$24)+COUNTIF(Logs!$F434, U$24)+COUNTIF(Logs!$F452, U$24)+COUNTIF(Logs!$F470, U$24)+COUNTIF(Logs!$F488, U$24)+COUNTIF(Logs!$F506, U$24)+COUNTIF(Logs!$F524, U$24)+COUNTIF(Logs!$F542, U$24)+COUNTIF(Logs!$F560, U$24)+COUNTIF(Logs!$F577, U$24)+COUNTIF(Logs!$F596, U$24)+COUNTIF(Logs!$F612, U$24)+COUNTIF(Logs!$F628, U$24)+COUNTIF(Logs!$F645, U$24)+COUNTIF(Logs!$F660, U$24)+COUNTIF(Logs!$F676, U$24)</f>
        <v>1</v>
      </c>
      <c r="V31" s="1444">
        <f t="shared" si="18"/>
        <v>3.4482758620689655E-2</v>
      </c>
      <c r="W31" s="1101">
        <f>COUNTIF(Logs!$F14, W$24)+COUNTIF(Logs!$F32, W$24)+COUNTIF(Logs!$F50, W$24)+COUNTIF(Logs!$F68, W$24)+COUNTIF(Logs!$F86, W$24)+COUNTIF(Logs!$F105, W$24)+COUNTIF(Logs!$F125, W$24)+COUNTIF(Logs!$F144, W$24)+COUNTIF(Logs!$F164, W$24)+COUNTIF(Logs!$F182, W$24)+COUNTIF(Logs!$F203, W$24)+COUNTIF(Logs!$F220, W$24)+COUNTIF(Logs!$F238, W$24)+COUNTIF(Logs!$F255, W$24)+COUNTIF(Logs!$F272, W$24)+COUNTIF(Logs!$F290, W$24)+COUNTIF(Logs!$F307, W$24)+COUNTIF(Logs!$F325, W$24)+COUNTIF(Logs!$F343, W$24)+COUNTIF(Logs!$F361, W$24)+COUNTIF(Logs!$F379, W$24)+COUNTIF(Logs!$F398, W$24)+COUNTIF(Logs!$F416, W$24)+COUNTIF(Logs!$F434, W$24)+COUNTIF(Logs!$F452, W$24)+COUNTIF(Logs!$F470, W$24)+COUNTIF(Logs!$F488, W$24)+COUNTIF(Logs!$F506, W$24)+COUNTIF(Logs!$F524, W$24)+COUNTIF(Logs!$F542, W$24)+COUNTIF(Logs!$F560, W$24)+COUNTIF(Logs!$F577, W$24)+COUNTIF(Logs!$F596, W$24)+COUNTIF(Logs!$F612, W$24)+COUNTIF(Logs!$F628, W$24)+COUNTIF(Logs!$F645, W$24)+COUNTIF(Logs!$F660, W$24)+COUNTIF(Logs!$F676, W$24)</f>
        <v>0</v>
      </c>
      <c r="X31" s="1432" t="str">
        <f t="shared" si="19"/>
        <v/>
      </c>
    </row>
    <row r="32" spans="2:24">
      <c r="B32" s="1378" t="s">
        <v>191</v>
      </c>
      <c r="C32" s="319">
        <f>COUNTIF(Logs!$E15, C$24)+COUNTIF(Logs!$E33, C$24)+COUNTIF(Logs!$E51, C$24)+COUNTIF(Logs!$E69, C$24)+COUNTIF(Logs!$E87, C$24)+COUNTIF(Logs!$E106, C$24)+COUNTIF(Logs!$E126, C$24)+COUNTIF(Logs!$E145, C$24)+COUNTIF(Logs!$E165, C$24)+COUNTIF(Logs!$E183, C$24)+COUNTIF(Logs!$E204, C$24)+COUNTIF(Logs!$E221, C$24)+COUNTIF(Logs!$E239, C$24)+COUNTIF(Logs!$E256, C$24)+COUNTIF(Logs!$E273, C$24)+COUNTIF(Logs!$E291, C$24)+COUNTIF(Logs!$E308, C$24)+COUNTIF(Logs!$E326, C$24)+COUNTIF(Logs!$E344, C$24)+COUNTIF(Logs!$E362, C$24)+COUNTIF(Logs!$E380, C$24)+COUNTIF(Logs!$E399, C$24)+COUNTIF(Logs!$E417, C$24)+COUNTIF(Logs!$E435, C$24)+COUNTIF(Logs!$E453, C$24)+COUNTIF(Logs!$E471, C$24)+COUNTIF(Logs!$E489, C$24)+COUNTIF(Logs!$E507, C$24)+COUNTIF(Logs!$E525, C$24)+COUNTIF(Logs!$E543, C$24)+COUNTIF(Logs!$E561, C$24)+COUNTIF(Logs!$E578, C$24)+COUNTIF(Logs!$E597, C$24)+COUNTIF(Logs!$E613, C$24)+COUNTIF(Logs!$E629, C$24)+COUNTIF(Logs!$E646, C$24)+COUNTIF(Logs!$E661, C$24)+COUNTIF(Logs!$E677, C$24)</f>
        <v>6</v>
      </c>
      <c r="D32" s="1448">
        <f t="shared" si="10"/>
        <v>0.8571428571428571</v>
      </c>
      <c r="E32" s="342">
        <f>COUNTIF(Logs!$E15, E$24)+COUNTIF(Logs!$E33, E$24)+COUNTIF(Logs!$E51, E$24)+COUNTIF(Logs!$E69, E$24)+COUNTIF(Logs!$E87, E$24)+COUNTIF(Logs!$E106, E$24)+COUNTIF(Logs!$E126, E$24)+COUNTIF(Logs!$E145, E$24)+COUNTIF(Logs!$E165, E$24)+COUNTIF(Logs!$E183, E$24)+COUNTIF(Logs!$E204, E$24)+COUNTIF(Logs!$E221, E$24)+COUNTIF(Logs!$E239, E$24)+COUNTIF(Logs!$E256, E$24)+COUNTIF(Logs!$E273, E$24)+COUNTIF(Logs!$E291, E$24)+COUNTIF(Logs!$E308, E$24)+COUNTIF(Logs!$E326, E$24)+COUNTIF(Logs!$E344, E$24)+COUNTIF(Logs!$E362, E$24)+COUNTIF(Logs!$E380, E$24)+COUNTIF(Logs!$E399, E$24)+COUNTIF(Logs!$E417, E$24)+COUNTIF(Logs!$E435, E$24)+COUNTIF(Logs!$E453, E$24)+COUNTIF(Logs!$E471, E$24)+COUNTIF(Logs!$E489, E$24)+COUNTIF(Logs!$E507, E$24)+COUNTIF(Logs!$E525, E$24)+COUNTIF(Logs!$E543, E$24)+COUNTIF(Logs!$E561, E$24)+COUNTIF(Logs!$E578, E$24)+COUNTIF(Logs!$E597, E$24)+COUNTIF(Logs!$E613, E$24)+COUNTIF(Logs!$E629, E$24)+COUNTIF(Logs!$E646, E$24)+COUNTIF(Logs!$E661, E$24)+COUNTIF(Logs!$E677, E$24)</f>
        <v>0</v>
      </c>
      <c r="F32" s="1437" t="str">
        <f t="shared" si="11"/>
        <v/>
      </c>
      <c r="G32" s="1439">
        <f>COUNTIF(Logs!$E15, G$24)+COUNTIF(Logs!$E33, G$24)+COUNTIF(Logs!$E51, G$24)+COUNTIF(Logs!$E69, G$24)+COUNTIF(Logs!$E87, G$24)+COUNTIF(Logs!$E106, G$24)+COUNTIF(Logs!$E126, G$24)+COUNTIF(Logs!$E145, G$24)+COUNTIF(Logs!$E165, G$24)+COUNTIF(Logs!$E183, G$24)+COUNTIF(Logs!$E204, G$24)+COUNTIF(Logs!$E221, G$24)+COUNTIF(Logs!$E239, G$24)+COUNTIF(Logs!$E256, G$24)+COUNTIF(Logs!$E273, G$24)+COUNTIF(Logs!$E291, G$24)+COUNTIF(Logs!$E308, G$24)+COUNTIF(Logs!$E326, G$24)+COUNTIF(Logs!$E344, G$24)+COUNTIF(Logs!$E362, G$24)+COUNTIF(Logs!$E380, G$24)+COUNTIF(Logs!$E399, G$24)+COUNTIF(Logs!$E417, G$24)+COUNTIF(Logs!$E435, G$24)+COUNTIF(Logs!$E453, G$24)+COUNTIF(Logs!$E471, G$24)+COUNTIF(Logs!$E489, G$24)+COUNTIF(Logs!$E507, G$24)+COUNTIF(Logs!$E525, G$24)+COUNTIF(Logs!$E543, G$24)+COUNTIF(Logs!$E561, G$24)+COUNTIF(Logs!$E578, G$24)+COUNTIF(Logs!$E597, G$24)+COUNTIF(Logs!$E613, G$24)+COUNTIF(Logs!$E629, G$24)+COUNTIF(Logs!$E646, G$24)+COUNTIF(Logs!$E661, G$24)+COUNTIF(Logs!$E677, G$24)</f>
        <v>1</v>
      </c>
      <c r="H32" s="1440">
        <f t="shared" si="12"/>
        <v>0.14285714285714285</v>
      </c>
      <c r="I32" s="1443">
        <f>COUNTIF(Logs!$E15, I$24)+COUNTIF(Logs!$E33, I$24)+COUNTIF(Logs!$E51, I$24)+COUNTIF(Logs!$E69, I$24)+COUNTIF(Logs!$E87, I$24)+COUNTIF(Logs!$E106, I$24)+COUNTIF(Logs!$E126, I$24)+COUNTIF(Logs!$E145, I$24)+COUNTIF(Logs!$E165, I$24)+COUNTIF(Logs!$E183, I$24)+COUNTIF(Logs!$E204, I$24)+COUNTIF(Logs!$E221, I$24)+COUNTIF(Logs!$E239, I$24)+COUNTIF(Logs!$E256, I$24)+COUNTIF(Logs!$E273, I$24)+COUNTIF(Logs!$E291, I$24)+COUNTIF(Logs!$E308, I$24)+COUNTIF(Logs!$E326, I$24)+COUNTIF(Logs!$E344, I$24)+COUNTIF(Logs!$E362, I$24)+COUNTIF(Logs!$E380, I$24)+COUNTIF(Logs!$E399, I$24)+COUNTIF(Logs!$E417, I$24)+COUNTIF(Logs!$E435, I$24)+COUNTIF(Logs!$E453, I$24)+COUNTIF(Logs!$E471, I$24)+COUNTIF(Logs!$E489, I$24)+COUNTIF(Logs!$E507, I$24)+COUNTIF(Logs!$E525, I$24)+COUNTIF(Logs!$E543, I$24)+COUNTIF(Logs!$E561, I$24)+COUNTIF(Logs!$E578, I$24)+COUNTIF(Logs!$E597, I$24)+COUNTIF(Logs!$E613, I$24)+COUNTIF(Logs!$E629, I$24)+COUNTIF(Logs!$E646, I$24)+COUNTIF(Logs!$E661, I$24)+COUNTIF(Logs!$E677, I$24)</f>
        <v>0</v>
      </c>
      <c r="J32" s="1444" t="str">
        <f t="shared" si="13"/>
        <v/>
      </c>
      <c r="K32" s="1101">
        <f>COUNTIF(Logs!$E15, K$24)+COUNTIF(Logs!$E33, K$24)+COUNTIF(Logs!$E51, K$24)+COUNTIF(Logs!$E69, K$24)+COUNTIF(Logs!$E87, K$24)+COUNTIF(Logs!$E106, K$24)+COUNTIF(Logs!$E126, K$24)+COUNTIF(Logs!$E145, K$24)+COUNTIF(Logs!$E165, K$24)+COUNTIF(Logs!$E183, K$24)+COUNTIF(Logs!$E204, K$24)+COUNTIF(Logs!$E221, K$24)+COUNTIF(Logs!$E239, K$24)+COUNTIF(Logs!$E256, K$24)+COUNTIF(Logs!$E273, K$24)+COUNTIF(Logs!$E291, K$24)+COUNTIF(Logs!$E308, K$24)+COUNTIF(Logs!$E326, K$24)+COUNTIF(Logs!$E344, K$24)+COUNTIF(Logs!$E362, K$24)+COUNTIF(Logs!$E380, K$24)+COUNTIF(Logs!$E399, K$24)+COUNTIF(Logs!$E417, K$24)+COUNTIF(Logs!$E435, K$24)+COUNTIF(Logs!$E453, K$24)+COUNTIF(Logs!$E471, K$24)+COUNTIF(Logs!$E489, K$24)+COUNTIF(Logs!$E507, K$24)+COUNTIF(Logs!$E525, K$24)+COUNTIF(Logs!$E543, K$24)+COUNTIF(Logs!$E561, K$24)+COUNTIF(Logs!$E578, K$24)+COUNTIF(Logs!$E597, K$24)+COUNTIF(Logs!$E613, K$24)+COUNTIF(Logs!$E629, K$24)+COUNTIF(Logs!$E646, K$24)+COUNTIF(Logs!$E661, K$24)+COUNTIF(Logs!$E677, K$24)</f>
        <v>0</v>
      </c>
      <c r="L32" s="1432" t="str">
        <f t="shared" si="14"/>
        <v/>
      </c>
      <c r="N32" s="1378" t="s">
        <v>191</v>
      </c>
      <c r="O32" s="319">
        <f>COUNTIF(Logs!$F15, O$24)+COUNTIF(Logs!$F33, O$24)+COUNTIF(Logs!$F51, O$24)+COUNTIF(Logs!$F69, O$24)+COUNTIF(Logs!$F87, O$24)+COUNTIF(Logs!$F106, O$24)+COUNTIF(Logs!$F126, O$24)+COUNTIF(Logs!$F145, O$24)+COUNTIF(Logs!$F165, O$24)+COUNTIF(Logs!$F183, O$24)+COUNTIF(Logs!$F204, O$24)+COUNTIF(Logs!$F221, O$24)+COUNTIF(Logs!$F239, O$24)+COUNTIF(Logs!$F256, O$24)+COUNTIF(Logs!$F273, O$24)+COUNTIF(Logs!$F291, O$24)+COUNTIF(Logs!$F308, O$24)+COUNTIF(Logs!$F326, O$24)+COUNTIF(Logs!$F344, O$24)+COUNTIF(Logs!$F362, O$24)+COUNTIF(Logs!$F380, O$24)+COUNTIF(Logs!$F399, O$24)+COUNTIF(Logs!$F417, O$24)+COUNTIF(Logs!$F435, O$24)+COUNTIF(Logs!$F453, O$24)+COUNTIF(Logs!$F471, O$24)+COUNTIF(Logs!$F489, O$24)+COUNTIF(Logs!$F507, O$24)+COUNTIF(Logs!$F525, O$24)+COUNTIF(Logs!$F543, O$24)+COUNTIF(Logs!$F561, O$24)+COUNTIF(Logs!$F578, O$24)+COUNTIF(Logs!$F597, O$24)+COUNTIF(Logs!$F613, O$24)+COUNTIF(Logs!$F629, O$24)+COUNTIF(Logs!$F646, O$24)+COUNTIF(Logs!$F661, O$24)+COUNTIF(Logs!$F677, O$24)</f>
        <v>15</v>
      </c>
      <c r="P32" s="1448">
        <f t="shared" si="15"/>
        <v>0.88235294117647056</v>
      </c>
      <c r="Q32" s="342">
        <f>COUNTIF(Logs!$F15, Q$24)+COUNTIF(Logs!$F33, Q$24)+COUNTIF(Logs!$F51, Q$24)+COUNTIF(Logs!$F69, Q$24)+COUNTIF(Logs!$F87, Q$24)+COUNTIF(Logs!$F106, Q$24)+COUNTIF(Logs!$F126, Q$24)+COUNTIF(Logs!$F145, Q$24)+COUNTIF(Logs!$F165, Q$24)+COUNTIF(Logs!$F183, Q$24)+COUNTIF(Logs!$F204, Q$24)+COUNTIF(Logs!$F221, Q$24)+COUNTIF(Logs!$F239, Q$24)+COUNTIF(Logs!$F256, Q$24)+COUNTIF(Logs!$F273, Q$24)+COUNTIF(Logs!$F291, Q$24)+COUNTIF(Logs!$F308, Q$24)+COUNTIF(Logs!$F326, Q$24)+COUNTIF(Logs!$F344, Q$24)+COUNTIF(Logs!$F362, Q$24)+COUNTIF(Logs!$F380, Q$24)+COUNTIF(Logs!$F399, Q$24)+COUNTIF(Logs!$F417, Q$24)+COUNTIF(Logs!$F435, Q$24)+COUNTIF(Logs!$F453, Q$24)+COUNTIF(Logs!$F471, Q$24)+COUNTIF(Logs!$F489, Q$24)+COUNTIF(Logs!$F507, Q$24)+COUNTIF(Logs!$F525, Q$24)+COUNTIF(Logs!$F543, Q$24)+COUNTIF(Logs!$F561, Q$24)+COUNTIF(Logs!$F578, Q$24)+COUNTIF(Logs!$F597, Q$24)+COUNTIF(Logs!$F613, Q$24)+COUNTIF(Logs!$F629, Q$24)+COUNTIF(Logs!$F646, Q$24)+COUNTIF(Logs!$F661, Q$24)+COUNTIF(Logs!$F677, Q$24)</f>
        <v>1</v>
      </c>
      <c r="R32" s="1437">
        <f t="shared" si="16"/>
        <v>5.8823529411764705E-2</v>
      </c>
      <c r="S32" s="1439">
        <f>COUNTIF(Logs!$F15, S$24)+COUNTIF(Logs!$F33, S$24)+COUNTIF(Logs!$F51, S$24)+COUNTIF(Logs!$F69, S$24)+COUNTIF(Logs!$F87, S$24)+COUNTIF(Logs!$F106, S$24)+COUNTIF(Logs!$F126, S$24)+COUNTIF(Logs!$F145, S$24)+COUNTIF(Logs!$F165, S$24)+COUNTIF(Logs!$F183, S$24)+COUNTIF(Logs!$F204, S$24)+COUNTIF(Logs!$F221, S$24)+COUNTIF(Logs!$F239, S$24)+COUNTIF(Logs!$F256, S$24)+COUNTIF(Logs!$F273, S$24)+COUNTIF(Logs!$F291, S$24)+COUNTIF(Logs!$F308, S$24)+COUNTIF(Logs!$F326, S$24)+COUNTIF(Logs!$F344, S$24)+COUNTIF(Logs!$F362, S$24)+COUNTIF(Logs!$F380, S$24)+COUNTIF(Logs!$F399, S$24)+COUNTIF(Logs!$F417, S$24)+COUNTIF(Logs!$F435, S$24)+COUNTIF(Logs!$F453, S$24)+COUNTIF(Logs!$F471, S$24)+COUNTIF(Logs!$F489, S$24)+COUNTIF(Logs!$F507, S$24)+COUNTIF(Logs!$F525, S$24)+COUNTIF(Logs!$F543, S$24)+COUNTIF(Logs!$F561, S$24)+COUNTIF(Logs!$F578, S$24)+COUNTIF(Logs!$F597, S$24)+COUNTIF(Logs!$F613, S$24)+COUNTIF(Logs!$F629, S$24)+COUNTIF(Logs!$F646, S$24)+COUNTIF(Logs!$F661, S$24)+COUNTIF(Logs!$F677, S$24)</f>
        <v>1</v>
      </c>
      <c r="T32" s="1440">
        <f t="shared" si="17"/>
        <v>5.8823529411764705E-2</v>
      </c>
      <c r="U32" s="1443">
        <f>COUNTIF(Logs!$F15, U$24)+COUNTIF(Logs!$F33, U$24)+COUNTIF(Logs!$F51, U$24)+COUNTIF(Logs!$F69, U$24)+COUNTIF(Logs!$F87, U$24)+COUNTIF(Logs!$F106, U$24)+COUNTIF(Logs!$F126, U$24)+COUNTIF(Logs!$F145, U$24)+COUNTIF(Logs!$F165, U$24)+COUNTIF(Logs!$F183, U$24)+COUNTIF(Logs!$F204, U$24)+COUNTIF(Logs!$F221, U$24)+COUNTIF(Logs!$F239, U$24)+COUNTIF(Logs!$F256, U$24)+COUNTIF(Logs!$F273, U$24)+COUNTIF(Logs!$F291, U$24)+COUNTIF(Logs!$F308, U$24)+COUNTIF(Logs!$F326, U$24)+COUNTIF(Logs!$F344, U$24)+COUNTIF(Logs!$F362, U$24)+COUNTIF(Logs!$F380, U$24)+COUNTIF(Logs!$F399, U$24)+COUNTIF(Logs!$F417, U$24)+COUNTIF(Logs!$F435, U$24)+COUNTIF(Logs!$F453, U$24)+COUNTIF(Logs!$F471, U$24)+COUNTIF(Logs!$F489, U$24)+COUNTIF(Logs!$F507, U$24)+COUNTIF(Logs!$F525, U$24)+COUNTIF(Logs!$F543, U$24)+COUNTIF(Logs!$F561, U$24)+COUNTIF(Logs!$F578, U$24)+COUNTIF(Logs!$F597, U$24)+COUNTIF(Logs!$F613, U$24)+COUNTIF(Logs!$F629, U$24)+COUNTIF(Logs!$F646, U$24)+COUNTIF(Logs!$F661, U$24)+COUNTIF(Logs!$F677, U$24)</f>
        <v>0</v>
      </c>
      <c r="V32" s="1444" t="str">
        <f t="shared" si="18"/>
        <v/>
      </c>
      <c r="W32" s="1101">
        <f>COUNTIF(Logs!$F15, W$24)+COUNTIF(Logs!$F33, W$24)+COUNTIF(Logs!$F51, W$24)+COUNTIF(Logs!$F69, W$24)+COUNTIF(Logs!$F87, W$24)+COUNTIF(Logs!$F106, W$24)+COUNTIF(Logs!$F126, W$24)+COUNTIF(Logs!$F145, W$24)+COUNTIF(Logs!$F165, W$24)+COUNTIF(Logs!$F183, W$24)+COUNTIF(Logs!$F204, W$24)+COUNTIF(Logs!$F221, W$24)+COUNTIF(Logs!$F239, W$24)+COUNTIF(Logs!$F256, W$24)+COUNTIF(Logs!$F273, W$24)+COUNTIF(Logs!$F291, W$24)+COUNTIF(Logs!$F308, W$24)+COUNTIF(Logs!$F326, W$24)+COUNTIF(Logs!$F344, W$24)+COUNTIF(Logs!$F362, W$24)+COUNTIF(Logs!$F380, W$24)+COUNTIF(Logs!$F399, W$24)+COUNTIF(Logs!$F417, W$24)+COUNTIF(Logs!$F435, W$24)+COUNTIF(Logs!$F453, W$24)+COUNTIF(Logs!$F471, W$24)+COUNTIF(Logs!$F489, W$24)+COUNTIF(Logs!$F507, W$24)+COUNTIF(Logs!$F525, W$24)+COUNTIF(Logs!$F543, W$24)+COUNTIF(Logs!$F561, W$24)+COUNTIF(Logs!$F578, W$24)+COUNTIF(Logs!$F597, W$24)+COUNTIF(Logs!$F613, W$24)+COUNTIF(Logs!$F629, W$24)+COUNTIF(Logs!$F646, W$24)+COUNTIF(Logs!$F661, W$24)+COUNTIF(Logs!$F677, W$24)</f>
        <v>0</v>
      </c>
      <c r="X32" s="1432" t="str">
        <f t="shared" si="19"/>
        <v/>
      </c>
    </row>
    <row r="33" spans="2:24">
      <c r="B33" s="1378" t="s">
        <v>192</v>
      </c>
      <c r="C33" s="319">
        <f>COUNTIF(Logs!$E16, C$24)+COUNTIF(Logs!$E34, C$24)+COUNTIF(Logs!$E52, C$24)+COUNTIF(Logs!$E70, C$24)+COUNTIF(Logs!$E88, C$24)+COUNTIF(Logs!$E107, C$24)+COUNTIF(Logs!$E127, C$24)+COUNTIF(Logs!$E146, C$24)+COUNTIF(Logs!$E166, C$24)+COUNTIF(Logs!$E184, C$24)+COUNTIF(Logs!$E205, C$24)+COUNTIF(Logs!$E222, C$24)+COUNTIF(Logs!$E240, C$24)+COUNTIF(Logs!$E257, C$24)+COUNTIF(Logs!$E274, C$24)+COUNTIF(Logs!$E292, C$24)+COUNTIF(Logs!$E309, C$24)+COUNTIF(Logs!$E327, C$24)+COUNTIF(Logs!$E345, C$24)+COUNTIF(Logs!$E363, C$24)+COUNTIF(Logs!$E381, C$24)+COUNTIF(Logs!$E400, C$24)+COUNTIF(Logs!$E418, C$24)+COUNTIF(Logs!$E436, C$24)+COUNTIF(Logs!$E454, C$24)+COUNTIF(Logs!$E472, C$24)+COUNTIF(Logs!$E490, C$24)+COUNTIF(Logs!$E508, C$24)+COUNTIF(Logs!$E526, C$24)+COUNTIF(Logs!$E544, C$24)+COUNTIF(Logs!$E562, C$24)+COUNTIF(Logs!$E579, C$24)+COUNTIF(Logs!$E598, C$24)+COUNTIF(Logs!$E614, C$24)+COUNTIF(Logs!$E630, C$24)+COUNTIF(Logs!$E647, C$24)+COUNTIF(Logs!$E662, C$24)+COUNTIF(Logs!$E678, C$24)</f>
        <v>1</v>
      </c>
      <c r="D33" s="1448">
        <f t="shared" si="10"/>
        <v>1</v>
      </c>
      <c r="E33" s="342">
        <f>COUNTIF(Logs!$E16, E$24)+COUNTIF(Logs!$E34, E$24)+COUNTIF(Logs!$E52, E$24)+COUNTIF(Logs!$E70, E$24)+COUNTIF(Logs!$E88, E$24)+COUNTIF(Logs!$E107, E$24)+COUNTIF(Logs!$E127, E$24)+COUNTIF(Logs!$E146, E$24)+COUNTIF(Logs!$E166, E$24)+COUNTIF(Logs!$E184, E$24)+COUNTIF(Logs!$E205, E$24)+COUNTIF(Logs!$E222, E$24)+COUNTIF(Logs!$E240, E$24)+COUNTIF(Logs!$E257, E$24)+COUNTIF(Logs!$E274, E$24)+COUNTIF(Logs!$E292, E$24)+COUNTIF(Logs!$E309, E$24)+COUNTIF(Logs!$E327, E$24)+COUNTIF(Logs!$E345, E$24)+COUNTIF(Logs!$E363, E$24)+COUNTIF(Logs!$E381, E$24)+COUNTIF(Logs!$E400, E$24)+COUNTIF(Logs!$E418, E$24)+COUNTIF(Logs!$E436, E$24)+COUNTIF(Logs!$E454, E$24)+COUNTIF(Logs!$E472, E$24)+COUNTIF(Logs!$E490, E$24)+COUNTIF(Logs!$E508, E$24)+COUNTIF(Logs!$E526, E$24)+COUNTIF(Logs!$E544, E$24)+COUNTIF(Logs!$E562, E$24)+COUNTIF(Logs!$E579, E$24)+COUNTIF(Logs!$E598, E$24)+COUNTIF(Logs!$E614, E$24)+COUNTIF(Logs!$E630, E$24)+COUNTIF(Logs!$E647, E$24)+COUNTIF(Logs!$E662, E$24)+COUNTIF(Logs!$E678, E$24)</f>
        <v>0</v>
      </c>
      <c r="F33" s="1437" t="str">
        <f t="shared" si="11"/>
        <v/>
      </c>
      <c r="G33" s="1439">
        <f>COUNTIF(Logs!$E16, G$24)+COUNTIF(Logs!$E34, G$24)+COUNTIF(Logs!$E52, G$24)+COUNTIF(Logs!$E70, G$24)+COUNTIF(Logs!$E88, G$24)+COUNTIF(Logs!$E107, G$24)+COUNTIF(Logs!$E127, G$24)+COUNTIF(Logs!$E146, G$24)+COUNTIF(Logs!$E166, G$24)+COUNTIF(Logs!$E184, G$24)+COUNTIF(Logs!$E205, G$24)+COUNTIF(Logs!$E222, G$24)+COUNTIF(Logs!$E240, G$24)+COUNTIF(Logs!$E257, G$24)+COUNTIF(Logs!$E274, G$24)+COUNTIF(Logs!$E292, G$24)+COUNTIF(Logs!$E309, G$24)+COUNTIF(Logs!$E327, G$24)+COUNTIF(Logs!$E345, G$24)+COUNTIF(Logs!$E363, G$24)+COUNTIF(Logs!$E381, G$24)+COUNTIF(Logs!$E400, G$24)+COUNTIF(Logs!$E418, G$24)+COUNTIF(Logs!$E436, G$24)+COUNTIF(Logs!$E454, G$24)+COUNTIF(Logs!$E472, G$24)+COUNTIF(Logs!$E490, G$24)+COUNTIF(Logs!$E508, G$24)+COUNTIF(Logs!$E526, G$24)+COUNTIF(Logs!$E544, G$24)+COUNTIF(Logs!$E562, G$24)+COUNTIF(Logs!$E579, G$24)+COUNTIF(Logs!$E598, G$24)+COUNTIF(Logs!$E614, G$24)+COUNTIF(Logs!$E630, G$24)+COUNTIF(Logs!$E647, G$24)+COUNTIF(Logs!$E662, G$24)+COUNTIF(Logs!$E678, G$24)</f>
        <v>0</v>
      </c>
      <c r="H33" s="1440" t="str">
        <f t="shared" si="12"/>
        <v/>
      </c>
      <c r="I33" s="1443">
        <f>COUNTIF(Logs!$E16, I$24)+COUNTIF(Logs!$E34, I$24)+COUNTIF(Logs!$E52, I$24)+COUNTIF(Logs!$E70, I$24)+COUNTIF(Logs!$E88, I$24)+COUNTIF(Logs!$E107, I$24)+COUNTIF(Logs!$E127, I$24)+COUNTIF(Logs!$E146, I$24)+COUNTIF(Logs!$E166, I$24)+COUNTIF(Logs!$E184, I$24)+COUNTIF(Logs!$E205, I$24)+COUNTIF(Logs!$E222, I$24)+COUNTIF(Logs!$E240, I$24)+COUNTIF(Logs!$E257, I$24)+COUNTIF(Logs!$E274, I$24)+COUNTIF(Logs!$E292, I$24)+COUNTIF(Logs!$E309, I$24)+COUNTIF(Logs!$E327, I$24)+COUNTIF(Logs!$E345, I$24)+COUNTIF(Logs!$E363, I$24)+COUNTIF(Logs!$E381, I$24)+COUNTIF(Logs!$E400, I$24)+COUNTIF(Logs!$E418, I$24)+COUNTIF(Logs!$E436, I$24)+COUNTIF(Logs!$E454, I$24)+COUNTIF(Logs!$E472, I$24)+COUNTIF(Logs!$E490, I$24)+COUNTIF(Logs!$E508, I$24)+COUNTIF(Logs!$E526, I$24)+COUNTIF(Logs!$E544, I$24)+COUNTIF(Logs!$E562, I$24)+COUNTIF(Logs!$E579, I$24)+COUNTIF(Logs!$E598, I$24)+COUNTIF(Logs!$E614, I$24)+COUNTIF(Logs!$E630, I$24)+COUNTIF(Logs!$E647, I$24)+COUNTIF(Logs!$E662, I$24)+COUNTIF(Logs!$E678, I$24)</f>
        <v>0</v>
      </c>
      <c r="J33" s="1444" t="str">
        <f t="shared" si="13"/>
        <v/>
      </c>
      <c r="K33" s="1101">
        <f>COUNTIF(Logs!$E16, K$24)+COUNTIF(Logs!$E34, K$24)+COUNTIF(Logs!$E52, K$24)+COUNTIF(Logs!$E70, K$24)+COUNTIF(Logs!$E88, K$24)+COUNTIF(Logs!$E107, K$24)+COUNTIF(Logs!$E127, K$24)+COUNTIF(Logs!$E146, K$24)+COUNTIF(Logs!$E166, K$24)+COUNTIF(Logs!$E184, K$24)+COUNTIF(Logs!$E205, K$24)+COUNTIF(Logs!$E222, K$24)+COUNTIF(Logs!$E240, K$24)+COUNTIF(Logs!$E257, K$24)+COUNTIF(Logs!$E274, K$24)+COUNTIF(Logs!$E292, K$24)+COUNTIF(Logs!$E309, K$24)+COUNTIF(Logs!$E327, K$24)+COUNTIF(Logs!$E345, K$24)+COUNTIF(Logs!$E363, K$24)+COUNTIF(Logs!$E381, K$24)+COUNTIF(Logs!$E400, K$24)+COUNTIF(Logs!$E418, K$24)+COUNTIF(Logs!$E436, K$24)+COUNTIF(Logs!$E454, K$24)+COUNTIF(Logs!$E472, K$24)+COUNTIF(Logs!$E490, K$24)+COUNTIF(Logs!$E508, K$24)+COUNTIF(Logs!$E526, K$24)+COUNTIF(Logs!$E544, K$24)+COUNTIF(Logs!$E562, K$24)+COUNTIF(Logs!$E579, K$24)+COUNTIF(Logs!$E598, K$24)+COUNTIF(Logs!$E614, K$24)+COUNTIF(Logs!$E630, K$24)+COUNTIF(Logs!$E647, K$24)+COUNTIF(Logs!$E662, K$24)+COUNTIF(Logs!$E678, K$24)</f>
        <v>0</v>
      </c>
      <c r="L33" s="1432" t="str">
        <f t="shared" si="14"/>
        <v/>
      </c>
      <c r="N33" s="1378" t="s">
        <v>192</v>
      </c>
      <c r="O33" s="319">
        <f>COUNTIF(Logs!$F16, O$24)+COUNTIF(Logs!$F34, O$24)+COUNTIF(Logs!$F52, O$24)+COUNTIF(Logs!$F70, O$24)+COUNTIF(Logs!$F88, O$24)+COUNTIF(Logs!$F107, O$24)+COUNTIF(Logs!$F127, O$24)+COUNTIF(Logs!$F146, O$24)+COUNTIF(Logs!$F166, O$24)+COUNTIF(Logs!$F184, O$24)+COUNTIF(Logs!$F205, O$24)+COUNTIF(Logs!$F222, O$24)+COUNTIF(Logs!$F240, O$24)+COUNTIF(Logs!$F257, O$24)+COUNTIF(Logs!$F274, O$24)+COUNTIF(Logs!$F292, O$24)+COUNTIF(Logs!$F309, O$24)+COUNTIF(Logs!$F327, O$24)+COUNTIF(Logs!$F345, O$24)+COUNTIF(Logs!$F363, O$24)+COUNTIF(Logs!$F381, O$24)+COUNTIF(Logs!$F400, O$24)+COUNTIF(Logs!$F418, O$24)+COUNTIF(Logs!$F436, O$24)+COUNTIF(Logs!$F454, O$24)+COUNTIF(Logs!$F472, O$24)+COUNTIF(Logs!$F490, O$24)+COUNTIF(Logs!$F508, O$24)+COUNTIF(Logs!$F526, O$24)+COUNTIF(Logs!$F544, O$24)+COUNTIF(Logs!$F562, O$24)+COUNTIF(Logs!$F579, O$24)+COUNTIF(Logs!$F598, O$24)+COUNTIF(Logs!$F614, O$24)+COUNTIF(Logs!$F630, O$24)+COUNTIF(Logs!$F647, O$24)+COUNTIF(Logs!$F662, O$24)+COUNTIF(Logs!$F678, O$24)</f>
        <v>4</v>
      </c>
      <c r="P33" s="1448">
        <f t="shared" si="15"/>
        <v>0.66666666666666663</v>
      </c>
      <c r="Q33" s="342">
        <f>COUNTIF(Logs!$F16, Q$24)+COUNTIF(Logs!$F34, Q$24)+COUNTIF(Logs!$F52, Q$24)+COUNTIF(Logs!$F70, Q$24)+COUNTIF(Logs!$F88, Q$24)+COUNTIF(Logs!$F107, Q$24)+COUNTIF(Logs!$F127, Q$24)+COUNTIF(Logs!$F146, Q$24)+COUNTIF(Logs!$F166, Q$24)+COUNTIF(Logs!$F184, Q$24)+COUNTIF(Logs!$F205, Q$24)+COUNTIF(Logs!$F222, Q$24)+COUNTIF(Logs!$F240, Q$24)+COUNTIF(Logs!$F257, Q$24)+COUNTIF(Logs!$F274, Q$24)+COUNTIF(Logs!$F292, Q$24)+COUNTIF(Logs!$F309, Q$24)+COUNTIF(Logs!$F327, Q$24)+COUNTIF(Logs!$F345, Q$24)+COUNTIF(Logs!$F363, Q$24)+COUNTIF(Logs!$F381, Q$24)+COUNTIF(Logs!$F400, Q$24)+COUNTIF(Logs!$F418, Q$24)+COUNTIF(Logs!$F436, Q$24)+COUNTIF(Logs!$F454, Q$24)+COUNTIF(Logs!$F472, Q$24)+COUNTIF(Logs!$F490, Q$24)+COUNTIF(Logs!$F508, Q$24)+COUNTIF(Logs!$F526, Q$24)+COUNTIF(Logs!$F544, Q$24)+COUNTIF(Logs!$F562, Q$24)+COUNTIF(Logs!$F579, Q$24)+COUNTIF(Logs!$F598, Q$24)+COUNTIF(Logs!$F614, Q$24)+COUNTIF(Logs!$F630, Q$24)+COUNTIF(Logs!$F647, Q$24)+COUNTIF(Logs!$F662, Q$24)+COUNTIF(Logs!$F678, Q$24)</f>
        <v>0</v>
      </c>
      <c r="R33" s="1437" t="str">
        <f t="shared" si="16"/>
        <v/>
      </c>
      <c r="S33" s="1439">
        <f>COUNTIF(Logs!$F16, S$24)+COUNTIF(Logs!$F34, S$24)+COUNTIF(Logs!$F52, S$24)+COUNTIF(Logs!$F70, S$24)+COUNTIF(Logs!$F88, S$24)+COUNTIF(Logs!$F107, S$24)+COUNTIF(Logs!$F127, S$24)+COUNTIF(Logs!$F146, S$24)+COUNTIF(Logs!$F166, S$24)+COUNTIF(Logs!$F184, S$24)+COUNTIF(Logs!$F205, S$24)+COUNTIF(Logs!$F222, S$24)+COUNTIF(Logs!$F240, S$24)+COUNTIF(Logs!$F257, S$24)+COUNTIF(Logs!$F274, S$24)+COUNTIF(Logs!$F292, S$24)+COUNTIF(Logs!$F309, S$24)+COUNTIF(Logs!$F327, S$24)+COUNTIF(Logs!$F345, S$24)+COUNTIF(Logs!$F363, S$24)+COUNTIF(Logs!$F381, S$24)+COUNTIF(Logs!$F400, S$24)+COUNTIF(Logs!$F418, S$24)+COUNTIF(Logs!$F436, S$24)+COUNTIF(Logs!$F454, S$24)+COUNTIF(Logs!$F472, S$24)+COUNTIF(Logs!$F490, S$24)+COUNTIF(Logs!$F508, S$24)+COUNTIF(Logs!$F526, S$24)+COUNTIF(Logs!$F544, S$24)+COUNTIF(Logs!$F562, S$24)+COUNTIF(Logs!$F579, S$24)+COUNTIF(Logs!$F598, S$24)+COUNTIF(Logs!$F614, S$24)+COUNTIF(Logs!$F630, S$24)+COUNTIF(Logs!$F647, S$24)+COUNTIF(Logs!$F662, S$24)+COUNTIF(Logs!$F678, S$24)</f>
        <v>2</v>
      </c>
      <c r="T33" s="1440">
        <f t="shared" si="17"/>
        <v>0.33333333333333331</v>
      </c>
      <c r="U33" s="1443">
        <f>COUNTIF(Logs!$F16, U$24)+COUNTIF(Logs!$F34, U$24)+COUNTIF(Logs!$F52, U$24)+COUNTIF(Logs!$F70, U$24)+COUNTIF(Logs!$F88, U$24)+COUNTIF(Logs!$F107, U$24)+COUNTIF(Logs!$F127, U$24)+COUNTIF(Logs!$F146, U$24)+COUNTIF(Logs!$F166, U$24)+COUNTIF(Logs!$F184, U$24)+COUNTIF(Logs!$F205, U$24)+COUNTIF(Logs!$F222, U$24)+COUNTIF(Logs!$F240, U$24)+COUNTIF(Logs!$F257, U$24)+COUNTIF(Logs!$F274, U$24)+COUNTIF(Logs!$F292, U$24)+COUNTIF(Logs!$F309, U$24)+COUNTIF(Logs!$F327, U$24)+COUNTIF(Logs!$F345, U$24)+COUNTIF(Logs!$F363, U$24)+COUNTIF(Logs!$F381, U$24)+COUNTIF(Logs!$F400, U$24)+COUNTIF(Logs!$F418, U$24)+COUNTIF(Logs!$F436, U$24)+COUNTIF(Logs!$F454, U$24)+COUNTIF(Logs!$F472, U$24)+COUNTIF(Logs!$F490, U$24)+COUNTIF(Logs!$F508, U$24)+COUNTIF(Logs!$F526, U$24)+COUNTIF(Logs!$F544, U$24)+COUNTIF(Logs!$F562, U$24)+COUNTIF(Logs!$F579, U$24)+COUNTIF(Logs!$F598, U$24)+COUNTIF(Logs!$F614, U$24)+COUNTIF(Logs!$F630, U$24)+COUNTIF(Logs!$F647, U$24)+COUNTIF(Logs!$F662, U$24)+COUNTIF(Logs!$F678, U$24)</f>
        <v>0</v>
      </c>
      <c r="V33" s="1444" t="str">
        <f t="shared" si="18"/>
        <v/>
      </c>
      <c r="W33" s="1101">
        <f>COUNTIF(Logs!$F16, W$24)+COUNTIF(Logs!$F34, W$24)+COUNTIF(Logs!$F52, W$24)+COUNTIF(Logs!$F70, W$24)+COUNTIF(Logs!$F88, W$24)+COUNTIF(Logs!$F107, W$24)+COUNTIF(Logs!$F127, W$24)+COUNTIF(Logs!$F146, W$24)+COUNTIF(Logs!$F166, W$24)+COUNTIF(Logs!$F184, W$24)+COUNTIF(Logs!$F205, W$24)+COUNTIF(Logs!$F222, W$24)+COUNTIF(Logs!$F240, W$24)+COUNTIF(Logs!$F257, W$24)+COUNTIF(Logs!$F274, W$24)+COUNTIF(Logs!$F292, W$24)+COUNTIF(Logs!$F309, W$24)+COUNTIF(Logs!$F327, W$24)+COUNTIF(Logs!$F345, W$24)+COUNTIF(Logs!$F363, W$24)+COUNTIF(Logs!$F381, W$24)+COUNTIF(Logs!$F400, W$24)+COUNTIF(Logs!$F418, W$24)+COUNTIF(Logs!$F436, W$24)+COUNTIF(Logs!$F454, W$24)+COUNTIF(Logs!$F472, W$24)+COUNTIF(Logs!$F490, W$24)+COUNTIF(Logs!$F508, W$24)+COUNTIF(Logs!$F526, W$24)+COUNTIF(Logs!$F544, W$24)+COUNTIF(Logs!$F562, W$24)+COUNTIF(Logs!$F579, W$24)+COUNTIF(Logs!$F598, W$24)+COUNTIF(Logs!$F614, W$24)+COUNTIF(Logs!$F630, W$24)+COUNTIF(Logs!$F647, W$24)+COUNTIF(Logs!$F662, W$24)+COUNTIF(Logs!$F678, W$24)</f>
        <v>0</v>
      </c>
      <c r="X33" s="1432" t="str">
        <f t="shared" si="19"/>
        <v/>
      </c>
    </row>
    <row r="34" spans="2:24">
      <c r="B34" s="1378" t="s">
        <v>193</v>
      </c>
      <c r="C34" s="319">
        <f>COUNTIF(Logs!$E17, C$24)+COUNTIF(Logs!$E35, C$24)+COUNTIF(Logs!$E53, C$24)+COUNTIF(Logs!$E71, C$24)+COUNTIF(Logs!$E89, C$24)+COUNTIF(Logs!$E108, C$24)+COUNTIF(Logs!$E128, C$24)+COUNTIF(Logs!$E147, C$24)+COUNTIF(Logs!$E167, C$24)+COUNTIF(Logs!$E185, C$24)+COUNTIF(Logs!$E206, C$24)+COUNTIF(Logs!$E223, C$24)+COUNTIF(Logs!$E241, C$24)+COUNTIF(Logs!$E258, C$24)+COUNTIF(Logs!$E275, C$24)+COUNTIF(Logs!$E293, C$24)+COUNTIF(Logs!$E310, C$24)+COUNTIF(Logs!$E328, C$24)+COUNTIF(Logs!$E346, C$24)+COUNTIF(Logs!$E364, C$24)+COUNTIF(Logs!$E382, C$24)+COUNTIF(Logs!$E401, C$24)+COUNTIF(Logs!$E419, C$24)+COUNTIF(Logs!$E437, C$24)+COUNTIF(Logs!$E455, C$24)+COUNTIF(Logs!$E473, C$24)+COUNTIF(Logs!$E491, C$24)+COUNTIF(Logs!$E509, C$24)+COUNTIF(Logs!$E527, C$24)+COUNTIF(Logs!$E545, C$24)+COUNTIF(Logs!$E563, C$24)+COUNTIF(Logs!$E580, C$24)+COUNTIF(Logs!$E599, C$24)+COUNTIF(Logs!$E615, C$24)+COUNTIF(Logs!$E631, C$24)+COUNTIF(Logs!$E648, C$24)+COUNTIF(Logs!$E663, C$24)+COUNTIF(Logs!$E679, C$24)</f>
        <v>0</v>
      </c>
      <c r="D34" s="1448" t="str">
        <f t="shared" si="10"/>
        <v/>
      </c>
      <c r="E34" s="342">
        <f>COUNTIF(Logs!$E17, E$24)+COUNTIF(Logs!$E35, E$24)+COUNTIF(Logs!$E53, E$24)+COUNTIF(Logs!$E71, E$24)+COUNTIF(Logs!$E89, E$24)+COUNTIF(Logs!$E108, E$24)+COUNTIF(Logs!$E128, E$24)+COUNTIF(Logs!$E147, E$24)+COUNTIF(Logs!$E167, E$24)+COUNTIF(Logs!$E185, E$24)+COUNTIF(Logs!$E206, E$24)+COUNTIF(Logs!$E223, E$24)+COUNTIF(Logs!$E241, E$24)+COUNTIF(Logs!$E258, E$24)+COUNTIF(Logs!$E275, E$24)+COUNTIF(Logs!$E293, E$24)+COUNTIF(Logs!$E310, E$24)+COUNTIF(Logs!$E328, E$24)+COUNTIF(Logs!$E346, E$24)+COUNTIF(Logs!$E364, E$24)+COUNTIF(Logs!$E382, E$24)+COUNTIF(Logs!$E401, E$24)+COUNTIF(Logs!$E419, E$24)+COUNTIF(Logs!$E437, E$24)+COUNTIF(Logs!$E455, E$24)+COUNTIF(Logs!$E473, E$24)+COUNTIF(Logs!$E491, E$24)+COUNTIF(Logs!$E509, E$24)+COUNTIF(Logs!$E527, E$24)+COUNTIF(Logs!$E545, E$24)+COUNTIF(Logs!$E563, E$24)+COUNTIF(Logs!$E580, E$24)+COUNTIF(Logs!$E599, E$24)+COUNTIF(Logs!$E615, E$24)+COUNTIF(Logs!$E631, E$24)+COUNTIF(Logs!$E648, E$24)+COUNTIF(Logs!$E663, E$24)+COUNTIF(Logs!$E679, E$24)</f>
        <v>0</v>
      </c>
      <c r="F34" s="1437" t="str">
        <f t="shared" si="11"/>
        <v/>
      </c>
      <c r="G34" s="1439">
        <f>COUNTIF(Logs!$E17, G$24)+COUNTIF(Logs!$E35, G$24)+COUNTIF(Logs!$E53, G$24)+COUNTIF(Logs!$E71, G$24)+COUNTIF(Logs!$E89, G$24)+COUNTIF(Logs!$E108, G$24)+COUNTIF(Logs!$E128, G$24)+COUNTIF(Logs!$E147, G$24)+COUNTIF(Logs!$E167, G$24)+COUNTIF(Logs!$E185, G$24)+COUNTIF(Logs!$E206, G$24)+COUNTIF(Logs!$E223, G$24)+COUNTIF(Logs!$E241, G$24)+COUNTIF(Logs!$E258, G$24)+COUNTIF(Logs!$E275, G$24)+COUNTIF(Logs!$E293, G$24)+COUNTIF(Logs!$E310, G$24)+COUNTIF(Logs!$E328, G$24)+COUNTIF(Logs!$E346, G$24)+COUNTIF(Logs!$E364, G$24)+COUNTIF(Logs!$E382, G$24)+COUNTIF(Logs!$E401, G$24)+COUNTIF(Logs!$E419, G$24)+COUNTIF(Logs!$E437, G$24)+COUNTIF(Logs!$E455, G$24)+COUNTIF(Logs!$E473, G$24)+COUNTIF(Logs!$E491, G$24)+COUNTIF(Logs!$E509, G$24)+COUNTIF(Logs!$E527, G$24)+COUNTIF(Logs!$E545, G$24)+COUNTIF(Logs!$E563, G$24)+COUNTIF(Logs!$E580, G$24)+COUNTIF(Logs!$E599, G$24)+COUNTIF(Logs!$E615, G$24)+COUNTIF(Logs!$E631, G$24)+COUNTIF(Logs!$E648, G$24)+COUNTIF(Logs!$E663, G$24)+COUNTIF(Logs!$E679, G$24)</f>
        <v>0</v>
      </c>
      <c r="H34" s="1440" t="str">
        <f t="shared" si="12"/>
        <v/>
      </c>
      <c r="I34" s="1443">
        <f>COUNTIF(Logs!$E17, I$24)+COUNTIF(Logs!$E35, I$24)+COUNTIF(Logs!$E53, I$24)+COUNTIF(Logs!$E71, I$24)+COUNTIF(Logs!$E89, I$24)+COUNTIF(Logs!$E108, I$24)+COUNTIF(Logs!$E128, I$24)+COUNTIF(Logs!$E147, I$24)+COUNTIF(Logs!$E167, I$24)+COUNTIF(Logs!$E185, I$24)+COUNTIF(Logs!$E206, I$24)+COUNTIF(Logs!$E223, I$24)+COUNTIF(Logs!$E241, I$24)+COUNTIF(Logs!$E258, I$24)+COUNTIF(Logs!$E275, I$24)+COUNTIF(Logs!$E293, I$24)+COUNTIF(Logs!$E310, I$24)+COUNTIF(Logs!$E328, I$24)+COUNTIF(Logs!$E346, I$24)+COUNTIF(Logs!$E364, I$24)+COUNTIF(Logs!$E382, I$24)+COUNTIF(Logs!$E401, I$24)+COUNTIF(Logs!$E419, I$24)+COUNTIF(Logs!$E437, I$24)+COUNTIF(Logs!$E455, I$24)+COUNTIF(Logs!$E473, I$24)+COUNTIF(Logs!$E491, I$24)+COUNTIF(Logs!$E509, I$24)+COUNTIF(Logs!$E527, I$24)+COUNTIF(Logs!$E545, I$24)+COUNTIF(Logs!$E563, I$24)+COUNTIF(Logs!$E580, I$24)+COUNTIF(Logs!$E599, I$24)+COUNTIF(Logs!$E615, I$24)+COUNTIF(Logs!$E631, I$24)+COUNTIF(Logs!$E648, I$24)+COUNTIF(Logs!$E663, I$24)+COUNTIF(Logs!$E679, I$24)</f>
        <v>0</v>
      </c>
      <c r="J34" s="1444" t="str">
        <f t="shared" si="13"/>
        <v/>
      </c>
      <c r="K34" s="1101">
        <f>COUNTIF(Logs!$E17, K$24)+COUNTIF(Logs!$E35, K$24)+COUNTIF(Logs!$E53, K$24)+COUNTIF(Logs!$E71, K$24)+COUNTIF(Logs!$E89, K$24)+COUNTIF(Logs!$E108, K$24)+COUNTIF(Logs!$E128, K$24)+COUNTIF(Logs!$E147, K$24)+COUNTIF(Logs!$E167, K$24)+COUNTIF(Logs!$E185, K$24)+COUNTIF(Logs!$E206, K$24)+COUNTIF(Logs!$E223, K$24)+COUNTIF(Logs!$E241, K$24)+COUNTIF(Logs!$E258, K$24)+COUNTIF(Logs!$E275, K$24)+COUNTIF(Logs!$E293, K$24)+COUNTIF(Logs!$E310, K$24)+COUNTIF(Logs!$E328, K$24)+COUNTIF(Logs!$E346, K$24)+COUNTIF(Logs!$E364, K$24)+COUNTIF(Logs!$E382, K$24)+COUNTIF(Logs!$E401, K$24)+COUNTIF(Logs!$E419, K$24)+COUNTIF(Logs!$E437, K$24)+COUNTIF(Logs!$E455, K$24)+COUNTIF(Logs!$E473, K$24)+COUNTIF(Logs!$E491, K$24)+COUNTIF(Logs!$E509, K$24)+COUNTIF(Logs!$E527, K$24)+COUNTIF(Logs!$E545, K$24)+COUNTIF(Logs!$E563, K$24)+COUNTIF(Logs!$E580, K$24)+COUNTIF(Logs!$E599, K$24)+COUNTIF(Logs!$E615, K$24)+COUNTIF(Logs!$E631, K$24)+COUNTIF(Logs!$E648, K$24)+COUNTIF(Logs!$E663, K$24)+COUNTIF(Logs!$E679, K$24)</f>
        <v>0</v>
      </c>
      <c r="L34" s="1432" t="str">
        <f t="shared" si="14"/>
        <v/>
      </c>
      <c r="N34" s="1378" t="s">
        <v>193</v>
      </c>
      <c r="O34" s="319">
        <f>COUNTIF(Logs!$F17, O$24)+COUNTIF(Logs!$F35, O$24)+COUNTIF(Logs!$F53, O$24)+COUNTIF(Logs!$F71, O$24)+COUNTIF(Logs!$F89, O$24)+COUNTIF(Logs!$F108, O$24)+COUNTIF(Logs!$F128, O$24)+COUNTIF(Logs!$F147, O$24)+COUNTIF(Logs!$F167, O$24)+COUNTIF(Logs!$F185, O$24)+COUNTIF(Logs!$F206, O$24)+COUNTIF(Logs!$F223, O$24)+COUNTIF(Logs!$F241, O$24)+COUNTIF(Logs!$F258, O$24)+COUNTIF(Logs!$F275, O$24)+COUNTIF(Logs!$F293, O$24)+COUNTIF(Logs!$F310, O$24)+COUNTIF(Logs!$F328, O$24)+COUNTIF(Logs!$F346, O$24)+COUNTIF(Logs!$F364, O$24)+COUNTIF(Logs!$F382, O$24)+COUNTIF(Logs!$F401, O$24)+COUNTIF(Logs!$F419, O$24)+COUNTIF(Logs!$F437, O$24)+COUNTIF(Logs!$F455, O$24)+COUNTIF(Logs!$F473, O$24)+COUNTIF(Logs!$F491, O$24)+COUNTIF(Logs!$F509, O$24)+COUNTIF(Logs!$F527, O$24)+COUNTIF(Logs!$F545, O$24)+COUNTIF(Logs!$F563, O$24)+COUNTIF(Logs!$F580, O$24)+COUNTIF(Logs!$F599, O$24)+COUNTIF(Logs!$F615, O$24)+COUNTIF(Logs!$F631, O$24)+COUNTIF(Logs!$F648, O$24)+COUNTIF(Logs!$F663, O$24)+COUNTIF(Logs!$F679, O$24)</f>
        <v>2</v>
      </c>
      <c r="P34" s="1448">
        <f t="shared" si="15"/>
        <v>0.5</v>
      </c>
      <c r="Q34" s="342">
        <f>COUNTIF(Logs!$F17, Q$24)+COUNTIF(Logs!$F35, Q$24)+COUNTIF(Logs!$F53, Q$24)+COUNTIF(Logs!$F71, Q$24)+COUNTIF(Logs!$F89, Q$24)+COUNTIF(Logs!$F108, Q$24)+COUNTIF(Logs!$F128, Q$24)+COUNTIF(Logs!$F147, Q$24)+COUNTIF(Logs!$F167, Q$24)+COUNTIF(Logs!$F185, Q$24)+COUNTIF(Logs!$F206, Q$24)+COUNTIF(Logs!$F223, Q$24)+COUNTIF(Logs!$F241, Q$24)+COUNTIF(Logs!$F258, Q$24)+COUNTIF(Logs!$F275, Q$24)+COUNTIF(Logs!$F293, Q$24)+COUNTIF(Logs!$F310, Q$24)+COUNTIF(Logs!$F328, Q$24)+COUNTIF(Logs!$F346, Q$24)+COUNTIF(Logs!$F364, Q$24)+COUNTIF(Logs!$F382, Q$24)+COUNTIF(Logs!$F401, Q$24)+COUNTIF(Logs!$F419, Q$24)+COUNTIF(Logs!$F437, Q$24)+COUNTIF(Logs!$F455, Q$24)+COUNTIF(Logs!$F473, Q$24)+COUNTIF(Logs!$F491, Q$24)+COUNTIF(Logs!$F509, Q$24)+COUNTIF(Logs!$F527, Q$24)+COUNTIF(Logs!$F545, Q$24)+COUNTIF(Logs!$F563, Q$24)+COUNTIF(Logs!$F580, Q$24)+COUNTIF(Logs!$F599, Q$24)+COUNTIF(Logs!$F615, Q$24)+COUNTIF(Logs!$F631, Q$24)+COUNTIF(Logs!$F648, Q$24)+COUNTIF(Logs!$F663, Q$24)+COUNTIF(Logs!$F679, Q$24)</f>
        <v>1</v>
      </c>
      <c r="R34" s="1437">
        <f t="shared" si="16"/>
        <v>0.25</v>
      </c>
      <c r="S34" s="1439">
        <f>COUNTIF(Logs!$F17, S$24)+COUNTIF(Logs!$F35, S$24)+COUNTIF(Logs!$F53, S$24)+COUNTIF(Logs!$F71, S$24)+COUNTIF(Logs!$F89, S$24)+COUNTIF(Logs!$F108, S$24)+COUNTIF(Logs!$F128, S$24)+COUNTIF(Logs!$F147, S$24)+COUNTIF(Logs!$F167, S$24)+COUNTIF(Logs!$F185, S$24)+COUNTIF(Logs!$F206, S$24)+COUNTIF(Logs!$F223, S$24)+COUNTIF(Logs!$F241, S$24)+COUNTIF(Logs!$F258, S$24)+COUNTIF(Logs!$F275, S$24)+COUNTIF(Logs!$F293, S$24)+COUNTIF(Logs!$F310, S$24)+COUNTIF(Logs!$F328, S$24)+COUNTIF(Logs!$F346, S$24)+COUNTIF(Logs!$F364, S$24)+COUNTIF(Logs!$F382, S$24)+COUNTIF(Logs!$F401, S$24)+COUNTIF(Logs!$F419, S$24)+COUNTIF(Logs!$F437, S$24)+COUNTIF(Logs!$F455, S$24)+COUNTIF(Logs!$F473, S$24)+COUNTIF(Logs!$F491, S$24)+COUNTIF(Logs!$F509, S$24)+COUNTIF(Logs!$F527, S$24)+COUNTIF(Logs!$F545, S$24)+COUNTIF(Logs!$F563, S$24)+COUNTIF(Logs!$F580, S$24)+COUNTIF(Logs!$F599, S$24)+COUNTIF(Logs!$F615, S$24)+COUNTIF(Logs!$F631, S$24)+COUNTIF(Logs!$F648, S$24)+COUNTIF(Logs!$F663, S$24)+COUNTIF(Logs!$F679, S$24)</f>
        <v>1</v>
      </c>
      <c r="T34" s="1440">
        <f t="shared" si="17"/>
        <v>0.25</v>
      </c>
      <c r="U34" s="1443">
        <f>COUNTIF(Logs!$F17, U$24)+COUNTIF(Logs!$F35, U$24)+COUNTIF(Logs!$F53, U$24)+COUNTIF(Logs!$F71, U$24)+COUNTIF(Logs!$F89, U$24)+COUNTIF(Logs!$F108, U$24)+COUNTIF(Logs!$F128, U$24)+COUNTIF(Logs!$F147, U$24)+COUNTIF(Logs!$F167, U$24)+COUNTIF(Logs!$F185, U$24)+COUNTIF(Logs!$F206, U$24)+COUNTIF(Logs!$F223, U$24)+COUNTIF(Logs!$F241, U$24)+COUNTIF(Logs!$F258, U$24)+COUNTIF(Logs!$F275, U$24)+COUNTIF(Logs!$F293, U$24)+COUNTIF(Logs!$F310, U$24)+COUNTIF(Logs!$F328, U$24)+COUNTIF(Logs!$F346, U$24)+COUNTIF(Logs!$F364, U$24)+COUNTIF(Logs!$F382, U$24)+COUNTIF(Logs!$F401, U$24)+COUNTIF(Logs!$F419, U$24)+COUNTIF(Logs!$F437, U$24)+COUNTIF(Logs!$F455, U$24)+COUNTIF(Logs!$F473, U$24)+COUNTIF(Logs!$F491, U$24)+COUNTIF(Logs!$F509, U$24)+COUNTIF(Logs!$F527, U$24)+COUNTIF(Logs!$F545, U$24)+COUNTIF(Logs!$F563, U$24)+COUNTIF(Logs!$F580, U$24)+COUNTIF(Logs!$F599, U$24)+COUNTIF(Logs!$F615, U$24)+COUNTIF(Logs!$F631, U$24)+COUNTIF(Logs!$F648, U$24)+COUNTIF(Logs!$F663, U$24)+COUNTIF(Logs!$F679, U$24)</f>
        <v>0</v>
      </c>
      <c r="V34" s="1444" t="str">
        <f t="shared" si="18"/>
        <v/>
      </c>
      <c r="W34" s="1101">
        <f>COUNTIF(Logs!$F17, W$24)+COUNTIF(Logs!$F35, W$24)+COUNTIF(Logs!$F53, W$24)+COUNTIF(Logs!$F71, W$24)+COUNTIF(Logs!$F89, W$24)+COUNTIF(Logs!$F108, W$24)+COUNTIF(Logs!$F128, W$24)+COUNTIF(Logs!$F147, W$24)+COUNTIF(Logs!$F167, W$24)+COUNTIF(Logs!$F185, W$24)+COUNTIF(Logs!$F206, W$24)+COUNTIF(Logs!$F223, W$24)+COUNTIF(Logs!$F241, W$24)+COUNTIF(Logs!$F258, W$24)+COUNTIF(Logs!$F275, W$24)+COUNTIF(Logs!$F293, W$24)+COUNTIF(Logs!$F310, W$24)+COUNTIF(Logs!$F328, W$24)+COUNTIF(Logs!$F346, W$24)+COUNTIF(Logs!$F364, W$24)+COUNTIF(Logs!$F382, W$24)+COUNTIF(Logs!$F401, W$24)+COUNTIF(Logs!$F419, W$24)+COUNTIF(Logs!$F437, W$24)+COUNTIF(Logs!$F455, W$24)+COUNTIF(Logs!$F473, W$24)+COUNTIF(Logs!$F491, W$24)+COUNTIF(Logs!$F509, W$24)+COUNTIF(Logs!$F527, W$24)+COUNTIF(Logs!$F545, W$24)+COUNTIF(Logs!$F563, W$24)+COUNTIF(Logs!$F580, W$24)+COUNTIF(Logs!$F599, W$24)+COUNTIF(Logs!$F615, W$24)+COUNTIF(Logs!$F631, W$24)+COUNTIF(Logs!$F648, W$24)+COUNTIF(Logs!$F663, W$24)+COUNTIF(Logs!$F679, W$24)</f>
        <v>0</v>
      </c>
      <c r="X34" s="1432" t="str">
        <f t="shared" si="19"/>
        <v/>
      </c>
    </row>
    <row r="35" spans="2:24">
      <c r="B35" s="1378" t="s">
        <v>194</v>
      </c>
      <c r="C35" s="319">
        <f>COUNTIF(Logs!$E18, C$24)+COUNTIF(Logs!$E36, C$24)+COUNTIF(Logs!$E54, C$24)+COUNTIF(Logs!$E72, C$24)+COUNTIF(Logs!$E90, C$24)+COUNTIF(Logs!$E109, C$24)+COUNTIF(Logs!$E129, C$24)+COUNTIF(Logs!$E148, C$24)+COUNTIF(Logs!$E168, C$24)+COUNTIF(Logs!$E186, C$24)+COUNTIF(Logs!$E207, C$24)+COUNTIF(Logs!$E224, C$24)+COUNTIF(Logs!$E242, C$24)+COUNTIF(Logs!$E259, C$24)+COUNTIF(Logs!$E276, C$24)+COUNTIF(Logs!$E294, C$24)+COUNTIF(Logs!$E311, C$24)+COUNTIF(Logs!$E329, C$24)+COUNTIF(Logs!$E347, C$24)+COUNTIF(Logs!$E365, C$24)+COUNTIF(Logs!$E383, C$24)+COUNTIF(Logs!$E402, C$24)+COUNTIF(Logs!$E420, C$24)+COUNTIF(Logs!$E438, C$24)+COUNTIF(Logs!$E456, C$24)+COUNTIF(Logs!$E474, C$24)+COUNTIF(Logs!$E492, C$24)+COUNTIF(Logs!$E510, C$24)+COUNTIF(Logs!$E528, C$24)+COUNTIF(Logs!$E546, C$24)+COUNTIF(Logs!$E564, C$24)+COUNTIF(Logs!$E581, C$24)+COUNTIF(Logs!$E600, C$24)+COUNTIF(Logs!$E616, C$24)+COUNTIF(Logs!$E632, C$24)+COUNTIF(Logs!$E649, C$24)+COUNTIF(Logs!$E664, C$24)+COUNTIF(Logs!$E680, C$24)</f>
        <v>0</v>
      </c>
      <c r="D35" s="1448" t="str">
        <f t="shared" si="10"/>
        <v/>
      </c>
      <c r="E35" s="342">
        <f>COUNTIF(Logs!$E18, E$24)+COUNTIF(Logs!$E36, E$24)+COUNTIF(Logs!$E54, E$24)+COUNTIF(Logs!$E72, E$24)+COUNTIF(Logs!$E90, E$24)+COUNTIF(Logs!$E109, E$24)+COUNTIF(Logs!$E129, E$24)+COUNTIF(Logs!$E148, E$24)+COUNTIF(Logs!$E168, E$24)+COUNTIF(Logs!$E186, E$24)+COUNTIF(Logs!$E207, E$24)+COUNTIF(Logs!$E224, E$24)+COUNTIF(Logs!$E242, E$24)+COUNTIF(Logs!$E259, E$24)+COUNTIF(Logs!$E276, E$24)+COUNTIF(Logs!$E294, E$24)+COUNTIF(Logs!$E311, E$24)+COUNTIF(Logs!$E329, E$24)+COUNTIF(Logs!$E347, E$24)+COUNTIF(Logs!$E365, E$24)+COUNTIF(Logs!$E383, E$24)+COUNTIF(Logs!$E402, E$24)+COUNTIF(Logs!$E420, E$24)+COUNTIF(Logs!$E438, E$24)+COUNTIF(Logs!$E456, E$24)+COUNTIF(Logs!$E474, E$24)+COUNTIF(Logs!$E492, E$24)+COUNTIF(Logs!$E510, E$24)+COUNTIF(Logs!$E528, E$24)+COUNTIF(Logs!$E546, E$24)+COUNTIF(Logs!$E564, E$24)+COUNTIF(Logs!$E581, E$24)+COUNTIF(Logs!$E600, E$24)+COUNTIF(Logs!$E616, E$24)+COUNTIF(Logs!$E632, E$24)+COUNTIF(Logs!$E649, E$24)+COUNTIF(Logs!$E664, E$24)+COUNTIF(Logs!$E680, E$24)</f>
        <v>0</v>
      </c>
      <c r="F35" s="1437" t="str">
        <f t="shared" si="11"/>
        <v/>
      </c>
      <c r="G35" s="1439">
        <f>COUNTIF(Logs!$E18, G$24)+COUNTIF(Logs!$E36, G$24)+COUNTIF(Logs!$E54, G$24)+COUNTIF(Logs!$E72, G$24)+COUNTIF(Logs!$E90, G$24)+COUNTIF(Logs!$E109, G$24)+COUNTIF(Logs!$E129, G$24)+COUNTIF(Logs!$E148, G$24)+COUNTIF(Logs!$E168, G$24)+COUNTIF(Logs!$E186, G$24)+COUNTIF(Logs!$E207, G$24)+COUNTIF(Logs!$E224, G$24)+COUNTIF(Logs!$E242, G$24)+COUNTIF(Logs!$E259, G$24)+COUNTIF(Logs!$E276, G$24)+COUNTIF(Logs!$E294, G$24)+COUNTIF(Logs!$E311, G$24)+COUNTIF(Logs!$E329, G$24)+COUNTIF(Logs!$E347, G$24)+COUNTIF(Logs!$E365, G$24)+COUNTIF(Logs!$E383, G$24)+COUNTIF(Logs!$E402, G$24)+COUNTIF(Logs!$E420, G$24)+COUNTIF(Logs!$E438, G$24)+COUNTIF(Logs!$E456, G$24)+COUNTIF(Logs!$E474, G$24)+COUNTIF(Logs!$E492, G$24)+COUNTIF(Logs!$E510, G$24)+COUNTIF(Logs!$E528, G$24)+COUNTIF(Logs!$E546, G$24)+COUNTIF(Logs!$E564, G$24)+COUNTIF(Logs!$E581, G$24)+COUNTIF(Logs!$E600, G$24)+COUNTIF(Logs!$E616, G$24)+COUNTIF(Logs!$E632, G$24)+COUNTIF(Logs!$E649, G$24)+COUNTIF(Logs!$E664, G$24)+COUNTIF(Logs!$E680, G$24)</f>
        <v>0</v>
      </c>
      <c r="H35" s="1440" t="str">
        <f t="shared" si="12"/>
        <v/>
      </c>
      <c r="I35" s="1443">
        <f>COUNTIF(Logs!$E18, I$24)+COUNTIF(Logs!$E36, I$24)+COUNTIF(Logs!$E54, I$24)+COUNTIF(Logs!$E72, I$24)+COUNTIF(Logs!$E90, I$24)+COUNTIF(Logs!$E109, I$24)+COUNTIF(Logs!$E129, I$24)+COUNTIF(Logs!$E148, I$24)+COUNTIF(Logs!$E168, I$24)+COUNTIF(Logs!$E186, I$24)+COUNTIF(Logs!$E207, I$24)+COUNTIF(Logs!$E224, I$24)+COUNTIF(Logs!$E242, I$24)+COUNTIF(Logs!$E259, I$24)+COUNTIF(Logs!$E276, I$24)+COUNTIF(Logs!$E294, I$24)+COUNTIF(Logs!$E311, I$24)+COUNTIF(Logs!$E329, I$24)+COUNTIF(Logs!$E347, I$24)+COUNTIF(Logs!$E365, I$24)+COUNTIF(Logs!$E383, I$24)+COUNTIF(Logs!$E402, I$24)+COUNTIF(Logs!$E420, I$24)+COUNTIF(Logs!$E438, I$24)+COUNTIF(Logs!$E456, I$24)+COUNTIF(Logs!$E474, I$24)+COUNTIF(Logs!$E492, I$24)+COUNTIF(Logs!$E510, I$24)+COUNTIF(Logs!$E528, I$24)+COUNTIF(Logs!$E546, I$24)+COUNTIF(Logs!$E564, I$24)+COUNTIF(Logs!$E581, I$24)+COUNTIF(Logs!$E600, I$24)+COUNTIF(Logs!$E616, I$24)+COUNTIF(Logs!$E632, I$24)+COUNTIF(Logs!$E649, I$24)+COUNTIF(Logs!$E664, I$24)+COUNTIF(Logs!$E680, I$24)</f>
        <v>0</v>
      </c>
      <c r="J35" s="1444" t="str">
        <f t="shared" si="13"/>
        <v/>
      </c>
      <c r="K35" s="1101">
        <f>COUNTIF(Logs!$E18, K$24)+COUNTIF(Logs!$E36, K$24)+COUNTIF(Logs!$E54, K$24)+COUNTIF(Logs!$E72, K$24)+COUNTIF(Logs!$E90, K$24)+COUNTIF(Logs!$E109, K$24)+COUNTIF(Logs!$E129, K$24)+COUNTIF(Logs!$E148, K$24)+COUNTIF(Logs!$E168, K$24)+COUNTIF(Logs!$E186, K$24)+COUNTIF(Logs!$E207, K$24)+COUNTIF(Logs!$E224, K$24)+COUNTIF(Logs!$E242, K$24)+COUNTIF(Logs!$E259, K$24)+COUNTIF(Logs!$E276, K$24)+COUNTIF(Logs!$E294, K$24)+COUNTIF(Logs!$E311, K$24)+COUNTIF(Logs!$E329, K$24)+COUNTIF(Logs!$E347, K$24)+COUNTIF(Logs!$E365, K$24)+COUNTIF(Logs!$E383, K$24)+COUNTIF(Logs!$E402, K$24)+COUNTIF(Logs!$E420, K$24)+COUNTIF(Logs!$E438, K$24)+COUNTIF(Logs!$E456, K$24)+COUNTIF(Logs!$E474, K$24)+COUNTIF(Logs!$E492, K$24)+COUNTIF(Logs!$E510, K$24)+COUNTIF(Logs!$E528, K$24)+COUNTIF(Logs!$E546, K$24)+COUNTIF(Logs!$E564, K$24)+COUNTIF(Logs!$E581, K$24)+COUNTIF(Logs!$E600, K$24)+COUNTIF(Logs!$E616, K$24)+COUNTIF(Logs!$E632, K$24)+COUNTIF(Logs!$E649, K$24)+COUNTIF(Logs!$E664, K$24)+COUNTIF(Logs!$E680, K$24)</f>
        <v>0</v>
      </c>
      <c r="L35" s="1432" t="str">
        <f t="shared" si="14"/>
        <v/>
      </c>
      <c r="N35" s="1378" t="s">
        <v>194</v>
      </c>
      <c r="O35" s="319">
        <f>COUNTIF(Logs!$F18, O$24)+COUNTIF(Logs!$F36, O$24)+COUNTIF(Logs!$F54, O$24)+COUNTIF(Logs!$F72, O$24)+COUNTIF(Logs!$F90, O$24)+COUNTIF(Logs!$F109, O$24)+COUNTIF(Logs!$F129, O$24)+COUNTIF(Logs!$F148, O$24)+COUNTIF(Logs!$F168, O$24)+COUNTIF(Logs!$F186, O$24)+COUNTIF(Logs!$F207, O$24)+COUNTIF(Logs!$F224, O$24)+COUNTIF(Logs!$F242, O$24)+COUNTIF(Logs!$F259, O$24)+COUNTIF(Logs!$F276, O$24)+COUNTIF(Logs!$F294, O$24)+COUNTIF(Logs!$F311, O$24)+COUNTIF(Logs!$F329, O$24)+COUNTIF(Logs!$F347, O$24)+COUNTIF(Logs!$F365, O$24)+COUNTIF(Logs!$F383, O$24)+COUNTIF(Logs!$F402, O$24)+COUNTIF(Logs!$F420, O$24)+COUNTIF(Logs!$F438, O$24)+COUNTIF(Logs!$F456, O$24)+COUNTIF(Logs!$F474, O$24)+COUNTIF(Logs!$F492, O$24)+COUNTIF(Logs!$F510, O$24)+COUNTIF(Logs!$F528, O$24)+COUNTIF(Logs!$F546, O$24)+COUNTIF(Logs!$F564, O$24)+COUNTIF(Logs!$F581, O$24)+COUNTIF(Logs!$F600, O$24)+COUNTIF(Logs!$F616, O$24)+COUNTIF(Logs!$F632, O$24)+COUNTIF(Logs!$F649, O$24)+COUNTIF(Logs!$F664, O$24)+COUNTIF(Logs!$F680, O$24)</f>
        <v>2</v>
      </c>
      <c r="P35" s="1448">
        <f t="shared" si="15"/>
        <v>1</v>
      </c>
      <c r="Q35" s="342">
        <f>COUNTIF(Logs!$F18, Q$24)+COUNTIF(Logs!$F36, Q$24)+COUNTIF(Logs!$F54, Q$24)+COUNTIF(Logs!$F72, Q$24)+COUNTIF(Logs!$F90, Q$24)+COUNTIF(Logs!$F109, Q$24)+COUNTIF(Logs!$F129, Q$24)+COUNTIF(Logs!$F148, Q$24)+COUNTIF(Logs!$F168, Q$24)+COUNTIF(Logs!$F186, Q$24)+COUNTIF(Logs!$F207, Q$24)+COUNTIF(Logs!$F224, Q$24)+COUNTIF(Logs!$F242, Q$24)+COUNTIF(Logs!$F259, Q$24)+COUNTIF(Logs!$F276, Q$24)+COUNTIF(Logs!$F294, Q$24)+COUNTIF(Logs!$F311, Q$24)+COUNTIF(Logs!$F329, Q$24)+COUNTIF(Logs!$F347, Q$24)+COUNTIF(Logs!$F365, Q$24)+COUNTIF(Logs!$F383, Q$24)+COUNTIF(Logs!$F402, Q$24)+COUNTIF(Logs!$F420, Q$24)+COUNTIF(Logs!$F438, Q$24)+COUNTIF(Logs!$F456, Q$24)+COUNTIF(Logs!$F474, Q$24)+COUNTIF(Logs!$F492, Q$24)+COUNTIF(Logs!$F510, Q$24)+COUNTIF(Logs!$F528, Q$24)+COUNTIF(Logs!$F546, Q$24)+COUNTIF(Logs!$F564, Q$24)+COUNTIF(Logs!$F581, Q$24)+COUNTIF(Logs!$F600, Q$24)+COUNTIF(Logs!$F616, Q$24)+COUNTIF(Logs!$F632, Q$24)+COUNTIF(Logs!$F649, Q$24)+COUNTIF(Logs!$F664, Q$24)+COUNTIF(Logs!$F680, Q$24)</f>
        <v>0</v>
      </c>
      <c r="R35" s="1437" t="str">
        <f t="shared" si="16"/>
        <v/>
      </c>
      <c r="S35" s="1439">
        <f>COUNTIF(Logs!$F18, S$24)+COUNTIF(Logs!$F36, S$24)+COUNTIF(Logs!$F54, S$24)+COUNTIF(Logs!$F72, S$24)+COUNTIF(Logs!$F90, S$24)+COUNTIF(Logs!$F109, S$24)+COUNTIF(Logs!$F129, S$24)+COUNTIF(Logs!$F148, S$24)+COUNTIF(Logs!$F168, S$24)+COUNTIF(Logs!$F186, S$24)+COUNTIF(Logs!$F207, S$24)+COUNTIF(Logs!$F224, S$24)+COUNTIF(Logs!$F242, S$24)+COUNTIF(Logs!$F259, S$24)+COUNTIF(Logs!$F276, S$24)+COUNTIF(Logs!$F294, S$24)+COUNTIF(Logs!$F311, S$24)+COUNTIF(Logs!$F329, S$24)+COUNTIF(Logs!$F347, S$24)+COUNTIF(Logs!$F365, S$24)+COUNTIF(Logs!$F383, S$24)+COUNTIF(Logs!$F402, S$24)+COUNTIF(Logs!$F420, S$24)+COUNTIF(Logs!$F438, S$24)+COUNTIF(Logs!$F456, S$24)+COUNTIF(Logs!$F474, S$24)+COUNTIF(Logs!$F492, S$24)+COUNTIF(Logs!$F510, S$24)+COUNTIF(Logs!$F528, S$24)+COUNTIF(Logs!$F546, S$24)+COUNTIF(Logs!$F564, S$24)+COUNTIF(Logs!$F581, S$24)+COUNTIF(Logs!$F600, S$24)+COUNTIF(Logs!$F616, S$24)+COUNTIF(Logs!$F632, S$24)+COUNTIF(Logs!$F649, S$24)+COUNTIF(Logs!$F664, S$24)+COUNTIF(Logs!$F680, S$24)</f>
        <v>0</v>
      </c>
      <c r="T35" s="1440" t="str">
        <f t="shared" si="17"/>
        <v/>
      </c>
      <c r="U35" s="1443">
        <f>COUNTIF(Logs!$F18, U$24)+COUNTIF(Logs!$F36, U$24)+COUNTIF(Logs!$F54, U$24)+COUNTIF(Logs!$F72, U$24)+COUNTIF(Logs!$F90, U$24)+COUNTIF(Logs!$F109, U$24)+COUNTIF(Logs!$F129, U$24)+COUNTIF(Logs!$F148, U$24)+COUNTIF(Logs!$F168, U$24)+COUNTIF(Logs!$F186, U$24)+COUNTIF(Logs!$F207, U$24)+COUNTIF(Logs!$F224, U$24)+COUNTIF(Logs!$F242, U$24)+COUNTIF(Logs!$F259, U$24)+COUNTIF(Logs!$F276, U$24)+COUNTIF(Logs!$F294, U$24)+COUNTIF(Logs!$F311, U$24)+COUNTIF(Logs!$F329, U$24)+COUNTIF(Logs!$F347, U$24)+COUNTIF(Logs!$F365, U$24)+COUNTIF(Logs!$F383, U$24)+COUNTIF(Logs!$F402, U$24)+COUNTIF(Logs!$F420, U$24)+COUNTIF(Logs!$F438, U$24)+COUNTIF(Logs!$F456, U$24)+COUNTIF(Logs!$F474, U$24)+COUNTIF(Logs!$F492, U$24)+COUNTIF(Logs!$F510, U$24)+COUNTIF(Logs!$F528, U$24)+COUNTIF(Logs!$F546, U$24)+COUNTIF(Logs!$F564, U$24)+COUNTIF(Logs!$F581, U$24)+COUNTIF(Logs!$F600, U$24)+COUNTIF(Logs!$F616, U$24)+COUNTIF(Logs!$F632, U$24)+COUNTIF(Logs!$F649, U$24)+COUNTIF(Logs!$F664, U$24)+COUNTIF(Logs!$F680, U$24)</f>
        <v>0</v>
      </c>
      <c r="V35" s="1444" t="str">
        <f t="shared" si="18"/>
        <v/>
      </c>
      <c r="W35" s="1101">
        <f>COUNTIF(Logs!$F18, W$24)+COUNTIF(Logs!$F36, W$24)+COUNTIF(Logs!$F54, W$24)+COUNTIF(Logs!$F72, W$24)+COUNTIF(Logs!$F90, W$24)+COUNTIF(Logs!$F109, W$24)+COUNTIF(Logs!$F129, W$24)+COUNTIF(Logs!$F148, W$24)+COUNTIF(Logs!$F168, W$24)+COUNTIF(Logs!$F186, W$24)+COUNTIF(Logs!$F207, W$24)+COUNTIF(Logs!$F224, W$24)+COUNTIF(Logs!$F242, W$24)+COUNTIF(Logs!$F259, W$24)+COUNTIF(Logs!$F276, W$24)+COUNTIF(Logs!$F294, W$24)+COUNTIF(Logs!$F311, W$24)+COUNTIF(Logs!$F329, W$24)+COUNTIF(Logs!$F347, W$24)+COUNTIF(Logs!$F365, W$24)+COUNTIF(Logs!$F383, W$24)+COUNTIF(Logs!$F402, W$24)+COUNTIF(Logs!$F420, W$24)+COUNTIF(Logs!$F438, W$24)+COUNTIF(Logs!$F456, W$24)+COUNTIF(Logs!$F474, W$24)+COUNTIF(Logs!$F492, W$24)+COUNTIF(Logs!$F510, W$24)+COUNTIF(Logs!$F528, W$24)+COUNTIF(Logs!$F546, W$24)+COUNTIF(Logs!$F564, W$24)+COUNTIF(Logs!$F581, W$24)+COUNTIF(Logs!$F600, W$24)+COUNTIF(Logs!$F616, W$24)+COUNTIF(Logs!$F632, W$24)+COUNTIF(Logs!$F649, W$24)+COUNTIF(Logs!$F664, W$24)+COUNTIF(Logs!$F680, W$24)</f>
        <v>0</v>
      </c>
      <c r="X35" s="1432" t="str">
        <f t="shared" si="19"/>
        <v/>
      </c>
    </row>
    <row r="36" spans="2:24">
      <c r="B36" s="1378" t="s">
        <v>1637</v>
      </c>
      <c r="C36" s="319">
        <f>COUNTIF(Logs!$E19, C$24)+COUNTIF(Logs!$E37, C$24)+COUNTIF(Logs!$E55, C$24)+COUNTIF(Logs!$E73, C$24)+COUNTIF(Logs!$E91, C$24)+COUNTIF(Logs!$E110, C$24)+COUNTIF(Logs!$E130, C$24)+COUNTIF(Logs!$E149, C$24)+COUNTIF(Logs!$E169, C$24)+COUNTIF(Logs!$E187, C$24)+COUNTIF(Logs!$E208, C$24)+COUNTIF(Logs!$E225, C$24)+COUNTIF(Logs!$E243, C$24)+COUNTIF(Logs!$E260, C$24)+COUNTIF(Logs!$E277, C$24)+COUNTIF(Logs!$E295, C$24)+COUNTIF(Logs!$E312, C$24)+COUNTIF(Logs!$E330, C$24)+COUNTIF(Logs!$E348, C$24)+COUNTIF(Logs!$E366, C$24)+COUNTIF(Logs!$E384, C$24)+COUNTIF(Logs!$E403, C$24)+COUNTIF(Logs!$E421, C$24)+COUNTIF(Logs!$E439, C$24)+COUNTIF(Logs!$E457, C$24)+COUNTIF(Logs!$E475, C$24)+COUNTIF(Logs!$E493, C$24)+COUNTIF(Logs!$E511, C$24)+COUNTIF(Logs!$E529, C$24)+COUNTIF(Logs!$E547, C$24)+COUNTIF(Logs!$E565, C$24)+COUNTIF(Logs!$E582, C$24)+COUNTIF(Logs!$E601, C$24)+COUNTIF(Logs!$E617, C$24)+COUNTIF(Logs!$E633, C$24)+COUNTIF(Logs!$E650, C$24)+COUNTIF(Logs!$E665, C$24)+COUNTIF(Logs!$E681, C$24)</f>
        <v>0</v>
      </c>
      <c r="D36" s="1448" t="str">
        <f t="shared" si="10"/>
        <v/>
      </c>
      <c r="E36" s="342">
        <f>COUNTIF(Logs!$E19, E$24)+COUNTIF(Logs!$E37, E$24)+COUNTIF(Logs!$E55, E$24)+COUNTIF(Logs!$E73, E$24)+COUNTIF(Logs!$E91, E$24)+COUNTIF(Logs!$E110, E$24)+COUNTIF(Logs!$E130, E$24)+COUNTIF(Logs!$E149, E$24)+COUNTIF(Logs!$E169, E$24)+COUNTIF(Logs!$E187, E$24)+COUNTIF(Logs!$E208, E$24)+COUNTIF(Logs!$E225, E$24)+COUNTIF(Logs!$E243, E$24)+COUNTIF(Logs!$E260, E$24)+COUNTIF(Logs!$E277, E$24)+COUNTIF(Logs!$E295, E$24)+COUNTIF(Logs!$E312, E$24)+COUNTIF(Logs!$E330, E$24)+COUNTIF(Logs!$E348, E$24)+COUNTIF(Logs!$E366, E$24)+COUNTIF(Logs!$E384, E$24)+COUNTIF(Logs!$E403, E$24)+COUNTIF(Logs!$E421, E$24)+COUNTIF(Logs!$E439, E$24)+COUNTIF(Logs!$E457, E$24)+COUNTIF(Logs!$E475, E$24)+COUNTIF(Logs!$E493, E$24)+COUNTIF(Logs!$E511, E$24)+COUNTIF(Logs!$E529, E$24)+COUNTIF(Logs!$E547, E$24)+COUNTIF(Logs!$E565, E$24)+COUNTIF(Logs!$E582, E$24)+COUNTIF(Logs!$E601, E$24)+COUNTIF(Logs!$E617, E$24)+COUNTIF(Logs!$E633, E$24)+COUNTIF(Logs!$E650, E$24)+COUNTIF(Logs!$E665, E$24)+COUNTIF(Logs!$E681, E$24)</f>
        <v>0</v>
      </c>
      <c r="F36" s="1437" t="str">
        <f t="shared" si="11"/>
        <v/>
      </c>
      <c r="G36" s="1439">
        <f>COUNTIF(Logs!$E19, G$24)+COUNTIF(Logs!$E37, G$24)+COUNTIF(Logs!$E55, G$24)+COUNTIF(Logs!$E73, G$24)+COUNTIF(Logs!$E91, G$24)+COUNTIF(Logs!$E110, G$24)+COUNTIF(Logs!$E130, G$24)+COUNTIF(Logs!$E149, G$24)+COUNTIF(Logs!$E169, G$24)+COUNTIF(Logs!$E187, G$24)+COUNTIF(Logs!$E208, G$24)+COUNTIF(Logs!$E225, G$24)+COUNTIF(Logs!$E243, G$24)+COUNTIF(Logs!$E260, G$24)+COUNTIF(Logs!$E277, G$24)+COUNTIF(Logs!$E295, G$24)+COUNTIF(Logs!$E312, G$24)+COUNTIF(Logs!$E330, G$24)+COUNTIF(Logs!$E348, G$24)+COUNTIF(Logs!$E366, G$24)+COUNTIF(Logs!$E384, G$24)+COUNTIF(Logs!$E403, G$24)+COUNTIF(Logs!$E421, G$24)+COUNTIF(Logs!$E439, G$24)+COUNTIF(Logs!$E457, G$24)+COUNTIF(Logs!$E475, G$24)+COUNTIF(Logs!$E493, G$24)+COUNTIF(Logs!$E511, G$24)+COUNTIF(Logs!$E529, G$24)+COUNTIF(Logs!$E547, G$24)+COUNTIF(Logs!$E565, G$24)+COUNTIF(Logs!$E582, G$24)+COUNTIF(Logs!$E601, G$24)+COUNTIF(Logs!$E617, G$24)+COUNTIF(Logs!$E633, G$24)+COUNTIF(Logs!$E650, G$24)+COUNTIF(Logs!$E665, G$24)+COUNTIF(Logs!$E681, G$24)</f>
        <v>0</v>
      </c>
      <c r="H36" s="1440" t="str">
        <f t="shared" si="12"/>
        <v/>
      </c>
      <c r="I36" s="1443">
        <f>COUNTIF(Logs!$E19, I$24)+COUNTIF(Logs!$E37, I$24)+COUNTIF(Logs!$E55, I$24)+COUNTIF(Logs!$E73, I$24)+COUNTIF(Logs!$E91, I$24)+COUNTIF(Logs!$E110, I$24)+COUNTIF(Logs!$E130, I$24)+COUNTIF(Logs!$E149, I$24)+COUNTIF(Logs!$E169, I$24)+COUNTIF(Logs!$E187, I$24)+COUNTIF(Logs!$E208, I$24)+COUNTIF(Logs!$E225, I$24)+COUNTIF(Logs!$E243, I$24)+COUNTIF(Logs!$E260, I$24)+COUNTIF(Logs!$E277, I$24)+COUNTIF(Logs!$E295, I$24)+COUNTIF(Logs!$E312, I$24)+COUNTIF(Logs!$E330, I$24)+COUNTIF(Logs!$E348, I$24)+COUNTIF(Logs!$E366, I$24)+COUNTIF(Logs!$E384, I$24)+COUNTIF(Logs!$E403, I$24)+COUNTIF(Logs!$E421, I$24)+COUNTIF(Logs!$E439, I$24)+COUNTIF(Logs!$E457, I$24)+COUNTIF(Logs!$E475, I$24)+COUNTIF(Logs!$E493, I$24)+COUNTIF(Logs!$E511, I$24)+COUNTIF(Logs!$E529, I$24)+COUNTIF(Logs!$E547, I$24)+COUNTIF(Logs!$E565, I$24)+COUNTIF(Logs!$E582, I$24)+COUNTIF(Logs!$E601, I$24)+COUNTIF(Logs!$E617, I$24)+COUNTIF(Logs!$E633, I$24)+COUNTIF(Logs!$E650, I$24)+COUNTIF(Logs!$E665, I$24)+COUNTIF(Logs!$E681, I$24)</f>
        <v>0</v>
      </c>
      <c r="J36" s="1444" t="str">
        <f t="shared" si="13"/>
        <v/>
      </c>
      <c r="K36" s="1101">
        <f>COUNTIF(Logs!$E19, K$24)+COUNTIF(Logs!$E37, K$24)+COUNTIF(Logs!$E55, K$24)+COUNTIF(Logs!$E73, K$24)+COUNTIF(Logs!$E91, K$24)+COUNTIF(Logs!$E110, K$24)+COUNTIF(Logs!$E130, K$24)+COUNTIF(Logs!$E149, K$24)+COUNTIF(Logs!$E169, K$24)+COUNTIF(Logs!$E187, K$24)+COUNTIF(Logs!$E208, K$24)+COUNTIF(Logs!$E225, K$24)+COUNTIF(Logs!$E243, K$24)+COUNTIF(Logs!$E260, K$24)+COUNTIF(Logs!$E277, K$24)+COUNTIF(Logs!$E295, K$24)+COUNTIF(Logs!$E312, K$24)+COUNTIF(Logs!$E330, K$24)+COUNTIF(Logs!$E348, K$24)+COUNTIF(Logs!$E366, K$24)+COUNTIF(Logs!$E384, K$24)+COUNTIF(Logs!$E403, K$24)+COUNTIF(Logs!$E421, K$24)+COUNTIF(Logs!$E439, K$24)+COUNTIF(Logs!$E457, K$24)+COUNTIF(Logs!$E475, K$24)+COUNTIF(Logs!$E493, K$24)+COUNTIF(Logs!$E511, K$24)+COUNTIF(Logs!$E529, K$24)+COUNTIF(Logs!$E547, K$24)+COUNTIF(Logs!$E565, K$24)+COUNTIF(Logs!$E582, K$24)+COUNTIF(Logs!$E601, K$24)+COUNTIF(Logs!$E617, K$24)+COUNTIF(Logs!$E633, K$24)+COUNTIF(Logs!$E650, K$24)+COUNTIF(Logs!$E665, K$24)+COUNTIF(Logs!$E681, K$24)</f>
        <v>0</v>
      </c>
      <c r="L36" s="1432" t="str">
        <f t="shared" si="14"/>
        <v/>
      </c>
      <c r="N36" s="1378" t="s">
        <v>1637</v>
      </c>
      <c r="O36" s="319">
        <f>COUNTIF(Logs!$F19, O$24)+COUNTIF(Logs!$F37, O$24)+COUNTIF(Logs!$F55, O$24)+COUNTIF(Logs!$F73, O$24)+COUNTIF(Logs!$F91, O$24)+COUNTIF(Logs!$F110, O$24)+COUNTIF(Logs!$F130, O$24)+COUNTIF(Logs!$F149, O$24)+COUNTIF(Logs!$F169, O$24)+COUNTIF(Logs!$F187, O$24)+COUNTIF(Logs!$F208, O$24)+COUNTIF(Logs!$F225, O$24)+COUNTIF(Logs!$F243, O$24)+COUNTIF(Logs!$F260, O$24)+COUNTIF(Logs!$F277, O$24)+COUNTIF(Logs!$F295, O$24)+COUNTIF(Logs!$F312, O$24)+COUNTIF(Logs!$F330, O$24)+COUNTIF(Logs!$F348, O$24)+COUNTIF(Logs!$F366, O$24)+COUNTIF(Logs!$F384, O$24)+COUNTIF(Logs!$F403, O$24)+COUNTIF(Logs!$F421, O$24)+COUNTIF(Logs!$F439, O$24)+COUNTIF(Logs!$F457, O$24)+COUNTIF(Logs!$F475, O$24)+COUNTIF(Logs!$F493, O$24)+COUNTIF(Logs!$F511, O$24)+COUNTIF(Logs!$F529, O$24)+COUNTIF(Logs!$F547, O$24)+COUNTIF(Logs!$F565, O$24)+COUNTIF(Logs!$F582, O$24)+COUNTIF(Logs!$F601, O$24)+COUNTIF(Logs!$F617, O$24)+COUNTIF(Logs!$F633, O$24)+COUNTIF(Logs!$F650, O$24)+COUNTIF(Logs!$F665, O$24)+COUNTIF(Logs!$F681, O$24)</f>
        <v>0</v>
      </c>
      <c r="P36" s="1448" t="str">
        <f t="shared" si="15"/>
        <v/>
      </c>
      <c r="Q36" s="342">
        <f>COUNTIF(Logs!$F19, Q$24)+COUNTIF(Logs!$F37, Q$24)+COUNTIF(Logs!$F55, Q$24)+COUNTIF(Logs!$F73, Q$24)+COUNTIF(Logs!$F91, Q$24)+COUNTIF(Logs!$F110, Q$24)+COUNTIF(Logs!$F130, Q$24)+COUNTIF(Logs!$F149, Q$24)+COUNTIF(Logs!$F169, Q$24)+COUNTIF(Logs!$F187, Q$24)+COUNTIF(Logs!$F208, Q$24)+COUNTIF(Logs!$F225, Q$24)+COUNTIF(Logs!$F243, Q$24)+COUNTIF(Logs!$F260, Q$24)+COUNTIF(Logs!$F277, Q$24)+COUNTIF(Logs!$F295, Q$24)+COUNTIF(Logs!$F312, Q$24)+COUNTIF(Logs!$F330, Q$24)+COUNTIF(Logs!$F348, Q$24)+COUNTIF(Logs!$F366, Q$24)+COUNTIF(Logs!$F384, Q$24)+COUNTIF(Logs!$F403, Q$24)+COUNTIF(Logs!$F421, Q$24)+COUNTIF(Logs!$F439, Q$24)+COUNTIF(Logs!$F457, Q$24)+COUNTIF(Logs!$F475, Q$24)+COUNTIF(Logs!$F493, Q$24)+COUNTIF(Logs!$F511, Q$24)+COUNTIF(Logs!$F529, Q$24)+COUNTIF(Logs!$F547, Q$24)+COUNTIF(Logs!$F565, Q$24)+COUNTIF(Logs!$F582, Q$24)+COUNTIF(Logs!$F601, Q$24)+COUNTIF(Logs!$F617, Q$24)+COUNTIF(Logs!$F633, Q$24)+COUNTIF(Logs!$F650, Q$24)+COUNTIF(Logs!$F665, Q$24)+COUNTIF(Logs!$F681, Q$24)</f>
        <v>0</v>
      </c>
      <c r="R36" s="1437" t="str">
        <f t="shared" si="16"/>
        <v/>
      </c>
      <c r="S36" s="1439">
        <f>COUNTIF(Logs!$F19, S$24)+COUNTIF(Logs!$F37, S$24)+COUNTIF(Logs!$F55, S$24)+COUNTIF(Logs!$F73, S$24)+COUNTIF(Logs!$F91, S$24)+COUNTIF(Logs!$F110, S$24)+COUNTIF(Logs!$F130, S$24)+COUNTIF(Logs!$F149, S$24)+COUNTIF(Logs!$F169, S$24)+COUNTIF(Logs!$F187, S$24)+COUNTIF(Logs!$F208, S$24)+COUNTIF(Logs!$F225, S$24)+COUNTIF(Logs!$F243, S$24)+COUNTIF(Logs!$F260, S$24)+COUNTIF(Logs!$F277, S$24)+COUNTIF(Logs!$F295, S$24)+COUNTIF(Logs!$F312, S$24)+COUNTIF(Logs!$F330, S$24)+COUNTIF(Logs!$F348, S$24)+COUNTIF(Logs!$F366, S$24)+COUNTIF(Logs!$F384, S$24)+COUNTIF(Logs!$F403, S$24)+COUNTIF(Logs!$F421, S$24)+COUNTIF(Logs!$F439, S$24)+COUNTIF(Logs!$F457, S$24)+COUNTIF(Logs!$F475, S$24)+COUNTIF(Logs!$F493, S$24)+COUNTIF(Logs!$F511, S$24)+COUNTIF(Logs!$F529, S$24)+COUNTIF(Logs!$F547, S$24)+COUNTIF(Logs!$F565, S$24)+COUNTIF(Logs!$F582, S$24)+COUNTIF(Logs!$F601, S$24)+COUNTIF(Logs!$F617, S$24)+COUNTIF(Logs!$F633, S$24)+COUNTIF(Logs!$F650, S$24)+COUNTIF(Logs!$F665, S$24)+COUNTIF(Logs!$F681, S$24)</f>
        <v>0</v>
      </c>
      <c r="T36" s="1440" t="str">
        <f t="shared" si="17"/>
        <v/>
      </c>
      <c r="U36" s="1443">
        <f>COUNTIF(Logs!$F19, U$24)+COUNTIF(Logs!$F37, U$24)+COUNTIF(Logs!$F55, U$24)+COUNTIF(Logs!$F73, U$24)+COUNTIF(Logs!$F91, U$24)+COUNTIF(Logs!$F110, U$24)+COUNTIF(Logs!$F130, U$24)+COUNTIF(Logs!$F149, U$24)+COUNTIF(Logs!$F169, U$24)+COUNTIF(Logs!$F187, U$24)+COUNTIF(Logs!$F208, U$24)+COUNTIF(Logs!$F225, U$24)+COUNTIF(Logs!$F243, U$24)+COUNTIF(Logs!$F260, U$24)+COUNTIF(Logs!$F277, U$24)+COUNTIF(Logs!$F295, U$24)+COUNTIF(Logs!$F312, U$24)+COUNTIF(Logs!$F330, U$24)+COUNTIF(Logs!$F348, U$24)+COUNTIF(Logs!$F366, U$24)+COUNTIF(Logs!$F384, U$24)+COUNTIF(Logs!$F403, U$24)+COUNTIF(Logs!$F421, U$24)+COUNTIF(Logs!$F439, U$24)+COUNTIF(Logs!$F457, U$24)+COUNTIF(Logs!$F475, U$24)+COUNTIF(Logs!$F493, U$24)+COUNTIF(Logs!$F511, U$24)+COUNTIF(Logs!$F529, U$24)+COUNTIF(Logs!$F547, U$24)+COUNTIF(Logs!$F565, U$24)+COUNTIF(Logs!$F582, U$24)+COUNTIF(Logs!$F601, U$24)+COUNTIF(Logs!$F617, U$24)+COUNTIF(Logs!$F633, U$24)+COUNTIF(Logs!$F650, U$24)+COUNTIF(Logs!$F665, U$24)+COUNTIF(Logs!$F681, U$24)</f>
        <v>0</v>
      </c>
      <c r="V36" s="1444" t="str">
        <f t="shared" si="18"/>
        <v/>
      </c>
      <c r="W36" s="1101">
        <f>COUNTIF(Logs!$F19, W$24)+COUNTIF(Logs!$F37, W$24)+COUNTIF(Logs!$F55, W$24)+COUNTIF(Logs!$F73, W$24)+COUNTIF(Logs!$F91, W$24)+COUNTIF(Logs!$F110, W$24)+COUNTIF(Logs!$F130, W$24)+COUNTIF(Logs!$F149, W$24)+COUNTIF(Logs!$F169, W$24)+COUNTIF(Logs!$F187, W$24)+COUNTIF(Logs!$F208, W$24)+COUNTIF(Logs!$F225, W$24)+COUNTIF(Logs!$F243, W$24)+COUNTIF(Logs!$F260, W$24)+COUNTIF(Logs!$F277, W$24)+COUNTIF(Logs!$F295, W$24)+COUNTIF(Logs!$F312, W$24)+COUNTIF(Logs!$F330, W$24)+COUNTIF(Logs!$F348, W$24)+COUNTIF(Logs!$F366, W$24)+COUNTIF(Logs!$F384, W$24)+COUNTIF(Logs!$F403, W$24)+COUNTIF(Logs!$F421, W$24)+COUNTIF(Logs!$F439, W$24)+COUNTIF(Logs!$F457, W$24)+COUNTIF(Logs!$F475, W$24)+COUNTIF(Logs!$F493, W$24)+COUNTIF(Logs!$F511, W$24)+COUNTIF(Logs!$F529, W$24)+COUNTIF(Logs!$F547, W$24)+COUNTIF(Logs!$F565, W$24)+COUNTIF(Logs!$F582, W$24)+COUNTIF(Logs!$F601, W$24)+COUNTIF(Logs!$F617, W$24)+COUNTIF(Logs!$F633, W$24)+COUNTIF(Logs!$F650, W$24)+COUNTIF(Logs!$F665, W$24)+COUNTIF(Logs!$F681, W$24)</f>
        <v>0</v>
      </c>
      <c r="X36" s="1432" t="str">
        <f t="shared" si="19"/>
        <v/>
      </c>
    </row>
    <row r="37" spans="2:24">
      <c r="B37" s="1378" t="s">
        <v>1638</v>
      </c>
      <c r="C37" s="319">
        <f>COUNTIF(Logs!$E20, C$24)+COUNTIF(Logs!$E38, C$24)+COUNTIF(Logs!$E56, C$24)+COUNTIF(Logs!$E74, C$24)+COUNTIF(Logs!$E92, C$24)+COUNTIF(Logs!$E111, C$24)+COUNTIF(Logs!$E131, C$24)+COUNTIF(Logs!$E150, C$24)+COUNTIF(Logs!$E170, C$24)+COUNTIF(Logs!$E188, C$24)+COUNTIF(Logs!$E209, C$24)+COUNTIF(Logs!$E226, C$24)+COUNTIF(Logs!$E244, C$24)+COUNTIF(Logs!$E261, C$24)+COUNTIF(Logs!$E278, C$24)+COUNTIF(Logs!$E296, C$24)+COUNTIF(Logs!$E313, C$24)+COUNTIF(Logs!$E331, C$24)+COUNTIF(Logs!$E349, C$24)+COUNTIF(Logs!$E367, C$24)+COUNTIF(Logs!$E385, C$24)+COUNTIF(Logs!$E404, C$24)+COUNTIF(Logs!$E422, C$24)+COUNTIF(Logs!$E440, C$24)+COUNTIF(Logs!$E458, C$24)+COUNTIF(Logs!$E476, C$24)+COUNTIF(Logs!$E494, C$24)+COUNTIF(Logs!$E512, C$24)+COUNTIF(Logs!$E530, C$24)+COUNTIF(Logs!$E548, C$24)+COUNTIF(Logs!$E566, C$24)+COUNTIF(Logs!$E583, C$24)+COUNTIF(Logs!$E602, C$24)+COUNTIF(Logs!$E618, C$24)+COUNTIF(Logs!$E634, C$24)+COUNTIF(Logs!$E651, C$24)+COUNTIF(Logs!$E666, C$24)+COUNTIF(Logs!$E682, C$24)</f>
        <v>0</v>
      </c>
      <c r="D37" s="1448" t="str">
        <f t="shared" si="10"/>
        <v/>
      </c>
      <c r="E37" s="342">
        <f>COUNTIF(Logs!$E20, E$24)+COUNTIF(Logs!$E38, E$24)+COUNTIF(Logs!$E56, E$24)+COUNTIF(Logs!$E74, E$24)+COUNTIF(Logs!$E92, E$24)+COUNTIF(Logs!$E111, E$24)+COUNTIF(Logs!$E131, E$24)+COUNTIF(Logs!$E150, E$24)+COUNTIF(Logs!$E170, E$24)+COUNTIF(Logs!$E188, E$24)+COUNTIF(Logs!$E209, E$24)+COUNTIF(Logs!$E226, E$24)+COUNTIF(Logs!$E244, E$24)+COUNTIF(Logs!$E261, E$24)+COUNTIF(Logs!$E278, E$24)+COUNTIF(Logs!$E296, E$24)+COUNTIF(Logs!$E313, E$24)+COUNTIF(Logs!$E331, E$24)+COUNTIF(Logs!$E349, E$24)+COUNTIF(Logs!$E367, E$24)+COUNTIF(Logs!$E385, E$24)+COUNTIF(Logs!$E404, E$24)+COUNTIF(Logs!$E422, E$24)+COUNTIF(Logs!$E440, E$24)+COUNTIF(Logs!$E458, E$24)+COUNTIF(Logs!$E476, E$24)+COUNTIF(Logs!$E494, E$24)+COUNTIF(Logs!$E512, E$24)+COUNTIF(Logs!$E530, E$24)+COUNTIF(Logs!$E548, E$24)+COUNTIF(Logs!$E566, E$24)+COUNTIF(Logs!$E583, E$24)+COUNTIF(Logs!$E602, E$24)+COUNTIF(Logs!$E618, E$24)+COUNTIF(Logs!$E634, E$24)+COUNTIF(Logs!$E651, E$24)+COUNTIF(Logs!$E666, E$24)+COUNTIF(Logs!$E682, E$24)</f>
        <v>0</v>
      </c>
      <c r="F37" s="1437" t="str">
        <f t="shared" si="11"/>
        <v/>
      </c>
      <c r="G37" s="1439">
        <f>COUNTIF(Logs!$E20, G$24)+COUNTIF(Logs!$E38, G$24)+COUNTIF(Logs!$E56, G$24)+COUNTIF(Logs!$E74, G$24)+COUNTIF(Logs!$E92, G$24)+COUNTIF(Logs!$E111, G$24)+COUNTIF(Logs!$E131, G$24)+COUNTIF(Logs!$E150, G$24)+COUNTIF(Logs!$E170, G$24)+COUNTIF(Logs!$E188, G$24)+COUNTIF(Logs!$E209, G$24)+COUNTIF(Logs!$E226, G$24)+COUNTIF(Logs!$E244, G$24)+COUNTIF(Logs!$E261, G$24)+COUNTIF(Logs!$E278, G$24)+COUNTIF(Logs!$E296, G$24)+COUNTIF(Logs!$E313, G$24)+COUNTIF(Logs!$E331, G$24)+COUNTIF(Logs!$E349, G$24)+COUNTIF(Logs!$E367, G$24)+COUNTIF(Logs!$E385, G$24)+COUNTIF(Logs!$E404, G$24)+COUNTIF(Logs!$E422, G$24)+COUNTIF(Logs!$E440, G$24)+COUNTIF(Logs!$E458, G$24)+COUNTIF(Logs!$E476, G$24)+COUNTIF(Logs!$E494, G$24)+COUNTIF(Logs!$E512, G$24)+COUNTIF(Logs!$E530, G$24)+COUNTIF(Logs!$E548, G$24)+COUNTIF(Logs!$E566, G$24)+COUNTIF(Logs!$E583, G$24)+COUNTIF(Logs!$E602, G$24)+COUNTIF(Logs!$E618, G$24)+COUNTIF(Logs!$E634, G$24)+COUNTIF(Logs!$E651, G$24)+COUNTIF(Logs!$E666, G$24)+COUNTIF(Logs!$E682, G$24)</f>
        <v>0</v>
      </c>
      <c r="H37" s="1440" t="str">
        <f t="shared" si="12"/>
        <v/>
      </c>
      <c r="I37" s="1443">
        <f>COUNTIF(Logs!$E20, I$24)+COUNTIF(Logs!$E38, I$24)+COUNTIF(Logs!$E56, I$24)+COUNTIF(Logs!$E74, I$24)+COUNTIF(Logs!$E92, I$24)+COUNTIF(Logs!$E111, I$24)+COUNTIF(Logs!$E131, I$24)+COUNTIF(Logs!$E150, I$24)+COUNTIF(Logs!$E170, I$24)+COUNTIF(Logs!$E188, I$24)+COUNTIF(Logs!$E209, I$24)+COUNTIF(Logs!$E226, I$24)+COUNTIF(Logs!$E244, I$24)+COUNTIF(Logs!$E261, I$24)+COUNTIF(Logs!$E278, I$24)+COUNTIF(Logs!$E296, I$24)+COUNTIF(Logs!$E313, I$24)+COUNTIF(Logs!$E331, I$24)+COUNTIF(Logs!$E349, I$24)+COUNTIF(Logs!$E367, I$24)+COUNTIF(Logs!$E385, I$24)+COUNTIF(Logs!$E404, I$24)+COUNTIF(Logs!$E422, I$24)+COUNTIF(Logs!$E440, I$24)+COUNTIF(Logs!$E458, I$24)+COUNTIF(Logs!$E476, I$24)+COUNTIF(Logs!$E494, I$24)+COUNTIF(Logs!$E512, I$24)+COUNTIF(Logs!$E530, I$24)+COUNTIF(Logs!$E548, I$24)+COUNTIF(Logs!$E566, I$24)+COUNTIF(Logs!$E583, I$24)+COUNTIF(Logs!$E602, I$24)+COUNTIF(Logs!$E618, I$24)+COUNTIF(Logs!$E634, I$24)+COUNTIF(Logs!$E651, I$24)+COUNTIF(Logs!$E666, I$24)+COUNTIF(Logs!$E682, I$24)</f>
        <v>0</v>
      </c>
      <c r="J37" s="1444" t="str">
        <f t="shared" si="13"/>
        <v/>
      </c>
      <c r="K37" s="1101">
        <f>COUNTIF(Logs!$E20, K$24)+COUNTIF(Logs!$E38, K$24)+COUNTIF(Logs!$E56, K$24)+COUNTIF(Logs!$E74, K$24)+COUNTIF(Logs!$E92, K$24)+COUNTIF(Logs!$E111, K$24)+COUNTIF(Logs!$E131, K$24)+COUNTIF(Logs!$E150, K$24)+COUNTIF(Logs!$E170, K$24)+COUNTIF(Logs!$E188, K$24)+COUNTIF(Logs!$E209, K$24)+COUNTIF(Logs!$E226, K$24)+COUNTIF(Logs!$E244, K$24)+COUNTIF(Logs!$E261, K$24)+COUNTIF(Logs!$E278, K$24)+COUNTIF(Logs!$E296, K$24)+COUNTIF(Logs!$E313, K$24)+COUNTIF(Logs!$E331, K$24)+COUNTIF(Logs!$E349, K$24)+COUNTIF(Logs!$E367, K$24)+COUNTIF(Logs!$E385, K$24)+COUNTIF(Logs!$E404, K$24)+COUNTIF(Logs!$E422, K$24)+COUNTIF(Logs!$E440, K$24)+COUNTIF(Logs!$E458, K$24)+COUNTIF(Logs!$E476, K$24)+COUNTIF(Logs!$E494, K$24)+COUNTIF(Logs!$E512, K$24)+COUNTIF(Logs!$E530, K$24)+COUNTIF(Logs!$E548, K$24)+COUNTIF(Logs!$E566, K$24)+COUNTIF(Logs!$E583, K$24)+COUNTIF(Logs!$E602, K$24)+COUNTIF(Logs!$E618, K$24)+COUNTIF(Logs!$E634, K$24)+COUNTIF(Logs!$E651, K$24)+COUNTIF(Logs!$E666, K$24)+COUNTIF(Logs!$E682, K$24)</f>
        <v>0</v>
      </c>
      <c r="L37" s="1432" t="str">
        <f t="shared" si="14"/>
        <v/>
      </c>
      <c r="N37" s="1378" t="s">
        <v>1638</v>
      </c>
      <c r="O37" s="319">
        <f>COUNTIF(Logs!$F20, O$24)+COUNTIF(Logs!$F38, O$24)+COUNTIF(Logs!$F56, O$24)+COUNTIF(Logs!$F74, O$24)+COUNTIF(Logs!$F92, O$24)+COUNTIF(Logs!$F111, O$24)+COUNTIF(Logs!$F131, O$24)+COUNTIF(Logs!$F150, O$24)+COUNTIF(Logs!$F170, O$24)+COUNTIF(Logs!$F188, O$24)+COUNTIF(Logs!$F209, O$24)+COUNTIF(Logs!$F226, O$24)+COUNTIF(Logs!$F244, O$24)+COUNTIF(Logs!$F261, O$24)+COUNTIF(Logs!$F278, O$24)+COUNTIF(Logs!$F296, O$24)+COUNTIF(Logs!$F313, O$24)+COUNTIF(Logs!$F331, O$24)+COUNTIF(Logs!$F349, O$24)+COUNTIF(Logs!$F367, O$24)+COUNTIF(Logs!$F385, O$24)+COUNTIF(Logs!$F404, O$24)+COUNTIF(Logs!$F422, O$24)+COUNTIF(Logs!$F440, O$24)+COUNTIF(Logs!$F458, O$24)+COUNTIF(Logs!$F476, O$24)+COUNTIF(Logs!$F494, O$24)+COUNTIF(Logs!$F512, O$24)+COUNTIF(Logs!$F530, O$24)+COUNTIF(Logs!$F548, O$24)+COUNTIF(Logs!$F566, O$24)+COUNTIF(Logs!$F583, O$24)+COUNTIF(Logs!$F602, O$24)+COUNTIF(Logs!$F618, O$24)+COUNTIF(Logs!$F634, O$24)+COUNTIF(Logs!$F651, O$24)+COUNTIF(Logs!$F666, O$24)+COUNTIF(Logs!$F682, O$24)</f>
        <v>0</v>
      </c>
      <c r="P37" s="1448" t="str">
        <f t="shared" si="15"/>
        <v/>
      </c>
      <c r="Q37" s="342">
        <f>COUNTIF(Logs!$F20, Q$24)+COUNTIF(Logs!$F38, Q$24)+COUNTIF(Logs!$F56, Q$24)+COUNTIF(Logs!$F74, Q$24)+COUNTIF(Logs!$F92, Q$24)+COUNTIF(Logs!$F111, Q$24)+COUNTIF(Logs!$F131, Q$24)+COUNTIF(Logs!$F150, Q$24)+COUNTIF(Logs!$F170, Q$24)+COUNTIF(Logs!$F188, Q$24)+COUNTIF(Logs!$F209, Q$24)+COUNTIF(Logs!$F226, Q$24)+COUNTIF(Logs!$F244, Q$24)+COUNTIF(Logs!$F261, Q$24)+COUNTIF(Logs!$F278, Q$24)+COUNTIF(Logs!$F296, Q$24)+COUNTIF(Logs!$F313, Q$24)+COUNTIF(Logs!$F331, Q$24)+COUNTIF(Logs!$F349, Q$24)+COUNTIF(Logs!$F367, Q$24)+COUNTIF(Logs!$F385, Q$24)+COUNTIF(Logs!$F404, Q$24)+COUNTIF(Logs!$F422, Q$24)+COUNTIF(Logs!$F440, Q$24)+COUNTIF(Logs!$F458, Q$24)+COUNTIF(Logs!$F476, Q$24)+COUNTIF(Logs!$F494, Q$24)+COUNTIF(Logs!$F512, Q$24)+COUNTIF(Logs!$F530, Q$24)+COUNTIF(Logs!$F548, Q$24)+COUNTIF(Logs!$F566, Q$24)+COUNTIF(Logs!$F583, Q$24)+COUNTIF(Logs!$F602, Q$24)+COUNTIF(Logs!$F618, Q$24)+COUNTIF(Logs!$F634, Q$24)+COUNTIF(Logs!$F651, Q$24)+COUNTIF(Logs!$F666, Q$24)+COUNTIF(Logs!$F682, Q$24)</f>
        <v>0</v>
      </c>
      <c r="R37" s="1437" t="str">
        <f t="shared" si="16"/>
        <v/>
      </c>
      <c r="S37" s="1439">
        <f>COUNTIF(Logs!$F20, S$24)+COUNTIF(Logs!$F38, S$24)+COUNTIF(Logs!$F56, S$24)+COUNTIF(Logs!$F74, S$24)+COUNTIF(Logs!$F92, S$24)+COUNTIF(Logs!$F111, S$24)+COUNTIF(Logs!$F131, S$24)+COUNTIF(Logs!$F150, S$24)+COUNTIF(Logs!$F170, S$24)+COUNTIF(Logs!$F188, S$24)+COUNTIF(Logs!$F209, S$24)+COUNTIF(Logs!$F226, S$24)+COUNTIF(Logs!$F244, S$24)+COUNTIF(Logs!$F261, S$24)+COUNTIF(Logs!$F278, S$24)+COUNTIF(Logs!$F296, S$24)+COUNTIF(Logs!$F313, S$24)+COUNTIF(Logs!$F331, S$24)+COUNTIF(Logs!$F349, S$24)+COUNTIF(Logs!$F367, S$24)+COUNTIF(Logs!$F385, S$24)+COUNTIF(Logs!$F404, S$24)+COUNTIF(Logs!$F422, S$24)+COUNTIF(Logs!$F440, S$24)+COUNTIF(Logs!$F458, S$24)+COUNTIF(Logs!$F476, S$24)+COUNTIF(Logs!$F494, S$24)+COUNTIF(Logs!$F512, S$24)+COUNTIF(Logs!$F530, S$24)+COUNTIF(Logs!$F548, S$24)+COUNTIF(Logs!$F566, S$24)+COUNTIF(Logs!$F583, S$24)+COUNTIF(Logs!$F602, S$24)+COUNTIF(Logs!$F618, S$24)+COUNTIF(Logs!$F634, S$24)+COUNTIF(Logs!$F651, S$24)+COUNTIF(Logs!$F666, S$24)+COUNTIF(Logs!$F682, S$24)</f>
        <v>0</v>
      </c>
      <c r="T37" s="1440" t="str">
        <f t="shared" si="17"/>
        <v/>
      </c>
      <c r="U37" s="1443">
        <f>COUNTIF(Logs!$F20, U$24)+COUNTIF(Logs!$F38, U$24)+COUNTIF(Logs!$F56, U$24)+COUNTIF(Logs!$F74, U$24)+COUNTIF(Logs!$F92, U$24)+COUNTIF(Logs!$F111, U$24)+COUNTIF(Logs!$F131, U$24)+COUNTIF(Logs!$F150, U$24)+COUNTIF(Logs!$F170, U$24)+COUNTIF(Logs!$F188, U$24)+COUNTIF(Logs!$F209, U$24)+COUNTIF(Logs!$F226, U$24)+COUNTIF(Logs!$F244, U$24)+COUNTIF(Logs!$F261, U$24)+COUNTIF(Logs!$F278, U$24)+COUNTIF(Logs!$F296, U$24)+COUNTIF(Logs!$F313, U$24)+COUNTIF(Logs!$F331, U$24)+COUNTIF(Logs!$F349, U$24)+COUNTIF(Logs!$F367, U$24)+COUNTIF(Logs!$F385, U$24)+COUNTIF(Logs!$F404, U$24)+COUNTIF(Logs!$F422, U$24)+COUNTIF(Logs!$F440, U$24)+COUNTIF(Logs!$F458, U$24)+COUNTIF(Logs!$F476, U$24)+COUNTIF(Logs!$F494, U$24)+COUNTIF(Logs!$F512, U$24)+COUNTIF(Logs!$F530, U$24)+COUNTIF(Logs!$F548, U$24)+COUNTIF(Logs!$F566, U$24)+COUNTIF(Logs!$F583, U$24)+COUNTIF(Logs!$F602, U$24)+COUNTIF(Logs!$F618, U$24)+COUNTIF(Logs!$F634, U$24)+COUNTIF(Logs!$F651, U$24)+COUNTIF(Logs!$F666, U$24)+COUNTIF(Logs!$F682, U$24)</f>
        <v>0</v>
      </c>
      <c r="V37" s="1444" t="str">
        <f t="shared" si="18"/>
        <v/>
      </c>
      <c r="W37" s="1101">
        <f>COUNTIF(Logs!$F20, W$24)+COUNTIF(Logs!$F38, W$24)+COUNTIF(Logs!$F56, W$24)+COUNTIF(Logs!$F74, W$24)+COUNTIF(Logs!$F92, W$24)+COUNTIF(Logs!$F111, W$24)+COUNTIF(Logs!$F131, W$24)+COUNTIF(Logs!$F150, W$24)+COUNTIF(Logs!$F170, W$24)+COUNTIF(Logs!$F188, W$24)+COUNTIF(Logs!$F209, W$24)+COUNTIF(Logs!$F226, W$24)+COUNTIF(Logs!$F244, W$24)+COUNTIF(Logs!$F261, W$24)+COUNTIF(Logs!$F278, W$24)+COUNTIF(Logs!$F296, W$24)+COUNTIF(Logs!$F313, W$24)+COUNTIF(Logs!$F331, W$24)+COUNTIF(Logs!$F349, W$24)+COUNTIF(Logs!$F367, W$24)+COUNTIF(Logs!$F385, W$24)+COUNTIF(Logs!$F404, W$24)+COUNTIF(Logs!$F422, W$24)+COUNTIF(Logs!$F440, W$24)+COUNTIF(Logs!$F458, W$24)+COUNTIF(Logs!$F476, W$24)+COUNTIF(Logs!$F494, W$24)+COUNTIF(Logs!$F512, W$24)+COUNTIF(Logs!$F530, W$24)+COUNTIF(Logs!$F548, W$24)+COUNTIF(Logs!$F566, W$24)+COUNTIF(Logs!$F583, W$24)+COUNTIF(Logs!$F602, W$24)+COUNTIF(Logs!$F618, W$24)+COUNTIF(Logs!$F634, W$24)+COUNTIF(Logs!$F651, W$24)+COUNTIF(Logs!$F666, W$24)+COUNTIF(Logs!$F682, W$24)</f>
        <v>0</v>
      </c>
      <c r="X37" s="1432" t="str">
        <f t="shared" si="19"/>
        <v/>
      </c>
    </row>
    <row r="38" spans="2:24" ht="16.5" thickBot="1">
      <c r="B38" s="1379" t="s">
        <v>1639</v>
      </c>
      <c r="C38" s="1447">
        <f>COUNTIF(Logs!$E21, C$24)+COUNTIF(Logs!$E39, C$24)+COUNTIF(Logs!$E57, C$24)+COUNTIF(Logs!$E75, C$24)+COUNTIF(Logs!$E93, C$24)+COUNTIF(Logs!$E112, C$24)+COUNTIF(Logs!$E132, C$24)+COUNTIF(Logs!$E151, C$24)+COUNTIF(Logs!$E171, C$24)+COUNTIF(Logs!$E189, C$24)+COUNTIF(Logs!$E210, C$24)+COUNTIF(Logs!$E227, C$24)+COUNTIF(Logs!$E245, C$24)+COUNTIF(Logs!$E262, C$24)+COUNTIF(Logs!$E279, C$24)+COUNTIF(Logs!$E297, C$24)+COUNTIF(Logs!$E314, C$24)+COUNTIF(Logs!$E332, C$24)+COUNTIF(Logs!$E350, C$24)+COUNTIF(Logs!$E368, C$24)+COUNTIF(Logs!$E386, C$24)+COUNTIF(Logs!$E405, C$24)+COUNTIF(Logs!$E423, C$24)+COUNTIF(Logs!$E441, C$24)+COUNTIF(Logs!$E459, C$24)+COUNTIF(Logs!$E477, C$24)+COUNTIF(Logs!$E495, C$24)+COUNTIF(Logs!$E513, C$24)+COUNTIF(Logs!$E531, C$24)+COUNTIF(Logs!$E549, C$24)+COUNTIF(Logs!$E567, C$24)+COUNTIF(Logs!$E584, C$24)+COUNTIF(Logs!$E603, C$24)+COUNTIF(Logs!$E619, C$24)+COUNTIF(Logs!$E635, C$24)+COUNTIF(Logs!$E652, C$24)+COUNTIF(Logs!$E667, C$24)+COUNTIF(Logs!$E683, C$24)</f>
        <v>0</v>
      </c>
      <c r="D38" s="1449" t="str">
        <f t="shared" si="10"/>
        <v/>
      </c>
      <c r="E38" s="1435">
        <f>COUNTIF(Logs!$E21, E$24)+COUNTIF(Logs!$E39, E$24)+COUNTIF(Logs!$E57, E$24)+COUNTIF(Logs!$E75, E$24)+COUNTIF(Logs!$E93, E$24)+COUNTIF(Logs!$E112, E$24)+COUNTIF(Logs!$E132, E$24)+COUNTIF(Logs!$E151, E$24)+COUNTIF(Logs!$E171, E$24)+COUNTIF(Logs!$E189, E$24)+COUNTIF(Logs!$E210, E$24)+COUNTIF(Logs!$E227, E$24)+COUNTIF(Logs!$E245, E$24)+COUNTIF(Logs!$E262, E$24)+COUNTIF(Logs!$E279, E$24)+COUNTIF(Logs!$E297, E$24)+COUNTIF(Logs!$E314, E$24)+COUNTIF(Logs!$E332, E$24)+COUNTIF(Logs!$E350, E$24)+COUNTIF(Logs!$E368, E$24)+COUNTIF(Logs!$E386, E$24)+COUNTIF(Logs!$E405, E$24)+COUNTIF(Logs!$E423, E$24)+COUNTIF(Logs!$E441, E$24)+COUNTIF(Logs!$E459, E$24)+COUNTIF(Logs!$E477, E$24)+COUNTIF(Logs!$E495, E$24)+COUNTIF(Logs!$E513, E$24)+COUNTIF(Logs!$E531, E$24)+COUNTIF(Logs!$E549, E$24)+COUNTIF(Logs!$E567, E$24)+COUNTIF(Logs!$E584, E$24)+COUNTIF(Logs!$E603, E$24)+COUNTIF(Logs!$E619, E$24)+COUNTIF(Logs!$E635, E$24)+COUNTIF(Logs!$E652, E$24)+COUNTIF(Logs!$E667, E$24)+COUNTIF(Logs!$E683, E$24)</f>
        <v>0</v>
      </c>
      <c r="F38" s="1438" t="str">
        <f t="shared" si="11"/>
        <v/>
      </c>
      <c r="G38" s="1441">
        <f>COUNTIF(Logs!$E21, G$24)+COUNTIF(Logs!$E39, G$24)+COUNTIF(Logs!$E57, G$24)+COUNTIF(Logs!$E75, G$24)+COUNTIF(Logs!$E93, G$24)+COUNTIF(Logs!$E112, G$24)+COUNTIF(Logs!$E132, G$24)+COUNTIF(Logs!$E151, G$24)+COUNTIF(Logs!$E171, G$24)+COUNTIF(Logs!$E189, G$24)+COUNTIF(Logs!$E210, G$24)+COUNTIF(Logs!$E227, G$24)+COUNTIF(Logs!$E245, G$24)+COUNTIF(Logs!$E262, G$24)+COUNTIF(Logs!$E279, G$24)+COUNTIF(Logs!$E297, G$24)+COUNTIF(Logs!$E314, G$24)+COUNTIF(Logs!$E332, G$24)+COUNTIF(Logs!$E350, G$24)+COUNTIF(Logs!$E368, G$24)+COUNTIF(Logs!$E386, G$24)+COUNTIF(Logs!$E405, G$24)+COUNTIF(Logs!$E423, G$24)+COUNTIF(Logs!$E441, G$24)+COUNTIF(Logs!$E459, G$24)+COUNTIF(Logs!$E477, G$24)+COUNTIF(Logs!$E495, G$24)+COUNTIF(Logs!$E513, G$24)+COUNTIF(Logs!$E531, G$24)+COUNTIF(Logs!$E549, G$24)+COUNTIF(Logs!$E567, G$24)+COUNTIF(Logs!$E584, G$24)+COUNTIF(Logs!$E603, G$24)+COUNTIF(Logs!$E619, G$24)+COUNTIF(Logs!$E635, G$24)+COUNTIF(Logs!$E652, G$24)+COUNTIF(Logs!$E667, G$24)+COUNTIF(Logs!$E683, G$24)</f>
        <v>0</v>
      </c>
      <c r="H38" s="1442" t="str">
        <f t="shared" si="12"/>
        <v/>
      </c>
      <c r="I38" s="1445">
        <f>COUNTIF(Logs!$E21, I$24)+COUNTIF(Logs!$E39, I$24)+COUNTIF(Logs!$E57, I$24)+COUNTIF(Logs!$E75, I$24)+COUNTIF(Logs!$E93, I$24)+COUNTIF(Logs!$E112, I$24)+COUNTIF(Logs!$E132, I$24)+COUNTIF(Logs!$E151, I$24)+COUNTIF(Logs!$E171, I$24)+COUNTIF(Logs!$E189, I$24)+COUNTIF(Logs!$E210, I$24)+COUNTIF(Logs!$E227, I$24)+COUNTIF(Logs!$E245, I$24)+COUNTIF(Logs!$E262, I$24)+COUNTIF(Logs!$E279, I$24)+COUNTIF(Logs!$E297, I$24)+COUNTIF(Logs!$E314, I$24)+COUNTIF(Logs!$E332, I$24)+COUNTIF(Logs!$E350, I$24)+COUNTIF(Logs!$E368, I$24)+COUNTIF(Logs!$E386, I$24)+COUNTIF(Logs!$E405, I$24)+COUNTIF(Logs!$E423, I$24)+COUNTIF(Logs!$E441, I$24)+COUNTIF(Logs!$E459, I$24)+COUNTIF(Logs!$E477, I$24)+COUNTIF(Logs!$E495, I$24)+COUNTIF(Logs!$E513, I$24)+COUNTIF(Logs!$E531, I$24)+COUNTIF(Logs!$E549, I$24)+COUNTIF(Logs!$E567, I$24)+COUNTIF(Logs!$E584, I$24)+COUNTIF(Logs!$E603, I$24)+COUNTIF(Logs!$E619, I$24)+COUNTIF(Logs!$E635, I$24)+COUNTIF(Logs!$E652, I$24)+COUNTIF(Logs!$E667, I$24)+COUNTIF(Logs!$E683, I$24)</f>
        <v>0</v>
      </c>
      <c r="J38" s="1446" t="str">
        <f t="shared" si="13"/>
        <v/>
      </c>
      <c r="K38" s="1433">
        <f>COUNTIF(Logs!$E21, K$24)+COUNTIF(Logs!$E39, K$24)+COUNTIF(Logs!$E57, K$24)+COUNTIF(Logs!$E75, K$24)+COUNTIF(Logs!$E93, K$24)+COUNTIF(Logs!$E112, K$24)+COUNTIF(Logs!$E132, K$24)+COUNTIF(Logs!$E151, K$24)+COUNTIF(Logs!$E171, K$24)+COUNTIF(Logs!$E189, K$24)+COUNTIF(Logs!$E210, K$24)+COUNTIF(Logs!$E227, K$24)+COUNTIF(Logs!$E245, K$24)+COUNTIF(Logs!$E262, K$24)+COUNTIF(Logs!$E279, K$24)+COUNTIF(Logs!$E297, K$24)+COUNTIF(Logs!$E314, K$24)+COUNTIF(Logs!$E332, K$24)+COUNTIF(Logs!$E350, K$24)+COUNTIF(Logs!$E368, K$24)+COUNTIF(Logs!$E386, K$24)+COUNTIF(Logs!$E405, K$24)+COUNTIF(Logs!$E423, K$24)+COUNTIF(Logs!$E441, K$24)+COUNTIF(Logs!$E459, K$24)+COUNTIF(Logs!$E477, K$24)+COUNTIF(Logs!$E495, K$24)+COUNTIF(Logs!$E513, K$24)+COUNTIF(Logs!$E531, K$24)+COUNTIF(Logs!$E549, K$24)+COUNTIF(Logs!$E567, K$24)+COUNTIF(Logs!$E584, K$24)+COUNTIF(Logs!$E603, K$24)+COUNTIF(Logs!$E619, K$24)+COUNTIF(Logs!$E635, K$24)+COUNTIF(Logs!$E652, K$24)+COUNTIF(Logs!$E667, K$24)+COUNTIF(Logs!$E683, K$24)</f>
        <v>0</v>
      </c>
      <c r="L38" s="1434" t="str">
        <f t="shared" si="14"/>
        <v/>
      </c>
      <c r="N38" s="1379" t="s">
        <v>1639</v>
      </c>
      <c r="O38" s="1447">
        <f>COUNTIF(Logs!$F21, O$24)+COUNTIF(Logs!$F39, O$24)+COUNTIF(Logs!$F57, O$24)+COUNTIF(Logs!$F75, O$24)+COUNTIF(Logs!$F93, O$24)+COUNTIF(Logs!$F112, O$24)+COUNTIF(Logs!$F132, O$24)+COUNTIF(Logs!$F151, O$24)+COUNTIF(Logs!$F171, O$24)+COUNTIF(Logs!$F189, O$24)+COUNTIF(Logs!$F210, O$24)+COUNTIF(Logs!$F227, O$24)+COUNTIF(Logs!$F245, O$24)+COUNTIF(Logs!$F262, O$24)+COUNTIF(Logs!$F279, O$24)+COUNTIF(Logs!$F297, O$24)+COUNTIF(Logs!$F314, O$24)+COUNTIF(Logs!$F332, O$24)+COUNTIF(Logs!$F350, O$24)+COUNTIF(Logs!$F368, O$24)+COUNTIF(Logs!$F386, O$24)+COUNTIF(Logs!$F405, O$24)+COUNTIF(Logs!$F423, O$24)+COUNTIF(Logs!$F441, O$24)+COUNTIF(Logs!$F459, O$24)+COUNTIF(Logs!$F477, O$24)+COUNTIF(Logs!$F495, O$24)+COUNTIF(Logs!$F513, O$24)+COUNTIF(Logs!$F531, O$24)+COUNTIF(Logs!$F549, O$24)+COUNTIF(Logs!$F567, O$24)+COUNTIF(Logs!$F584, O$24)+COUNTIF(Logs!$F603, O$24)+COUNTIF(Logs!$F619, O$24)+COUNTIF(Logs!$F635, O$24)+COUNTIF(Logs!$F652, O$24)+COUNTIF(Logs!$F667, O$24)+COUNTIF(Logs!$F683, O$24)</f>
        <v>0</v>
      </c>
      <c r="P38" s="1449" t="str">
        <f t="shared" si="15"/>
        <v/>
      </c>
      <c r="Q38" s="1435">
        <f>COUNTIF(Logs!$F21, Q$24)+COUNTIF(Logs!$F39, Q$24)+COUNTIF(Logs!$F57, Q$24)+COUNTIF(Logs!$F75, Q$24)+COUNTIF(Logs!$F93, Q$24)+COUNTIF(Logs!$F112, Q$24)+COUNTIF(Logs!$F132, Q$24)+COUNTIF(Logs!$F151, Q$24)+COUNTIF(Logs!$F171, Q$24)+COUNTIF(Logs!$F189, Q$24)+COUNTIF(Logs!$F210, Q$24)+COUNTIF(Logs!$F227, Q$24)+COUNTIF(Logs!$F245, Q$24)+COUNTIF(Logs!$F262, Q$24)+COUNTIF(Logs!$F279, Q$24)+COUNTIF(Logs!$F297, Q$24)+COUNTIF(Logs!$F314, Q$24)+COUNTIF(Logs!$F332, Q$24)+COUNTIF(Logs!$F350, Q$24)+COUNTIF(Logs!$F368, Q$24)+COUNTIF(Logs!$F386, Q$24)+COUNTIF(Logs!$F405, Q$24)+COUNTIF(Logs!$F423, Q$24)+COUNTIF(Logs!$F441, Q$24)+COUNTIF(Logs!$F459, Q$24)+COUNTIF(Logs!$F477, Q$24)+COUNTIF(Logs!$F495, Q$24)+COUNTIF(Logs!$F513, Q$24)+COUNTIF(Logs!$F531, Q$24)+COUNTIF(Logs!$F549, Q$24)+COUNTIF(Logs!$F567, Q$24)+COUNTIF(Logs!$F584, Q$24)+COUNTIF(Logs!$F603, Q$24)+COUNTIF(Logs!$F619, Q$24)+COUNTIF(Logs!$F635, Q$24)+COUNTIF(Logs!$F652, Q$24)+COUNTIF(Logs!$F667, Q$24)+COUNTIF(Logs!$F683, Q$24)</f>
        <v>0</v>
      </c>
      <c r="R38" s="1438" t="str">
        <f t="shared" si="16"/>
        <v/>
      </c>
      <c r="S38" s="1441">
        <f>COUNTIF(Logs!$F21, S$24)+COUNTIF(Logs!$F39, S$24)+COUNTIF(Logs!$F57, S$24)+COUNTIF(Logs!$F75, S$24)+COUNTIF(Logs!$F93, S$24)+COUNTIF(Logs!$F112, S$24)+COUNTIF(Logs!$F132, S$24)+COUNTIF(Logs!$F151, S$24)+COUNTIF(Logs!$F171, S$24)+COUNTIF(Logs!$F189, S$24)+COUNTIF(Logs!$F210, S$24)+COUNTIF(Logs!$F227, S$24)+COUNTIF(Logs!$F245, S$24)+COUNTIF(Logs!$F262, S$24)+COUNTIF(Logs!$F279, S$24)+COUNTIF(Logs!$F297, S$24)+COUNTIF(Logs!$F314, S$24)+COUNTIF(Logs!$F332, S$24)+COUNTIF(Logs!$F350, S$24)+COUNTIF(Logs!$F368, S$24)+COUNTIF(Logs!$F386, S$24)+COUNTIF(Logs!$F405, S$24)+COUNTIF(Logs!$F423, S$24)+COUNTIF(Logs!$F441, S$24)+COUNTIF(Logs!$F459, S$24)+COUNTIF(Logs!$F477, S$24)+COUNTIF(Logs!$F495, S$24)+COUNTIF(Logs!$F513, S$24)+COUNTIF(Logs!$F531, S$24)+COUNTIF(Logs!$F549, S$24)+COUNTIF(Logs!$F567, S$24)+COUNTIF(Logs!$F584, S$24)+COUNTIF(Logs!$F603, S$24)+COUNTIF(Logs!$F619, S$24)+COUNTIF(Logs!$F635, S$24)+COUNTIF(Logs!$F652, S$24)+COUNTIF(Logs!$F667, S$24)+COUNTIF(Logs!$F683, S$24)</f>
        <v>0</v>
      </c>
      <c r="T38" s="1442" t="str">
        <f t="shared" si="17"/>
        <v/>
      </c>
      <c r="U38" s="1445">
        <f>COUNTIF(Logs!$F21, U$24)+COUNTIF(Logs!$F39, U$24)+COUNTIF(Logs!$F57, U$24)+COUNTIF(Logs!$F75, U$24)+COUNTIF(Logs!$F93, U$24)+COUNTIF(Logs!$F112, U$24)+COUNTIF(Logs!$F132, U$24)+COUNTIF(Logs!$F151, U$24)+COUNTIF(Logs!$F171, U$24)+COUNTIF(Logs!$F189, U$24)+COUNTIF(Logs!$F210, U$24)+COUNTIF(Logs!$F227, U$24)+COUNTIF(Logs!$F245, U$24)+COUNTIF(Logs!$F262, U$24)+COUNTIF(Logs!$F279, U$24)+COUNTIF(Logs!$F297, U$24)+COUNTIF(Logs!$F314, U$24)+COUNTIF(Logs!$F332, U$24)+COUNTIF(Logs!$F350, U$24)+COUNTIF(Logs!$F368, U$24)+COUNTIF(Logs!$F386, U$24)+COUNTIF(Logs!$F405, U$24)+COUNTIF(Logs!$F423, U$24)+COUNTIF(Logs!$F441, U$24)+COUNTIF(Logs!$F459, U$24)+COUNTIF(Logs!$F477, U$24)+COUNTIF(Logs!$F495, U$24)+COUNTIF(Logs!$F513, U$24)+COUNTIF(Logs!$F531, U$24)+COUNTIF(Logs!$F549, U$24)+COUNTIF(Logs!$F567, U$24)+COUNTIF(Logs!$F584, U$24)+COUNTIF(Logs!$F603, U$24)+COUNTIF(Logs!$F619, U$24)+COUNTIF(Logs!$F635, U$24)+COUNTIF(Logs!$F652, U$24)+COUNTIF(Logs!$F667, U$24)+COUNTIF(Logs!$F683, U$24)</f>
        <v>0</v>
      </c>
      <c r="V38" s="1446" t="str">
        <f t="shared" si="18"/>
        <v/>
      </c>
      <c r="W38" s="1433">
        <f>COUNTIF(Logs!$F21, W$24)+COUNTIF(Logs!$F39, W$24)+COUNTIF(Logs!$F57, W$24)+COUNTIF(Logs!$F75, W$24)+COUNTIF(Logs!$F93, W$24)+COUNTIF(Logs!$F112, W$24)+COUNTIF(Logs!$F132, W$24)+COUNTIF(Logs!$F151, W$24)+COUNTIF(Logs!$F171, W$24)+COUNTIF(Logs!$F189, W$24)+COUNTIF(Logs!$F210, W$24)+COUNTIF(Logs!$F227, W$24)+COUNTIF(Logs!$F245, W$24)+COUNTIF(Logs!$F262, W$24)+COUNTIF(Logs!$F279, W$24)+COUNTIF(Logs!$F297, W$24)+COUNTIF(Logs!$F314, W$24)+COUNTIF(Logs!$F332, W$24)+COUNTIF(Logs!$F350, W$24)+COUNTIF(Logs!$F368, W$24)+COUNTIF(Logs!$F386, W$24)+COUNTIF(Logs!$F405, W$24)+COUNTIF(Logs!$F423, W$24)+COUNTIF(Logs!$F441, W$24)+COUNTIF(Logs!$F459, W$24)+COUNTIF(Logs!$F477, W$24)+COUNTIF(Logs!$F495, W$24)+COUNTIF(Logs!$F513, W$24)+COUNTIF(Logs!$F531, W$24)+COUNTIF(Logs!$F549, W$24)+COUNTIF(Logs!$F567, W$24)+COUNTIF(Logs!$F584, W$24)+COUNTIF(Logs!$F603, W$24)+COUNTIF(Logs!$F619, W$24)+COUNTIF(Logs!$F635, W$24)+COUNTIF(Logs!$F652, W$24)+COUNTIF(Logs!$F667, W$24)+COUNTIF(Logs!$F683, W$24)</f>
        <v>0</v>
      </c>
      <c r="X38" s="1434" t="str">
        <f t="shared" si="19"/>
        <v/>
      </c>
    </row>
    <row r="39" spans="2:24" ht="16.5" thickBot="1"/>
    <row r="40" spans="2:24" ht="19.5" thickBot="1">
      <c r="B40" s="1380" t="s">
        <v>5</v>
      </c>
      <c r="C40" s="1744" t="s">
        <v>12</v>
      </c>
      <c r="D40" s="1751"/>
      <c r="E40" s="1745" t="s">
        <v>14</v>
      </c>
      <c r="F40" s="1746"/>
      <c r="G40" s="1747" t="s">
        <v>13</v>
      </c>
      <c r="H40" s="1748"/>
      <c r="I40" s="1749" t="s">
        <v>49</v>
      </c>
      <c r="J40" s="1750"/>
      <c r="K40" s="1742" t="s">
        <v>71</v>
      </c>
      <c r="L40" s="1743"/>
      <c r="N40" s="1380" t="s">
        <v>6</v>
      </c>
      <c r="O40" s="1744" t="s">
        <v>12</v>
      </c>
      <c r="P40" s="1751"/>
      <c r="Q40" s="1745" t="s">
        <v>14</v>
      </c>
      <c r="R40" s="1746"/>
      <c r="S40" s="1747" t="s">
        <v>13</v>
      </c>
      <c r="T40" s="1748"/>
      <c r="U40" s="1749" t="s">
        <v>49</v>
      </c>
      <c r="V40" s="1750"/>
      <c r="W40" s="1742" t="s">
        <v>71</v>
      </c>
      <c r="X40" s="1743"/>
    </row>
    <row r="41" spans="2:24">
      <c r="B41" s="1376" t="s">
        <v>1635</v>
      </c>
      <c r="C41" s="355" t="s">
        <v>150</v>
      </c>
      <c r="D41" s="1436" t="s">
        <v>195</v>
      </c>
      <c r="E41" s="563" t="s">
        <v>150</v>
      </c>
      <c r="F41" s="1436" t="s">
        <v>195</v>
      </c>
      <c r="G41" s="563" t="s">
        <v>150</v>
      </c>
      <c r="H41" s="1436" t="s">
        <v>195</v>
      </c>
      <c r="I41" s="563" t="s">
        <v>150</v>
      </c>
      <c r="J41" s="1436" t="s">
        <v>195</v>
      </c>
      <c r="K41" s="355" t="s">
        <v>150</v>
      </c>
      <c r="L41" s="1377" t="s">
        <v>195</v>
      </c>
      <c r="N41" s="1376" t="s">
        <v>1635</v>
      </c>
      <c r="O41" s="355" t="s">
        <v>150</v>
      </c>
      <c r="P41" s="1436" t="s">
        <v>195</v>
      </c>
      <c r="Q41" s="563" t="s">
        <v>150</v>
      </c>
      <c r="R41" s="1436" t="s">
        <v>195</v>
      </c>
      <c r="S41" s="563" t="s">
        <v>150</v>
      </c>
      <c r="T41" s="1436" t="s">
        <v>195</v>
      </c>
      <c r="U41" s="563" t="s">
        <v>150</v>
      </c>
      <c r="V41" s="1436" t="s">
        <v>195</v>
      </c>
      <c r="W41" s="355" t="s">
        <v>150</v>
      </c>
      <c r="X41" s="1377" t="s">
        <v>195</v>
      </c>
    </row>
    <row r="42" spans="2:24">
      <c r="B42" s="1378" t="s">
        <v>185</v>
      </c>
      <c r="C42" s="319">
        <f>COUNTIF(Logs!$G9, C$40)+COUNTIF(Logs!$G27, C$40)+COUNTIF(Logs!$G45, C$40)+COUNTIF(Logs!$G63, C$40)+COUNTIF(Logs!$G81, C$40)+COUNTIF(Logs!$G100, C$40)+COUNTIF(Logs!$G120, C$40)+COUNTIF(Logs!$G139, C$40)+COUNTIF(Logs!$G159, C$40)+COUNTIF(Logs!$G177, C$40)+COUNTIF(Logs!$G198, C$40)+COUNTIF(Logs!$G215, C$40)+COUNTIF(Logs!$G233, C$40)+COUNTIF(Logs!$G250, C$40)+COUNTIF(Logs!$G267, C$40)+COUNTIF(Logs!$G285, C$40)+COUNTIF(Logs!$G302, C$40)+COUNTIF(Logs!$G320, C$40)+COUNTIF(Logs!$G338, C$40)+COUNTIF(Logs!$G356, C$40)+COUNTIF(Logs!$G374, C$40)+COUNTIF(Logs!$G393, C$40)+COUNTIF(Logs!$G411, C$40)+COUNTIF(Logs!$G429, C$40)+COUNTIF(Logs!$G447, C$40)+COUNTIF(Logs!$G465, C$40)+COUNTIF(Logs!$G483, C$40)+COUNTIF(Logs!$G501, C$40)+COUNTIF(Logs!$G519, C$40)+COUNTIF(Logs!$G537, C$40)+COUNTIF(Logs!$G555, C$40)+COUNTIF(Logs!$G572, C$40)+COUNTIF(Logs!$G591, C$40)+COUNTIF(Logs!$G607, C$40)+COUNTIF(Logs!$G623, C$40)+COUNTIF(Logs!$G640, C$40)+COUNTIF(Logs!$G655, C$40)+COUNTIF(Logs!$G671, C$40)</f>
        <v>34</v>
      </c>
      <c r="D42" s="1448">
        <f>IF(C42&gt;0, C42/SUM($C42,$E42, $G42,$I42,$K42), "")</f>
        <v>0.89473684210526316</v>
      </c>
      <c r="E42" s="342">
        <f>COUNTIF(Logs!$G9, E$40)+COUNTIF(Logs!$G27, E$40)+COUNTIF(Logs!$G45, E$40)+COUNTIF(Logs!$G63, E$40)+COUNTIF(Logs!$G81, E$40)+COUNTIF(Logs!$G100, E$40)+COUNTIF(Logs!$G120, E$40)+COUNTIF(Logs!$G139, E$40)+COUNTIF(Logs!$G159, E$40)+COUNTIF(Logs!$G177, E$40)+COUNTIF(Logs!$G198, E$40)+COUNTIF(Logs!$G215, E$40)+COUNTIF(Logs!$G233, E$40)+COUNTIF(Logs!$G250, E$40)+COUNTIF(Logs!$G267, E$40)+COUNTIF(Logs!$G285, E$40)+COUNTIF(Logs!$G302, E$40)+COUNTIF(Logs!$G320, E$40)+COUNTIF(Logs!$G338, E$40)+COUNTIF(Logs!$G356, E$40)+COUNTIF(Logs!$G374, E$40)+COUNTIF(Logs!$G393, E$40)+COUNTIF(Logs!$G411, E$40)+COUNTIF(Logs!$G429, E$40)+COUNTIF(Logs!$G447, E$40)+COUNTIF(Logs!$G465, E$40)+COUNTIF(Logs!$G483, E$40)+COUNTIF(Logs!$G501, E$40)+COUNTIF(Logs!$G519, E$40)+COUNTIF(Logs!$G537, E$40)+COUNTIF(Logs!$G555, E$40)+COUNTIF(Logs!$G572, E$40)+COUNTIF(Logs!$G591, E$40)+COUNTIF(Logs!$G607, E$40)+COUNTIF(Logs!$G623, E$40)+COUNTIF(Logs!$G640, E$40)+COUNTIF(Logs!$G655, E$40)+COUNTIF(Logs!$G671, E$40)</f>
        <v>1</v>
      </c>
      <c r="F42" s="1437">
        <f>IF(E42&gt;0, E42/SUM($C42,$E42, $G42,$I42,$K42), "")</f>
        <v>2.6315789473684209E-2</v>
      </c>
      <c r="G42" s="1439">
        <f>COUNTIF(Logs!$G9, G$40)+COUNTIF(Logs!$G27, G$40)+COUNTIF(Logs!$G45, G$40)+COUNTIF(Logs!$G63, G$40)+COUNTIF(Logs!$G81, G$40)+COUNTIF(Logs!$G100, G$40)+COUNTIF(Logs!$G120, G$40)+COUNTIF(Logs!$G139, G$40)+COUNTIF(Logs!$G159, G$40)+COUNTIF(Logs!$G177, G$40)+COUNTIF(Logs!$G198, G$40)+COUNTIF(Logs!$G215, G$40)+COUNTIF(Logs!$G233, G$40)+COUNTIF(Logs!$G250, G$40)+COUNTIF(Logs!$G267, G$40)+COUNTIF(Logs!$G285, G$40)+COUNTIF(Logs!$G302, G$40)+COUNTIF(Logs!$G320, G$40)+COUNTIF(Logs!$G338, G$40)+COUNTIF(Logs!$G356, G$40)+COUNTIF(Logs!$G374, G$40)+COUNTIF(Logs!$G393, G$40)+COUNTIF(Logs!$G411, G$40)+COUNTIF(Logs!$G429, G$40)+COUNTIF(Logs!$G447, G$40)+COUNTIF(Logs!$G465, G$40)+COUNTIF(Logs!$G483, G$40)+COUNTIF(Logs!$G501, G$40)+COUNTIF(Logs!$G519, G$40)+COUNTIF(Logs!$G537, G$40)+COUNTIF(Logs!$G555, G$40)+COUNTIF(Logs!$G572, G$40)+COUNTIF(Logs!$G591, G$40)+COUNTIF(Logs!$G607, G$40)+COUNTIF(Logs!$G623, G$40)+COUNTIF(Logs!$G640, G$40)+COUNTIF(Logs!$G655, G$40)+COUNTIF(Logs!$G671, G$40)</f>
        <v>0</v>
      </c>
      <c r="H42" s="1440" t="str">
        <f>IF(G42&gt;0, G42/SUM($C42,$E42, $G42,$I42,$K42), "")</f>
        <v/>
      </c>
      <c r="I42" s="1443">
        <f>COUNTIF(Logs!$G9, I$40)+COUNTIF(Logs!$G27, I$40)+COUNTIF(Logs!$G45, I$40)+COUNTIF(Logs!$G63, I$40)+COUNTIF(Logs!$G81, I$40)+COUNTIF(Logs!$G100, I$40)+COUNTIF(Logs!$G120, I$40)+COUNTIF(Logs!$G139, I$40)+COUNTIF(Logs!$G159, I$40)+COUNTIF(Logs!$G177, I$40)+COUNTIF(Logs!$G198, I$40)+COUNTIF(Logs!$G215, I$40)+COUNTIF(Logs!$G233, I$40)+COUNTIF(Logs!$G250, I$40)+COUNTIF(Logs!$G267, I$40)+COUNTIF(Logs!$G285, I$40)+COUNTIF(Logs!$G302, I$40)+COUNTIF(Logs!$G320, I$40)+COUNTIF(Logs!$G338, I$40)+COUNTIF(Logs!$G356, I$40)+COUNTIF(Logs!$G374, I$40)+COUNTIF(Logs!$G393, I$40)+COUNTIF(Logs!$G411, I$40)+COUNTIF(Logs!$G429, I$40)+COUNTIF(Logs!$G447, I$40)+COUNTIF(Logs!$G465, I$40)+COUNTIF(Logs!$G483, I$40)+COUNTIF(Logs!$G501, I$40)+COUNTIF(Logs!$G519, I$40)+COUNTIF(Logs!$G537, I$40)+COUNTIF(Logs!$G555, I$40)+COUNTIF(Logs!$G572, I$40)+COUNTIF(Logs!$G591, I$40)+COUNTIF(Logs!$G607, I$40)+COUNTIF(Logs!$G623, I$40)+COUNTIF(Logs!$G640, I$40)+COUNTIF(Logs!$G655, I$40)+COUNTIF(Logs!$G671, I$40)</f>
        <v>0</v>
      </c>
      <c r="J42" s="1444" t="str">
        <f>IF(I42&gt;0, I42/SUM($C42,$E42, $G42,$I42,$K42), "")</f>
        <v/>
      </c>
      <c r="K42" s="1101">
        <f>COUNTIF(Logs!$G9, K$40)+COUNTIF(Logs!$G27, K$40)+COUNTIF(Logs!$G45, K$40)+COUNTIF(Logs!$G63, K$40)+COUNTIF(Logs!$G81, K$40)+COUNTIF(Logs!$G100, K$40)+COUNTIF(Logs!$G120, K$40)+COUNTIF(Logs!$G139, K$40)+COUNTIF(Logs!$G159, K$40)+COUNTIF(Logs!$G177, K$40)+COUNTIF(Logs!$G198, K$40)+COUNTIF(Logs!$G215, K$40)+COUNTIF(Logs!$G233, K$40)+COUNTIF(Logs!$G250, K$40)+COUNTIF(Logs!$G267, K$40)+COUNTIF(Logs!$G285, K$40)+COUNTIF(Logs!$G302, K$40)+COUNTIF(Logs!$G320, K$40)+COUNTIF(Logs!$G338, K$40)+COUNTIF(Logs!$G356, K$40)+COUNTIF(Logs!$G374, K$40)+COUNTIF(Logs!$G393, K$40)+COUNTIF(Logs!$G411, K$40)+COUNTIF(Logs!$G429, K$40)+COUNTIF(Logs!$G447, K$40)+COUNTIF(Logs!$G465, K$40)+COUNTIF(Logs!$G483, K$40)+COUNTIF(Logs!$G501, K$40)+COUNTIF(Logs!$G519, K$40)+COUNTIF(Logs!$G537, K$40)+COUNTIF(Logs!$G555, K$40)+COUNTIF(Logs!$G572, K$40)+COUNTIF(Logs!$G591, K$40)+COUNTIF(Logs!$G607, K$40)+COUNTIF(Logs!$G623, K$40)+COUNTIF(Logs!$G640, K$40)+COUNTIF(Logs!$G655, K$40)+COUNTIF(Logs!$G671, K$40)</f>
        <v>3</v>
      </c>
      <c r="L42" s="1432">
        <f>IF(K42&gt;0, K42/SUM($C42,$E42, $G42,$I42,$K42), "")</f>
        <v>7.8947368421052627E-2</v>
      </c>
      <c r="N42" s="1378" t="s">
        <v>185</v>
      </c>
      <c r="O42" s="319">
        <f>COUNTIF(Logs!$H9, O$8)+COUNTIF(Logs!$H27, O$8)+COUNTIF(Logs!$H45, O$8)+COUNTIF(Logs!$H63, O$8)+COUNTIF(Logs!$H81, O$8)+COUNTIF(Logs!$H100, O$8)+COUNTIF(Logs!$H120, O$8)+COUNTIF(Logs!$H139, O$8)+COUNTIF(Logs!$H159, O$8)+COUNTIF(Logs!$H177, O$8)+COUNTIF(Logs!$H198, O$8)+COUNTIF(Logs!$H215, O$8)+COUNTIF(Logs!$H233, O$8)+COUNTIF(Logs!$H250, O$8)+COUNTIF(Logs!$H267, O$8)+COUNTIF(Logs!$H285, O$8)+COUNTIF(Logs!$H302, O$8)+COUNTIF(Logs!$H320, O$8)+COUNTIF(Logs!$H338, O$8)+COUNTIF(Logs!$H356, O$8)+COUNTIF(Logs!$H374, O$8)+COUNTIF(Logs!$H393, O$8)+COUNTIF(Logs!$H411, O$8)+COUNTIF(Logs!$H429, O$8)+COUNTIF(Logs!$H447, O$8)+COUNTIF(Logs!$H465, O$8)+COUNTIF(Logs!$H483, O$8)+COUNTIF(Logs!$H501, O$8)+COUNTIF(Logs!$H519, O$8)+COUNTIF(Logs!$H537, O$8)+COUNTIF(Logs!$H555, O$8)+COUNTIF(Logs!$H572, O$8)+COUNTIF(Logs!$H591, O$8)+COUNTIF(Logs!$H607, O$8)+COUNTIF(Logs!$H623, O$8)+COUNTIF(Logs!$H640, O$8)+COUNTIF(Logs!$H655, O$8)+COUNTIF(Logs!$H671, O$8)</f>
        <v>36</v>
      </c>
      <c r="P42" s="1448">
        <f>IF(O42&gt;0, O42/SUM($O42,$Q42, $S42,$U42,$W42), "")</f>
        <v>0.94736842105263153</v>
      </c>
      <c r="Q42" s="342">
        <f>COUNTIF(Logs!$H9, Q$8)+COUNTIF(Logs!$H27, Q$8)+COUNTIF(Logs!$H45, Q$8)+COUNTIF(Logs!$H63, Q$8)+COUNTIF(Logs!$H81, Q$8)+COUNTIF(Logs!$H100, Q$8)+COUNTIF(Logs!$H120, Q$8)+COUNTIF(Logs!$H139, Q$8)+COUNTIF(Logs!$H159, Q$8)+COUNTIF(Logs!$H177, Q$8)+COUNTIF(Logs!$H198, Q$8)+COUNTIF(Logs!$H215, Q$8)+COUNTIF(Logs!$H233, Q$8)+COUNTIF(Logs!$H250, Q$8)+COUNTIF(Logs!$H267, Q$8)+COUNTIF(Logs!$H285, Q$8)+COUNTIF(Logs!$H302, Q$8)+COUNTIF(Logs!$H320, Q$8)+COUNTIF(Logs!$H338, Q$8)+COUNTIF(Logs!$H356, Q$8)+COUNTIF(Logs!$H374, Q$8)+COUNTIF(Logs!$H393, Q$8)+COUNTIF(Logs!$H411, Q$8)+COUNTIF(Logs!$H429, Q$8)+COUNTIF(Logs!$H447, Q$8)+COUNTIF(Logs!$H465, Q$8)+COUNTIF(Logs!$H483, Q$8)+COUNTIF(Logs!$H501, Q$8)+COUNTIF(Logs!$H519, Q$8)+COUNTIF(Logs!$H537, Q$8)+COUNTIF(Logs!$H555, Q$8)+COUNTIF(Logs!$H572, Q$8)+COUNTIF(Logs!$H591, Q$8)+COUNTIF(Logs!$H607, Q$8)+COUNTIF(Logs!$H623, Q$8)+COUNTIF(Logs!$H640, Q$8)+COUNTIF(Logs!$H655, Q$8)+COUNTIF(Logs!$H671, Q$8)</f>
        <v>1</v>
      </c>
      <c r="R42" s="1437">
        <f>IF(Q42&gt;0, Q42/SUM($O42,$Q42, $S42,$U42,$W42), "")</f>
        <v>2.6315789473684209E-2</v>
      </c>
      <c r="S42" s="1439">
        <f>COUNTIF(Logs!$H9, S$8)+COUNTIF(Logs!$H27, S$8)+COUNTIF(Logs!$H45, S$8)+COUNTIF(Logs!$H63, S$8)+COUNTIF(Logs!$H81, S$8)+COUNTIF(Logs!$H100, S$8)+COUNTIF(Logs!$H120, S$8)+COUNTIF(Logs!$H139, S$8)+COUNTIF(Logs!$H159, S$8)+COUNTIF(Logs!$H177, S$8)+COUNTIF(Logs!$H198, S$8)+COUNTIF(Logs!$H215, S$8)+COUNTIF(Logs!$H233, S$8)+COUNTIF(Logs!$H250, S$8)+COUNTIF(Logs!$H267, S$8)+COUNTIF(Logs!$H285, S$8)+COUNTIF(Logs!$H302, S$8)+COUNTIF(Logs!$H320, S$8)+COUNTIF(Logs!$H338, S$8)+COUNTIF(Logs!$H356, S$8)+COUNTIF(Logs!$H374, S$8)+COUNTIF(Logs!$H393, S$8)+COUNTIF(Logs!$H411, S$8)+COUNTIF(Logs!$H429, S$8)+COUNTIF(Logs!$H447, S$8)+COUNTIF(Logs!$H465, S$8)+COUNTIF(Logs!$H483, S$8)+COUNTIF(Logs!$H501, S$8)+COUNTIF(Logs!$H519, S$8)+COUNTIF(Logs!$H537, S$8)+COUNTIF(Logs!$H555, S$8)+COUNTIF(Logs!$H572, S$8)+COUNTIF(Logs!$H591, S$8)+COUNTIF(Logs!$H607, S$8)+COUNTIF(Logs!$H623, S$8)+COUNTIF(Logs!$H640, S$8)+COUNTIF(Logs!$H655, S$8)+COUNTIF(Logs!$H671, S$8)</f>
        <v>0</v>
      </c>
      <c r="T42" s="1440" t="str">
        <f>IF(S42&gt;0, S42/SUM($O42,$Q42, $S42,$U42,$W42), "")</f>
        <v/>
      </c>
      <c r="U42" s="1443">
        <f>COUNTIF(Logs!$H9, U$8)+COUNTIF(Logs!$H27, U$8)+COUNTIF(Logs!$H45, U$8)+COUNTIF(Logs!$H63, U$8)+COUNTIF(Logs!$H81, U$8)+COUNTIF(Logs!$H100, U$8)+COUNTIF(Logs!$H120, U$8)+COUNTIF(Logs!$H139, U$8)+COUNTIF(Logs!$H159, U$8)+COUNTIF(Logs!$H177, U$8)+COUNTIF(Logs!$H198, U$8)+COUNTIF(Logs!$H215, U$8)+COUNTIF(Logs!$H233, U$8)+COUNTIF(Logs!$H250, U$8)+COUNTIF(Logs!$H267, U$8)+COUNTIF(Logs!$H285, U$8)+COUNTIF(Logs!$H302, U$8)+COUNTIF(Logs!$H320, U$8)+COUNTIF(Logs!$H338, U$8)+COUNTIF(Logs!$H356, U$8)+COUNTIF(Logs!$H374, U$8)+COUNTIF(Logs!$H393, U$8)+COUNTIF(Logs!$H411, U$8)+COUNTIF(Logs!$H429, U$8)+COUNTIF(Logs!$H447, U$8)+COUNTIF(Logs!$H465, U$8)+COUNTIF(Logs!$H483, U$8)+COUNTIF(Logs!$H501, U$8)+COUNTIF(Logs!$H519, U$8)+COUNTIF(Logs!$H537, U$8)+COUNTIF(Logs!$H555, U$8)+COUNTIF(Logs!$H572, U$8)+COUNTIF(Logs!$H591, U$8)+COUNTIF(Logs!$H607, U$8)+COUNTIF(Logs!$H623, U$8)+COUNTIF(Logs!$H640, U$8)+COUNTIF(Logs!$H655, U$8)+COUNTIF(Logs!$H671, U$8)</f>
        <v>0</v>
      </c>
      <c r="V42" s="1444" t="str">
        <f>IF(U42&gt;0, U42/SUM($O42,$Q42, $S42,$U42,$W42), "")</f>
        <v/>
      </c>
      <c r="W42" s="1101">
        <f>COUNTIF(Logs!$H9, W$8)+COUNTIF(Logs!$H27, W$8)+COUNTIF(Logs!$H45, W$8)+COUNTIF(Logs!$H63, W$8)+COUNTIF(Logs!$H81, W$8)+COUNTIF(Logs!$H100, W$8)+COUNTIF(Logs!$H120, W$8)+COUNTIF(Logs!$H139, W$8)+COUNTIF(Logs!$H159, W$8)+COUNTIF(Logs!$H177, W$8)+COUNTIF(Logs!$H198, W$8)+COUNTIF(Logs!$H215, W$8)+COUNTIF(Logs!$H233, W$8)+COUNTIF(Logs!$H250, W$8)+COUNTIF(Logs!$H267, W$8)+COUNTIF(Logs!$H285, W$8)+COUNTIF(Logs!$H302, W$8)+COUNTIF(Logs!$H320, W$8)+COUNTIF(Logs!$H338, W$8)+COUNTIF(Logs!$H356, W$8)+COUNTIF(Logs!$H374, W$8)+COUNTIF(Logs!$H393, W$8)+COUNTIF(Logs!$H411, W$8)+COUNTIF(Logs!$H429, W$8)+COUNTIF(Logs!$H447, W$8)+COUNTIF(Logs!$H465, W$8)+COUNTIF(Logs!$H483, W$8)+COUNTIF(Logs!$H501, W$8)+COUNTIF(Logs!$H519, W$8)+COUNTIF(Logs!$H537, W$8)+COUNTIF(Logs!$H555, W$8)+COUNTIF(Logs!$H572, W$8)+COUNTIF(Logs!$H591, W$8)+COUNTIF(Logs!$H607, W$8)+COUNTIF(Logs!$H623, W$8)+COUNTIF(Logs!$H640, W$8)+COUNTIF(Logs!$H655, W$8)+COUNTIF(Logs!$H671, W$8)</f>
        <v>1</v>
      </c>
      <c r="X42" s="1432">
        <f>IF(W42&gt;0, W42/SUM($O42,$Q42, $S42,$U42,$W42), "")</f>
        <v>2.6315789473684209E-2</v>
      </c>
    </row>
    <row r="43" spans="2:24">
      <c r="B43" s="1378" t="s">
        <v>186</v>
      </c>
      <c r="C43" s="319">
        <f>COUNTIF(Logs!$G10, C$40)+COUNTIF(Logs!$G28, C$40)+COUNTIF(Logs!$G46, C$40)+COUNTIF(Logs!$G64, C$40)+COUNTIF(Logs!$G82, C$40)+COUNTIF(Logs!$G101, C$40)+COUNTIF(Logs!$G121, C$40)+COUNTIF(Logs!$G140, C$40)+COUNTIF(Logs!$G160, C$40)+COUNTIF(Logs!$G178, C$40)+COUNTIF(Logs!$G199, C$40)+COUNTIF(Logs!$G216, C$40)+COUNTIF(Logs!$G234, C$40)+COUNTIF(Logs!$G251, C$40)+COUNTIF(Logs!$G268, C$40)+COUNTIF(Logs!$G286, C$40)+COUNTIF(Logs!$G303, C$40)+COUNTIF(Logs!$G321, C$40)+COUNTIF(Logs!$G339, C$40)+COUNTIF(Logs!$G357, C$40)+COUNTIF(Logs!$G375, C$40)+COUNTIF(Logs!$G394, C$40)+COUNTIF(Logs!$G412, C$40)+COUNTIF(Logs!$G430, C$40)+COUNTIF(Logs!$G448, C$40)+COUNTIF(Logs!$G466, C$40)+COUNTIF(Logs!$G484, C$40)+COUNTIF(Logs!$G502, C$40)+COUNTIF(Logs!$G520, C$40)+COUNTIF(Logs!$G538, C$40)+COUNTIF(Logs!$G556, C$40)+COUNTIF(Logs!$G573, C$40)+COUNTIF(Logs!$G592, C$40)+COUNTIF(Logs!$G608, C$40)+COUNTIF(Logs!$G624, C$40)+COUNTIF(Logs!$G641, C$40)+COUNTIF(Logs!$G656, C$40)+COUNTIF(Logs!$G672, C$40)</f>
        <v>20</v>
      </c>
      <c r="D43" s="1448">
        <f t="shared" ref="D43:D54" si="20">IF(C43&gt;0, C43/SUM($C43,$E43, $G43,$I43,$K43), "")</f>
        <v>0.52631578947368418</v>
      </c>
      <c r="E43" s="342">
        <f>COUNTIF(Logs!$G10, E$40)+COUNTIF(Logs!$G28, E$40)+COUNTIF(Logs!$G46, E$40)+COUNTIF(Logs!$G64, E$40)+COUNTIF(Logs!$G82, E$40)+COUNTIF(Logs!$G101, E$40)+COUNTIF(Logs!$G121, E$40)+COUNTIF(Logs!$G140, E$40)+COUNTIF(Logs!$G160, E$40)+COUNTIF(Logs!$G178, E$40)+COUNTIF(Logs!$G199, E$40)+COUNTIF(Logs!$G216, E$40)+COUNTIF(Logs!$G234, E$40)+COUNTIF(Logs!$G251, E$40)+COUNTIF(Logs!$G268, E$40)+COUNTIF(Logs!$G286, E$40)+COUNTIF(Logs!$G303, E$40)+COUNTIF(Logs!$G321, E$40)+COUNTIF(Logs!$G339, E$40)+COUNTIF(Logs!$G357, E$40)+COUNTIF(Logs!$G375, E$40)+COUNTIF(Logs!$G394, E$40)+COUNTIF(Logs!$G412, E$40)+COUNTIF(Logs!$G430, E$40)+COUNTIF(Logs!$G448, E$40)+COUNTIF(Logs!$G466, E$40)+COUNTIF(Logs!$G484, E$40)+COUNTIF(Logs!$G502, E$40)+COUNTIF(Logs!$G520, E$40)+COUNTIF(Logs!$G538, E$40)+COUNTIF(Logs!$G556, E$40)+COUNTIF(Logs!$G573, E$40)+COUNTIF(Logs!$G592, E$40)+COUNTIF(Logs!$G608, E$40)+COUNTIF(Logs!$G624, E$40)+COUNTIF(Logs!$G641, E$40)+COUNTIF(Logs!$G656, E$40)+COUNTIF(Logs!$G672, E$40)</f>
        <v>5</v>
      </c>
      <c r="F43" s="1437">
        <f t="shared" ref="F43:F54" si="21">IF(E43&gt;0, E43/SUM($C43,$E43, $G43,$I43,$K43), "")</f>
        <v>0.13157894736842105</v>
      </c>
      <c r="G43" s="1439">
        <f>COUNTIF(Logs!$G10, G$40)+COUNTIF(Logs!$G28, G$40)+COUNTIF(Logs!$G46, G$40)+COUNTIF(Logs!$G64, G$40)+COUNTIF(Logs!$G82, G$40)+COUNTIF(Logs!$G101, G$40)+COUNTIF(Logs!$G121, G$40)+COUNTIF(Logs!$G140, G$40)+COUNTIF(Logs!$G160, G$40)+COUNTIF(Logs!$G178, G$40)+COUNTIF(Logs!$G199, G$40)+COUNTIF(Logs!$G216, G$40)+COUNTIF(Logs!$G234, G$40)+COUNTIF(Logs!$G251, G$40)+COUNTIF(Logs!$G268, G$40)+COUNTIF(Logs!$G286, G$40)+COUNTIF(Logs!$G303, G$40)+COUNTIF(Logs!$G321, G$40)+COUNTIF(Logs!$G339, G$40)+COUNTIF(Logs!$G357, G$40)+COUNTIF(Logs!$G375, G$40)+COUNTIF(Logs!$G394, G$40)+COUNTIF(Logs!$G412, G$40)+COUNTIF(Logs!$G430, G$40)+COUNTIF(Logs!$G448, G$40)+COUNTIF(Logs!$G466, G$40)+COUNTIF(Logs!$G484, G$40)+COUNTIF(Logs!$G502, G$40)+COUNTIF(Logs!$G520, G$40)+COUNTIF(Logs!$G538, G$40)+COUNTIF(Logs!$G556, G$40)+COUNTIF(Logs!$G573, G$40)+COUNTIF(Logs!$G592, G$40)+COUNTIF(Logs!$G608, G$40)+COUNTIF(Logs!$G624, G$40)+COUNTIF(Logs!$G641, G$40)+COUNTIF(Logs!$G656, G$40)+COUNTIF(Logs!$G672, G$40)</f>
        <v>3</v>
      </c>
      <c r="H43" s="1440">
        <f t="shared" ref="H43:H54" si="22">IF(G43&gt;0, G43/SUM($C43,$E43, $G43,$I43,$K43), "")</f>
        <v>7.8947368421052627E-2</v>
      </c>
      <c r="I43" s="1443">
        <f>COUNTIF(Logs!$G10, I$40)+COUNTIF(Logs!$G28, I$40)+COUNTIF(Logs!$G46, I$40)+COUNTIF(Logs!$G64, I$40)+COUNTIF(Logs!$G82, I$40)+COUNTIF(Logs!$G101, I$40)+COUNTIF(Logs!$G121, I$40)+COUNTIF(Logs!$G140, I$40)+COUNTIF(Logs!$G160, I$40)+COUNTIF(Logs!$G178, I$40)+COUNTIF(Logs!$G199, I$40)+COUNTIF(Logs!$G216, I$40)+COUNTIF(Logs!$G234, I$40)+COUNTIF(Logs!$G251, I$40)+COUNTIF(Logs!$G268, I$40)+COUNTIF(Logs!$G286, I$40)+COUNTIF(Logs!$G303, I$40)+COUNTIF(Logs!$G321, I$40)+COUNTIF(Logs!$G339, I$40)+COUNTIF(Logs!$G357, I$40)+COUNTIF(Logs!$G375, I$40)+COUNTIF(Logs!$G394, I$40)+COUNTIF(Logs!$G412, I$40)+COUNTIF(Logs!$G430, I$40)+COUNTIF(Logs!$G448, I$40)+COUNTIF(Logs!$G466, I$40)+COUNTIF(Logs!$G484, I$40)+COUNTIF(Logs!$G502, I$40)+COUNTIF(Logs!$G520, I$40)+COUNTIF(Logs!$G538, I$40)+COUNTIF(Logs!$G556, I$40)+COUNTIF(Logs!$G573, I$40)+COUNTIF(Logs!$G592, I$40)+COUNTIF(Logs!$G608, I$40)+COUNTIF(Logs!$G624, I$40)+COUNTIF(Logs!$G641, I$40)+COUNTIF(Logs!$G656, I$40)+COUNTIF(Logs!$G672, I$40)</f>
        <v>4</v>
      </c>
      <c r="J43" s="1444">
        <f t="shared" ref="J43:J54" si="23">IF(I43&gt;0, I43/SUM($C43,$E43, $G43,$I43,$K43), "")</f>
        <v>0.10526315789473684</v>
      </c>
      <c r="K43" s="1101">
        <f>COUNTIF(Logs!$G10, K$40)+COUNTIF(Logs!$G28, K$40)+COUNTIF(Logs!$G46, K$40)+COUNTIF(Logs!$G64, K$40)+COUNTIF(Logs!$G82, K$40)+COUNTIF(Logs!$G101, K$40)+COUNTIF(Logs!$G121, K$40)+COUNTIF(Logs!$G140, K$40)+COUNTIF(Logs!$G160, K$40)+COUNTIF(Logs!$G178, K$40)+COUNTIF(Logs!$G199, K$40)+COUNTIF(Logs!$G216, K$40)+COUNTIF(Logs!$G234, K$40)+COUNTIF(Logs!$G251, K$40)+COUNTIF(Logs!$G268, K$40)+COUNTIF(Logs!$G286, K$40)+COUNTIF(Logs!$G303, K$40)+COUNTIF(Logs!$G321, K$40)+COUNTIF(Logs!$G339, K$40)+COUNTIF(Logs!$G357, K$40)+COUNTIF(Logs!$G375, K$40)+COUNTIF(Logs!$G394, K$40)+COUNTIF(Logs!$G412, K$40)+COUNTIF(Logs!$G430, K$40)+COUNTIF(Logs!$G448, K$40)+COUNTIF(Logs!$G466, K$40)+COUNTIF(Logs!$G484, K$40)+COUNTIF(Logs!$G502, K$40)+COUNTIF(Logs!$G520, K$40)+COUNTIF(Logs!$G538, K$40)+COUNTIF(Logs!$G556, K$40)+COUNTIF(Logs!$G573, K$40)+COUNTIF(Logs!$G592, K$40)+COUNTIF(Logs!$G608, K$40)+COUNTIF(Logs!$G624, K$40)+COUNTIF(Logs!$G641, K$40)+COUNTIF(Logs!$G656, K$40)+COUNTIF(Logs!$G672, K$40)</f>
        <v>6</v>
      </c>
      <c r="L43" s="1432">
        <f t="shared" ref="L43:L54" si="24">IF(K43&gt;0, K43/SUM($C43,$E43, $G43,$I43,$K43), "")</f>
        <v>0.15789473684210525</v>
      </c>
      <c r="N43" s="1378" t="s">
        <v>186</v>
      </c>
      <c r="O43" s="319">
        <f>COUNTIF(Logs!$H10, O$8)+COUNTIF(Logs!$H28, O$8)+COUNTIF(Logs!$H46, O$8)+COUNTIF(Logs!$H64, O$8)+COUNTIF(Logs!$H82, O$8)+COUNTIF(Logs!$H101, O$8)+COUNTIF(Logs!$H121, O$8)+COUNTIF(Logs!$H140, O$8)+COUNTIF(Logs!$H160, O$8)+COUNTIF(Logs!$H178, O$8)+COUNTIF(Logs!$H199, O$8)+COUNTIF(Logs!$H216, O$8)+COUNTIF(Logs!$H234, O$8)+COUNTIF(Logs!$H251, O$8)+COUNTIF(Logs!$H268, O$8)+COUNTIF(Logs!$H286, O$8)+COUNTIF(Logs!$H303, O$8)+COUNTIF(Logs!$H321, O$8)+COUNTIF(Logs!$H339, O$8)+COUNTIF(Logs!$H357, O$8)+COUNTIF(Logs!$H375, O$8)+COUNTIF(Logs!$H394, O$8)+COUNTIF(Logs!$H412, O$8)+COUNTIF(Logs!$H430, O$8)+COUNTIF(Logs!$H448, O$8)+COUNTIF(Logs!$H466, O$8)+COUNTIF(Logs!$H484, O$8)+COUNTIF(Logs!$H502, O$8)+COUNTIF(Logs!$H520, O$8)+COUNTIF(Logs!$H538, O$8)+COUNTIF(Logs!$H556, O$8)+COUNTIF(Logs!$H573, O$8)+COUNTIF(Logs!$H592, O$8)+COUNTIF(Logs!$H608, O$8)+COUNTIF(Logs!$H624, O$8)+COUNTIF(Logs!$H641, O$8)+COUNTIF(Logs!$H656, O$8)+COUNTIF(Logs!$H672, O$8)</f>
        <v>18</v>
      </c>
      <c r="P43" s="1448">
        <f t="shared" ref="P43:P54" si="25">IF(O43&gt;0, O43/SUM($O43,$Q43, $S43,$U43,$W43), "")</f>
        <v>0.47368421052631576</v>
      </c>
      <c r="Q43" s="342">
        <f>COUNTIF(Logs!$H10, Q$8)+COUNTIF(Logs!$H28, Q$8)+COUNTIF(Logs!$H46, Q$8)+COUNTIF(Logs!$H64, Q$8)+COUNTIF(Logs!$H82, Q$8)+COUNTIF(Logs!$H101, Q$8)+COUNTIF(Logs!$H121, Q$8)+COUNTIF(Logs!$H140, Q$8)+COUNTIF(Logs!$H160, Q$8)+COUNTIF(Logs!$H178, Q$8)+COUNTIF(Logs!$H199, Q$8)+COUNTIF(Logs!$H216, Q$8)+COUNTIF(Logs!$H234, Q$8)+COUNTIF(Logs!$H251, Q$8)+COUNTIF(Logs!$H268, Q$8)+COUNTIF(Logs!$H286, Q$8)+COUNTIF(Logs!$H303, Q$8)+COUNTIF(Logs!$H321, Q$8)+COUNTIF(Logs!$H339, Q$8)+COUNTIF(Logs!$H357, Q$8)+COUNTIF(Logs!$H375, Q$8)+COUNTIF(Logs!$H394, Q$8)+COUNTIF(Logs!$H412, Q$8)+COUNTIF(Logs!$H430, Q$8)+COUNTIF(Logs!$H448, Q$8)+COUNTIF(Logs!$H466, Q$8)+COUNTIF(Logs!$H484, Q$8)+COUNTIF(Logs!$H502, Q$8)+COUNTIF(Logs!$H520, Q$8)+COUNTIF(Logs!$H538, Q$8)+COUNTIF(Logs!$H556, Q$8)+COUNTIF(Logs!$H573, Q$8)+COUNTIF(Logs!$H592, Q$8)+COUNTIF(Logs!$H608, Q$8)+COUNTIF(Logs!$H624, Q$8)+COUNTIF(Logs!$H641, Q$8)+COUNTIF(Logs!$H656, Q$8)+COUNTIF(Logs!$H672, Q$8)</f>
        <v>8</v>
      </c>
      <c r="R43" s="1437">
        <f t="shared" ref="R43:R54" si="26">IF(Q43&gt;0, Q43/SUM($O43,$Q43, $S43,$U43,$W43), "")</f>
        <v>0.21052631578947367</v>
      </c>
      <c r="S43" s="1439">
        <f>COUNTIF(Logs!$H10, S$8)+COUNTIF(Logs!$H28, S$8)+COUNTIF(Logs!$H46, S$8)+COUNTIF(Logs!$H64, S$8)+COUNTIF(Logs!$H82, S$8)+COUNTIF(Logs!$H101, S$8)+COUNTIF(Logs!$H121, S$8)+COUNTIF(Logs!$H140, S$8)+COUNTIF(Logs!$H160, S$8)+COUNTIF(Logs!$H178, S$8)+COUNTIF(Logs!$H199, S$8)+COUNTIF(Logs!$H216, S$8)+COUNTIF(Logs!$H234, S$8)+COUNTIF(Logs!$H251, S$8)+COUNTIF(Logs!$H268, S$8)+COUNTIF(Logs!$H286, S$8)+COUNTIF(Logs!$H303, S$8)+COUNTIF(Logs!$H321, S$8)+COUNTIF(Logs!$H339, S$8)+COUNTIF(Logs!$H357, S$8)+COUNTIF(Logs!$H375, S$8)+COUNTIF(Logs!$H394, S$8)+COUNTIF(Logs!$H412, S$8)+COUNTIF(Logs!$H430, S$8)+COUNTIF(Logs!$H448, S$8)+COUNTIF(Logs!$H466, S$8)+COUNTIF(Logs!$H484, S$8)+COUNTIF(Logs!$H502, S$8)+COUNTIF(Logs!$H520, S$8)+COUNTIF(Logs!$H538, S$8)+COUNTIF(Logs!$H556, S$8)+COUNTIF(Logs!$H573, S$8)+COUNTIF(Logs!$H592, S$8)+COUNTIF(Logs!$H608, S$8)+COUNTIF(Logs!$H624, S$8)+COUNTIF(Logs!$H641, S$8)+COUNTIF(Logs!$H656, S$8)+COUNTIF(Logs!$H672, S$8)</f>
        <v>6</v>
      </c>
      <c r="T43" s="1440">
        <f t="shared" ref="T43:T54" si="27">IF(S43&gt;0, S43/SUM($O43,$Q43, $S43,$U43,$W43), "")</f>
        <v>0.15789473684210525</v>
      </c>
      <c r="U43" s="1443">
        <f>COUNTIF(Logs!$H10, U$8)+COUNTIF(Logs!$H28, U$8)+COUNTIF(Logs!$H46, U$8)+COUNTIF(Logs!$H64, U$8)+COUNTIF(Logs!$H82, U$8)+COUNTIF(Logs!$H101, U$8)+COUNTIF(Logs!$H121, U$8)+COUNTIF(Logs!$H140, U$8)+COUNTIF(Logs!$H160, U$8)+COUNTIF(Logs!$H178, U$8)+COUNTIF(Logs!$H199, U$8)+COUNTIF(Logs!$H216, U$8)+COUNTIF(Logs!$H234, U$8)+COUNTIF(Logs!$H251, U$8)+COUNTIF(Logs!$H268, U$8)+COUNTIF(Logs!$H286, U$8)+COUNTIF(Logs!$H303, U$8)+COUNTIF(Logs!$H321, U$8)+COUNTIF(Logs!$H339, U$8)+COUNTIF(Logs!$H357, U$8)+COUNTIF(Logs!$H375, U$8)+COUNTIF(Logs!$H394, U$8)+COUNTIF(Logs!$H412, U$8)+COUNTIF(Logs!$H430, U$8)+COUNTIF(Logs!$H448, U$8)+COUNTIF(Logs!$H466, U$8)+COUNTIF(Logs!$H484, U$8)+COUNTIF(Logs!$H502, U$8)+COUNTIF(Logs!$H520, U$8)+COUNTIF(Logs!$H538, U$8)+COUNTIF(Logs!$H556, U$8)+COUNTIF(Logs!$H573, U$8)+COUNTIF(Logs!$H592, U$8)+COUNTIF(Logs!$H608, U$8)+COUNTIF(Logs!$H624, U$8)+COUNTIF(Logs!$H641, U$8)+COUNTIF(Logs!$H656, U$8)+COUNTIF(Logs!$H672, U$8)</f>
        <v>0</v>
      </c>
      <c r="V43" s="1444" t="str">
        <f t="shared" ref="V43:V54" si="28">IF(U43&gt;0, U43/SUM($O43,$Q43, $S43,$U43,$W43), "")</f>
        <v/>
      </c>
      <c r="W43" s="1101">
        <f>COUNTIF(Logs!$H10, W$8)+COUNTIF(Logs!$H28, W$8)+COUNTIF(Logs!$H46, W$8)+COUNTIF(Logs!$H64, W$8)+COUNTIF(Logs!$H82, W$8)+COUNTIF(Logs!$H101, W$8)+COUNTIF(Logs!$H121, W$8)+COUNTIF(Logs!$H140, W$8)+COUNTIF(Logs!$H160, W$8)+COUNTIF(Logs!$H178, W$8)+COUNTIF(Logs!$H199, W$8)+COUNTIF(Logs!$H216, W$8)+COUNTIF(Logs!$H234, W$8)+COUNTIF(Logs!$H251, W$8)+COUNTIF(Logs!$H268, W$8)+COUNTIF(Logs!$H286, W$8)+COUNTIF(Logs!$H303, W$8)+COUNTIF(Logs!$H321, W$8)+COUNTIF(Logs!$H339, W$8)+COUNTIF(Logs!$H357, W$8)+COUNTIF(Logs!$H375, W$8)+COUNTIF(Logs!$H394, W$8)+COUNTIF(Logs!$H412, W$8)+COUNTIF(Logs!$H430, W$8)+COUNTIF(Logs!$H448, W$8)+COUNTIF(Logs!$H466, W$8)+COUNTIF(Logs!$H484, W$8)+COUNTIF(Logs!$H502, W$8)+COUNTIF(Logs!$H520, W$8)+COUNTIF(Logs!$H538, W$8)+COUNTIF(Logs!$H556, W$8)+COUNTIF(Logs!$H573, W$8)+COUNTIF(Logs!$H592, W$8)+COUNTIF(Logs!$H608, W$8)+COUNTIF(Logs!$H624, W$8)+COUNTIF(Logs!$H641, W$8)+COUNTIF(Logs!$H656, W$8)+COUNTIF(Logs!$H672, W$8)</f>
        <v>6</v>
      </c>
      <c r="X43" s="1432">
        <f t="shared" ref="X43:X54" si="29">IF(W43&gt;0, W43/SUM($O43,$Q43, $S43,$U43,$W43), "")</f>
        <v>0.15789473684210525</v>
      </c>
    </row>
    <row r="44" spans="2:24">
      <c r="B44" s="1378" t="s">
        <v>187</v>
      </c>
      <c r="C44" s="319">
        <f>COUNTIF(Logs!$G11, C$40)+COUNTIF(Logs!$G29, C$40)+COUNTIF(Logs!$G47, C$40)+COUNTIF(Logs!$G65, C$40)+COUNTIF(Logs!$G83, C$40)+COUNTIF(Logs!$G102, C$40)+COUNTIF(Logs!$G122, C$40)+COUNTIF(Logs!$G141, C$40)+COUNTIF(Logs!$G161, C$40)+COUNTIF(Logs!$G179, C$40)+COUNTIF(Logs!$G200, C$40)+COUNTIF(Logs!$G217, C$40)+COUNTIF(Logs!$G235, C$40)+COUNTIF(Logs!$G252, C$40)+COUNTIF(Logs!$G269, C$40)+COUNTIF(Logs!$G287, C$40)+COUNTIF(Logs!$G304, C$40)+COUNTIF(Logs!$G322, C$40)+COUNTIF(Logs!$G340, C$40)+COUNTIF(Logs!$G358, C$40)+COUNTIF(Logs!$G376, C$40)+COUNTIF(Logs!$G395, C$40)+COUNTIF(Logs!$G413, C$40)+COUNTIF(Logs!$G431, C$40)+COUNTIF(Logs!$G449, C$40)+COUNTIF(Logs!$G467, C$40)+COUNTIF(Logs!$G485, C$40)+COUNTIF(Logs!$G503, C$40)+COUNTIF(Logs!$G521, C$40)+COUNTIF(Logs!$G539, C$40)+COUNTIF(Logs!$G557, C$40)+COUNTIF(Logs!$G574, C$40)+COUNTIF(Logs!$G593, C$40)+COUNTIF(Logs!$G609, C$40)+COUNTIF(Logs!$G625, C$40)+COUNTIF(Logs!$G642, C$40)+COUNTIF(Logs!$G657, C$40)+COUNTIF(Logs!$G673, C$40)</f>
        <v>14</v>
      </c>
      <c r="D44" s="1448">
        <f t="shared" si="20"/>
        <v>0.36842105263157893</v>
      </c>
      <c r="E44" s="342">
        <f>COUNTIF(Logs!$G11, E$40)+COUNTIF(Logs!$G29, E$40)+COUNTIF(Logs!$G47, E$40)+COUNTIF(Logs!$G65, E$40)+COUNTIF(Logs!$G83, E$40)+COUNTIF(Logs!$G102, E$40)+COUNTIF(Logs!$G122, E$40)+COUNTIF(Logs!$G141, E$40)+COUNTIF(Logs!$G161, E$40)+COUNTIF(Logs!$G179, E$40)+COUNTIF(Logs!$G200, E$40)+COUNTIF(Logs!$G217, E$40)+COUNTIF(Logs!$G235, E$40)+COUNTIF(Logs!$G252, E$40)+COUNTIF(Logs!$G269, E$40)+COUNTIF(Logs!$G287, E$40)+COUNTIF(Logs!$G304, E$40)+COUNTIF(Logs!$G322, E$40)+COUNTIF(Logs!$G340, E$40)+COUNTIF(Logs!$G358, E$40)+COUNTIF(Logs!$G376, E$40)+COUNTIF(Logs!$G395, E$40)+COUNTIF(Logs!$G413, E$40)+COUNTIF(Logs!$G431, E$40)+COUNTIF(Logs!$G449, E$40)+COUNTIF(Logs!$G467, E$40)+COUNTIF(Logs!$G485, E$40)+COUNTIF(Logs!$G503, E$40)+COUNTIF(Logs!$G521, E$40)+COUNTIF(Logs!$G539, E$40)+COUNTIF(Logs!$G557, E$40)+COUNTIF(Logs!$G574, E$40)+COUNTIF(Logs!$G593, E$40)+COUNTIF(Logs!$G609, E$40)+COUNTIF(Logs!$G625, E$40)+COUNTIF(Logs!$G642, E$40)+COUNTIF(Logs!$G657, E$40)+COUNTIF(Logs!$G673, E$40)</f>
        <v>6</v>
      </c>
      <c r="F44" s="1437">
        <f t="shared" si="21"/>
        <v>0.15789473684210525</v>
      </c>
      <c r="G44" s="1439">
        <f>COUNTIF(Logs!$G11, G$40)+COUNTIF(Logs!$G29, G$40)+COUNTIF(Logs!$G47, G$40)+COUNTIF(Logs!$G65, G$40)+COUNTIF(Logs!$G83, G$40)+COUNTIF(Logs!$G102, G$40)+COUNTIF(Logs!$G122, G$40)+COUNTIF(Logs!$G141, G$40)+COUNTIF(Logs!$G161, G$40)+COUNTIF(Logs!$G179, G$40)+COUNTIF(Logs!$G200, G$40)+COUNTIF(Logs!$G217, G$40)+COUNTIF(Logs!$G235, G$40)+COUNTIF(Logs!$G252, G$40)+COUNTIF(Logs!$G269, G$40)+COUNTIF(Logs!$G287, G$40)+COUNTIF(Logs!$G304, G$40)+COUNTIF(Logs!$G322, G$40)+COUNTIF(Logs!$G340, G$40)+COUNTIF(Logs!$G358, G$40)+COUNTIF(Logs!$G376, G$40)+COUNTIF(Logs!$G395, G$40)+COUNTIF(Logs!$G413, G$40)+COUNTIF(Logs!$G431, G$40)+COUNTIF(Logs!$G449, G$40)+COUNTIF(Logs!$G467, G$40)+COUNTIF(Logs!$G485, G$40)+COUNTIF(Logs!$G503, G$40)+COUNTIF(Logs!$G521, G$40)+COUNTIF(Logs!$G539, G$40)+COUNTIF(Logs!$G557, G$40)+COUNTIF(Logs!$G574, G$40)+COUNTIF(Logs!$G593, G$40)+COUNTIF(Logs!$G609, G$40)+COUNTIF(Logs!$G625, G$40)+COUNTIF(Logs!$G642, G$40)+COUNTIF(Logs!$G657, G$40)+COUNTIF(Logs!$G673, G$40)</f>
        <v>16</v>
      </c>
      <c r="H44" s="1440">
        <f t="shared" si="22"/>
        <v>0.42105263157894735</v>
      </c>
      <c r="I44" s="1443">
        <f>COUNTIF(Logs!$G11, I$40)+COUNTIF(Logs!$G29, I$40)+COUNTIF(Logs!$G47, I$40)+COUNTIF(Logs!$G65, I$40)+COUNTIF(Logs!$G83, I$40)+COUNTIF(Logs!$G102, I$40)+COUNTIF(Logs!$G122, I$40)+COUNTIF(Logs!$G141, I$40)+COUNTIF(Logs!$G161, I$40)+COUNTIF(Logs!$G179, I$40)+COUNTIF(Logs!$G200, I$40)+COUNTIF(Logs!$G217, I$40)+COUNTIF(Logs!$G235, I$40)+COUNTIF(Logs!$G252, I$40)+COUNTIF(Logs!$G269, I$40)+COUNTIF(Logs!$G287, I$40)+COUNTIF(Logs!$G304, I$40)+COUNTIF(Logs!$G322, I$40)+COUNTIF(Logs!$G340, I$40)+COUNTIF(Logs!$G358, I$40)+COUNTIF(Logs!$G376, I$40)+COUNTIF(Logs!$G395, I$40)+COUNTIF(Logs!$G413, I$40)+COUNTIF(Logs!$G431, I$40)+COUNTIF(Logs!$G449, I$40)+COUNTIF(Logs!$G467, I$40)+COUNTIF(Logs!$G485, I$40)+COUNTIF(Logs!$G503, I$40)+COUNTIF(Logs!$G521, I$40)+COUNTIF(Logs!$G539, I$40)+COUNTIF(Logs!$G557, I$40)+COUNTIF(Logs!$G574, I$40)+COUNTIF(Logs!$G593, I$40)+COUNTIF(Logs!$G609, I$40)+COUNTIF(Logs!$G625, I$40)+COUNTIF(Logs!$G642, I$40)+COUNTIF(Logs!$G657, I$40)+COUNTIF(Logs!$G673, I$40)</f>
        <v>1</v>
      </c>
      <c r="J44" s="1444">
        <f t="shared" si="23"/>
        <v>2.6315789473684209E-2</v>
      </c>
      <c r="K44" s="1101">
        <f>COUNTIF(Logs!$G11, K$40)+COUNTIF(Logs!$G29, K$40)+COUNTIF(Logs!$G47, K$40)+COUNTIF(Logs!$G65, K$40)+COUNTIF(Logs!$G83, K$40)+COUNTIF(Logs!$G102, K$40)+COUNTIF(Logs!$G122, K$40)+COUNTIF(Logs!$G141, K$40)+COUNTIF(Logs!$G161, K$40)+COUNTIF(Logs!$G179, K$40)+COUNTIF(Logs!$G200, K$40)+COUNTIF(Logs!$G217, K$40)+COUNTIF(Logs!$G235, K$40)+COUNTIF(Logs!$G252, K$40)+COUNTIF(Logs!$G269, K$40)+COUNTIF(Logs!$G287, K$40)+COUNTIF(Logs!$G304, K$40)+COUNTIF(Logs!$G322, K$40)+COUNTIF(Logs!$G340, K$40)+COUNTIF(Logs!$G358, K$40)+COUNTIF(Logs!$G376, K$40)+COUNTIF(Logs!$G395, K$40)+COUNTIF(Logs!$G413, K$40)+COUNTIF(Logs!$G431, K$40)+COUNTIF(Logs!$G449, K$40)+COUNTIF(Logs!$G467, K$40)+COUNTIF(Logs!$G485, K$40)+COUNTIF(Logs!$G503, K$40)+COUNTIF(Logs!$G521, K$40)+COUNTIF(Logs!$G539, K$40)+COUNTIF(Logs!$G557, K$40)+COUNTIF(Logs!$G574, K$40)+COUNTIF(Logs!$G593, K$40)+COUNTIF(Logs!$G609, K$40)+COUNTIF(Logs!$G625, K$40)+COUNTIF(Logs!$G642, K$40)+COUNTIF(Logs!$G657, K$40)+COUNTIF(Logs!$G673, K$40)</f>
        <v>1</v>
      </c>
      <c r="L44" s="1432">
        <f t="shared" si="24"/>
        <v>2.6315789473684209E-2</v>
      </c>
      <c r="N44" s="1378" t="s">
        <v>187</v>
      </c>
      <c r="O44" s="319">
        <f>COUNTIF(Logs!$H11, O$8)+COUNTIF(Logs!$H29, O$8)+COUNTIF(Logs!$H47, O$8)+COUNTIF(Logs!$H65, O$8)+COUNTIF(Logs!$H83, O$8)+COUNTIF(Logs!$H102, O$8)+COUNTIF(Logs!$H122, O$8)+COUNTIF(Logs!$H141, O$8)+COUNTIF(Logs!$H161, O$8)+COUNTIF(Logs!$H179, O$8)+COUNTIF(Logs!$H200, O$8)+COUNTIF(Logs!$H217, O$8)+COUNTIF(Logs!$H235, O$8)+COUNTIF(Logs!$H252, O$8)+COUNTIF(Logs!$H269, O$8)+COUNTIF(Logs!$H287, O$8)+COUNTIF(Logs!$H304, O$8)+COUNTIF(Logs!$H322, O$8)+COUNTIF(Logs!$H340, O$8)+COUNTIF(Logs!$H358, O$8)+COUNTIF(Logs!$H376, O$8)+COUNTIF(Logs!$H395, O$8)+COUNTIF(Logs!$H413, O$8)+COUNTIF(Logs!$H431, O$8)+COUNTIF(Logs!$H449, O$8)+COUNTIF(Logs!$H467, O$8)+COUNTIF(Logs!$H485, O$8)+COUNTIF(Logs!$H503, O$8)+COUNTIF(Logs!$H521, O$8)+COUNTIF(Logs!$H539, O$8)+COUNTIF(Logs!$H557, O$8)+COUNTIF(Logs!$H574, O$8)+COUNTIF(Logs!$H593, O$8)+COUNTIF(Logs!$H609, O$8)+COUNTIF(Logs!$H625, O$8)+COUNTIF(Logs!$H642, O$8)+COUNTIF(Logs!$H657, O$8)+COUNTIF(Logs!$H673, O$8)</f>
        <v>22</v>
      </c>
      <c r="P44" s="1448">
        <f t="shared" si="25"/>
        <v>0.57894736842105265</v>
      </c>
      <c r="Q44" s="342">
        <f>COUNTIF(Logs!$H11, Q$8)+COUNTIF(Logs!$H29, Q$8)+COUNTIF(Logs!$H47, Q$8)+COUNTIF(Logs!$H65, Q$8)+COUNTIF(Logs!$H83, Q$8)+COUNTIF(Logs!$H102, Q$8)+COUNTIF(Logs!$H122, Q$8)+COUNTIF(Logs!$H141, Q$8)+COUNTIF(Logs!$H161, Q$8)+COUNTIF(Logs!$H179, Q$8)+COUNTIF(Logs!$H200, Q$8)+COUNTIF(Logs!$H217, Q$8)+COUNTIF(Logs!$H235, Q$8)+COUNTIF(Logs!$H252, Q$8)+COUNTIF(Logs!$H269, Q$8)+COUNTIF(Logs!$H287, Q$8)+COUNTIF(Logs!$H304, Q$8)+COUNTIF(Logs!$H322, Q$8)+COUNTIF(Logs!$H340, Q$8)+COUNTIF(Logs!$H358, Q$8)+COUNTIF(Logs!$H376, Q$8)+COUNTIF(Logs!$H395, Q$8)+COUNTIF(Logs!$H413, Q$8)+COUNTIF(Logs!$H431, Q$8)+COUNTIF(Logs!$H449, Q$8)+COUNTIF(Logs!$H467, Q$8)+COUNTIF(Logs!$H485, Q$8)+COUNTIF(Logs!$H503, Q$8)+COUNTIF(Logs!$H521, Q$8)+COUNTIF(Logs!$H539, Q$8)+COUNTIF(Logs!$H557, Q$8)+COUNTIF(Logs!$H574, Q$8)+COUNTIF(Logs!$H593, Q$8)+COUNTIF(Logs!$H609, Q$8)+COUNTIF(Logs!$H625, Q$8)+COUNTIF(Logs!$H642, Q$8)+COUNTIF(Logs!$H657, Q$8)+COUNTIF(Logs!$H673, Q$8)</f>
        <v>10</v>
      </c>
      <c r="R44" s="1437">
        <f t="shared" si="26"/>
        <v>0.26315789473684209</v>
      </c>
      <c r="S44" s="1439">
        <f>COUNTIF(Logs!$H11, S$8)+COUNTIF(Logs!$H29, S$8)+COUNTIF(Logs!$H47, S$8)+COUNTIF(Logs!$H65, S$8)+COUNTIF(Logs!$H83, S$8)+COUNTIF(Logs!$H102, S$8)+COUNTIF(Logs!$H122, S$8)+COUNTIF(Logs!$H141, S$8)+COUNTIF(Logs!$H161, S$8)+COUNTIF(Logs!$H179, S$8)+COUNTIF(Logs!$H200, S$8)+COUNTIF(Logs!$H217, S$8)+COUNTIF(Logs!$H235, S$8)+COUNTIF(Logs!$H252, S$8)+COUNTIF(Logs!$H269, S$8)+COUNTIF(Logs!$H287, S$8)+COUNTIF(Logs!$H304, S$8)+COUNTIF(Logs!$H322, S$8)+COUNTIF(Logs!$H340, S$8)+COUNTIF(Logs!$H358, S$8)+COUNTIF(Logs!$H376, S$8)+COUNTIF(Logs!$H395, S$8)+COUNTIF(Logs!$H413, S$8)+COUNTIF(Logs!$H431, S$8)+COUNTIF(Logs!$H449, S$8)+COUNTIF(Logs!$H467, S$8)+COUNTIF(Logs!$H485, S$8)+COUNTIF(Logs!$H503, S$8)+COUNTIF(Logs!$H521, S$8)+COUNTIF(Logs!$H539, S$8)+COUNTIF(Logs!$H557, S$8)+COUNTIF(Logs!$H574, S$8)+COUNTIF(Logs!$H593, S$8)+COUNTIF(Logs!$H609, S$8)+COUNTIF(Logs!$H625, S$8)+COUNTIF(Logs!$H642, S$8)+COUNTIF(Logs!$H657, S$8)+COUNTIF(Logs!$H673, S$8)</f>
        <v>5</v>
      </c>
      <c r="T44" s="1440">
        <f t="shared" si="27"/>
        <v>0.13157894736842105</v>
      </c>
      <c r="U44" s="1443">
        <f>COUNTIF(Logs!$H11, U$8)+COUNTIF(Logs!$H29, U$8)+COUNTIF(Logs!$H47, U$8)+COUNTIF(Logs!$H65, U$8)+COUNTIF(Logs!$H83, U$8)+COUNTIF(Logs!$H102, U$8)+COUNTIF(Logs!$H122, U$8)+COUNTIF(Logs!$H141, U$8)+COUNTIF(Logs!$H161, U$8)+COUNTIF(Logs!$H179, U$8)+COUNTIF(Logs!$H200, U$8)+COUNTIF(Logs!$H217, U$8)+COUNTIF(Logs!$H235, U$8)+COUNTIF(Logs!$H252, U$8)+COUNTIF(Logs!$H269, U$8)+COUNTIF(Logs!$H287, U$8)+COUNTIF(Logs!$H304, U$8)+COUNTIF(Logs!$H322, U$8)+COUNTIF(Logs!$H340, U$8)+COUNTIF(Logs!$H358, U$8)+COUNTIF(Logs!$H376, U$8)+COUNTIF(Logs!$H395, U$8)+COUNTIF(Logs!$H413, U$8)+COUNTIF(Logs!$H431, U$8)+COUNTIF(Logs!$H449, U$8)+COUNTIF(Logs!$H467, U$8)+COUNTIF(Logs!$H485, U$8)+COUNTIF(Logs!$H503, U$8)+COUNTIF(Logs!$H521, U$8)+COUNTIF(Logs!$H539, U$8)+COUNTIF(Logs!$H557, U$8)+COUNTIF(Logs!$H574, U$8)+COUNTIF(Logs!$H593, U$8)+COUNTIF(Logs!$H609, U$8)+COUNTIF(Logs!$H625, U$8)+COUNTIF(Logs!$H642, U$8)+COUNTIF(Logs!$H657, U$8)+COUNTIF(Logs!$H673, U$8)</f>
        <v>0</v>
      </c>
      <c r="V44" s="1444" t="str">
        <f t="shared" si="28"/>
        <v/>
      </c>
      <c r="W44" s="1101">
        <f>COUNTIF(Logs!$H11, W$8)+COUNTIF(Logs!$H29, W$8)+COUNTIF(Logs!$H47, W$8)+COUNTIF(Logs!$H65, W$8)+COUNTIF(Logs!$H83, W$8)+COUNTIF(Logs!$H102, W$8)+COUNTIF(Logs!$H122, W$8)+COUNTIF(Logs!$H141, W$8)+COUNTIF(Logs!$H161, W$8)+COUNTIF(Logs!$H179, W$8)+COUNTIF(Logs!$H200, W$8)+COUNTIF(Logs!$H217, W$8)+COUNTIF(Logs!$H235, W$8)+COUNTIF(Logs!$H252, W$8)+COUNTIF(Logs!$H269, W$8)+COUNTIF(Logs!$H287, W$8)+COUNTIF(Logs!$H304, W$8)+COUNTIF(Logs!$H322, W$8)+COUNTIF(Logs!$H340, W$8)+COUNTIF(Logs!$H358, W$8)+COUNTIF(Logs!$H376, W$8)+COUNTIF(Logs!$H395, W$8)+COUNTIF(Logs!$H413, W$8)+COUNTIF(Logs!$H431, W$8)+COUNTIF(Logs!$H449, W$8)+COUNTIF(Logs!$H467, W$8)+COUNTIF(Logs!$H485, W$8)+COUNTIF(Logs!$H503, W$8)+COUNTIF(Logs!$H521, W$8)+COUNTIF(Logs!$H539, W$8)+COUNTIF(Logs!$H557, W$8)+COUNTIF(Logs!$H574, W$8)+COUNTIF(Logs!$H593, W$8)+COUNTIF(Logs!$H609, W$8)+COUNTIF(Logs!$H625, W$8)+COUNTIF(Logs!$H642, W$8)+COUNTIF(Logs!$H657, W$8)+COUNTIF(Logs!$H673, W$8)</f>
        <v>1</v>
      </c>
      <c r="X44" s="1432">
        <f t="shared" si="29"/>
        <v>2.6315789473684209E-2</v>
      </c>
    </row>
    <row r="45" spans="2:24">
      <c r="B45" s="1378" t="s">
        <v>188</v>
      </c>
      <c r="C45" s="319">
        <f>COUNTIF(Logs!$G12, C$40)+COUNTIF(Logs!$G30, C$40)+COUNTIF(Logs!$G48, C$40)+COUNTIF(Logs!$G66, C$40)+COUNTIF(Logs!$G84, C$40)+COUNTIF(Logs!$G103, C$40)+COUNTIF(Logs!$G123, C$40)+COUNTIF(Logs!$G142, C$40)+COUNTIF(Logs!$G162, C$40)+COUNTIF(Logs!$G180, C$40)+COUNTIF(Logs!$G201, C$40)+COUNTIF(Logs!$G218, C$40)+COUNTIF(Logs!$G236, C$40)+COUNTIF(Logs!$G253, C$40)+COUNTIF(Logs!$G270, C$40)+COUNTIF(Logs!$G288, C$40)+COUNTIF(Logs!$G305, C$40)+COUNTIF(Logs!$G323, C$40)+COUNTIF(Logs!$G341, C$40)+COUNTIF(Logs!$G359, C$40)+COUNTIF(Logs!$G377, C$40)+COUNTIF(Logs!$G396, C$40)+COUNTIF(Logs!$G414, C$40)+COUNTIF(Logs!$G432, C$40)+COUNTIF(Logs!$G450, C$40)+COUNTIF(Logs!$G468, C$40)+COUNTIF(Logs!$G486, C$40)+COUNTIF(Logs!$G504, C$40)+COUNTIF(Logs!$G522, C$40)+COUNTIF(Logs!$G540, C$40)+COUNTIF(Logs!$G558, C$40)+COUNTIF(Logs!$G575, C$40)+COUNTIF(Logs!$G594, C$40)+COUNTIF(Logs!$G610, C$40)+COUNTIF(Logs!$G626, C$40)+COUNTIF(Logs!$G643, C$40)+COUNTIF(Logs!$G658, C$40)+COUNTIF(Logs!$G674, C$40)</f>
        <v>25</v>
      </c>
      <c r="D45" s="1448">
        <f t="shared" si="20"/>
        <v>0.65789473684210531</v>
      </c>
      <c r="E45" s="342">
        <f>COUNTIF(Logs!$G12, E$40)+COUNTIF(Logs!$G30, E$40)+COUNTIF(Logs!$G48, E$40)+COUNTIF(Logs!$G66, E$40)+COUNTIF(Logs!$G84, E$40)+COUNTIF(Logs!$G103, E$40)+COUNTIF(Logs!$G123, E$40)+COUNTIF(Logs!$G142, E$40)+COUNTIF(Logs!$G162, E$40)+COUNTIF(Logs!$G180, E$40)+COUNTIF(Logs!$G201, E$40)+COUNTIF(Logs!$G218, E$40)+COUNTIF(Logs!$G236, E$40)+COUNTIF(Logs!$G253, E$40)+COUNTIF(Logs!$G270, E$40)+COUNTIF(Logs!$G288, E$40)+COUNTIF(Logs!$G305, E$40)+COUNTIF(Logs!$G323, E$40)+COUNTIF(Logs!$G341, E$40)+COUNTIF(Logs!$G359, E$40)+COUNTIF(Logs!$G377, E$40)+COUNTIF(Logs!$G396, E$40)+COUNTIF(Logs!$G414, E$40)+COUNTIF(Logs!$G432, E$40)+COUNTIF(Logs!$G450, E$40)+COUNTIF(Logs!$G468, E$40)+COUNTIF(Logs!$G486, E$40)+COUNTIF(Logs!$G504, E$40)+COUNTIF(Logs!$G522, E$40)+COUNTIF(Logs!$G540, E$40)+COUNTIF(Logs!$G558, E$40)+COUNTIF(Logs!$G575, E$40)+COUNTIF(Logs!$G594, E$40)+COUNTIF(Logs!$G610, E$40)+COUNTIF(Logs!$G626, E$40)+COUNTIF(Logs!$G643, E$40)+COUNTIF(Logs!$G658, E$40)+COUNTIF(Logs!$G674, E$40)</f>
        <v>4</v>
      </c>
      <c r="F45" s="1437">
        <f t="shared" si="21"/>
        <v>0.10526315789473684</v>
      </c>
      <c r="G45" s="1439">
        <f>COUNTIF(Logs!$G12, G$40)+COUNTIF(Logs!$G30, G$40)+COUNTIF(Logs!$G48, G$40)+COUNTIF(Logs!$G66, G$40)+COUNTIF(Logs!$G84, G$40)+COUNTIF(Logs!$G103, G$40)+COUNTIF(Logs!$G123, G$40)+COUNTIF(Logs!$G142, G$40)+COUNTIF(Logs!$G162, G$40)+COUNTIF(Logs!$G180, G$40)+COUNTIF(Logs!$G201, G$40)+COUNTIF(Logs!$G218, G$40)+COUNTIF(Logs!$G236, G$40)+COUNTIF(Logs!$G253, G$40)+COUNTIF(Logs!$G270, G$40)+COUNTIF(Logs!$G288, G$40)+COUNTIF(Logs!$G305, G$40)+COUNTIF(Logs!$G323, G$40)+COUNTIF(Logs!$G341, G$40)+COUNTIF(Logs!$G359, G$40)+COUNTIF(Logs!$G377, G$40)+COUNTIF(Logs!$G396, G$40)+COUNTIF(Logs!$G414, G$40)+COUNTIF(Logs!$G432, G$40)+COUNTIF(Logs!$G450, G$40)+COUNTIF(Logs!$G468, G$40)+COUNTIF(Logs!$G486, G$40)+COUNTIF(Logs!$G504, G$40)+COUNTIF(Logs!$G522, G$40)+COUNTIF(Logs!$G540, G$40)+COUNTIF(Logs!$G558, G$40)+COUNTIF(Logs!$G575, G$40)+COUNTIF(Logs!$G594, G$40)+COUNTIF(Logs!$G610, G$40)+COUNTIF(Logs!$G626, G$40)+COUNTIF(Logs!$G643, G$40)+COUNTIF(Logs!$G658, G$40)+COUNTIF(Logs!$G674, G$40)</f>
        <v>9</v>
      </c>
      <c r="H45" s="1440">
        <f t="shared" si="22"/>
        <v>0.23684210526315788</v>
      </c>
      <c r="I45" s="1443">
        <f>COUNTIF(Logs!$G12, I$40)+COUNTIF(Logs!$G30, I$40)+COUNTIF(Logs!$G48, I$40)+COUNTIF(Logs!$G66, I$40)+COUNTIF(Logs!$G84, I$40)+COUNTIF(Logs!$G103, I$40)+COUNTIF(Logs!$G123, I$40)+COUNTIF(Logs!$G142, I$40)+COUNTIF(Logs!$G162, I$40)+COUNTIF(Logs!$G180, I$40)+COUNTIF(Logs!$G201, I$40)+COUNTIF(Logs!$G218, I$40)+COUNTIF(Logs!$G236, I$40)+COUNTIF(Logs!$G253, I$40)+COUNTIF(Logs!$G270, I$40)+COUNTIF(Logs!$G288, I$40)+COUNTIF(Logs!$G305, I$40)+COUNTIF(Logs!$G323, I$40)+COUNTIF(Logs!$G341, I$40)+COUNTIF(Logs!$G359, I$40)+COUNTIF(Logs!$G377, I$40)+COUNTIF(Logs!$G396, I$40)+COUNTIF(Logs!$G414, I$40)+COUNTIF(Logs!$G432, I$40)+COUNTIF(Logs!$G450, I$40)+COUNTIF(Logs!$G468, I$40)+COUNTIF(Logs!$G486, I$40)+COUNTIF(Logs!$G504, I$40)+COUNTIF(Logs!$G522, I$40)+COUNTIF(Logs!$G540, I$40)+COUNTIF(Logs!$G558, I$40)+COUNTIF(Logs!$G575, I$40)+COUNTIF(Logs!$G594, I$40)+COUNTIF(Logs!$G610, I$40)+COUNTIF(Logs!$G626, I$40)+COUNTIF(Logs!$G643, I$40)+COUNTIF(Logs!$G658, I$40)+COUNTIF(Logs!$G674, I$40)</f>
        <v>0</v>
      </c>
      <c r="J45" s="1444" t="str">
        <f t="shared" si="23"/>
        <v/>
      </c>
      <c r="K45" s="1101">
        <f>COUNTIF(Logs!$G12, K$40)+COUNTIF(Logs!$G30, K$40)+COUNTIF(Logs!$G48, K$40)+COUNTIF(Logs!$G66, K$40)+COUNTIF(Logs!$G84, K$40)+COUNTIF(Logs!$G103, K$40)+COUNTIF(Logs!$G123, K$40)+COUNTIF(Logs!$G142, K$40)+COUNTIF(Logs!$G162, K$40)+COUNTIF(Logs!$G180, K$40)+COUNTIF(Logs!$G201, K$40)+COUNTIF(Logs!$G218, K$40)+COUNTIF(Logs!$G236, K$40)+COUNTIF(Logs!$G253, K$40)+COUNTIF(Logs!$G270, K$40)+COUNTIF(Logs!$G288, K$40)+COUNTIF(Logs!$G305, K$40)+COUNTIF(Logs!$G323, K$40)+COUNTIF(Logs!$G341, K$40)+COUNTIF(Logs!$G359, K$40)+COUNTIF(Logs!$G377, K$40)+COUNTIF(Logs!$G396, K$40)+COUNTIF(Logs!$G414, K$40)+COUNTIF(Logs!$G432, K$40)+COUNTIF(Logs!$G450, K$40)+COUNTIF(Logs!$G468, K$40)+COUNTIF(Logs!$G486, K$40)+COUNTIF(Logs!$G504, K$40)+COUNTIF(Logs!$G522, K$40)+COUNTIF(Logs!$G540, K$40)+COUNTIF(Logs!$G558, K$40)+COUNTIF(Logs!$G575, K$40)+COUNTIF(Logs!$G594, K$40)+COUNTIF(Logs!$G610, K$40)+COUNTIF(Logs!$G626, K$40)+COUNTIF(Logs!$G643, K$40)+COUNTIF(Logs!$G658, K$40)+COUNTIF(Logs!$G674, K$40)</f>
        <v>0</v>
      </c>
      <c r="L45" s="1432" t="str">
        <f t="shared" si="24"/>
        <v/>
      </c>
      <c r="N45" s="1378" t="s">
        <v>188</v>
      </c>
      <c r="O45" s="319">
        <f>COUNTIF(Logs!$H12, O$8)+COUNTIF(Logs!$H30, O$8)+COUNTIF(Logs!$H48, O$8)+COUNTIF(Logs!$H66, O$8)+COUNTIF(Logs!$H84, O$8)+COUNTIF(Logs!$H103, O$8)+COUNTIF(Logs!$H123, O$8)+COUNTIF(Logs!$H142, O$8)+COUNTIF(Logs!$H162, O$8)+COUNTIF(Logs!$H180, O$8)+COUNTIF(Logs!$H201, O$8)+COUNTIF(Logs!$H218, O$8)+COUNTIF(Logs!$H236, O$8)+COUNTIF(Logs!$H253, O$8)+COUNTIF(Logs!$H270, O$8)+COUNTIF(Logs!$H288, O$8)+COUNTIF(Logs!$H305, O$8)+COUNTIF(Logs!$H323, O$8)+COUNTIF(Logs!$H341, O$8)+COUNTIF(Logs!$H359, O$8)+COUNTIF(Logs!$H377, O$8)+COUNTIF(Logs!$H396, O$8)+COUNTIF(Logs!$H414, O$8)+COUNTIF(Logs!$H432, O$8)+COUNTIF(Logs!$H450, O$8)+COUNTIF(Logs!$H468, O$8)+COUNTIF(Logs!$H486, O$8)+COUNTIF(Logs!$H504, O$8)+COUNTIF(Logs!$H522, O$8)+COUNTIF(Logs!$H540, O$8)+COUNTIF(Logs!$H558, O$8)+COUNTIF(Logs!$H575, O$8)+COUNTIF(Logs!$H594, O$8)+COUNTIF(Logs!$H610, O$8)+COUNTIF(Logs!$H626, O$8)+COUNTIF(Logs!$H643, O$8)+COUNTIF(Logs!$H658, O$8)+COUNTIF(Logs!$H674, O$8)</f>
        <v>18</v>
      </c>
      <c r="P45" s="1448">
        <f t="shared" si="25"/>
        <v>0.47368421052631576</v>
      </c>
      <c r="Q45" s="342">
        <f>COUNTIF(Logs!$H12, Q$8)+COUNTIF(Logs!$H30, Q$8)+COUNTIF(Logs!$H48, Q$8)+COUNTIF(Logs!$H66, Q$8)+COUNTIF(Logs!$H84, Q$8)+COUNTIF(Logs!$H103, Q$8)+COUNTIF(Logs!$H123, Q$8)+COUNTIF(Logs!$H142, Q$8)+COUNTIF(Logs!$H162, Q$8)+COUNTIF(Logs!$H180, Q$8)+COUNTIF(Logs!$H201, Q$8)+COUNTIF(Logs!$H218, Q$8)+COUNTIF(Logs!$H236, Q$8)+COUNTIF(Logs!$H253, Q$8)+COUNTIF(Logs!$H270, Q$8)+COUNTIF(Logs!$H288, Q$8)+COUNTIF(Logs!$H305, Q$8)+COUNTIF(Logs!$H323, Q$8)+COUNTIF(Logs!$H341, Q$8)+COUNTIF(Logs!$H359, Q$8)+COUNTIF(Logs!$H377, Q$8)+COUNTIF(Logs!$H396, Q$8)+COUNTIF(Logs!$H414, Q$8)+COUNTIF(Logs!$H432, Q$8)+COUNTIF(Logs!$H450, Q$8)+COUNTIF(Logs!$H468, Q$8)+COUNTIF(Logs!$H486, Q$8)+COUNTIF(Logs!$H504, Q$8)+COUNTIF(Logs!$H522, Q$8)+COUNTIF(Logs!$H540, Q$8)+COUNTIF(Logs!$H558, Q$8)+COUNTIF(Logs!$H575, Q$8)+COUNTIF(Logs!$H594, Q$8)+COUNTIF(Logs!$H610, Q$8)+COUNTIF(Logs!$H626, Q$8)+COUNTIF(Logs!$H643, Q$8)+COUNTIF(Logs!$H658, Q$8)+COUNTIF(Logs!$H674, Q$8)</f>
        <v>7</v>
      </c>
      <c r="R45" s="1437">
        <f t="shared" si="26"/>
        <v>0.18421052631578946</v>
      </c>
      <c r="S45" s="1439">
        <f>COUNTIF(Logs!$H12, S$8)+COUNTIF(Logs!$H30, S$8)+COUNTIF(Logs!$H48, S$8)+COUNTIF(Logs!$H66, S$8)+COUNTIF(Logs!$H84, S$8)+COUNTIF(Logs!$H103, S$8)+COUNTIF(Logs!$H123, S$8)+COUNTIF(Logs!$H142, S$8)+COUNTIF(Logs!$H162, S$8)+COUNTIF(Logs!$H180, S$8)+COUNTIF(Logs!$H201, S$8)+COUNTIF(Logs!$H218, S$8)+COUNTIF(Logs!$H236, S$8)+COUNTIF(Logs!$H253, S$8)+COUNTIF(Logs!$H270, S$8)+COUNTIF(Logs!$H288, S$8)+COUNTIF(Logs!$H305, S$8)+COUNTIF(Logs!$H323, S$8)+COUNTIF(Logs!$H341, S$8)+COUNTIF(Logs!$H359, S$8)+COUNTIF(Logs!$H377, S$8)+COUNTIF(Logs!$H396, S$8)+COUNTIF(Logs!$H414, S$8)+COUNTIF(Logs!$H432, S$8)+COUNTIF(Logs!$H450, S$8)+COUNTIF(Logs!$H468, S$8)+COUNTIF(Logs!$H486, S$8)+COUNTIF(Logs!$H504, S$8)+COUNTIF(Logs!$H522, S$8)+COUNTIF(Logs!$H540, S$8)+COUNTIF(Logs!$H558, S$8)+COUNTIF(Logs!$H575, S$8)+COUNTIF(Logs!$H594, S$8)+COUNTIF(Logs!$H610, S$8)+COUNTIF(Logs!$H626, S$8)+COUNTIF(Logs!$H643, S$8)+COUNTIF(Logs!$H658, S$8)+COUNTIF(Logs!$H674, S$8)</f>
        <v>11</v>
      </c>
      <c r="T45" s="1440">
        <f t="shared" si="27"/>
        <v>0.28947368421052633</v>
      </c>
      <c r="U45" s="1443">
        <f>COUNTIF(Logs!$H12, U$8)+COUNTIF(Logs!$H30, U$8)+COUNTIF(Logs!$H48, U$8)+COUNTIF(Logs!$H66, U$8)+COUNTIF(Logs!$H84, U$8)+COUNTIF(Logs!$H103, U$8)+COUNTIF(Logs!$H123, U$8)+COUNTIF(Logs!$H142, U$8)+COUNTIF(Logs!$H162, U$8)+COUNTIF(Logs!$H180, U$8)+COUNTIF(Logs!$H201, U$8)+COUNTIF(Logs!$H218, U$8)+COUNTIF(Logs!$H236, U$8)+COUNTIF(Logs!$H253, U$8)+COUNTIF(Logs!$H270, U$8)+COUNTIF(Logs!$H288, U$8)+COUNTIF(Logs!$H305, U$8)+COUNTIF(Logs!$H323, U$8)+COUNTIF(Logs!$H341, U$8)+COUNTIF(Logs!$H359, U$8)+COUNTIF(Logs!$H377, U$8)+COUNTIF(Logs!$H396, U$8)+COUNTIF(Logs!$H414, U$8)+COUNTIF(Logs!$H432, U$8)+COUNTIF(Logs!$H450, U$8)+COUNTIF(Logs!$H468, U$8)+COUNTIF(Logs!$H486, U$8)+COUNTIF(Logs!$H504, U$8)+COUNTIF(Logs!$H522, U$8)+COUNTIF(Logs!$H540, U$8)+COUNTIF(Logs!$H558, U$8)+COUNTIF(Logs!$H575, U$8)+COUNTIF(Logs!$H594, U$8)+COUNTIF(Logs!$H610, U$8)+COUNTIF(Logs!$H626, U$8)+COUNTIF(Logs!$H643, U$8)+COUNTIF(Logs!$H658, U$8)+COUNTIF(Logs!$H674, U$8)</f>
        <v>2</v>
      </c>
      <c r="V45" s="1444">
        <f t="shared" si="28"/>
        <v>5.2631578947368418E-2</v>
      </c>
      <c r="W45" s="1101">
        <f>COUNTIF(Logs!$H12, W$8)+COUNTIF(Logs!$H30, W$8)+COUNTIF(Logs!$H48, W$8)+COUNTIF(Logs!$H66, W$8)+COUNTIF(Logs!$H84, W$8)+COUNTIF(Logs!$H103, W$8)+COUNTIF(Logs!$H123, W$8)+COUNTIF(Logs!$H142, W$8)+COUNTIF(Logs!$H162, W$8)+COUNTIF(Logs!$H180, W$8)+COUNTIF(Logs!$H201, W$8)+COUNTIF(Logs!$H218, W$8)+COUNTIF(Logs!$H236, W$8)+COUNTIF(Logs!$H253, W$8)+COUNTIF(Logs!$H270, W$8)+COUNTIF(Logs!$H288, W$8)+COUNTIF(Logs!$H305, W$8)+COUNTIF(Logs!$H323, W$8)+COUNTIF(Logs!$H341, W$8)+COUNTIF(Logs!$H359, W$8)+COUNTIF(Logs!$H377, W$8)+COUNTIF(Logs!$H396, W$8)+COUNTIF(Logs!$H414, W$8)+COUNTIF(Logs!$H432, W$8)+COUNTIF(Logs!$H450, W$8)+COUNTIF(Logs!$H468, W$8)+COUNTIF(Logs!$H486, W$8)+COUNTIF(Logs!$H504, W$8)+COUNTIF(Logs!$H522, W$8)+COUNTIF(Logs!$H540, W$8)+COUNTIF(Logs!$H558, W$8)+COUNTIF(Logs!$H575, W$8)+COUNTIF(Logs!$H594, W$8)+COUNTIF(Logs!$H610, W$8)+COUNTIF(Logs!$H626, W$8)+COUNTIF(Logs!$H643, W$8)+COUNTIF(Logs!$H658, W$8)+COUNTIF(Logs!$H674, W$8)</f>
        <v>0</v>
      </c>
      <c r="X45" s="1432" t="str">
        <f t="shared" si="29"/>
        <v/>
      </c>
    </row>
    <row r="46" spans="2:24">
      <c r="B46" s="1378" t="s">
        <v>189</v>
      </c>
      <c r="C46" s="319">
        <f>COUNTIF(Logs!$G13, C$40)+COUNTIF(Logs!$G31, C$40)+COUNTIF(Logs!$G49, C$40)+COUNTIF(Logs!$G67, C$40)+COUNTIF(Logs!$G85, C$40)+COUNTIF(Logs!$G104, C$40)+COUNTIF(Logs!$G124, C$40)+COUNTIF(Logs!$G143, C$40)+COUNTIF(Logs!$G163, C$40)+COUNTIF(Logs!$G181, C$40)+COUNTIF(Logs!$G202, C$40)+COUNTIF(Logs!$G219, C$40)+COUNTIF(Logs!$G237, C$40)+COUNTIF(Logs!$G254, C$40)+COUNTIF(Logs!$G271, C$40)+COUNTIF(Logs!$G289, C$40)+COUNTIF(Logs!$G306, C$40)+COUNTIF(Logs!$G324, C$40)+COUNTIF(Logs!$G342, C$40)+COUNTIF(Logs!$G360, C$40)+COUNTIF(Logs!$G378, C$40)+COUNTIF(Logs!$G397, C$40)+COUNTIF(Logs!$G415, C$40)+COUNTIF(Logs!$G433, C$40)+COUNTIF(Logs!$G451, C$40)+COUNTIF(Logs!$G469, C$40)+COUNTIF(Logs!$G487, C$40)+COUNTIF(Logs!$G505, C$40)+COUNTIF(Logs!$G523, C$40)+COUNTIF(Logs!$G541, C$40)+COUNTIF(Logs!$G559, C$40)+COUNTIF(Logs!$G576, C$40)+COUNTIF(Logs!$G595, C$40)+COUNTIF(Logs!$G611, C$40)+COUNTIF(Logs!$G627, C$40)+COUNTIF(Logs!$G644, C$40)+COUNTIF(Logs!$G659, C$40)+COUNTIF(Logs!$G675, C$40)</f>
        <v>17</v>
      </c>
      <c r="D46" s="1448">
        <f t="shared" si="20"/>
        <v>0.48571428571428571</v>
      </c>
      <c r="E46" s="342">
        <f>COUNTIF(Logs!$G13, E$40)+COUNTIF(Logs!$G31, E$40)+COUNTIF(Logs!$G49, E$40)+COUNTIF(Logs!$G67, E$40)+COUNTIF(Logs!$G85, E$40)+COUNTIF(Logs!$G104, E$40)+COUNTIF(Logs!$G124, E$40)+COUNTIF(Logs!$G143, E$40)+COUNTIF(Logs!$G163, E$40)+COUNTIF(Logs!$G181, E$40)+COUNTIF(Logs!$G202, E$40)+COUNTIF(Logs!$G219, E$40)+COUNTIF(Logs!$G237, E$40)+COUNTIF(Logs!$G254, E$40)+COUNTIF(Logs!$G271, E$40)+COUNTIF(Logs!$G289, E$40)+COUNTIF(Logs!$G306, E$40)+COUNTIF(Logs!$G324, E$40)+COUNTIF(Logs!$G342, E$40)+COUNTIF(Logs!$G360, E$40)+COUNTIF(Logs!$G378, E$40)+COUNTIF(Logs!$G397, E$40)+COUNTIF(Logs!$G415, E$40)+COUNTIF(Logs!$G433, E$40)+COUNTIF(Logs!$G451, E$40)+COUNTIF(Logs!$G469, E$40)+COUNTIF(Logs!$G487, E$40)+COUNTIF(Logs!$G505, E$40)+COUNTIF(Logs!$G523, E$40)+COUNTIF(Logs!$G541, E$40)+COUNTIF(Logs!$G559, E$40)+COUNTIF(Logs!$G576, E$40)+COUNTIF(Logs!$G595, E$40)+COUNTIF(Logs!$G611, E$40)+COUNTIF(Logs!$G627, E$40)+COUNTIF(Logs!$G644, E$40)+COUNTIF(Logs!$G659, E$40)+COUNTIF(Logs!$G675, E$40)</f>
        <v>13</v>
      </c>
      <c r="F46" s="1437">
        <f t="shared" si="21"/>
        <v>0.37142857142857144</v>
      </c>
      <c r="G46" s="1439">
        <f>COUNTIF(Logs!$G13, G$40)+COUNTIF(Logs!$G31, G$40)+COUNTIF(Logs!$G49, G$40)+COUNTIF(Logs!$G67, G$40)+COUNTIF(Logs!$G85, G$40)+COUNTIF(Logs!$G104, G$40)+COUNTIF(Logs!$G124, G$40)+COUNTIF(Logs!$G143, G$40)+COUNTIF(Logs!$G163, G$40)+COUNTIF(Logs!$G181, G$40)+COUNTIF(Logs!$G202, G$40)+COUNTIF(Logs!$G219, G$40)+COUNTIF(Logs!$G237, G$40)+COUNTIF(Logs!$G254, G$40)+COUNTIF(Logs!$G271, G$40)+COUNTIF(Logs!$G289, G$40)+COUNTIF(Logs!$G306, G$40)+COUNTIF(Logs!$G324, G$40)+COUNTIF(Logs!$G342, G$40)+COUNTIF(Logs!$G360, G$40)+COUNTIF(Logs!$G378, G$40)+COUNTIF(Logs!$G397, G$40)+COUNTIF(Logs!$G415, G$40)+COUNTIF(Logs!$G433, G$40)+COUNTIF(Logs!$G451, G$40)+COUNTIF(Logs!$G469, G$40)+COUNTIF(Logs!$G487, G$40)+COUNTIF(Logs!$G505, G$40)+COUNTIF(Logs!$G523, G$40)+COUNTIF(Logs!$G541, G$40)+COUNTIF(Logs!$G559, G$40)+COUNTIF(Logs!$G576, G$40)+COUNTIF(Logs!$G595, G$40)+COUNTIF(Logs!$G611, G$40)+COUNTIF(Logs!$G627, G$40)+COUNTIF(Logs!$G644, G$40)+COUNTIF(Logs!$G659, G$40)+COUNTIF(Logs!$G675, G$40)</f>
        <v>4</v>
      </c>
      <c r="H46" s="1440">
        <f t="shared" si="22"/>
        <v>0.11428571428571428</v>
      </c>
      <c r="I46" s="1443">
        <f>COUNTIF(Logs!$G13, I$40)+COUNTIF(Logs!$G31, I$40)+COUNTIF(Logs!$G49, I$40)+COUNTIF(Logs!$G67, I$40)+COUNTIF(Logs!$G85, I$40)+COUNTIF(Logs!$G104, I$40)+COUNTIF(Logs!$G124, I$40)+COUNTIF(Logs!$G143, I$40)+COUNTIF(Logs!$G163, I$40)+COUNTIF(Logs!$G181, I$40)+COUNTIF(Logs!$G202, I$40)+COUNTIF(Logs!$G219, I$40)+COUNTIF(Logs!$G237, I$40)+COUNTIF(Logs!$G254, I$40)+COUNTIF(Logs!$G271, I$40)+COUNTIF(Logs!$G289, I$40)+COUNTIF(Logs!$G306, I$40)+COUNTIF(Logs!$G324, I$40)+COUNTIF(Logs!$G342, I$40)+COUNTIF(Logs!$G360, I$40)+COUNTIF(Logs!$G378, I$40)+COUNTIF(Logs!$G397, I$40)+COUNTIF(Logs!$G415, I$40)+COUNTIF(Logs!$G433, I$40)+COUNTIF(Logs!$G451, I$40)+COUNTIF(Logs!$G469, I$40)+COUNTIF(Logs!$G487, I$40)+COUNTIF(Logs!$G505, I$40)+COUNTIF(Logs!$G523, I$40)+COUNTIF(Logs!$G541, I$40)+COUNTIF(Logs!$G559, I$40)+COUNTIF(Logs!$G576, I$40)+COUNTIF(Logs!$G595, I$40)+COUNTIF(Logs!$G611, I$40)+COUNTIF(Logs!$G627, I$40)+COUNTIF(Logs!$G644, I$40)+COUNTIF(Logs!$G659, I$40)+COUNTIF(Logs!$G675, I$40)</f>
        <v>1</v>
      </c>
      <c r="J46" s="1444">
        <f t="shared" si="23"/>
        <v>2.8571428571428571E-2</v>
      </c>
      <c r="K46" s="1101">
        <f>COUNTIF(Logs!$G13, K$40)+COUNTIF(Logs!$G31, K$40)+COUNTIF(Logs!$G49, K$40)+COUNTIF(Logs!$G67, K$40)+COUNTIF(Logs!$G85, K$40)+COUNTIF(Logs!$G104, K$40)+COUNTIF(Logs!$G124, K$40)+COUNTIF(Logs!$G143, K$40)+COUNTIF(Logs!$G163, K$40)+COUNTIF(Logs!$G181, K$40)+COUNTIF(Logs!$G202, K$40)+COUNTIF(Logs!$G219, K$40)+COUNTIF(Logs!$G237, K$40)+COUNTIF(Logs!$G254, K$40)+COUNTIF(Logs!$G271, K$40)+COUNTIF(Logs!$G289, K$40)+COUNTIF(Logs!$G306, K$40)+COUNTIF(Logs!$G324, K$40)+COUNTIF(Logs!$G342, K$40)+COUNTIF(Logs!$G360, K$40)+COUNTIF(Logs!$G378, K$40)+COUNTIF(Logs!$G397, K$40)+COUNTIF(Logs!$G415, K$40)+COUNTIF(Logs!$G433, K$40)+COUNTIF(Logs!$G451, K$40)+COUNTIF(Logs!$G469, K$40)+COUNTIF(Logs!$G487, K$40)+COUNTIF(Logs!$G505, K$40)+COUNTIF(Logs!$G523, K$40)+COUNTIF(Logs!$G541, K$40)+COUNTIF(Logs!$G559, K$40)+COUNTIF(Logs!$G576, K$40)+COUNTIF(Logs!$G595, K$40)+COUNTIF(Logs!$G611, K$40)+COUNTIF(Logs!$G627, K$40)+COUNTIF(Logs!$G644, K$40)+COUNTIF(Logs!$G659, K$40)+COUNTIF(Logs!$G675, K$40)</f>
        <v>0</v>
      </c>
      <c r="L46" s="1432" t="str">
        <f t="shared" si="24"/>
        <v/>
      </c>
      <c r="N46" s="1378" t="s">
        <v>189</v>
      </c>
      <c r="O46" s="319">
        <f>COUNTIF(Logs!$H13, O$8)+COUNTIF(Logs!$H31, O$8)+COUNTIF(Logs!$H49, O$8)+COUNTIF(Logs!$H67, O$8)+COUNTIF(Logs!$H85, O$8)+COUNTIF(Logs!$H104, O$8)+COUNTIF(Logs!$H124, O$8)+COUNTIF(Logs!$H143, O$8)+COUNTIF(Logs!$H163, O$8)+COUNTIF(Logs!$H181, O$8)+COUNTIF(Logs!$H202, O$8)+COUNTIF(Logs!$H219, O$8)+COUNTIF(Logs!$H237, O$8)+COUNTIF(Logs!$H254, O$8)+COUNTIF(Logs!$H271, O$8)+COUNTIF(Logs!$H289, O$8)+COUNTIF(Logs!$H306, O$8)+COUNTIF(Logs!$H324, O$8)+COUNTIF(Logs!$H342, O$8)+COUNTIF(Logs!$H360, O$8)+COUNTIF(Logs!$H378, O$8)+COUNTIF(Logs!$H397, O$8)+COUNTIF(Logs!$H415, O$8)+COUNTIF(Logs!$H433, O$8)+COUNTIF(Logs!$H451, O$8)+COUNTIF(Logs!$H469, O$8)+COUNTIF(Logs!$H487, O$8)+COUNTIF(Logs!$H505, O$8)+COUNTIF(Logs!$H523, O$8)+COUNTIF(Logs!$H541, O$8)+COUNTIF(Logs!$H559, O$8)+COUNTIF(Logs!$H576, O$8)+COUNTIF(Logs!$H595, O$8)+COUNTIF(Logs!$H611, O$8)+COUNTIF(Logs!$H627, O$8)+COUNTIF(Logs!$H644, O$8)+COUNTIF(Logs!$H659, O$8)+COUNTIF(Logs!$H675, O$8)</f>
        <v>18</v>
      </c>
      <c r="P46" s="1448">
        <f t="shared" si="25"/>
        <v>0.47368421052631576</v>
      </c>
      <c r="Q46" s="342">
        <f>COUNTIF(Logs!$H13, Q$8)+COUNTIF(Logs!$H31, Q$8)+COUNTIF(Logs!$H49, Q$8)+COUNTIF(Logs!$H67, Q$8)+COUNTIF(Logs!$H85, Q$8)+COUNTIF(Logs!$H104, Q$8)+COUNTIF(Logs!$H124, Q$8)+COUNTIF(Logs!$H143, Q$8)+COUNTIF(Logs!$H163, Q$8)+COUNTIF(Logs!$H181, Q$8)+COUNTIF(Logs!$H202, Q$8)+COUNTIF(Logs!$H219, Q$8)+COUNTIF(Logs!$H237, Q$8)+COUNTIF(Logs!$H254, Q$8)+COUNTIF(Logs!$H271, Q$8)+COUNTIF(Logs!$H289, Q$8)+COUNTIF(Logs!$H306, Q$8)+COUNTIF(Logs!$H324, Q$8)+COUNTIF(Logs!$H342, Q$8)+COUNTIF(Logs!$H360, Q$8)+COUNTIF(Logs!$H378, Q$8)+COUNTIF(Logs!$H397, Q$8)+COUNTIF(Logs!$H415, Q$8)+COUNTIF(Logs!$H433, Q$8)+COUNTIF(Logs!$H451, Q$8)+COUNTIF(Logs!$H469, Q$8)+COUNTIF(Logs!$H487, Q$8)+COUNTIF(Logs!$H505, Q$8)+COUNTIF(Logs!$H523, Q$8)+COUNTIF(Logs!$H541, Q$8)+COUNTIF(Logs!$H559, Q$8)+COUNTIF(Logs!$H576, Q$8)+COUNTIF(Logs!$H595, Q$8)+COUNTIF(Logs!$H611, Q$8)+COUNTIF(Logs!$H627, Q$8)+COUNTIF(Logs!$H644, Q$8)+COUNTIF(Logs!$H659, Q$8)+COUNTIF(Logs!$H675, Q$8)</f>
        <v>7</v>
      </c>
      <c r="R46" s="1437">
        <f t="shared" si="26"/>
        <v>0.18421052631578946</v>
      </c>
      <c r="S46" s="1439">
        <f>COUNTIF(Logs!$H13, S$8)+COUNTIF(Logs!$H31, S$8)+COUNTIF(Logs!$H49, S$8)+COUNTIF(Logs!$H67, S$8)+COUNTIF(Logs!$H85, S$8)+COUNTIF(Logs!$H104, S$8)+COUNTIF(Logs!$H124, S$8)+COUNTIF(Logs!$H143, S$8)+COUNTIF(Logs!$H163, S$8)+COUNTIF(Logs!$H181, S$8)+COUNTIF(Logs!$H202, S$8)+COUNTIF(Logs!$H219, S$8)+COUNTIF(Logs!$H237, S$8)+COUNTIF(Logs!$H254, S$8)+COUNTIF(Logs!$H271, S$8)+COUNTIF(Logs!$H289, S$8)+COUNTIF(Logs!$H306, S$8)+COUNTIF(Logs!$H324, S$8)+COUNTIF(Logs!$H342, S$8)+COUNTIF(Logs!$H360, S$8)+COUNTIF(Logs!$H378, S$8)+COUNTIF(Logs!$H397, S$8)+COUNTIF(Logs!$H415, S$8)+COUNTIF(Logs!$H433, S$8)+COUNTIF(Logs!$H451, S$8)+COUNTIF(Logs!$H469, S$8)+COUNTIF(Logs!$H487, S$8)+COUNTIF(Logs!$H505, S$8)+COUNTIF(Logs!$H523, S$8)+COUNTIF(Logs!$H541, S$8)+COUNTIF(Logs!$H559, S$8)+COUNTIF(Logs!$H576, S$8)+COUNTIF(Logs!$H595, S$8)+COUNTIF(Logs!$H611, S$8)+COUNTIF(Logs!$H627, S$8)+COUNTIF(Logs!$H644, S$8)+COUNTIF(Logs!$H659, S$8)+COUNTIF(Logs!$H675, S$8)</f>
        <v>12</v>
      </c>
      <c r="T46" s="1440">
        <f t="shared" si="27"/>
        <v>0.31578947368421051</v>
      </c>
      <c r="U46" s="1443">
        <f>COUNTIF(Logs!$H13, U$8)+COUNTIF(Logs!$H31, U$8)+COUNTIF(Logs!$H49, U$8)+COUNTIF(Logs!$H67, U$8)+COUNTIF(Logs!$H85, U$8)+COUNTIF(Logs!$H104, U$8)+COUNTIF(Logs!$H124, U$8)+COUNTIF(Logs!$H143, U$8)+COUNTIF(Logs!$H163, U$8)+COUNTIF(Logs!$H181, U$8)+COUNTIF(Logs!$H202, U$8)+COUNTIF(Logs!$H219, U$8)+COUNTIF(Logs!$H237, U$8)+COUNTIF(Logs!$H254, U$8)+COUNTIF(Logs!$H271, U$8)+COUNTIF(Logs!$H289, U$8)+COUNTIF(Logs!$H306, U$8)+COUNTIF(Logs!$H324, U$8)+COUNTIF(Logs!$H342, U$8)+COUNTIF(Logs!$H360, U$8)+COUNTIF(Logs!$H378, U$8)+COUNTIF(Logs!$H397, U$8)+COUNTIF(Logs!$H415, U$8)+COUNTIF(Logs!$H433, U$8)+COUNTIF(Logs!$H451, U$8)+COUNTIF(Logs!$H469, U$8)+COUNTIF(Logs!$H487, U$8)+COUNTIF(Logs!$H505, U$8)+COUNTIF(Logs!$H523, U$8)+COUNTIF(Logs!$H541, U$8)+COUNTIF(Logs!$H559, U$8)+COUNTIF(Logs!$H576, U$8)+COUNTIF(Logs!$H595, U$8)+COUNTIF(Logs!$H611, U$8)+COUNTIF(Logs!$H627, U$8)+COUNTIF(Logs!$H644, U$8)+COUNTIF(Logs!$H659, U$8)+COUNTIF(Logs!$H675, U$8)</f>
        <v>1</v>
      </c>
      <c r="V46" s="1444">
        <f t="shared" si="28"/>
        <v>2.6315789473684209E-2</v>
      </c>
      <c r="W46" s="1101">
        <f>COUNTIF(Logs!$H13, W$8)+COUNTIF(Logs!$H31, W$8)+COUNTIF(Logs!$H49, W$8)+COUNTIF(Logs!$H67, W$8)+COUNTIF(Logs!$H85, W$8)+COUNTIF(Logs!$H104, W$8)+COUNTIF(Logs!$H124, W$8)+COUNTIF(Logs!$H143, W$8)+COUNTIF(Logs!$H163, W$8)+COUNTIF(Logs!$H181, W$8)+COUNTIF(Logs!$H202, W$8)+COUNTIF(Logs!$H219, W$8)+COUNTIF(Logs!$H237, W$8)+COUNTIF(Logs!$H254, W$8)+COUNTIF(Logs!$H271, W$8)+COUNTIF(Logs!$H289, W$8)+COUNTIF(Logs!$H306, W$8)+COUNTIF(Logs!$H324, W$8)+COUNTIF(Logs!$H342, W$8)+COUNTIF(Logs!$H360, W$8)+COUNTIF(Logs!$H378, W$8)+COUNTIF(Logs!$H397, W$8)+COUNTIF(Logs!$H415, W$8)+COUNTIF(Logs!$H433, W$8)+COUNTIF(Logs!$H451, W$8)+COUNTIF(Logs!$H469, W$8)+COUNTIF(Logs!$H487, W$8)+COUNTIF(Logs!$H505, W$8)+COUNTIF(Logs!$H523, W$8)+COUNTIF(Logs!$H541, W$8)+COUNTIF(Logs!$H559, W$8)+COUNTIF(Logs!$H576, W$8)+COUNTIF(Logs!$H595, W$8)+COUNTIF(Logs!$H611, W$8)+COUNTIF(Logs!$H627, W$8)+COUNTIF(Logs!$H644, W$8)+COUNTIF(Logs!$H659, W$8)+COUNTIF(Logs!$H675, W$8)</f>
        <v>0</v>
      </c>
      <c r="X46" s="1432" t="str">
        <f t="shared" si="29"/>
        <v/>
      </c>
    </row>
    <row r="47" spans="2:24">
      <c r="B47" s="1378" t="s">
        <v>190</v>
      </c>
      <c r="C47" s="319">
        <f>COUNTIF(Logs!$G14, C$40)+COUNTIF(Logs!$G32, C$40)+COUNTIF(Logs!$G50, C$40)+COUNTIF(Logs!$G68, C$40)+COUNTIF(Logs!$G86, C$40)+COUNTIF(Logs!$G105, C$40)+COUNTIF(Logs!$G125, C$40)+COUNTIF(Logs!$G144, C$40)+COUNTIF(Logs!$G164, C$40)+COUNTIF(Logs!$G182, C$40)+COUNTIF(Logs!$G203, C$40)+COUNTIF(Logs!$G220, C$40)+COUNTIF(Logs!$G238, C$40)+COUNTIF(Logs!$G255, C$40)+COUNTIF(Logs!$G272, C$40)+COUNTIF(Logs!$G290, C$40)+COUNTIF(Logs!$G307, C$40)+COUNTIF(Logs!$G325, C$40)+COUNTIF(Logs!$G343, C$40)+COUNTIF(Logs!$G361, C$40)+COUNTIF(Logs!$G379, C$40)+COUNTIF(Logs!$G398, C$40)+COUNTIF(Logs!$G416, C$40)+COUNTIF(Logs!$G434, C$40)+COUNTIF(Logs!$G452, C$40)+COUNTIF(Logs!$G470, C$40)+COUNTIF(Logs!$G488, C$40)+COUNTIF(Logs!$G506, C$40)+COUNTIF(Logs!$G524, C$40)+COUNTIF(Logs!$G542, C$40)+COUNTIF(Logs!$G560, C$40)+COUNTIF(Logs!$G577, C$40)+COUNTIF(Logs!$G596, C$40)+COUNTIF(Logs!$G612, C$40)+COUNTIF(Logs!$G628, C$40)+COUNTIF(Logs!$G645, C$40)+COUNTIF(Logs!$G660, C$40)+COUNTIF(Logs!$G676, C$40)</f>
        <v>18</v>
      </c>
      <c r="D47" s="1448">
        <f t="shared" si="20"/>
        <v>0.62068965517241381</v>
      </c>
      <c r="E47" s="342">
        <f>COUNTIF(Logs!$G14, E$40)+COUNTIF(Logs!$G32, E$40)+COUNTIF(Logs!$G50, E$40)+COUNTIF(Logs!$G68, E$40)+COUNTIF(Logs!$G86, E$40)+COUNTIF(Logs!$G105, E$40)+COUNTIF(Logs!$G125, E$40)+COUNTIF(Logs!$G144, E$40)+COUNTIF(Logs!$G164, E$40)+COUNTIF(Logs!$G182, E$40)+COUNTIF(Logs!$G203, E$40)+COUNTIF(Logs!$G220, E$40)+COUNTIF(Logs!$G238, E$40)+COUNTIF(Logs!$G255, E$40)+COUNTIF(Logs!$G272, E$40)+COUNTIF(Logs!$G290, E$40)+COUNTIF(Logs!$G307, E$40)+COUNTIF(Logs!$G325, E$40)+COUNTIF(Logs!$G343, E$40)+COUNTIF(Logs!$G361, E$40)+COUNTIF(Logs!$G379, E$40)+COUNTIF(Logs!$G398, E$40)+COUNTIF(Logs!$G416, E$40)+COUNTIF(Logs!$G434, E$40)+COUNTIF(Logs!$G452, E$40)+COUNTIF(Logs!$G470, E$40)+COUNTIF(Logs!$G488, E$40)+COUNTIF(Logs!$G506, E$40)+COUNTIF(Logs!$G524, E$40)+COUNTIF(Logs!$G542, E$40)+COUNTIF(Logs!$G560, E$40)+COUNTIF(Logs!$G577, E$40)+COUNTIF(Logs!$G596, E$40)+COUNTIF(Logs!$G612, E$40)+COUNTIF(Logs!$G628, E$40)+COUNTIF(Logs!$G645, E$40)+COUNTIF(Logs!$G660, E$40)+COUNTIF(Logs!$G676, E$40)</f>
        <v>9</v>
      </c>
      <c r="F47" s="1437">
        <f t="shared" si="21"/>
        <v>0.31034482758620691</v>
      </c>
      <c r="G47" s="1439">
        <f>COUNTIF(Logs!$G14, G$40)+COUNTIF(Logs!$G32, G$40)+COUNTIF(Logs!$G50, G$40)+COUNTIF(Logs!$G68, G$40)+COUNTIF(Logs!$G86, G$40)+COUNTIF(Logs!$G105, G$40)+COUNTIF(Logs!$G125, G$40)+COUNTIF(Logs!$G144, G$40)+COUNTIF(Logs!$G164, G$40)+COUNTIF(Logs!$G182, G$40)+COUNTIF(Logs!$G203, G$40)+COUNTIF(Logs!$G220, G$40)+COUNTIF(Logs!$G238, G$40)+COUNTIF(Logs!$G255, G$40)+COUNTIF(Logs!$G272, G$40)+COUNTIF(Logs!$G290, G$40)+COUNTIF(Logs!$G307, G$40)+COUNTIF(Logs!$G325, G$40)+COUNTIF(Logs!$G343, G$40)+COUNTIF(Logs!$G361, G$40)+COUNTIF(Logs!$G379, G$40)+COUNTIF(Logs!$G398, G$40)+COUNTIF(Logs!$G416, G$40)+COUNTIF(Logs!$G434, G$40)+COUNTIF(Logs!$G452, G$40)+COUNTIF(Logs!$G470, G$40)+COUNTIF(Logs!$G488, G$40)+COUNTIF(Logs!$G506, G$40)+COUNTIF(Logs!$G524, G$40)+COUNTIF(Logs!$G542, G$40)+COUNTIF(Logs!$G560, G$40)+COUNTIF(Logs!$G577, G$40)+COUNTIF(Logs!$G596, G$40)+COUNTIF(Logs!$G612, G$40)+COUNTIF(Logs!$G628, G$40)+COUNTIF(Logs!$G645, G$40)+COUNTIF(Logs!$G660, G$40)+COUNTIF(Logs!$G676, G$40)</f>
        <v>2</v>
      </c>
      <c r="H47" s="1440">
        <f t="shared" si="22"/>
        <v>6.8965517241379309E-2</v>
      </c>
      <c r="I47" s="1443">
        <f>COUNTIF(Logs!$G14, I$40)+COUNTIF(Logs!$G32, I$40)+COUNTIF(Logs!$G50, I$40)+COUNTIF(Logs!$G68, I$40)+COUNTIF(Logs!$G86, I$40)+COUNTIF(Logs!$G105, I$40)+COUNTIF(Logs!$G125, I$40)+COUNTIF(Logs!$G144, I$40)+COUNTIF(Logs!$G164, I$40)+COUNTIF(Logs!$G182, I$40)+COUNTIF(Logs!$G203, I$40)+COUNTIF(Logs!$G220, I$40)+COUNTIF(Logs!$G238, I$40)+COUNTIF(Logs!$G255, I$40)+COUNTIF(Logs!$G272, I$40)+COUNTIF(Logs!$G290, I$40)+COUNTIF(Logs!$G307, I$40)+COUNTIF(Logs!$G325, I$40)+COUNTIF(Logs!$G343, I$40)+COUNTIF(Logs!$G361, I$40)+COUNTIF(Logs!$G379, I$40)+COUNTIF(Logs!$G398, I$40)+COUNTIF(Logs!$G416, I$40)+COUNTIF(Logs!$G434, I$40)+COUNTIF(Logs!$G452, I$40)+COUNTIF(Logs!$G470, I$40)+COUNTIF(Logs!$G488, I$40)+COUNTIF(Logs!$G506, I$40)+COUNTIF(Logs!$G524, I$40)+COUNTIF(Logs!$G542, I$40)+COUNTIF(Logs!$G560, I$40)+COUNTIF(Logs!$G577, I$40)+COUNTIF(Logs!$G596, I$40)+COUNTIF(Logs!$G612, I$40)+COUNTIF(Logs!$G628, I$40)+COUNTIF(Logs!$G645, I$40)+COUNTIF(Logs!$G660, I$40)+COUNTIF(Logs!$G676, I$40)</f>
        <v>0</v>
      </c>
      <c r="J47" s="1444" t="str">
        <f t="shared" si="23"/>
        <v/>
      </c>
      <c r="K47" s="1101">
        <f>COUNTIF(Logs!$G14, K$40)+COUNTIF(Logs!$G32, K$40)+COUNTIF(Logs!$G50, K$40)+COUNTIF(Logs!$G68, K$40)+COUNTIF(Logs!$G86, K$40)+COUNTIF(Logs!$G105, K$40)+COUNTIF(Logs!$G125, K$40)+COUNTIF(Logs!$G144, K$40)+COUNTIF(Logs!$G164, K$40)+COUNTIF(Logs!$G182, K$40)+COUNTIF(Logs!$G203, K$40)+COUNTIF(Logs!$G220, K$40)+COUNTIF(Logs!$G238, K$40)+COUNTIF(Logs!$G255, K$40)+COUNTIF(Logs!$G272, K$40)+COUNTIF(Logs!$G290, K$40)+COUNTIF(Logs!$G307, K$40)+COUNTIF(Logs!$G325, K$40)+COUNTIF(Logs!$G343, K$40)+COUNTIF(Logs!$G361, K$40)+COUNTIF(Logs!$G379, K$40)+COUNTIF(Logs!$G398, K$40)+COUNTIF(Logs!$G416, K$40)+COUNTIF(Logs!$G434, K$40)+COUNTIF(Logs!$G452, K$40)+COUNTIF(Logs!$G470, K$40)+COUNTIF(Logs!$G488, K$40)+COUNTIF(Logs!$G506, K$40)+COUNTIF(Logs!$G524, K$40)+COUNTIF(Logs!$G542, K$40)+COUNTIF(Logs!$G560, K$40)+COUNTIF(Logs!$G577, K$40)+COUNTIF(Logs!$G596, K$40)+COUNTIF(Logs!$G612, K$40)+COUNTIF(Logs!$G628, K$40)+COUNTIF(Logs!$G645, K$40)+COUNTIF(Logs!$G660, K$40)+COUNTIF(Logs!$G676, K$40)</f>
        <v>0</v>
      </c>
      <c r="L47" s="1432" t="str">
        <f t="shared" si="24"/>
        <v/>
      </c>
      <c r="N47" s="1378" t="s">
        <v>190</v>
      </c>
      <c r="O47" s="319">
        <f>COUNTIF(Logs!$H14, O$8)+COUNTIF(Logs!$H32, O$8)+COUNTIF(Logs!$H50, O$8)+COUNTIF(Logs!$H68, O$8)+COUNTIF(Logs!$H86, O$8)+COUNTIF(Logs!$H105, O$8)+COUNTIF(Logs!$H125, O$8)+COUNTIF(Logs!$H144, O$8)+COUNTIF(Logs!$H164, O$8)+COUNTIF(Logs!$H182, O$8)+COUNTIF(Logs!$H203, O$8)+COUNTIF(Logs!$H220, O$8)+COUNTIF(Logs!$H238, O$8)+COUNTIF(Logs!$H255, O$8)+COUNTIF(Logs!$H272, O$8)+COUNTIF(Logs!$H290, O$8)+COUNTIF(Logs!$H307, O$8)+COUNTIF(Logs!$H325, O$8)+COUNTIF(Logs!$H343, O$8)+COUNTIF(Logs!$H361, O$8)+COUNTIF(Logs!$H379, O$8)+COUNTIF(Logs!$H398, O$8)+COUNTIF(Logs!$H416, O$8)+COUNTIF(Logs!$H434, O$8)+COUNTIF(Logs!$H452, O$8)+COUNTIF(Logs!$H470, O$8)+COUNTIF(Logs!$H488, O$8)+COUNTIF(Logs!$H506, O$8)+COUNTIF(Logs!$H524, O$8)+COUNTIF(Logs!$H542, O$8)+COUNTIF(Logs!$H560, O$8)+COUNTIF(Logs!$H577, O$8)+COUNTIF(Logs!$H596, O$8)+COUNTIF(Logs!$H612, O$8)+COUNTIF(Logs!$H628, O$8)+COUNTIF(Logs!$H645, O$8)+COUNTIF(Logs!$H660, O$8)+COUNTIF(Logs!$H676, O$8)</f>
        <v>22</v>
      </c>
      <c r="P47" s="1448">
        <f t="shared" si="25"/>
        <v>0.73333333333333328</v>
      </c>
      <c r="Q47" s="342">
        <f>COUNTIF(Logs!$H14, Q$8)+COUNTIF(Logs!$H32, Q$8)+COUNTIF(Logs!$H50, Q$8)+COUNTIF(Logs!$H68, Q$8)+COUNTIF(Logs!$H86, Q$8)+COUNTIF(Logs!$H105, Q$8)+COUNTIF(Logs!$H125, Q$8)+COUNTIF(Logs!$H144, Q$8)+COUNTIF(Logs!$H164, Q$8)+COUNTIF(Logs!$H182, Q$8)+COUNTIF(Logs!$H203, Q$8)+COUNTIF(Logs!$H220, Q$8)+COUNTIF(Logs!$H238, Q$8)+COUNTIF(Logs!$H255, Q$8)+COUNTIF(Logs!$H272, Q$8)+COUNTIF(Logs!$H290, Q$8)+COUNTIF(Logs!$H307, Q$8)+COUNTIF(Logs!$H325, Q$8)+COUNTIF(Logs!$H343, Q$8)+COUNTIF(Logs!$H361, Q$8)+COUNTIF(Logs!$H379, Q$8)+COUNTIF(Logs!$H398, Q$8)+COUNTIF(Logs!$H416, Q$8)+COUNTIF(Logs!$H434, Q$8)+COUNTIF(Logs!$H452, Q$8)+COUNTIF(Logs!$H470, Q$8)+COUNTIF(Logs!$H488, Q$8)+COUNTIF(Logs!$H506, Q$8)+COUNTIF(Logs!$H524, Q$8)+COUNTIF(Logs!$H542, Q$8)+COUNTIF(Logs!$H560, Q$8)+COUNTIF(Logs!$H577, Q$8)+COUNTIF(Logs!$H596, Q$8)+COUNTIF(Logs!$H612, Q$8)+COUNTIF(Logs!$H628, Q$8)+COUNTIF(Logs!$H645, Q$8)+COUNTIF(Logs!$H660, Q$8)+COUNTIF(Logs!$H676, Q$8)</f>
        <v>6</v>
      </c>
      <c r="R47" s="1437">
        <f t="shared" si="26"/>
        <v>0.2</v>
      </c>
      <c r="S47" s="1439">
        <f>COUNTIF(Logs!$H14, S$8)+COUNTIF(Logs!$H32, S$8)+COUNTIF(Logs!$H50, S$8)+COUNTIF(Logs!$H68, S$8)+COUNTIF(Logs!$H86, S$8)+COUNTIF(Logs!$H105, S$8)+COUNTIF(Logs!$H125, S$8)+COUNTIF(Logs!$H144, S$8)+COUNTIF(Logs!$H164, S$8)+COUNTIF(Logs!$H182, S$8)+COUNTIF(Logs!$H203, S$8)+COUNTIF(Logs!$H220, S$8)+COUNTIF(Logs!$H238, S$8)+COUNTIF(Logs!$H255, S$8)+COUNTIF(Logs!$H272, S$8)+COUNTIF(Logs!$H290, S$8)+COUNTIF(Logs!$H307, S$8)+COUNTIF(Logs!$H325, S$8)+COUNTIF(Logs!$H343, S$8)+COUNTIF(Logs!$H361, S$8)+COUNTIF(Logs!$H379, S$8)+COUNTIF(Logs!$H398, S$8)+COUNTIF(Logs!$H416, S$8)+COUNTIF(Logs!$H434, S$8)+COUNTIF(Logs!$H452, S$8)+COUNTIF(Logs!$H470, S$8)+COUNTIF(Logs!$H488, S$8)+COUNTIF(Logs!$H506, S$8)+COUNTIF(Logs!$H524, S$8)+COUNTIF(Logs!$H542, S$8)+COUNTIF(Logs!$H560, S$8)+COUNTIF(Logs!$H577, S$8)+COUNTIF(Logs!$H596, S$8)+COUNTIF(Logs!$H612, S$8)+COUNTIF(Logs!$H628, S$8)+COUNTIF(Logs!$H645, S$8)+COUNTIF(Logs!$H660, S$8)+COUNTIF(Logs!$H676, S$8)</f>
        <v>2</v>
      </c>
      <c r="T47" s="1440">
        <f t="shared" si="27"/>
        <v>6.6666666666666666E-2</v>
      </c>
      <c r="U47" s="1443">
        <f>COUNTIF(Logs!$H14, U$8)+COUNTIF(Logs!$H32, U$8)+COUNTIF(Logs!$H50, U$8)+COUNTIF(Logs!$H68, U$8)+COUNTIF(Logs!$H86, U$8)+COUNTIF(Logs!$H105, U$8)+COUNTIF(Logs!$H125, U$8)+COUNTIF(Logs!$H144, U$8)+COUNTIF(Logs!$H164, U$8)+COUNTIF(Logs!$H182, U$8)+COUNTIF(Logs!$H203, U$8)+COUNTIF(Logs!$H220, U$8)+COUNTIF(Logs!$H238, U$8)+COUNTIF(Logs!$H255, U$8)+COUNTIF(Logs!$H272, U$8)+COUNTIF(Logs!$H290, U$8)+COUNTIF(Logs!$H307, U$8)+COUNTIF(Logs!$H325, U$8)+COUNTIF(Logs!$H343, U$8)+COUNTIF(Logs!$H361, U$8)+COUNTIF(Logs!$H379, U$8)+COUNTIF(Logs!$H398, U$8)+COUNTIF(Logs!$H416, U$8)+COUNTIF(Logs!$H434, U$8)+COUNTIF(Logs!$H452, U$8)+COUNTIF(Logs!$H470, U$8)+COUNTIF(Logs!$H488, U$8)+COUNTIF(Logs!$H506, U$8)+COUNTIF(Logs!$H524, U$8)+COUNTIF(Logs!$H542, U$8)+COUNTIF(Logs!$H560, U$8)+COUNTIF(Logs!$H577, U$8)+COUNTIF(Logs!$H596, U$8)+COUNTIF(Logs!$H612, U$8)+COUNTIF(Logs!$H628, U$8)+COUNTIF(Logs!$H645, U$8)+COUNTIF(Logs!$H660, U$8)+COUNTIF(Logs!$H676, U$8)</f>
        <v>0</v>
      </c>
      <c r="V47" s="1444" t="str">
        <f t="shared" si="28"/>
        <v/>
      </c>
      <c r="W47" s="1101">
        <f>COUNTIF(Logs!$H14, W$8)+COUNTIF(Logs!$H32, W$8)+COUNTIF(Logs!$H50, W$8)+COUNTIF(Logs!$H68, W$8)+COUNTIF(Logs!$H86, W$8)+COUNTIF(Logs!$H105, W$8)+COUNTIF(Logs!$H125, W$8)+COUNTIF(Logs!$H144, W$8)+COUNTIF(Logs!$H164, W$8)+COUNTIF(Logs!$H182, W$8)+COUNTIF(Logs!$H203, W$8)+COUNTIF(Logs!$H220, W$8)+COUNTIF(Logs!$H238, W$8)+COUNTIF(Logs!$H255, W$8)+COUNTIF(Logs!$H272, W$8)+COUNTIF(Logs!$H290, W$8)+COUNTIF(Logs!$H307, W$8)+COUNTIF(Logs!$H325, W$8)+COUNTIF(Logs!$H343, W$8)+COUNTIF(Logs!$H361, W$8)+COUNTIF(Logs!$H379, W$8)+COUNTIF(Logs!$H398, W$8)+COUNTIF(Logs!$H416, W$8)+COUNTIF(Logs!$H434, W$8)+COUNTIF(Logs!$H452, W$8)+COUNTIF(Logs!$H470, W$8)+COUNTIF(Logs!$H488, W$8)+COUNTIF(Logs!$H506, W$8)+COUNTIF(Logs!$H524, W$8)+COUNTIF(Logs!$H542, W$8)+COUNTIF(Logs!$H560, W$8)+COUNTIF(Logs!$H577, W$8)+COUNTIF(Logs!$H596, W$8)+COUNTIF(Logs!$H612, W$8)+COUNTIF(Logs!$H628, W$8)+COUNTIF(Logs!$H645, W$8)+COUNTIF(Logs!$H660, W$8)+COUNTIF(Logs!$H676, W$8)</f>
        <v>0</v>
      </c>
      <c r="X47" s="1432" t="str">
        <f t="shared" si="29"/>
        <v/>
      </c>
    </row>
    <row r="48" spans="2:24">
      <c r="B48" s="1378" t="s">
        <v>191</v>
      </c>
      <c r="C48" s="319">
        <f>COUNTIF(Logs!$G15, C$40)+COUNTIF(Logs!$G33, C$40)+COUNTIF(Logs!$G51, C$40)+COUNTIF(Logs!$G69, C$40)+COUNTIF(Logs!$G87, C$40)+COUNTIF(Logs!$G106, C$40)+COUNTIF(Logs!$G126, C$40)+COUNTIF(Logs!$G145, C$40)+COUNTIF(Logs!$G165, C$40)+COUNTIF(Logs!$G183, C$40)+COUNTIF(Logs!$G204, C$40)+COUNTIF(Logs!$G221, C$40)+COUNTIF(Logs!$G239, C$40)+COUNTIF(Logs!$G256, C$40)+COUNTIF(Logs!$G273, C$40)+COUNTIF(Logs!$G291, C$40)+COUNTIF(Logs!$G308, C$40)+COUNTIF(Logs!$G326, C$40)+COUNTIF(Logs!$G344, C$40)+COUNTIF(Logs!$G362, C$40)+COUNTIF(Logs!$G380, C$40)+COUNTIF(Logs!$G399, C$40)+COUNTIF(Logs!$G417, C$40)+COUNTIF(Logs!$G435, C$40)+COUNTIF(Logs!$G453, C$40)+COUNTIF(Logs!$G471, C$40)+COUNTIF(Logs!$G489, C$40)+COUNTIF(Logs!$G507, C$40)+COUNTIF(Logs!$G525, C$40)+COUNTIF(Logs!$G543, C$40)+COUNTIF(Logs!$G561, C$40)+COUNTIF(Logs!$G578, C$40)+COUNTIF(Logs!$G597, C$40)+COUNTIF(Logs!$G613, C$40)+COUNTIF(Logs!$G629, C$40)+COUNTIF(Logs!$G646, C$40)+COUNTIF(Logs!$G661, C$40)+COUNTIF(Logs!$G677, C$40)</f>
        <v>15</v>
      </c>
      <c r="D48" s="1448">
        <f t="shared" si="20"/>
        <v>0.88235294117647056</v>
      </c>
      <c r="E48" s="342">
        <f>COUNTIF(Logs!$G15, E$40)+COUNTIF(Logs!$G33, E$40)+COUNTIF(Logs!$G51, E$40)+COUNTIF(Logs!$G69, E$40)+COUNTIF(Logs!$G87, E$40)+COUNTIF(Logs!$G106, E$40)+COUNTIF(Logs!$G126, E$40)+COUNTIF(Logs!$G145, E$40)+COUNTIF(Logs!$G165, E$40)+COUNTIF(Logs!$G183, E$40)+COUNTIF(Logs!$G204, E$40)+COUNTIF(Logs!$G221, E$40)+COUNTIF(Logs!$G239, E$40)+COUNTIF(Logs!$G256, E$40)+COUNTIF(Logs!$G273, E$40)+COUNTIF(Logs!$G291, E$40)+COUNTIF(Logs!$G308, E$40)+COUNTIF(Logs!$G326, E$40)+COUNTIF(Logs!$G344, E$40)+COUNTIF(Logs!$G362, E$40)+COUNTIF(Logs!$G380, E$40)+COUNTIF(Logs!$G399, E$40)+COUNTIF(Logs!$G417, E$40)+COUNTIF(Logs!$G435, E$40)+COUNTIF(Logs!$G453, E$40)+COUNTIF(Logs!$G471, E$40)+COUNTIF(Logs!$G489, E$40)+COUNTIF(Logs!$G507, E$40)+COUNTIF(Logs!$G525, E$40)+COUNTIF(Logs!$G543, E$40)+COUNTIF(Logs!$G561, E$40)+COUNTIF(Logs!$G578, E$40)+COUNTIF(Logs!$G597, E$40)+COUNTIF(Logs!$G613, E$40)+COUNTIF(Logs!$G629, E$40)+COUNTIF(Logs!$G646, E$40)+COUNTIF(Logs!$G661, E$40)+COUNTIF(Logs!$G677, E$40)</f>
        <v>0</v>
      </c>
      <c r="F48" s="1437" t="str">
        <f t="shared" si="21"/>
        <v/>
      </c>
      <c r="G48" s="1439">
        <f>COUNTIF(Logs!$G15, G$40)+COUNTIF(Logs!$G33, G$40)+COUNTIF(Logs!$G51, G$40)+COUNTIF(Logs!$G69, G$40)+COUNTIF(Logs!$G87, G$40)+COUNTIF(Logs!$G106, G$40)+COUNTIF(Logs!$G126, G$40)+COUNTIF(Logs!$G145, G$40)+COUNTIF(Logs!$G165, G$40)+COUNTIF(Logs!$G183, G$40)+COUNTIF(Logs!$G204, G$40)+COUNTIF(Logs!$G221, G$40)+COUNTIF(Logs!$G239, G$40)+COUNTIF(Logs!$G256, G$40)+COUNTIF(Logs!$G273, G$40)+COUNTIF(Logs!$G291, G$40)+COUNTIF(Logs!$G308, G$40)+COUNTIF(Logs!$G326, G$40)+COUNTIF(Logs!$G344, G$40)+COUNTIF(Logs!$G362, G$40)+COUNTIF(Logs!$G380, G$40)+COUNTIF(Logs!$G399, G$40)+COUNTIF(Logs!$G417, G$40)+COUNTIF(Logs!$G435, G$40)+COUNTIF(Logs!$G453, G$40)+COUNTIF(Logs!$G471, G$40)+COUNTIF(Logs!$G489, G$40)+COUNTIF(Logs!$G507, G$40)+COUNTIF(Logs!$G525, G$40)+COUNTIF(Logs!$G543, G$40)+COUNTIF(Logs!$G561, G$40)+COUNTIF(Logs!$G578, G$40)+COUNTIF(Logs!$G597, G$40)+COUNTIF(Logs!$G613, G$40)+COUNTIF(Logs!$G629, G$40)+COUNTIF(Logs!$G646, G$40)+COUNTIF(Logs!$G661, G$40)+COUNTIF(Logs!$G677, G$40)</f>
        <v>2</v>
      </c>
      <c r="H48" s="1440">
        <f t="shared" si="22"/>
        <v>0.11764705882352941</v>
      </c>
      <c r="I48" s="1443">
        <f>COUNTIF(Logs!$G15, I$40)+COUNTIF(Logs!$G33, I$40)+COUNTIF(Logs!$G51, I$40)+COUNTIF(Logs!$G69, I$40)+COUNTIF(Logs!$G87, I$40)+COUNTIF(Logs!$G106, I$40)+COUNTIF(Logs!$G126, I$40)+COUNTIF(Logs!$G145, I$40)+COUNTIF(Logs!$G165, I$40)+COUNTIF(Logs!$G183, I$40)+COUNTIF(Logs!$G204, I$40)+COUNTIF(Logs!$G221, I$40)+COUNTIF(Logs!$G239, I$40)+COUNTIF(Logs!$G256, I$40)+COUNTIF(Logs!$G273, I$40)+COUNTIF(Logs!$G291, I$40)+COUNTIF(Logs!$G308, I$40)+COUNTIF(Logs!$G326, I$40)+COUNTIF(Logs!$G344, I$40)+COUNTIF(Logs!$G362, I$40)+COUNTIF(Logs!$G380, I$40)+COUNTIF(Logs!$G399, I$40)+COUNTIF(Logs!$G417, I$40)+COUNTIF(Logs!$G435, I$40)+COUNTIF(Logs!$G453, I$40)+COUNTIF(Logs!$G471, I$40)+COUNTIF(Logs!$G489, I$40)+COUNTIF(Logs!$G507, I$40)+COUNTIF(Logs!$G525, I$40)+COUNTIF(Logs!$G543, I$40)+COUNTIF(Logs!$G561, I$40)+COUNTIF(Logs!$G578, I$40)+COUNTIF(Logs!$G597, I$40)+COUNTIF(Logs!$G613, I$40)+COUNTIF(Logs!$G629, I$40)+COUNTIF(Logs!$G646, I$40)+COUNTIF(Logs!$G661, I$40)+COUNTIF(Logs!$G677, I$40)</f>
        <v>0</v>
      </c>
      <c r="J48" s="1444" t="str">
        <f t="shared" si="23"/>
        <v/>
      </c>
      <c r="K48" s="1101">
        <f>COUNTIF(Logs!$G15, K$40)+COUNTIF(Logs!$G33, K$40)+COUNTIF(Logs!$G51, K$40)+COUNTIF(Logs!$G69, K$40)+COUNTIF(Logs!$G87, K$40)+COUNTIF(Logs!$G106, K$40)+COUNTIF(Logs!$G126, K$40)+COUNTIF(Logs!$G145, K$40)+COUNTIF(Logs!$G165, K$40)+COUNTIF(Logs!$G183, K$40)+COUNTIF(Logs!$G204, K$40)+COUNTIF(Logs!$G221, K$40)+COUNTIF(Logs!$G239, K$40)+COUNTIF(Logs!$G256, K$40)+COUNTIF(Logs!$G273, K$40)+COUNTIF(Logs!$G291, K$40)+COUNTIF(Logs!$G308, K$40)+COUNTIF(Logs!$G326, K$40)+COUNTIF(Logs!$G344, K$40)+COUNTIF(Logs!$G362, K$40)+COUNTIF(Logs!$G380, K$40)+COUNTIF(Logs!$G399, K$40)+COUNTIF(Logs!$G417, K$40)+COUNTIF(Logs!$G435, K$40)+COUNTIF(Logs!$G453, K$40)+COUNTIF(Logs!$G471, K$40)+COUNTIF(Logs!$G489, K$40)+COUNTIF(Logs!$G507, K$40)+COUNTIF(Logs!$G525, K$40)+COUNTIF(Logs!$G543, K$40)+COUNTIF(Logs!$G561, K$40)+COUNTIF(Logs!$G578, K$40)+COUNTIF(Logs!$G597, K$40)+COUNTIF(Logs!$G613, K$40)+COUNTIF(Logs!$G629, K$40)+COUNTIF(Logs!$G646, K$40)+COUNTIF(Logs!$G661, K$40)+COUNTIF(Logs!$G677, K$40)</f>
        <v>0</v>
      </c>
      <c r="L48" s="1432" t="str">
        <f t="shared" si="24"/>
        <v/>
      </c>
      <c r="N48" s="1378" t="s">
        <v>191</v>
      </c>
      <c r="O48" s="319">
        <f>COUNTIF(Logs!$H15, O$8)+COUNTIF(Logs!$H33, O$8)+COUNTIF(Logs!$H51, O$8)+COUNTIF(Logs!$H69, O$8)+COUNTIF(Logs!$H87, O$8)+COUNTIF(Logs!$H106, O$8)+COUNTIF(Logs!$H126, O$8)+COUNTIF(Logs!$H145, O$8)+COUNTIF(Logs!$H165, O$8)+COUNTIF(Logs!$H183, O$8)+COUNTIF(Logs!$H204, O$8)+COUNTIF(Logs!$H221, O$8)+COUNTIF(Logs!$H239, O$8)+COUNTIF(Logs!$H256, O$8)+COUNTIF(Logs!$H273, O$8)+COUNTIF(Logs!$H291, O$8)+COUNTIF(Logs!$H308, O$8)+COUNTIF(Logs!$H326, O$8)+COUNTIF(Logs!$H344, O$8)+COUNTIF(Logs!$H362, O$8)+COUNTIF(Logs!$H380, O$8)+COUNTIF(Logs!$H399, O$8)+COUNTIF(Logs!$H417, O$8)+COUNTIF(Logs!$H435, O$8)+COUNTIF(Logs!$H453, O$8)+COUNTIF(Logs!$H471, O$8)+COUNTIF(Logs!$H489, O$8)+COUNTIF(Logs!$H507, O$8)+COUNTIF(Logs!$H525, O$8)+COUNTIF(Logs!$H543, O$8)+COUNTIF(Logs!$H561, O$8)+COUNTIF(Logs!$H578, O$8)+COUNTIF(Logs!$H597, O$8)+COUNTIF(Logs!$H613, O$8)+COUNTIF(Logs!$H629, O$8)+COUNTIF(Logs!$H646, O$8)+COUNTIF(Logs!$H661, O$8)+COUNTIF(Logs!$H677, O$8)</f>
        <v>10</v>
      </c>
      <c r="P48" s="1448">
        <f t="shared" si="25"/>
        <v>0.76923076923076927</v>
      </c>
      <c r="Q48" s="342">
        <f>COUNTIF(Logs!$H15, Q$8)+COUNTIF(Logs!$H33, Q$8)+COUNTIF(Logs!$H51, Q$8)+COUNTIF(Logs!$H69, Q$8)+COUNTIF(Logs!$H87, Q$8)+COUNTIF(Logs!$H106, Q$8)+COUNTIF(Logs!$H126, Q$8)+COUNTIF(Logs!$H145, Q$8)+COUNTIF(Logs!$H165, Q$8)+COUNTIF(Logs!$H183, Q$8)+COUNTIF(Logs!$H204, Q$8)+COUNTIF(Logs!$H221, Q$8)+COUNTIF(Logs!$H239, Q$8)+COUNTIF(Logs!$H256, Q$8)+COUNTIF(Logs!$H273, Q$8)+COUNTIF(Logs!$H291, Q$8)+COUNTIF(Logs!$H308, Q$8)+COUNTIF(Logs!$H326, Q$8)+COUNTIF(Logs!$H344, Q$8)+COUNTIF(Logs!$H362, Q$8)+COUNTIF(Logs!$H380, Q$8)+COUNTIF(Logs!$H399, Q$8)+COUNTIF(Logs!$H417, Q$8)+COUNTIF(Logs!$H435, Q$8)+COUNTIF(Logs!$H453, Q$8)+COUNTIF(Logs!$H471, Q$8)+COUNTIF(Logs!$H489, Q$8)+COUNTIF(Logs!$H507, Q$8)+COUNTIF(Logs!$H525, Q$8)+COUNTIF(Logs!$H543, Q$8)+COUNTIF(Logs!$H561, Q$8)+COUNTIF(Logs!$H578, Q$8)+COUNTIF(Logs!$H597, Q$8)+COUNTIF(Logs!$H613, Q$8)+COUNTIF(Logs!$H629, Q$8)+COUNTIF(Logs!$H646, Q$8)+COUNTIF(Logs!$H661, Q$8)+COUNTIF(Logs!$H677, Q$8)</f>
        <v>2</v>
      </c>
      <c r="R48" s="1437">
        <f t="shared" si="26"/>
        <v>0.15384615384615385</v>
      </c>
      <c r="S48" s="1439">
        <f>COUNTIF(Logs!$H15, S$8)+COUNTIF(Logs!$H33, S$8)+COUNTIF(Logs!$H51, S$8)+COUNTIF(Logs!$H69, S$8)+COUNTIF(Logs!$H87, S$8)+COUNTIF(Logs!$H106, S$8)+COUNTIF(Logs!$H126, S$8)+COUNTIF(Logs!$H145, S$8)+COUNTIF(Logs!$H165, S$8)+COUNTIF(Logs!$H183, S$8)+COUNTIF(Logs!$H204, S$8)+COUNTIF(Logs!$H221, S$8)+COUNTIF(Logs!$H239, S$8)+COUNTIF(Logs!$H256, S$8)+COUNTIF(Logs!$H273, S$8)+COUNTIF(Logs!$H291, S$8)+COUNTIF(Logs!$H308, S$8)+COUNTIF(Logs!$H326, S$8)+COUNTIF(Logs!$H344, S$8)+COUNTIF(Logs!$H362, S$8)+COUNTIF(Logs!$H380, S$8)+COUNTIF(Logs!$H399, S$8)+COUNTIF(Logs!$H417, S$8)+COUNTIF(Logs!$H435, S$8)+COUNTIF(Logs!$H453, S$8)+COUNTIF(Logs!$H471, S$8)+COUNTIF(Logs!$H489, S$8)+COUNTIF(Logs!$H507, S$8)+COUNTIF(Logs!$H525, S$8)+COUNTIF(Logs!$H543, S$8)+COUNTIF(Logs!$H561, S$8)+COUNTIF(Logs!$H578, S$8)+COUNTIF(Logs!$H597, S$8)+COUNTIF(Logs!$H613, S$8)+COUNTIF(Logs!$H629, S$8)+COUNTIF(Logs!$H646, S$8)+COUNTIF(Logs!$H661, S$8)+COUNTIF(Logs!$H677, S$8)</f>
        <v>1</v>
      </c>
      <c r="T48" s="1440">
        <f t="shared" si="27"/>
        <v>7.6923076923076927E-2</v>
      </c>
      <c r="U48" s="1443">
        <f>COUNTIF(Logs!$H15, U$8)+COUNTIF(Logs!$H33, U$8)+COUNTIF(Logs!$H51, U$8)+COUNTIF(Logs!$H69, U$8)+COUNTIF(Logs!$H87, U$8)+COUNTIF(Logs!$H106, U$8)+COUNTIF(Logs!$H126, U$8)+COUNTIF(Logs!$H145, U$8)+COUNTIF(Logs!$H165, U$8)+COUNTIF(Logs!$H183, U$8)+COUNTIF(Logs!$H204, U$8)+COUNTIF(Logs!$H221, U$8)+COUNTIF(Logs!$H239, U$8)+COUNTIF(Logs!$H256, U$8)+COUNTIF(Logs!$H273, U$8)+COUNTIF(Logs!$H291, U$8)+COUNTIF(Logs!$H308, U$8)+COUNTIF(Logs!$H326, U$8)+COUNTIF(Logs!$H344, U$8)+COUNTIF(Logs!$H362, U$8)+COUNTIF(Logs!$H380, U$8)+COUNTIF(Logs!$H399, U$8)+COUNTIF(Logs!$H417, U$8)+COUNTIF(Logs!$H435, U$8)+COUNTIF(Logs!$H453, U$8)+COUNTIF(Logs!$H471, U$8)+COUNTIF(Logs!$H489, U$8)+COUNTIF(Logs!$H507, U$8)+COUNTIF(Logs!$H525, U$8)+COUNTIF(Logs!$H543, U$8)+COUNTIF(Logs!$H561, U$8)+COUNTIF(Logs!$H578, U$8)+COUNTIF(Logs!$H597, U$8)+COUNTIF(Logs!$H613, U$8)+COUNTIF(Logs!$H629, U$8)+COUNTIF(Logs!$H646, U$8)+COUNTIF(Logs!$H661, U$8)+COUNTIF(Logs!$H677, U$8)</f>
        <v>0</v>
      </c>
      <c r="V48" s="1444" t="str">
        <f t="shared" si="28"/>
        <v/>
      </c>
      <c r="W48" s="1101">
        <f>COUNTIF(Logs!$H15, W$8)+COUNTIF(Logs!$H33, W$8)+COUNTIF(Logs!$H51, W$8)+COUNTIF(Logs!$H69, W$8)+COUNTIF(Logs!$H87, W$8)+COUNTIF(Logs!$H106, W$8)+COUNTIF(Logs!$H126, W$8)+COUNTIF(Logs!$H145, W$8)+COUNTIF(Logs!$H165, W$8)+COUNTIF(Logs!$H183, W$8)+COUNTIF(Logs!$H204, W$8)+COUNTIF(Logs!$H221, W$8)+COUNTIF(Logs!$H239, W$8)+COUNTIF(Logs!$H256, W$8)+COUNTIF(Logs!$H273, W$8)+COUNTIF(Logs!$H291, W$8)+COUNTIF(Logs!$H308, W$8)+COUNTIF(Logs!$H326, W$8)+COUNTIF(Logs!$H344, W$8)+COUNTIF(Logs!$H362, W$8)+COUNTIF(Logs!$H380, W$8)+COUNTIF(Logs!$H399, W$8)+COUNTIF(Logs!$H417, W$8)+COUNTIF(Logs!$H435, W$8)+COUNTIF(Logs!$H453, W$8)+COUNTIF(Logs!$H471, W$8)+COUNTIF(Logs!$H489, W$8)+COUNTIF(Logs!$H507, W$8)+COUNTIF(Logs!$H525, W$8)+COUNTIF(Logs!$H543, W$8)+COUNTIF(Logs!$H561, W$8)+COUNTIF(Logs!$H578, W$8)+COUNTIF(Logs!$H597, W$8)+COUNTIF(Logs!$H613, W$8)+COUNTIF(Logs!$H629, W$8)+COUNTIF(Logs!$H646, W$8)+COUNTIF(Logs!$H661, W$8)+COUNTIF(Logs!$H677, W$8)</f>
        <v>0</v>
      </c>
      <c r="X48" s="1432" t="str">
        <f t="shared" si="29"/>
        <v/>
      </c>
    </row>
    <row r="49" spans="2:24">
      <c r="B49" s="1378" t="s">
        <v>192</v>
      </c>
      <c r="C49" s="319">
        <f>COUNTIF(Logs!$G16, C$40)+COUNTIF(Logs!$G34, C$40)+COUNTIF(Logs!$G52, C$40)+COUNTIF(Logs!$G70, C$40)+COUNTIF(Logs!$G88, C$40)+COUNTIF(Logs!$G107, C$40)+COUNTIF(Logs!$G127, C$40)+COUNTIF(Logs!$G146, C$40)+COUNTIF(Logs!$G166, C$40)+COUNTIF(Logs!$G184, C$40)+COUNTIF(Logs!$G205, C$40)+COUNTIF(Logs!$G222, C$40)+COUNTIF(Logs!$G240, C$40)+COUNTIF(Logs!$G257, C$40)+COUNTIF(Logs!$G274, C$40)+COUNTIF(Logs!$G292, C$40)+COUNTIF(Logs!$G309, C$40)+COUNTIF(Logs!$G327, C$40)+COUNTIF(Logs!$G345, C$40)+COUNTIF(Logs!$G363, C$40)+COUNTIF(Logs!$G381, C$40)+COUNTIF(Logs!$G400, C$40)+COUNTIF(Logs!$G418, C$40)+COUNTIF(Logs!$G436, C$40)+COUNTIF(Logs!$G454, C$40)+COUNTIF(Logs!$G472, C$40)+COUNTIF(Logs!$G490, C$40)+COUNTIF(Logs!$G508, C$40)+COUNTIF(Logs!$G526, C$40)+COUNTIF(Logs!$G544, C$40)+COUNTIF(Logs!$G562, C$40)+COUNTIF(Logs!$G579, C$40)+COUNTIF(Logs!$G598, C$40)+COUNTIF(Logs!$G614, C$40)+COUNTIF(Logs!$G630, C$40)+COUNTIF(Logs!$G647, C$40)+COUNTIF(Logs!$G662, C$40)+COUNTIF(Logs!$G678, C$40)</f>
        <v>2</v>
      </c>
      <c r="D49" s="1448">
        <f t="shared" si="20"/>
        <v>1</v>
      </c>
      <c r="E49" s="342">
        <f>COUNTIF(Logs!$G16, E$40)+COUNTIF(Logs!$G34, E$40)+COUNTIF(Logs!$G52, E$40)+COUNTIF(Logs!$G70, E$40)+COUNTIF(Logs!$G88, E$40)+COUNTIF(Logs!$G107, E$40)+COUNTIF(Logs!$G127, E$40)+COUNTIF(Logs!$G146, E$40)+COUNTIF(Logs!$G166, E$40)+COUNTIF(Logs!$G184, E$40)+COUNTIF(Logs!$G205, E$40)+COUNTIF(Logs!$G222, E$40)+COUNTIF(Logs!$G240, E$40)+COUNTIF(Logs!$G257, E$40)+COUNTIF(Logs!$G274, E$40)+COUNTIF(Logs!$G292, E$40)+COUNTIF(Logs!$G309, E$40)+COUNTIF(Logs!$G327, E$40)+COUNTIF(Logs!$G345, E$40)+COUNTIF(Logs!$G363, E$40)+COUNTIF(Logs!$G381, E$40)+COUNTIF(Logs!$G400, E$40)+COUNTIF(Logs!$G418, E$40)+COUNTIF(Logs!$G436, E$40)+COUNTIF(Logs!$G454, E$40)+COUNTIF(Logs!$G472, E$40)+COUNTIF(Logs!$G490, E$40)+COUNTIF(Logs!$G508, E$40)+COUNTIF(Logs!$G526, E$40)+COUNTIF(Logs!$G544, E$40)+COUNTIF(Logs!$G562, E$40)+COUNTIF(Logs!$G579, E$40)+COUNTIF(Logs!$G598, E$40)+COUNTIF(Logs!$G614, E$40)+COUNTIF(Logs!$G630, E$40)+COUNTIF(Logs!$G647, E$40)+COUNTIF(Logs!$G662, E$40)+COUNTIF(Logs!$G678, E$40)</f>
        <v>0</v>
      </c>
      <c r="F49" s="1437" t="str">
        <f t="shared" si="21"/>
        <v/>
      </c>
      <c r="G49" s="1439">
        <f>COUNTIF(Logs!$G16, G$40)+COUNTIF(Logs!$G34, G$40)+COUNTIF(Logs!$G52, G$40)+COUNTIF(Logs!$G70, G$40)+COUNTIF(Logs!$G88, G$40)+COUNTIF(Logs!$G107, G$40)+COUNTIF(Logs!$G127, G$40)+COUNTIF(Logs!$G146, G$40)+COUNTIF(Logs!$G166, G$40)+COUNTIF(Logs!$G184, G$40)+COUNTIF(Logs!$G205, G$40)+COUNTIF(Logs!$G222, G$40)+COUNTIF(Logs!$G240, G$40)+COUNTIF(Logs!$G257, G$40)+COUNTIF(Logs!$G274, G$40)+COUNTIF(Logs!$G292, G$40)+COUNTIF(Logs!$G309, G$40)+COUNTIF(Logs!$G327, G$40)+COUNTIF(Logs!$G345, G$40)+COUNTIF(Logs!$G363, G$40)+COUNTIF(Logs!$G381, G$40)+COUNTIF(Logs!$G400, G$40)+COUNTIF(Logs!$G418, G$40)+COUNTIF(Logs!$G436, G$40)+COUNTIF(Logs!$G454, G$40)+COUNTIF(Logs!$G472, G$40)+COUNTIF(Logs!$G490, G$40)+COUNTIF(Logs!$G508, G$40)+COUNTIF(Logs!$G526, G$40)+COUNTIF(Logs!$G544, G$40)+COUNTIF(Logs!$G562, G$40)+COUNTIF(Logs!$G579, G$40)+COUNTIF(Logs!$G598, G$40)+COUNTIF(Logs!$G614, G$40)+COUNTIF(Logs!$G630, G$40)+COUNTIF(Logs!$G647, G$40)+COUNTIF(Logs!$G662, G$40)+COUNTIF(Logs!$G678, G$40)</f>
        <v>0</v>
      </c>
      <c r="H49" s="1440" t="str">
        <f t="shared" si="22"/>
        <v/>
      </c>
      <c r="I49" s="1443">
        <f>COUNTIF(Logs!$G16, I$40)+COUNTIF(Logs!$G34, I$40)+COUNTIF(Logs!$G52, I$40)+COUNTIF(Logs!$G70, I$40)+COUNTIF(Logs!$G88, I$40)+COUNTIF(Logs!$G107, I$40)+COUNTIF(Logs!$G127, I$40)+COUNTIF(Logs!$G146, I$40)+COUNTIF(Logs!$G166, I$40)+COUNTIF(Logs!$G184, I$40)+COUNTIF(Logs!$G205, I$40)+COUNTIF(Logs!$G222, I$40)+COUNTIF(Logs!$G240, I$40)+COUNTIF(Logs!$G257, I$40)+COUNTIF(Logs!$G274, I$40)+COUNTIF(Logs!$G292, I$40)+COUNTIF(Logs!$G309, I$40)+COUNTIF(Logs!$G327, I$40)+COUNTIF(Logs!$G345, I$40)+COUNTIF(Logs!$G363, I$40)+COUNTIF(Logs!$G381, I$40)+COUNTIF(Logs!$G400, I$40)+COUNTIF(Logs!$G418, I$40)+COUNTIF(Logs!$G436, I$40)+COUNTIF(Logs!$G454, I$40)+COUNTIF(Logs!$G472, I$40)+COUNTIF(Logs!$G490, I$40)+COUNTIF(Logs!$G508, I$40)+COUNTIF(Logs!$G526, I$40)+COUNTIF(Logs!$G544, I$40)+COUNTIF(Logs!$G562, I$40)+COUNTIF(Logs!$G579, I$40)+COUNTIF(Logs!$G598, I$40)+COUNTIF(Logs!$G614, I$40)+COUNTIF(Logs!$G630, I$40)+COUNTIF(Logs!$G647, I$40)+COUNTIF(Logs!$G662, I$40)+COUNTIF(Logs!$G678, I$40)</f>
        <v>0</v>
      </c>
      <c r="J49" s="1444" t="str">
        <f t="shared" si="23"/>
        <v/>
      </c>
      <c r="K49" s="1101">
        <f>COUNTIF(Logs!$G16, K$40)+COUNTIF(Logs!$G34, K$40)+COUNTIF(Logs!$G52, K$40)+COUNTIF(Logs!$G70, K$40)+COUNTIF(Logs!$G88, K$40)+COUNTIF(Logs!$G107, K$40)+COUNTIF(Logs!$G127, K$40)+COUNTIF(Logs!$G146, K$40)+COUNTIF(Logs!$G166, K$40)+COUNTIF(Logs!$G184, K$40)+COUNTIF(Logs!$G205, K$40)+COUNTIF(Logs!$G222, K$40)+COUNTIF(Logs!$G240, K$40)+COUNTIF(Logs!$G257, K$40)+COUNTIF(Logs!$G274, K$40)+COUNTIF(Logs!$G292, K$40)+COUNTIF(Logs!$G309, K$40)+COUNTIF(Logs!$G327, K$40)+COUNTIF(Logs!$G345, K$40)+COUNTIF(Logs!$G363, K$40)+COUNTIF(Logs!$G381, K$40)+COUNTIF(Logs!$G400, K$40)+COUNTIF(Logs!$G418, K$40)+COUNTIF(Logs!$G436, K$40)+COUNTIF(Logs!$G454, K$40)+COUNTIF(Logs!$G472, K$40)+COUNTIF(Logs!$G490, K$40)+COUNTIF(Logs!$G508, K$40)+COUNTIF(Logs!$G526, K$40)+COUNTIF(Logs!$G544, K$40)+COUNTIF(Logs!$G562, K$40)+COUNTIF(Logs!$G579, K$40)+COUNTIF(Logs!$G598, K$40)+COUNTIF(Logs!$G614, K$40)+COUNTIF(Logs!$G630, K$40)+COUNTIF(Logs!$G647, K$40)+COUNTIF(Logs!$G662, K$40)+COUNTIF(Logs!$G678, K$40)</f>
        <v>0</v>
      </c>
      <c r="L49" s="1432" t="str">
        <f t="shared" si="24"/>
        <v/>
      </c>
      <c r="N49" s="1378" t="s">
        <v>192</v>
      </c>
      <c r="O49" s="319">
        <f>COUNTIF(Logs!$H16, O$8)+COUNTIF(Logs!$H34, O$8)+COUNTIF(Logs!$H52, O$8)+COUNTIF(Logs!$H70, O$8)+COUNTIF(Logs!$H88, O$8)+COUNTIF(Logs!$H107, O$8)+COUNTIF(Logs!$H127, O$8)+COUNTIF(Logs!$H146, O$8)+COUNTIF(Logs!$H166, O$8)+COUNTIF(Logs!$H184, O$8)+COUNTIF(Logs!$H205, O$8)+COUNTIF(Logs!$H222, O$8)+COUNTIF(Logs!$H240, O$8)+COUNTIF(Logs!$H257, O$8)+COUNTIF(Logs!$H274, O$8)+COUNTIF(Logs!$H292, O$8)+COUNTIF(Logs!$H309, O$8)+COUNTIF(Logs!$H327, O$8)+COUNTIF(Logs!$H345, O$8)+COUNTIF(Logs!$H363, O$8)+COUNTIF(Logs!$H381, O$8)+COUNTIF(Logs!$H400, O$8)+COUNTIF(Logs!$H418, O$8)+COUNTIF(Logs!$H436, O$8)+COUNTIF(Logs!$H454, O$8)+COUNTIF(Logs!$H472, O$8)+COUNTIF(Logs!$H490, O$8)+COUNTIF(Logs!$H508, O$8)+COUNTIF(Logs!$H526, O$8)+COUNTIF(Logs!$H544, O$8)+COUNTIF(Logs!$H562, O$8)+COUNTIF(Logs!$H579, O$8)+COUNTIF(Logs!$H598, O$8)+COUNTIF(Logs!$H614, O$8)+COUNTIF(Logs!$H630, O$8)+COUNTIF(Logs!$H647, O$8)+COUNTIF(Logs!$H662, O$8)+COUNTIF(Logs!$H678, O$8)</f>
        <v>3</v>
      </c>
      <c r="P49" s="1448">
        <f t="shared" si="25"/>
        <v>0.6</v>
      </c>
      <c r="Q49" s="342">
        <f>COUNTIF(Logs!$H16, Q$8)+COUNTIF(Logs!$H34, Q$8)+COUNTIF(Logs!$H52, Q$8)+COUNTIF(Logs!$H70, Q$8)+COUNTIF(Logs!$H88, Q$8)+COUNTIF(Logs!$H107, Q$8)+COUNTIF(Logs!$H127, Q$8)+COUNTIF(Logs!$H146, Q$8)+COUNTIF(Logs!$H166, Q$8)+COUNTIF(Logs!$H184, Q$8)+COUNTIF(Logs!$H205, Q$8)+COUNTIF(Logs!$H222, Q$8)+COUNTIF(Logs!$H240, Q$8)+COUNTIF(Logs!$H257, Q$8)+COUNTIF(Logs!$H274, Q$8)+COUNTIF(Logs!$H292, Q$8)+COUNTIF(Logs!$H309, Q$8)+COUNTIF(Logs!$H327, Q$8)+COUNTIF(Logs!$H345, Q$8)+COUNTIF(Logs!$H363, Q$8)+COUNTIF(Logs!$H381, Q$8)+COUNTIF(Logs!$H400, Q$8)+COUNTIF(Logs!$H418, Q$8)+COUNTIF(Logs!$H436, Q$8)+COUNTIF(Logs!$H454, Q$8)+COUNTIF(Logs!$H472, Q$8)+COUNTIF(Logs!$H490, Q$8)+COUNTIF(Logs!$H508, Q$8)+COUNTIF(Logs!$H526, Q$8)+COUNTIF(Logs!$H544, Q$8)+COUNTIF(Logs!$H562, Q$8)+COUNTIF(Logs!$H579, Q$8)+COUNTIF(Logs!$H598, Q$8)+COUNTIF(Logs!$H614, Q$8)+COUNTIF(Logs!$H630, Q$8)+COUNTIF(Logs!$H647, Q$8)+COUNTIF(Logs!$H662, Q$8)+COUNTIF(Logs!$H678, Q$8)</f>
        <v>0</v>
      </c>
      <c r="R49" s="1437" t="str">
        <f t="shared" si="26"/>
        <v/>
      </c>
      <c r="S49" s="1439">
        <f>COUNTIF(Logs!$H16, S$8)+COUNTIF(Logs!$H34, S$8)+COUNTIF(Logs!$H52, S$8)+COUNTIF(Logs!$H70, S$8)+COUNTIF(Logs!$H88, S$8)+COUNTIF(Logs!$H107, S$8)+COUNTIF(Logs!$H127, S$8)+COUNTIF(Logs!$H146, S$8)+COUNTIF(Logs!$H166, S$8)+COUNTIF(Logs!$H184, S$8)+COUNTIF(Logs!$H205, S$8)+COUNTIF(Logs!$H222, S$8)+COUNTIF(Logs!$H240, S$8)+COUNTIF(Logs!$H257, S$8)+COUNTIF(Logs!$H274, S$8)+COUNTIF(Logs!$H292, S$8)+COUNTIF(Logs!$H309, S$8)+COUNTIF(Logs!$H327, S$8)+COUNTIF(Logs!$H345, S$8)+COUNTIF(Logs!$H363, S$8)+COUNTIF(Logs!$H381, S$8)+COUNTIF(Logs!$H400, S$8)+COUNTIF(Logs!$H418, S$8)+COUNTIF(Logs!$H436, S$8)+COUNTIF(Logs!$H454, S$8)+COUNTIF(Logs!$H472, S$8)+COUNTIF(Logs!$H490, S$8)+COUNTIF(Logs!$H508, S$8)+COUNTIF(Logs!$H526, S$8)+COUNTIF(Logs!$H544, S$8)+COUNTIF(Logs!$H562, S$8)+COUNTIF(Logs!$H579, S$8)+COUNTIF(Logs!$H598, S$8)+COUNTIF(Logs!$H614, S$8)+COUNTIF(Logs!$H630, S$8)+COUNTIF(Logs!$H647, S$8)+COUNTIF(Logs!$H662, S$8)+COUNTIF(Logs!$H678, S$8)</f>
        <v>1</v>
      </c>
      <c r="T49" s="1440">
        <f t="shared" si="27"/>
        <v>0.2</v>
      </c>
      <c r="U49" s="1443">
        <f>COUNTIF(Logs!$H16, U$8)+COUNTIF(Logs!$H34, U$8)+COUNTIF(Logs!$H52, U$8)+COUNTIF(Logs!$H70, U$8)+COUNTIF(Logs!$H88, U$8)+COUNTIF(Logs!$H107, U$8)+COUNTIF(Logs!$H127, U$8)+COUNTIF(Logs!$H146, U$8)+COUNTIF(Logs!$H166, U$8)+COUNTIF(Logs!$H184, U$8)+COUNTIF(Logs!$H205, U$8)+COUNTIF(Logs!$H222, U$8)+COUNTIF(Logs!$H240, U$8)+COUNTIF(Logs!$H257, U$8)+COUNTIF(Logs!$H274, U$8)+COUNTIF(Logs!$H292, U$8)+COUNTIF(Logs!$H309, U$8)+COUNTIF(Logs!$H327, U$8)+COUNTIF(Logs!$H345, U$8)+COUNTIF(Logs!$H363, U$8)+COUNTIF(Logs!$H381, U$8)+COUNTIF(Logs!$H400, U$8)+COUNTIF(Logs!$H418, U$8)+COUNTIF(Logs!$H436, U$8)+COUNTIF(Logs!$H454, U$8)+COUNTIF(Logs!$H472, U$8)+COUNTIF(Logs!$H490, U$8)+COUNTIF(Logs!$H508, U$8)+COUNTIF(Logs!$H526, U$8)+COUNTIF(Logs!$H544, U$8)+COUNTIF(Logs!$H562, U$8)+COUNTIF(Logs!$H579, U$8)+COUNTIF(Logs!$H598, U$8)+COUNTIF(Logs!$H614, U$8)+COUNTIF(Logs!$H630, U$8)+COUNTIF(Logs!$H647, U$8)+COUNTIF(Logs!$H662, U$8)+COUNTIF(Logs!$H678, U$8)</f>
        <v>0</v>
      </c>
      <c r="V49" s="1444" t="str">
        <f t="shared" si="28"/>
        <v/>
      </c>
      <c r="W49" s="1101">
        <f>COUNTIF(Logs!$H16, W$8)+COUNTIF(Logs!$H34, W$8)+COUNTIF(Logs!$H52, W$8)+COUNTIF(Logs!$H70, W$8)+COUNTIF(Logs!$H88, W$8)+COUNTIF(Logs!$H107, W$8)+COUNTIF(Logs!$H127, W$8)+COUNTIF(Logs!$H146, W$8)+COUNTIF(Logs!$H166, W$8)+COUNTIF(Logs!$H184, W$8)+COUNTIF(Logs!$H205, W$8)+COUNTIF(Logs!$H222, W$8)+COUNTIF(Logs!$H240, W$8)+COUNTIF(Logs!$H257, W$8)+COUNTIF(Logs!$H274, W$8)+COUNTIF(Logs!$H292, W$8)+COUNTIF(Logs!$H309, W$8)+COUNTIF(Logs!$H327, W$8)+COUNTIF(Logs!$H345, W$8)+COUNTIF(Logs!$H363, W$8)+COUNTIF(Logs!$H381, W$8)+COUNTIF(Logs!$H400, W$8)+COUNTIF(Logs!$H418, W$8)+COUNTIF(Logs!$H436, W$8)+COUNTIF(Logs!$H454, W$8)+COUNTIF(Logs!$H472, W$8)+COUNTIF(Logs!$H490, W$8)+COUNTIF(Logs!$H508, W$8)+COUNTIF(Logs!$H526, W$8)+COUNTIF(Logs!$H544, W$8)+COUNTIF(Logs!$H562, W$8)+COUNTIF(Logs!$H579, W$8)+COUNTIF(Logs!$H598, W$8)+COUNTIF(Logs!$H614, W$8)+COUNTIF(Logs!$H630, W$8)+COUNTIF(Logs!$H647, W$8)+COUNTIF(Logs!$H662, W$8)+COUNTIF(Logs!$H678, W$8)</f>
        <v>1</v>
      </c>
      <c r="X49" s="1432">
        <f t="shared" si="29"/>
        <v>0.2</v>
      </c>
    </row>
    <row r="50" spans="2:24">
      <c r="B50" s="1378" t="s">
        <v>193</v>
      </c>
      <c r="C50" s="319">
        <f>COUNTIF(Logs!$G17, C$40)+COUNTIF(Logs!$G35, C$40)+COUNTIF(Logs!$G53, C$40)+COUNTIF(Logs!$G71, C$40)+COUNTIF(Logs!$G89, C$40)+COUNTIF(Logs!$G108, C$40)+COUNTIF(Logs!$G128, C$40)+COUNTIF(Logs!$G147, C$40)+COUNTIF(Logs!$G167, C$40)+COUNTIF(Logs!$G185, C$40)+COUNTIF(Logs!$G206, C$40)+COUNTIF(Logs!$G223, C$40)+COUNTIF(Logs!$G241, C$40)+COUNTIF(Logs!$G258, C$40)+COUNTIF(Logs!$G275, C$40)+COUNTIF(Logs!$G293, C$40)+COUNTIF(Logs!$G310, C$40)+COUNTIF(Logs!$G328, C$40)+COUNTIF(Logs!$G346, C$40)+COUNTIF(Logs!$G364, C$40)+COUNTIF(Logs!$G382, C$40)+COUNTIF(Logs!$G401, C$40)+COUNTIF(Logs!$G419, C$40)+COUNTIF(Logs!$G437, C$40)+COUNTIF(Logs!$G455, C$40)+COUNTIF(Logs!$G473, C$40)+COUNTIF(Logs!$G491, C$40)+COUNTIF(Logs!$G509, C$40)+COUNTIF(Logs!$G527, C$40)+COUNTIF(Logs!$G545, C$40)+COUNTIF(Logs!$G563, C$40)+COUNTIF(Logs!$G580, C$40)+COUNTIF(Logs!$G599, C$40)+COUNTIF(Logs!$G615, C$40)+COUNTIF(Logs!$G631, C$40)+COUNTIF(Logs!$G648, C$40)+COUNTIF(Logs!$G663, C$40)+COUNTIF(Logs!$G679, C$40)</f>
        <v>1</v>
      </c>
      <c r="D50" s="1448">
        <f t="shared" si="20"/>
        <v>1</v>
      </c>
      <c r="E50" s="342">
        <f>COUNTIF(Logs!$G17, E$40)+COUNTIF(Logs!$G35, E$40)+COUNTIF(Logs!$G53, E$40)+COUNTIF(Logs!$G71, E$40)+COUNTIF(Logs!$G89, E$40)+COUNTIF(Logs!$G108, E$40)+COUNTIF(Logs!$G128, E$40)+COUNTIF(Logs!$G147, E$40)+COUNTIF(Logs!$G167, E$40)+COUNTIF(Logs!$G185, E$40)+COUNTIF(Logs!$G206, E$40)+COUNTIF(Logs!$G223, E$40)+COUNTIF(Logs!$G241, E$40)+COUNTIF(Logs!$G258, E$40)+COUNTIF(Logs!$G275, E$40)+COUNTIF(Logs!$G293, E$40)+COUNTIF(Logs!$G310, E$40)+COUNTIF(Logs!$G328, E$40)+COUNTIF(Logs!$G346, E$40)+COUNTIF(Logs!$G364, E$40)+COUNTIF(Logs!$G382, E$40)+COUNTIF(Logs!$G401, E$40)+COUNTIF(Logs!$G419, E$40)+COUNTIF(Logs!$G437, E$40)+COUNTIF(Logs!$G455, E$40)+COUNTIF(Logs!$G473, E$40)+COUNTIF(Logs!$G491, E$40)+COUNTIF(Logs!$G509, E$40)+COUNTIF(Logs!$G527, E$40)+COUNTIF(Logs!$G545, E$40)+COUNTIF(Logs!$G563, E$40)+COUNTIF(Logs!$G580, E$40)+COUNTIF(Logs!$G599, E$40)+COUNTIF(Logs!$G615, E$40)+COUNTIF(Logs!$G631, E$40)+COUNTIF(Logs!$G648, E$40)+COUNTIF(Logs!$G663, E$40)+COUNTIF(Logs!$G679, E$40)</f>
        <v>0</v>
      </c>
      <c r="F50" s="1437" t="str">
        <f t="shared" si="21"/>
        <v/>
      </c>
      <c r="G50" s="1439">
        <f>COUNTIF(Logs!$G17, G$40)+COUNTIF(Logs!$G35, G$40)+COUNTIF(Logs!$G53, G$40)+COUNTIF(Logs!$G71, G$40)+COUNTIF(Logs!$G89, G$40)+COUNTIF(Logs!$G108, G$40)+COUNTIF(Logs!$G128, G$40)+COUNTIF(Logs!$G147, G$40)+COUNTIF(Logs!$G167, G$40)+COUNTIF(Logs!$G185, G$40)+COUNTIF(Logs!$G206, G$40)+COUNTIF(Logs!$G223, G$40)+COUNTIF(Logs!$G241, G$40)+COUNTIF(Logs!$G258, G$40)+COUNTIF(Logs!$G275, G$40)+COUNTIF(Logs!$G293, G$40)+COUNTIF(Logs!$G310, G$40)+COUNTIF(Logs!$G328, G$40)+COUNTIF(Logs!$G346, G$40)+COUNTIF(Logs!$G364, G$40)+COUNTIF(Logs!$G382, G$40)+COUNTIF(Logs!$G401, G$40)+COUNTIF(Logs!$G419, G$40)+COUNTIF(Logs!$G437, G$40)+COUNTIF(Logs!$G455, G$40)+COUNTIF(Logs!$G473, G$40)+COUNTIF(Logs!$G491, G$40)+COUNTIF(Logs!$G509, G$40)+COUNTIF(Logs!$G527, G$40)+COUNTIF(Logs!$G545, G$40)+COUNTIF(Logs!$G563, G$40)+COUNTIF(Logs!$G580, G$40)+COUNTIF(Logs!$G599, G$40)+COUNTIF(Logs!$G615, G$40)+COUNTIF(Logs!$G631, G$40)+COUNTIF(Logs!$G648, G$40)+COUNTIF(Logs!$G663, G$40)+COUNTIF(Logs!$G679, G$40)</f>
        <v>0</v>
      </c>
      <c r="H50" s="1440" t="str">
        <f t="shared" si="22"/>
        <v/>
      </c>
      <c r="I50" s="1443">
        <f>COUNTIF(Logs!$G17, I$40)+COUNTIF(Logs!$G35, I$40)+COUNTIF(Logs!$G53, I$40)+COUNTIF(Logs!$G71, I$40)+COUNTIF(Logs!$G89, I$40)+COUNTIF(Logs!$G108, I$40)+COUNTIF(Logs!$G128, I$40)+COUNTIF(Logs!$G147, I$40)+COUNTIF(Logs!$G167, I$40)+COUNTIF(Logs!$G185, I$40)+COUNTIF(Logs!$G206, I$40)+COUNTIF(Logs!$G223, I$40)+COUNTIF(Logs!$G241, I$40)+COUNTIF(Logs!$G258, I$40)+COUNTIF(Logs!$G275, I$40)+COUNTIF(Logs!$G293, I$40)+COUNTIF(Logs!$G310, I$40)+COUNTIF(Logs!$G328, I$40)+COUNTIF(Logs!$G346, I$40)+COUNTIF(Logs!$G364, I$40)+COUNTIF(Logs!$G382, I$40)+COUNTIF(Logs!$G401, I$40)+COUNTIF(Logs!$G419, I$40)+COUNTIF(Logs!$G437, I$40)+COUNTIF(Logs!$G455, I$40)+COUNTIF(Logs!$G473, I$40)+COUNTIF(Logs!$G491, I$40)+COUNTIF(Logs!$G509, I$40)+COUNTIF(Logs!$G527, I$40)+COUNTIF(Logs!$G545, I$40)+COUNTIF(Logs!$G563, I$40)+COUNTIF(Logs!$G580, I$40)+COUNTIF(Logs!$G599, I$40)+COUNTIF(Logs!$G615, I$40)+COUNTIF(Logs!$G631, I$40)+COUNTIF(Logs!$G648, I$40)+COUNTIF(Logs!$G663, I$40)+COUNTIF(Logs!$G679, I$40)</f>
        <v>0</v>
      </c>
      <c r="J50" s="1444" t="str">
        <f t="shared" si="23"/>
        <v/>
      </c>
      <c r="K50" s="1101">
        <f>COUNTIF(Logs!$G17, K$40)+COUNTIF(Logs!$G35, K$40)+COUNTIF(Logs!$G53, K$40)+COUNTIF(Logs!$G71, K$40)+COUNTIF(Logs!$G89, K$40)+COUNTIF(Logs!$G108, K$40)+COUNTIF(Logs!$G128, K$40)+COUNTIF(Logs!$G147, K$40)+COUNTIF(Logs!$G167, K$40)+COUNTIF(Logs!$G185, K$40)+COUNTIF(Logs!$G206, K$40)+COUNTIF(Logs!$G223, K$40)+COUNTIF(Logs!$G241, K$40)+COUNTIF(Logs!$G258, K$40)+COUNTIF(Logs!$G275, K$40)+COUNTIF(Logs!$G293, K$40)+COUNTIF(Logs!$G310, K$40)+COUNTIF(Logs!$G328, K$40)+COUNTIF(Logs!$G346, K$40)+COUNTIF(Logs!$G364, K$40)+COUNTIF(Logs!$G382, K$40)+COUNTIF(Logs!$G401, K$40)+COUNTIF(Logs!$G419, K$40)+COUNTIF(Logs!$G437, K$40)+COUNTIF(Logs!$G455, K$40)+COUNTIF(Logs!$G473, K$40)+COUNTIF(Logs!$G491, K$40)+COUNTIF(Logs!$G509, K$40)+COUNTIF(Logs!$G527, K$40)+COUNTIF(Logs!$G545, K$40)+COUNTIF(Logs!$G563, K$40)+COUNTIF(Logs!$G580, K$40)+COUNTIF(Logs!$G599, K$40)+COUNTIF(Logs!$G615, K$40)+COUNTIF(Logs!$G631, K$40)+COUNTIF(Logs!$G648, K$40)+COUNTIF(Logs!$G663, K$40)+COUNTIF(Logs!$G679, K$40)</f>
        <v>0</v>
      </c>
      <c r="L50" s="1432" t="str">
        <f t="shared" si="24"/>
        <v/>
      </c>
      <c r="N50" s="1378" t="s">
        <v>193</v>
      </c>
      <c r="O50" s="319">
        <f>COUNTIF(Logs!$H17, O$8)+COUNTIF(Logs!$H35, O$8)+COUNTIF(Logs!$H53, O$8)+COUNTIF(Logs!$H71, O$8)+COUNTIF(Logs!$H89, O$8)+COUNTIF(Logs!$H108, O$8)+COUNTIF(Logs!$H128, O$8)+COUNTIF(Logs!$H147, O$8)+COUNTIF(Logs!$H167, O$8)+COUNTIF(Logs!$H185, O$8)+COUNTIF(Logs!$H206, O$8)+COUNTIF(Logs!$H223, O$8)+COUNTIF(Logs!$H241, O$8)+COUNTIF(Logs!$H258, O$8)+COUNTIF(Logs!$H275, O$8)+COUNTIF(Logs!$H293, O$8)+COUNTIF(Logs!$H310, O$8)+COUNTIF(Logs!$H328, O$8)+COUNTIF(Logs!$H346, O$8)+COUNTIF(Logs!$H364, O$8)+COUNTIF(Logs!$H382, O$8)+COUNTIF(Logs!$H401, O$8)+COUNTIF(Logs!$H419, O$8)+COUNTIF(Logs!$H437, O$8)+COUNTIF(Logs!$H455, O$8)+COUNTIF(Logs!$H473, O$8)+COUNTIF(Logs!$H491, O$8)+COUNTIF(Logs!$H509, O$8)+COUNTIF(Logs!$H527, O$8)+COUNTIF(Logs!$H545, O$8)+COUNTIF(Logs!$H563, O$8)+COUNTIF(Logs!$H580, O$8)+COUNTIF(Logs!$H599, O$8)+COUNTIF(Logs!$H615, O$8)+COUNTIF(Logs!$H631, O$8)+COUNTIF(Logs!$H648, O$8)+COUNTIF(Logs!$H663, O$8)+COUNTIF(Logs!$H679, O$8)</f>
        <v>2</v>
      </c>
      <c r="P50" s="1448">
        <f t="shared" si="25"/>
        <v>1</v>
      </c>
      <c r="Q50" s="342">
        <f>COUNTIF(Logs!$H17, Q$8)+COUNTIF(Logs!$H35, Q$8)+COUNTIF(Logs!$H53, Q$8)+COUNTIF(Logs!$H71, Q$8)+COUNTIF(Logs!$H89, Q$8)+COUNTIF(Logs!$H108, Q$8)+COUNTIF(Logs!$H128, Q$8)+COUNTIF(Logs!$H147, Q$8)+COUNTIF(Logs!$H167, Q$8)+COUNTIF(Logs!$H185, Q$8)+COUNTIF(Logs!$H206, Q$8)+COUNTIF(Logs!$H223, Q$8)+COUNTIF(Logs!$H241, Q$8)+COUNTIF(Logs!$H258, Q$8)+COUNTIF(Logs!$H275, Q$8)+COUNTIF(Logs!$H293, Q$8)+COUNTIF(Logs!$H310, Q$8)+COUNTIF(Logs!$H328, Q$8)+COUNTIF(Logs!$H346, Q$8)+COUNTIF(Logs!$H364, Q$8)+COUNTIF(Logs!$H382, Q$8)+COUNTIF(Logs!$H401, Q$8)+COUNTIF(Logs!$H419, Q$8)+COUNTIF(Logs!$H437, Q$8)+COUNTIF(Logs!$H455, Q$8)+COUNTIF(Logs!$H473, Q$8)+COUNTIF(Logs!$H491, Q$8)+COUNTIF(Logs!$H509, Q$8)+COUNTIF(Logs!$H527, Q$8)+COUNTIF(Logs!$H545, Q$8)+COUNTIF(Logs!$H563, Q$8)+COUNTIF(Logs!$H580, Q$8)+COUNTIF(Logs!$H599, Q$8)+COUNTIF(Logs!$H615, Q$8)+COUNTIF(Logs!$H631, Q$8)+COUNTIF(Logs!$H648, Q$8)+COUNTIF(Logs!$H663, Q$8)+COUNTIF(Logs!$H679, Q$8)</f>
        <v>0</v>
      </c>
      <c r="R50" s="1437" t="str">
        <f t="shared" si="26"/>
        <v/>
      </c>
      <c r="S50" s="1439">
        <f>COUNTIF(Logs!$H17, S$8)+COUNTIF(Logs!$H35, S$8)+COUNTIF(Logs!$H53, S$8)+COUNTIF(Logs!$H71, S$8)+COUNTIF(Logs!$H89, S$8)+COUNTIF(Logs!$H108, S$8)+COUNTIF(Logs!$H128, S$8)+COUNTIF(Logs!$H147, S$8)+COUNTIF(Logs!$H167, S$8)+COUNTIF(Logs!$H185, S$8)+COUNTIF(Logs!$H206, S$8)+COUNTIF(Logs!$H223, S$8)+COUNTIF(Logs!$H241, S$8)+COUNTIF(Logs!$H258, S$8)+COUNTIF(Logs!$H275, S$8)+COUNTIF(Logs!$H293, S$8)+COUNTIF(Logs!$H310, S$8)+COUNTIF(Logs!$H328, S$8)+COUNTIF(Logs!$H346, S$8)+COUNTIF(Logs!$H364, S$8)+COUNTIF(Logs!$H382, S$8)+COUNTIF(Logs!$H401, S$8)+COUNTIF(Logs!$H419, S$8)+COUNTIF(Logs!$H437, S$8)+COUNTIF(Logs!$H455, S$8)+COUNTIF(Logs!$H473, S$8)+COUNTIF(Logs!$H491, S$8)+COUNTIF(Logs!$H509, S$8)+COUNTIF(Logs!$H527, S$8)+COUNTIF(Logs!$H545, S$8)+COUNTIF(Logs!$H563, S$8)+COUNTIF(Logs!$H580, S$8)+COUNTIF(Logs!$H599, S$8)+COUNTIF(Logs!$H615, S$8)+COUNTIF(Logs!$H631, S$8)+COUNTIF(Logs!$H648, S$8)+COUNTIF(Logs!$H663, S$8)+COUNTIF(Logs!$H679, S$8)</f>
        <v>0</v>
      </c>
      <c r="T50" s="1440" t="str">
        <f t="shared" si="27"/>
        <v/>
      </c>
      <c r="U50" s="1443">
        <f>COUNTIF(Logs!$H17, U$8)+COUNTIF(Logs!$H35, U$8)+COUNTIF(Logs!$H53, U$8)+COUNTIF(Logs!$H71, U$8)+COUNTIF(Logs!$H89, U$8)+COUNTIF(Logs!$H108, U$8)+COUNTIF(Logs!$H128, U$8)+COUNTIF(Logs!$H147, U$8)+COUNTIF(Logs!$H167, U$8)+COUNTIF(Logs!$H185, U$8)+COUNTIF(Logs!$H206, U$8)+COUNTIF(Logs!$H223, U$8)+COUNTIF(Logs!$H241, U$8)+COUNTIF(Logs!$H258, U$8)+COUNTIF(Logs!$H275, U$8)+COUNTIF(Logs!$H293, U$8)+COUNTIF(Logs!$H310, U$8)+COUNTIF(Logs!$H328, U$8)+COUNTIF(Logs!$H346, U$8)+COUNTIF(Logs!$H364, U$8)+COUNTIF(Logs!$H382, U$8)+COUNTIF(Logs!$H401, U$8)+COUNTIF(Logs!$H419, U$8)+COUNTIF(Logs!$H437, U$8)+COUNTIF(Logs!$H455, U$8)+COUNTIF(Logs!$H473, U$8)+COUNTIF(Logs!$H491, U$8)+COUNTIF(Logs!$H509, U$8)+COUNTIF(Logs!$H527, U$8)+COUNTIF(Logs!$H545, U$8)+COUNTIF(Logs!$H563, U$8)+COUNTIF(Logs!$H580, U$8)+COUNTIF(Logs!$H599, U$8)+COUNTIF(Logs!$H615, U$8)+COUNTIF(Logs!$H631, U$8)+COUNTIF(Logs!$H648, U$8)+COUNTIF(Logs!$H663, U$8)+COUNTIF(Logs!$H679, U$8)</f>
        <v>0</v>
      </c>
      <c r="V50" s="1444" t="str">
        <f t="shared" si="28"/>
        <v/>
      </c>
      <c r="W50" s="1101">
        <f>COUNTIF(Logs!$H17, W$8)+COUNTIF(Logs!$H35, W$8)+COUNTIF(Logs!$H53, W$8)+COUNTIF(Logs!$H71, W$8)+COUNTIF(Logs!$H89, W$8)+COUNTIF(Logs!$H108, W$8)+COUNTIF(Logs!$H128, W$8)+COUNTIF(Logs!$H147, W$8)+COUNTIF(Logs!$H167, W$8)+COUNTIF(Logs!$H185, W$8)+COUNTIF(Logs!$H206, W$8)+COUNTIF(Logs!$H223, W$8)+COUNTIF(Logs!$H241, W$8)+COUNTIF(Logs!$H258, W$8)+COUNTIF(Logs!$H275, W$8)+COUNTIF(Logs!$H293, W$8)+COUNTIF(Logs!$H310, W$8)+COUNTIF(Logs!$H328, W$8)+COUNTIF(Logs!$H346, W$8)+COUNTIF(Logs!$H364, W$8)+COUNTIF(Logs!$H382, W$8)+COUNTIF(Logs!$H401, W$8)+COUNTIF(Logs!$H419, W$8)+COUNTIF(Logs!$H437, W$8)+COUNTIF(Logs!$H455, W$8)+COUNTIF(Logs!$H473, W$8)+COUNTIF(Logs!$H491, W$8)+COUNTIF(Logs!$H509, W$8)+COUNTIF(Logs!$H527, W$8)+COUNTIF(Logs!$H545, W$8)+COUNTIF(Logs!$H563, W$8)+COUNTIF(Logs!$H580, W$8)+COUNTIF(Logs!$H599, W$8)+COUNTIF(Logs!$H615, W$8)+COUNTIF(Logs!$H631, W$8)+COUNTIF(Logs!$H648, W$8)+COUNTIF(Logs!$H663, W$8)+COUNTIF(Logs!$H679, W$8)</f>
        <v>0</v>
      </c>
      <c r="X50" s="1432" t="str">
        <f t="shared" si="29"/>
        <v/>
      </c>
    </row>
    <row r="51" spans="2:24">
      <c r="B51" s="1378" t="s">
        <v>194</v>
      </c>
      <c r="C51" s="319">
        <f>COUNTIF(Logs!$G18, C$40)+COUNTIF(Logs!$G36, C$40)+COUNTIF(Logs!$G54, C$40)+COUNTIF(Logs!$G72, C$40)+COUNTIF(Logs!$G90, C$40)+COUNTIF(Logs!$G109, C$40)+COUNTIF(Logs!$G129, C$40)+COUNTIF(Logs!$G148, C$40)+COUNTIF(Logs!$G168, C$40)+COUNTIF(Logs!$G186, C$40)+COUNTIF(Logs!$G207, C$40)+COUNTIF(Logs!$G224, C$40)+COUNTIF(Logs!$G242, C$40)+COUNTIF(Logs!$G259, C$40)+COUNTIF(Logs!$G276, C$40)+COUNTIF(Logs!$G294, C$40)+COUNTIF(Logs!$G311, C$40)+COUNTIF(Logs!$G329, C$40)+COUNTIF(Logs!$G347, C$40)+COUNTIF(Logs!$G365, C$40)+COUNTIF(Logs!$G383, C$40)+COUNTIF(Logs!$G402, C$40)+COUNTIF(Logs!$G420, C$40)+COUNTIF(Logs!$G438, C$40)+COUNTIF(Logs!$G456, C$40)+COUNTIF(Logs!$G474, C$40)+COUNTIF(Logs!$G492, C$40)+COUNTIF(Logs!$G510, C$40)+COUNTIF(Logs!$G528, C$40)+COUNTIF(Logs!$G546, C$40)+COUNTIF(Logs!$G564, C$40)+COUNTIF(Logs!$G581, C$40)+COUNTIF(Logs!$G600, C$40)+COUNTIF(Logs!$G616, C$40)+COUNTIF(Logs!$G632, C$40)+COUNTIF(Logs!$G649, C$40)+COUNTIF(Logs!$G664, C$40)+COUNTIF(Logs!$G680, C$40)</f>
        <v>0</v>
      </c>
      <c r="D51" s="1448" t="str">
        <f t="shared" si="20"/>
        <v/>
      </c>
      <c r="E51" s="342">
        <f>COUNTIF(Logs!$G18, E$40)+COUNTIF(Logs!$G36, E$40)+COUNTIF(Logs!$G54, E$40)+COUNTIF(Logs!$G72, E$40)+COUNTIF(Logs!$G90, E$40)+COUNTIF(Logs!$G109, E$40)+COUNTIF(Logs!$G129, E$40)+COUNTIF(Logs!$G148, E$40)+COUNTIF(Logs!$G168, E$40)+COUNTIF(Logs!$G186, E$40)+COUNTIF(Logs!$G207, E$40)+COUNTIF(Logs!$G224, E$40)+COUNTIF(Logs!$G242, E$40)+COUNTIF(Logs!$G259, E$40)+COUNTIF(Logs!$G276, E$40)+COUNTIF(Logs!$G294, E$40)+COUNTIF(Logs!$G311, E$40)+COUNTIF(Logs!$G329, E$40)+COUNTIF(Logs!$G347, E$40)+COUNTIF(Logs!$G365, E$40)+COUNTIF(Logs!$G383, E$40)+COUNTIF(Logs!$G402, E$40)+COUNTIF(Logs!$G420, E$40)+COUNTIF(Logs!$G438, E$40)+COUNTIF(Logs!$G456, E$40)+COUNTIF(Logs!$G474, E$40)+COUNTIF(Logs!$G492, E$40)+COUNTIF(Logs!$G510, E$40)+COUNTIF(Logs!$G528, E$40)+COUNTIF(Logs!$G546, E$40)+COUNTIF(Logs!$G564, E$40)+COUNTIF(Logs!$G581, E$40)+COUNTIF(Logs!$G600, E$40)+COUNTIF(Logs!$G616, E$40)+COUNTIF(Logs!$G632, E$40)+COUNTIF(Logs!$G649, E$40)+COUNTIF(Logs!$G664, E$40)+COUNTIF(Logs!$G680, E$40)</f>
        <v>0</v>
      </c>
      <c r="F51" s="1437" t="str">
        <f t="shared" si="21"/>
        <v/>
      </c>
      <c r="G51" s="1439">
        <f>COUNTIF(Logs!$G18, G$40)+COUNTIF(Logs!$G36, G$40)+COUNTIF(Logs!$G54, G$40)+COUNTIF(Logs!$G72, G$40)+COUNTIF(Logs!$G90, G$40)+COUNTIF(Logs!$G109, G$40)+COUNTIF(Logs!$G129, G$40)+COUNTIF(Logs!$G148, G$40)+COUNTIF(Logs!$G168, G$40)+COUNTIF(Logs!$G186, G$40)+COUNTIF(Logs!$G207, G$40)+COUNTIF(Logs!$G224, G$40)+COUNTIF(Logs!$G242, G$40)+COUNTIF(Logs!$G259, G$40)+COUNTIF(Logs!$G276, G$40)+COUNTIF(Logs!$G294, G$40)+COUNTIF(Logs!$G311, G$40)+COUNTIF(Logs!$G329, G$40)+COUNTIF(Logs!$G347, G$40)+COUNTIF(Logs!$G365, G$40)+COUNTIF(Logs!$G383, G$40)+COUNTIF(Logs!$G402, G$40)+COUNTIF(Logs!$G420, G$40)+COUNTIF(Logs!$G438, G$40)+COUNTIF(Logs!$G456, G$40)+COUNTIF(Logs!$G474, G$40)+COUNTIF(Logs!$G492, G$40)+COUNTIF(Logs!$G510, G$40)+COUNTIF(Logs!$G528, G$40)+COUNTIF(Logs!$G546, G$40)+COUNTIF(Logs!$G564, G$40)+COUNTIF(Logs!$G581, G$40)+COUNTIF(Logs!$G600, G$40)+COUNTIF(Logs!$G616, G$40)+COUNTIF(Logs!$G632, G$40)+COUNTIF(Logs!$G649, G$40)+COUNTIF(Logs!$G664, G$40)+COUNTIF(Logs!$G680, G$40)</f>
        <v>0</v>
      </c>
      <c r="H51" s="1440" t="str">
        <f t="shared" si="22"/>
        <v/>
      </c>
      <c r="I51" s="1443">
        <f>COUNTIF(Logs!$G18, I$40)+COUNTIF(Logs!$G36, I$40)+COUNTIF(Logs!$G54, I$40)+COUNTIF(Logs!$G72, I$40)+COUNTIF(Logs!$G90, I$40)+COUNTIF(Logs!$G109, I$40)+COUNTIF(Logs!$G129, I$40)+COUNTIF(Logs!$G148, I$40)+COUNTIF(Logs!$G168, I$40)+COUNTIF(Logs!$G186, I$40)+COUNTIF(Logs!$G207, I$40)+COUNTIF(Logs!$G224, I$40)+COUNTIF(Logs!$G242, I$40)+COUNTIF(Logs!$G259, I$40)+COUNTIF(Logs!$G276, I$40)+COUNTIF(Logs!$G294, I$40)+COUNTIF(Logs!$G311, I$40)+COUNTIF(Logs!$G329, I$40)+COUNTIF(Logs!$G347, I$40)+COUNTIF(Logs!$G365, I$40)+COUNTIF(Logs!$G383, I$40)+COUNTIF(Logs!$G402, I$40)+COUNTIF(Logs!$G420, I$40)+COUNTIF(Logs!$G438, I$40)+COUNTIF(Logs!$G456, I$40)+COUNTIF(Logs!$G474, I$40)+COUNTIF(Logs!$G492, I$40)+COUNTIF(Logs!$G510, I$40)+COUNTIF(Logs!$G528, I$40)+COUNTIF(Logs!$G546, I$40)+COUNTIF(Logs!$G564, I$40)+COUNTIF(Logs!$G581, I$40)+COUNTIF(Logs!$G600, I$40)+COUNTIF(Logs!$G616, I$40)+COUNTIF(Logs!$G632, I$40)+COUNTIF(Logs!$G649, I$40)+COUNTIF(Logs!$G664, I$40)+COUNTIF(Logs!$G680, I$40)</f>
        <v>0</v>
      </c>
      <c r="J51" s="1444" t="str">
        <f t="shared" si="23"/>
        <v/>
      </c>
      <c r="K51" s="1101">
        <f>COUNTIF(Logs!$G18, K$40)+COUNTIF(Logs!$G36, K$40)+COUNTIF(Logs!$G54, K$40)+COUNTIF(Logs!$G72, K$40)+COUNTIF(Logs!$G90, K$40)+COUNTIF(Logs!$G109, K$40)+COUNTIF(Logs!$G129, K$40)+COUNTIF(Logs!$G148, K$40)+COUNTIF(Logs!$G168, K$40)+COUNTIF(Logs!$G186, K$40)+COUNTIF(Logs!$G207, K$40)+COUNTIF(Logs!$G224, K$40)+COUNTIF(Logs!$G242, K$40)+COUNTIF(Logs!$G259, K$40)+COUNTIF(Logs!$G276, K$40)+COUNTIF(Logs!$G294, K$40)+COUNTIF(Logs!$G311, K$40)+COUNTIF(Logs!$G329, K$40)+COUNTIF(Logs!$G347, K$40)+COUNTIF(Logs!$G365, K$40)+COUNTIF(Logs!$G383, K$40)+COUNTIF(Logs!$G402, K$40)+COUNTIF(Logs!$G420, K$40)+COUNTIF(Logs!$G438, K$40)+COUNTIF(Logs!$G456, K$40)+COUNTIF(Logs!$G474, K$40)+COUNTIF(Logs!$G492, K$40)+COUNTIF(Logs!$G510, K$40)+COUNTIF(Logs!$G528, K$40)+COUNTIF(Logs!$G546, K$40)+COUNTIF(Logs!$G564, K$40)+COUNTIF(Logs!$G581, K$40)+COUNTIF(Logs!$G600, K$40)+COUNTIF(Logs!$G616, K$40)+COUNTIF(Logs!$G632, K$40)+COUNTIF(Logs!$G649, K$40)+COUNTIF(Logs!$G664, K$40)+COUNTIF(Logs!$G680, K$40)</f>
        <v>0</v>
      </c>
      <c r="L51" s="1432" t="str">
        <f t="shared" si="24"/>
        <v/>
      </c>
      <c r="N51" s="1378" t="s">
        <v>194</v>
      </c>
      <c r="O51" s="319">
        <f>COUNTIF(Logs!$H18, O$8)+COUNTIF(Logs!$H36, O$8)+COUNTIF(Logs!$H54, O$8)+COUNTIF(Logs!$H72, O$8)+COUNTIF(Logs!$H90, O$8)+COUNTIF(Logs!$H109, O$8)+COUNTIF(Logs!$H129, O$8)+COUNTIF(Logs!$H148, O$8)+COUNTIF(Logs!$H168, O$8)+COUNTIF(Logs!$H186, O$8)+COUNTIF(Logs!$H207, O$8)+COUNTIF(Logs!$H224, O$8)+COUNTIF(Logs!$H242, O$8)+COUNTIF(Logs!$H259, O$8)+COUNTIF(Logs!$H276, O$8)+COUNTIF(Logs!$H294, O$8)+COUNTIF(Logs!$H311, O$8)+COUNTIF(Logs!$H329, O$8)+COUNTIF(Logs!$H347, O$8)+COUNTIF(Logs!$H365, O$8)+COUNTIF(Logs!$H383, O$8)+COUNTIF(Logs!$H402, O$8)+COUNTIF(Logs!$H420, O$8)+COUNTIF(Logs!$H438, O$8)+COUNTIF(Logs!$H456, O$8)+COUNTIF(Logs!$H474, O$8)+COUNTIF(Logs!$H492, O$8)+COUNTIF(Logs!$H510, O$8)+COUNTIF(Logs!$H528, O$8)+COUNTIF(Logs!$H546, O$8)+COUNTIF(Logs!$H564, O$8)+COUNTIF(Logs!$H581, O$8)+COUNTIF(Logs!$H600, O$8)+COUNTIF(Logs!$H616, O$8)+COUNTIF(Logs!$H632, O$8)+COUNTIF(Logs!$H649, O$8)+COUNTIF(Logs!$H664, O$8)+COUNTIF(Logs!$H680, O$8)</f>
        <v>0</v>
      </c>
      <c r="P51" s="1448" t="str">
        <f t="shared" si="25"/>
        <v/>
      </c>
      <c r="Q51" s="342">
        <f>COUNTIF(Logs!$H18, Q$8)+COUNTIF(Logs!$H36, Q$8)+COUNTIF(Logs!$H54, Q$8)+COUNTIF(Logs!$H72, Q$8)+COUNTIF(Logs!$H90, Q$8)+COUNTIF(Logs!$H109, Q$8)+COUNTIF(Logs!$H129, Q$8)+COUNTIF(Logs!$H148, Q$8)+COUNTIF(Logs!$H168, Q$8)+COUNTIF(Logs!$H186, Q$8)+COUNTIF(Logs!$H207, Q$8)+COUNTIF(Logs!$H224, Q$8)+COUNTIF(Logs!$H242, Q$8)+COUNTIF(Logs!$H259, Q$8)+COUNTIF(Logs!$H276, Q$8)+COUNTIF(Logs!$H294, Q$8)+COUNTIF(Logs!$H311, Q$8)+COUNTIF(Logs!$H329, Q$8)+COUNTIF(Logs!$H347, Q$8)+COUNTIF(Logs!$H365, Q$8)+COUNTIF(Logs!$H383, Q$8)+COUNTIF(Logs!$H402, Q$8)+COUNTIF(Logs!$H420, Q$8)+COUNTIF(Logs!$H438, Q$8)+COUNTIF(Logs!$H456, Q$8)+COUNTIF(Logs!$H474, Q$8)+COUNTIF(Logs!$H492, Q$8)+COUNTIF(Logs!$H510, Q$8)+COUNTIF(Logs!$H528, Q$8)+COUNTIF(Logs!$H546, Q$8)+COUNTIF(Logs!$H564, Q$8)+COUNTIF(Logs!$H581, Q$8)+COUNTIF(Logs!$H600, Q$8)+COUNTIF(Logs!$H616, Q$8)+COUNTIF(Logs!$H632, Q$8)+COUNTIF(Logs!$H649, Q$8)+COUNTIF(Logs!$H664, Q$8)+COUNTIF(Logs!$H680, Q$8)</f>
        <v>0</v>
      </c>
      <c r="R51" s="1437" t="str">
        <f t="shared" si="26"/>
        <v/>
      </c>
      <c r="S51" s="1439">
        <f>COUNTIF(Logs!$H18, S$8)+COUNTIF(Logs!$H36, S$8)+COUNTIF(Logs!$H54, S$8)+COUNTIF(Logs!$H72, S$8)+COUNTIF(Logs!$H90, S$8)+COUNTIF(Logs!$H109, S$8)+COUNTIF(Logs!$H129, S$8)+COUNTIF(Logs!$H148, S$8)+COUNTIF(Logs!$H168, S$8)+COUNTIF(Logs!$H186, S$8)+COUNTIF(Logs!$H207, S$8)+COUNTIF(Logs!$H224, S$8)+COUNTIF(Logs!$H242, S$8)+COUNTIF(Logs!$H259, S$8)+COUNTIF(Logs!$H276, S$8)+COUNTIF(Logs!$H294, S$8)+COUNTIF(Logs!$H311, S$8)+COUNTIF(Logs!$H329, S$8)+COUNTIF(Logs!$H347, S$8)+COUNTIF(Logs!$H365, S$8)+COUNTIF(Logs!$H383, S$8)+COUNTIF(Logs!$H402, S$8)+COUNTIF(Logs!$H420, S$8)+COUNTIF(Logs!$H438, S$8)+COUNTIF(Logs!$H456, S$8)+COUNTIF(Logs!$H474, S$8)+COUNTIF(Logs!$H492, S$8)+COUNTIF(Logs!$H510, S$8)+COUNTIF(Logs!$H528, S$8)+COUNTIF(Logs!$H546, S$8)+COUNTIF(Logs!$H564, S$8)+COUNTIF(Logs!$H581, S$8)+COUNTIF(Logs!$H600, S$8)+COUNTIF(Logs!$H616, S$8)+COUNTIF(Logs!$H632, S$8)+COUNTIF(Logs!$H649, S$8)+COUNTIF(Logs!$H664, S$8)+COUNTIF(Logs!$H680, S$8)</f>
        <v>1</v>
      </c>
      <c r="T51" s="1440">
        <f t="shared" si="27"/>
        <v>1</v>
      </c>
      <c r="U51" s="1443">
        <f>COUNTIF(Logs!$H18, U$8)+COUNTIF(Logs!$H36, U$8)+COUNTIF(Logs!$H54, U$8)+COUNTIF(Logs!$H72, U$8)+COUNTIF(Logs!$H90, U$8)+COUNTIF(Logs!$H109, U$8)+COUNTIF(Logs!$H129, U$8)+COUNTIF(Logs!$H148, U$8)+COUNTIF(Logs!$H168, U$8)+COUNTIF(Logs!$H186, U$8)+COUNTIF(Logs!$H207, U$8)+COUNTIF(Logs!$H224, U$8)+COUNTIF(Logs!$H242, U$8)+COUNTIF(Logs!$H259, U$8)+COUNTIF(Logs!$H276, U$8)+COUNTIF(Logs!$H294, U$8)+COUNTIF(Logs!$H311, U$8)+COUNTIF(Logs!$H329, U$8)+COUNTIF(Logs!$H347, U$8)+COUNTIF(Logs!$H365, U$8)+COUNTIF(Logs!$H383, U$8)+COUNTIF(Logs!$H402, U$8)+COUNTIF(Logs!$H420, U$8)+COUNTIF(Logs!$H438, U$8)+COUNTIF(Logs!$H456, U$8)+COUNTIF(Logs!$H474, U$8)+COUNTIF(Logs!$H492, U$8)+COUNTIF(Logs!$H510, U$8)+COUNTIF(Logs!$H528, U$8)+COUNTIF(Logs!$H546, U$8)+COUNTIF(Logs!$H564, U$8)+COUNTIF(Logs!$H581, U$8)+COUNTIF(Logs!$H600, U$8)+COUNTIF(Logs!$H616, U$8)+COUNTIF(Logs!$H632, U$8)+COUNTIF(Logs!$H649, U$8)+COUNTIF(Logs!$H664, U$8)+COUNTIF(Logs!$H680, U$8)</f>
        <v>0</v>
      </c>
      <c r="V51" s="1444" t="str">
        <f t="shared" si="28"/>
        <v/>
      </c>
      <c r="W51" s="1101">
        <f>COUNTIF(Logs!$H18, W$8)+COUNTIF(Logs!$H36, W$8)+COUNTIF(Logs!$H54, W$8)+COUNTIF(Logs!$H72, W$8)+COUNTIF(Logs!$H90, W$8)+COUNTIF(Logs!$H109, W$8)+COUNTIF(Logs!$H129, W$8)+COUNTIF(Logs!$H148, W$8)+COUNTIF(Logs!$H168, W$8)+COUNTIF(Logs!$H186, W$8)+COUNTIF(Logs!$H207, W$8)+COUNTIF(Logs!$H224, W$8)+COUNTIF(Logs!$H242, W$8)+COUNTIF(Logs!$H259, W$8)+COUNTIF(Logs!$H276, W$8)+COUNTIF(Logs!$H294, W$8)+COUNTIF(Logs!$H311, W$8)+COUNTIF(Logs!$H329, W$8)+COUNTIF(Logs!$H347, W$8)+COUNTIF(Logs!$H365, W$8)+COUNTIF(Logs!$H383, W$8)+COUNTIF(Logs!$H402, W$8)+COUNTIF(Logs!$H420, W$8)+COUNTIF(Logs!$H438, W$8)+COUNTIF(Logs!$H456, W$8)+COUNTIF(Logs!$H474, W$8)+COUNTIF(Logs!$H492, W$8)+COUNTIF(Logs!$H510, W$8)+COUNTIF(Logs!$H528, W$8)+COUNTIF(Logs!$H546, W$8)+COUNTIF(Logs!$H564, W$8)+COUNTIF(Logs!$H581, W$8)+COUNTIF(Logs!$H600, W$8)+COUNTIF(Logs!$H616, W$8)+COUNTIF(Logs!$H632, W$8)+COUNTIF(Logs!$H649, W$8)+COUNTIF(Logs!$H664, W$8)+COUNTIF(Logs!$H680, W$8)</f>
        <v>0</v>
      </c>
      <c r="X51" s="1432" t="str">
        <f t="shared" si="29"/>
        <v/>
      </c>
    </row>
    <row r="52" spans="2:24">
      <c r="B52" s="1378" t="s">
        <v>1637</v>
      </c>
      <c r="C52" s="319">
        <f>COUNTIF(Logs!$G19, C$40)+COUNTIF(Logs!$G37, C$40)+COUNTIF(Logs!$G55, C$40)+COUNTIF(Logs!$G73, C$40)+COUNTIF(Logs!$G91, C$40)+COUNTIF(Logs!$G110, C$40)+COUNTIF(Logs!$G130, C$40)+COUNTIF(Logs!$G149, C$40)+COUNTIF(Logs!$G169, C$40)+COUNTIF(Logs!$G187, C$40)+COUNTIF(Logs!$G208, C$40)+COUNTIF(Logs!$G225, C$40)+COUNTIF(Logs!$G243, C$40)+COUNTIF(Logs!$G260, C$40)+COUNTIF(Logs!$G277, C$40)+COUNTIF(Logs!$G295, C$40)+COUNTIF(Logs!$G312, C$40)+COUNTIF(Logs!$G330, C$40)+COUNTIF(Logs!$G348, C$40)+COUNTIF(Logs!$G366, C$40)+COUNTIF(Logs!$G384, C$40)+COUNTIF(Logs!$G403, C$40)+COUNTIF(Logs!$G421, C$40)+COUNTIF(Logs!$G439, C$40)+COUNTIF(Logs!$G457, C$40)+COUNTIF(Logs!$G475, C$40)+COUNTIF(Logs!$G493, C$40)+COUNTIF(Logs!$G511, C$40)+COUNTIF(Logs!$G529, C$40)+COUNTIF(Logs!$G547, C$40)+COUNTIF(Logs!$G565, C$40)+COUNTIF(Logs!$G582, C$40)+COUNTIF(Logs!$G601, C$40)+COUNTIF(Logs!$G617, C$40)+COUNTIF(Logs!$G633, C$40)+COUNTIF(Logs!$G650, C$40)+COUNTIF(Logs!$G665, C$40)+COUNTIF(Logs!$G681, C$40)</f>
        <v>0</v>
      </c>
      <c r="D52" s="1448" t="str">
        <f t="shared" si="20"/>
        <v/>
      </c>
      <c r="E52" s="342">
        <f>COUNTIF(Logs!$G19, E$40)+COUNTIF(Logs!$G37, E$40)+COUNTIF(Logs!$G55, E$40)+COUNTIF(Logs!$G73, E$40)+COUNTIF(Logs!$G91, E$40)+COUNTIF(Logs!$G110, E$40)+COUNTIF(Logs!$G130, E$40)+COUNTIF(Logs!$G149, E$40)+COUNTIF(Logs!$G169, E$40)+COUNTIF(Logs!$G187, E$40)+COUNTIF(Logs!$G208, E$40)+COUNTIF(Logs!$G225, E$40)+COUNTIF(Logs!$G243, E$40)+COUNTIF(Logs!$G260, E$40)+COUNTIF(Logs!$G277, E$40)+COUNTIF(Logs!$G295, E$40)+COUNTIF(Logs!$G312, E$40)+COUNTIF(Logs!$G330, E$40)+COUNTIF(Logs!$G348, E$40)+COUNTIF(Logs!$G366, E$40)+COUNTIF(Logs!$G384, E$40)+COUNTIF(Logs!$G403, E$40)+COUNTIF(Logs!$G421, E$40)+COUNTIF(Logs!$G439, E$40)+COUNTIF(Logs!$G457, E$40)+COUNTIF(Logs!$G475, E$40)+COUNTIF(Logs!$G493, E$40)+COUNTIF(Logs!$G511, E$40)+COUNTIF(Logs!$G529, E$40)+COUNTIF(Logs!$G547, E$40)+COUNTIF(Logs!$G565, E$40)+COUNTIF(Logs!$G582, E$40)+COUNTIF(Logs!$G601, E$40)+COUNTIF(Logs!$G617, E$40)+COUNTIF(Logs!$G633, E$40)+COUNTIF(Logs!$G650, E$40)+COUNTIF(Logs!$G665, E$40)+COUNTIF(Logs!$G681, E$40)</f>
        <v>0</v>
      </c>
      <c r="F52" s="1437" t="str">
        <f t="shared" si="21"/>
        <v/>
      </c>
      <c r="G52" s="1439">
        <f>COUNTIF(Logs!$G19, G$40)+COUNTIF(Logs!$G37, G$40)+COUNTIF(Logs!$G55, G$40)+COUNTIF(Logs!$G73, G$40)+COUNTIF(Logs!$G91, G$40)+COUNTIF(Logs!$G110, G$40)+COUNTIF(Logs!$G130, G$40)+COUNTIF(Logs!$G149, G$40)+COUNTIF(Logs!$G169, G$40)+COUNTIF(Logs!$G187, G$40)+COUNTIF(Logs!$G208, G$40)+COUNTIF(Logs!$G225, G$40)+COUNTIF(Logs!$G243, G$40)+COUNTIF(Logs!$G260, G$40)+COUNTIF(Logs!$G277, G$40)+COUNTIF(Logs!$G295, G$40)+COUNTIF(Logs!$G312, G$40)+COUNTIF(Logs!$G330, G$40)+COUNTIF(Logs!$G348, G$40)+COUNTIF(Logs!$G366, G$40)+COUNTIF(Logs!$G384, G$40)+COUNTIF(Logs!$G403, G$40)+COUNTIF(Logs!$G421, G$40)+COUNTIF(Logs!$G439, G$40)+COUNTIF(Logs!$G457, G$40)+COUNTIF(Logs!$G475, G$40)+COUNTIF(Logs!$G493, G$40)+COUNTIF(Logs!$G511, G$40)+COUNTIF(Logs!$G529, G$40)+COUNTIF(Logs!$G547, G$40)+COUNTIF(Logs!$G565, G$40)+COUNTIF(Logs!$G582, G$40)+COUNTIF(Logs!$G601, G$40)+COUNTIF(Logs!$G617, G$40)+COUNTIF(Logs!$G633, G$40)+COUNTIF(Logs!$G650, G$40)+COUNTIF(Logs!$G665, G$40)+COUNTIF(Logs!$G681, G$40)</f>
        <v>0</v>
      </c>
      <c r="H52" s="1440" t="str">
        <f t="shared" si="22"/>
        <v/>
      </c>
      <c r="I52" s="1443">
        <f>COUNTIF(Logs!$G19, I$40)+COUNTIF(Logs!$G37, I$40)+COUNTIF(Logs!$G55, I$40)+COUNTIF(Logs!$G73, I$40)+COUNTIF(Logs!$G91, I$40)+COUNTIF(Logs!$G110, I$40)+COUNTIF(Logs!$G130, I$40)+COUNTIF(Logs!$G149, I$40)+COUNTIF(Logs!$G169, I$40)+COUNTIF(Logs!$G187, I$40)+COUNTIF(Logs!$G208, I$40)+COUNTIF(Logs!$G225, I$40)+COUNTIF(Logs!$G243, I$40)+COUNTIF(Logs!$G260, I$40)+COUNTIF(Logs!$G277, I$40)+COUNTIF(Logs!$G295, I$40)+COUNTIF(Logs!$G312, I$40)+COUNTIF(Logs!$G330, I$40)+COUNTIF(Logs!$G348, I$40)+COUNTIF(Logs!$G366, I$40)+COUNTIF(Logs!$G384, I$40)+COUNTIF(Logs!$G403, I$40)+COUNTIF(Logs!$G421, I$40)+COUNTIF(Logs!$G439, I$40)+COUNTIF(Logs!$G457, I$40)+COUNTIF(Logs!$G475, I$40)+COUNTIF(Logs!$G493, I$40)+COUNTIF(Logs!$G511, I$40)+COUNTIF(Logs!$G529, I$40)+COUNTIF(Logs!$G547, I$40)+COUNTIF(Logs!$G565, I$40)+COUNTIF(Logs!$G582, I$40)+COUNTIF(Logs!$G601, I$40)+COUNTIF(Logs!$G617, I$40)+COUNTIF(Logs!$G633, I$40)+COUNTIF(Logs!$G650, I$40)+COUNTIF(Logs!$G665, I$40)+COUNTIF(Logs!$G681, I$40)</f>
        <v>0</v>
      </c>
      <c r="J52" s="1444" t="str">
        <f t="shared" si="23"/>
        <v/>
      </c>
      <c r="K52" s="1101">
        <f>COUNTIF(Logs!$G19, K$40)+COUNTIF(Logs!$G37, K$40)+COUNTIF(Logs!$G55, K$40)+COUNTIF(Logs!$G73, K$40)+COUNTIF(Logs!$G91, K$40)+COUNTIF(Logs!$G110, K$40)+COUNTIF(Logs!$G130, K$40)+COUNTIF(Logs!$G149, K$40)+COUNTIF(Logs!$G169, K$40)+COUNTIF(Logs!$G187, K$40)+COUNTIF(Logs!$G208, K$40)+COUNTIF(Logs!$G225, K$40)+COUNTIF(Logs!$G243, K$40)+COUNTIF(Logs!$G260, K$40)+COUNTIF(Logs!$G277, K$40)+COUNTIF(Logs!$G295, K$40)+COUNTIF(Logs!$G312, K$40)+COUNTIF(Logs!$G330, K$40)+COUNTIF(Logs!$G348, K$40)+COUNTIF(Logs!$G366, K$40)+COUNTIF(Logs!$G384, K$40)+COUNTIF(Logs!$G403, K$40)+COUNTIF(Logs!$G421, K$40)+COUNTIF(Logs!$G439, K$40)+COUNTIF(Logs!$G457, K$40)+COUNTIF(Logs!$G475, K$40)+COUNTIF(Logs!$G493, K$40)+COUNTIF(Logs!$G511, K$40)+COUNTIF(Logs!$G529, K$40)+COUNTIF(Logs!$G547, K$40)+COUNTIF(Logs!$G565, K$40)+COUNTIF(Logs!$G582, K$40)+COUNTIF(Logs!$G601, K$40)+COUNTIF(Logs!$G617, K$40)+COUNTIF(Logs!$G633, K$40)+COUNTIF(Logs!$G650, K$40)+COUNTIF(Logs!$G665, K$40)+COUNTIF(Logs!$G681, K$40)</f>
        <v>0</v>
      </c>
      <c r="L52" s="1432" t="str">
        <f t="shared" si="24"/>
        <v/>
      </c>
      <c r="N52" s="1378" t="s">
        <v>1637</v>
      </c>
      <c r="O52" s="319">
        <f>COUNTIF(Logs!$H19, O$8)+COUNTIF(Logs!$H37, O$8)+COUNTIF(Logs!$H55, O$8)+COUNTIF(Logs!$H73, O$8)+COUNTIF(Logs!$H91, O$8)+COUNTIF(Logs!$H110, O$8)+COUNTIF(Logs!$H130, O$8)+COUNTIF(Logs!$H149, O$8)+COUNTIF(Logs!$H169, O$8)+COUNTIF(Logs!$H187, O$8)+COUNTIF(Logs!$H208, O$8)+COUNTIF(Logs!$H225, O$8)+COUNTIF(Logs!$H243, O$8)+COUNTIF(Logs!$H260, O$8)+COUNTIF(Logs!$H277, O$8)+COUNTIF(Logs!$H295, O$8)+COUNTIF(Logs!$H312, O$8)+COUNTIF(Logs!$H330, O$8)+COUNTIF(Logs!$H348, O$8)+COUNTIF(Logs!$H366, O$8)+COUNTIF(Logs!$H384, O$8)+COUNTIF(Logs!$H403, O$8)+COUNTIF(Logs!$H421, O$8)+COUNTIF(Logs!$H439, O$8)+COUNTIF(Logs!$H457, O$8)+COUNTIF(Logs!$H475, O$8)+COUNTIF(Logs!$H493, O$8)+COUNTIF(Logs!$H511, O$8)+COUNTIF(Logs!$H529, O$8)+COUNTIF(Logs!$H547, O$8)+COUNTIF(Logs!$H565, O$8)+COUNTIF(Logs!$H582, O$8)+COUNTIF(Logs!$H601, O$8)+COUNTIF(Logs!$H617, O$8)+COUNTIF(Logs!$H633, O$8)+COUNTIF(Logs!$H650, O$8)+COUNTIF(Logs!$H665, O$8)+COUNTIF(Logs!$H681, O$8)</f>
        <v>1</v>
      </c>
      <c r="P52" s="1448">
        <f t="shared" si="25"/>
        <v>1</v>
      </c>
      <c r="Q52" s="342">
        <f>COUNTIF(Logs!$H19, Q$8)+COUNTIF(Logs!$H37, Q$8)+COUNTIF(Logs!$H55, Q$8)+COUNTIF(Logs!$H73, Q$8)+COUNTIF(Logs!$H91, Q$8)+COUNTIF(Logs!$H110, Q$8)+COUNTIF(Logs!$H130, Q$8)+COUNTIF(Logs!$H149, Q$8)+COUNTIF(Logs!$H169, Q$8)+COUNTIF(Logs!$H187, Q$8)+COUNTIF(Logs!$H208, Q$8)+COUNTIF(Logs!$H225, Q$8)+COUNTIF(Logs!$H243, Q$8)+COUNTIF(Logs!$H260, Q$8)+COUNTIF(Logs!$H277, Q$8)+COUNTIF(Logs!$H295, Q$8)+COUNTIF(Logs!$H312, Q$8)+COUNTIF(Logs!$H330, Q$8)+COUNTIF(Logs!$H348, Q$8)+COUNTIF(Logs!$H366, Q$8)+COUNTIF(Logs!$H384, Q$8)+COUNTIF(Logs!$H403, Q$8)+COUNTIF(Logs!$H421, Q$8)+COUNTIF(Logs!$H439, Q$8)+COUNTIF(Logs!$H457, Q$8)+COUNTIF(Logs!$H475, Q$8)+COUNTIF(Logs!$H493, Q$8)+COUNTIF(Logs!$H511, Q$8)+COUNTIF(Logs!$H529, Q$8)+COUNTIF(Logs!$H547, Q$8)+COUNTIF(Logs!$H565, Q$8)+COUNTIF(Logs!$H582, Q$8)+COUNTIF(Logs!$H601, Q$8)+COUNTIF(Logs!$H617, Q$8)+COUNTIF(Logs!$H633, Q$8)+COUNTIF(Logs!$H650, Q$8)+COUNTIF(Logs!$H665, Q$8)+COUNTIF(Logs!$H681, Q$8)</f>
        <v>0</v>
      </c>
      <c r="R52" s="1437" t="str">
        <f t="shared" si="26"/>
        <v/>
      </c>
      <c r="S52" s="1439">
        <f>COUNTIF(Logs!$H19, S$8)+COUNTIF(Logs!$H37, S$8)+COUNTIF(Logs!$H55, S$8)+COUNTIF(Logs!$H73, S$8)+COUNTIF(Logs!$H91, S$8)+COUNTIF(Logs!$H110, S$8)+COUNTIF(Logs!$H130, S$8)+COUNTIF(Logs!$H149, S$8)+COUNTIF(Logs!$H169, S$8)+COUNTIF(Logs!$H187, S$8)+COUNTIF(Logs!$H208, S$8)+COUNTIF(Logs!$H225, S$8)+COUNTIF(Logs!$H243, S$8)+COUNTIF(Logs!$H260, S$8)+COUNTIF(Logs!$H277, S$8)+COUNTIF(Logs!$H295, S$8)+COUNTIF(Logs!$H312, S$8)+COUNTIF(Logs!$H330, S$8)+COUNTIF(Logs!$H348, S$8)+COUNTIF(Logs!$H366, S$8)+COUNTIF(Logs!$H384, S$8)+COUNTIF(Logs!$H403, S$8)+COUNTIF(Logs!$H421, S$8)+COUNTIF(Logs!$H439, S$8)+COUNTIF(Logs!$H457, S$8)+COUNTIF(Logs!$H475, S$8)+COUNTIF(Logs!$H493, S$8)+COUNTIF(Logs!$H511, S$8)+COUNTIF(Logs!$H529, S$8)+COUNTIF(Logs!$H547, S$8)+COUNTIF(Logs!$H565, S$8)+COUNTIF(Logs!$H582, S$8)+COUNTIF(Logs!$H601, S$8)+COUNTIF(Logs!$H617, S$8)+COUNTIF(Logs!$H633, S$8)+COUNTIF(Logs!$H650, S$8)+COUNTIF(Logs!$H665, S$8)+COUNTIF(Logs!$H681, S$8)</f>
        <v>0</v>
      </c>
      <c r="T52" s="1440" t="str">
        <f t="shared" si="27"/>
        <v/>
      </c>
      <c r="U52" s="1443">
        <f>COUNTIF(Logs!$H19, U$8)+COUNTIF(Logs!$H37, U$8)+COUNTIF(Logs!$H55, U$8)+COUNTIF(Logs!$H73, U$8)+COUNTIF(Logs!$H91, U$8)+COUNTIF(Logs!$H110, U$8)+COUNTIF(Logs!$H130, U$8)+COUNTIF(Logs!$H149, U$8)+COUNTIF(Logs!$H169, U$8)+COUNTIF(Logs!$H187, U$8)+COUNTIF(Logs!$H208, U$8)+COUNTIF(Logs!$H225, U$8)+COUNTIF(Logs!$H243, U$8)+COUNTIF(Logs!$H260, U$8)+COUNTIF(Logs!$H277, U$8)+COUNTIF(Logs!$H295, U$8)+COUNTIF(Logs!$H312, U$8)+COUNTIF(Logs!$H330, U$8)+COUNTIF(Logs!$H348, U$8)+COUNTIF(Logs!$H366, U$8)+COUNTIF(Logs!$H384, U$8)+COUNTIF(Logs!$H403, U$8)+COUNTIF(Logs!$H421, U$8)+COUNTIF(Logs!$H439, U$8)+COUNTIF(Logs!$H457, U$8)+COUNTIF(Logs!$H475, U$8)+COUNTIF(Logs!$H493, U$8)+COUNTIF(Logs!$H511, U$8)+COUNTIF(Logs!$H529, U$8)+COUNTIF(Logs!$H547, U$8)+COUNTIF(Logs!$H565, U$8)+COUNTIF(Logs!$H582, U$8)+COUNTIF(Logs!$H601, U$8)+COUNTIF(Logs!$H617, U$8)+COUNTIF(Logs!$H633, U$8)+COUNTIF(Logs!$H650, U$8)+COUNTIF(Logs!$H665, U$8)+COUNTIF(Logs!$H681, U$8)</f>
        <v>0</v>
      </c>
      <c r="V52" s="1444" t="str">
        <f t="shared" si="28"/>
        <v/>
      </c>
      <c r="W52" s="1101">
        <f>COUNTIF(Logs!$H19, W$8)+COUNTIF(Logs!$H37, W$8)+COUNTIF(Logs!$H55, W$8)+COUNTIF(Logs!$H73, W$8)+COUNTIF(Logs!$H91, W$8)+COUNTIF(Logs!$H110, W$8)+COUNTIF(Logs!$H130, W$8)+COUNTIF(Logs!$H149, W$8)+COUNTIF(Logs!$H169, W$8)+COUNTIF(Logs!$H187, W$8)+COUNTIF(Logs!$H208, W$8)+COUNTIF(Logs!$H225, W$8)+COUNTIF(Logs!$H243, W$8)+COUNTIF(Logs!$H260, W$8)+COUNTIF(Logs!$H277, W$8)+COUNTIF(Logs!$H295, W$8)+COUNTIF(Logs!$H312, W$8)+COUNTIF(Logs!$H330, W$8)+COUNTIF(Logs!$H348, W$8)+COUNTIF(Logs!$H366, W$8)+COUNTIF(Logs!$H384, W$8)+COUNTIF(Logs!$H403, W$8)+COUNTIF(Logs!$H421, W$8)+COUNTIF(Logs!$H439, W$8)+COUNTIF(Logs!$H457, W$8)+COUNTIF(Logs!$H475, W$8)+COUNTIF(Logs!$H493, W$8)+COUNTIF(Logs!$H511, W$8)+COUNTIF(Logs!$H529, W$8)+COUNTIF(Logs!$H547, W$8)+COUNTIF(Logs!$H565, W$8)+COUNTIF(Logs!$H582, W$8)+COUNTIF(Logs!$H601, W$8)+COUNTIF(Logs!$H617, W$8)+COUNTIF(Logs!$H633, W$8)+COUNTIF(Logs!$H650, W$8)+COUNTIF(Logs!$H665, W$8)+COUNTIF(Logs!$H681, W$8)</f>
        <v>0</v>
      </c>
      <c r="X52" s="1432" t="str">
        <f t="shared" si="29"/>
        <v/>
      </c>
    </row>
    <row r="53" spans="2:24">
      <c r="B53" s="1378" t="s">
        <v>1638</v>
      </c>
      <c r="C53" s="319">
        <f>COUNTIF(Logs!$G20, C$40)+COUNTIF(Logs!$G38, C$40)+COUNTIF(Logs!$G56, C$40)+COUNTIF(Logs!$G74, C$40)+COUNTIF(Logs!$G92, C$40)+COUNTIF(Logs!$G111, C$40)+COUNTIF(Logs!$G131, C$40)+COUNTIF(Logs!$G150, C$40)+COUNTIF(Logs!$G170, C$40)+COUNTIF(Logs!$G188, C$40)+COUNTIF(Logs!$G209, C$40)+COUNTIF(Logs!$G226, C$40)+COUNTIF(Logs!$G244, C$40)+COUNTIF(Logs!$G261, C$40)+COUNTIF(Logs!$G278, C$40)+COUNTIF(Logs!$G296, C$40)+COUNTIF(Logs!$G313, C$40)+COUNTIF(Logs!$G331, C$40)+COUNTIF(Logs!$G349, C$40)+COUNTIF(Logs!$G367, C$40)+COUNTIF(Logs!$G385, C$40)+COUNTIF(Logs!$G404, C$40)+COUNTIF(Logs!$G422, C$40)+COUNTIF(Logs!$G440, C$40)+COUNTIF(Logs!$G458, C$40)+COUNTIF(Logs!$G476, C$40)+COUNTIF(Logs!$G494, C$40)+COUNTIF(Logs!$G512, C$40)+COUNTIF(Logs!$G530, C$40)+COUNTIF(Logs!$G548, C$40)+COUNTIF(Logs!$G566, C$40)+COUNTIF(Logs!$G583, C$40)+COUNTIF(Logs!$G602, C$40)+COUNTIF(Logs!$G618, C$40)+COUNTIF(Logs!$G634, C$40)+COUNTIF(Logs!$G651, C$40)+COUNTIF(Logs!$G666, C$40)+COUNTIF(Logs!$G682, C$40)</f>
        <v>0</v>
      </c>
      <c r="D53" s="1448" t="str">
        <f t="shared" si="20"/>
        <v/>
      </c>
      <c r="E53" s="342">
        <f>COUNTIF(Logs!$G20, E$40)+COUNTIF(Logs!$G38, E$40)+COUNTIF(Logs!$G56, E$40)+COUNTIF(Logs!$G74, E$40)+COUNTIF(Logs!$G92, E$40)+COUNTIF(Logs!$G111, E$40)+COUNTIF(Logs!$G131, E$40)+COUNTIF(Logs!$G150, E$40)+COUNTIF(Logs!$G170, E$40)+COUNTIF(Logs!$G188, E$40)+COUNTIF(Logs!$G209, E$40)+COUNTIF(Logs!$G226, E$40)+COUNTIF(Logs!$G244, E$40)+COUNTIF(Logs!$G261, E$40)+COUNTIF(Logs!$G278, E$40)+COUNTIF(Logs!$G296, E$40)+COUNTIF(Logs!$G313, E$40)+COUNTIF(Logs!$G331, E$40)+COUNTIF(Logs!$G349, E$40)+COUNTIF(Logs!$G367, E$40)+COUNTIF(Logs!$G385, E$40)+COUNTIF(Logs!$G404, E$40)+COUNTIF(Logs!$G422, E$40)+COUNTIF(Logs!$G440, E$40)+COUNTIF(Logs!$G458, E$40)+COUNTIF(Logs!$G476, E$40)+COUNTIF(Logs!$G494, E$40)+COUNTIF(Logs!$G512, E$40)+COUNTIF(Logs!$G530, E$40)+COUNTIF(Logs!$G548, E$40)+COUNTIF(Logs!$G566, E$40)+COUNTIF(Logs!$G583, E$40)+COUNTIF(Logs!$G602, E$40)+COUNTIF(Logs!$G618, E$40)+COUNTIF(Logs!$G634, E$40)+COUNTIF(Logs!$G651, E$40)+COUNTIF(Logs!$G666, E$40)+COUNTIF(Logs!$G682, E$40)</f>
        <v>0</v>
      </c>
      <c r="F53" s="1437" t="str">
        <f t="shared" si="21"/>
        <v/>
      </c>
      <c r="G53" s="1439">
        <f>COUNTIF(Logs!$G20, G$40)+COUNTIF(Logs!$G38, G$40)+COUNTIF(Logs!$G56, G$40)+COUNTIF(Logs!$G74, G$40)+COUNTIF(Logs!$G92, G$40)+COUNTIF(Logs!$G111, G$40)+COUNTIF(Logs!$G131, G$40)+COUNTIF(Logs!$G150, G$40)+COUNTIF(Logs!$G170, G$40)+COUNTIF(Logs!$G188, G$40)+COUNTIF(Logs!$G209, G$40)+COUNTIF(Logs!$G226, G$40)+COUNTIF(Logs!$G244, G$40)+COUNTIF(Logs!$G261, G$40)+COUNTIF(Logs!$G278, G$40)+COUNTIF(Logs!$G296, G$40)+COUNTIF(Logs!$G313, G$40)+COUNTIF(Logs!$G331, G$40)+COUNTIF(Logs!$G349, G$40)+COUNTIF(Logs!$G367, G$40)+COUNTIF(Logs!$G385, G$40)+COUNTIF(Logs!$G404, G$40)+COUNTIF(Logs!$G422, G$40)+COUNTIF(Logs!$G440, G$40)+COUNTIF(Logs!$G458, G$40)+COUNTIF(Logs!$G476, G$40)+COUNTIF(Logs!$G494, G$40)+COUNTIF(Logs!$G512, G$40)+COUNTIF(Logs!$G530, G$40)+COUNTIF(Logs!$G548, G$40)+COUNTIF(Logs!$G566, G$40)+COUNTIF(Logs!$G583, G$40)+COUNTIF(Logs!$G602, G$40)+COUNTIF(Logs!$G618, G$40)+COUNTIF(Logs!$G634, G$40)+COUNTIF(Logs!$G651, G$40)+COUNTIF(Logs!$G666, G$40)+COUNTIF(Logs!$G682, G$40)</f>
        <v>0</v>
      </c>
      <c r="H53" s="1440" t="str">
        <f t="shared" si="22"/>
        <v/>
      </c>
      <c r="I53" s="1443">
        <f>COUNTIF(Logs!$G20, I$40)+COUNTIF(Logs!$G38, I$40)+COUNTIF(Logs!$G56, I$40)+COUNTIF(Logs!$G74, I$40)+COUNTIF(Logs!$G92, I$40)+COUNTIF(Logs!$G111, I$40)+COUNTIF(Logs!$G131, I$40)+COUNTIF(Logs!$G150, I$40)+COUNTIF(Logs!$G170, I$40)+COUNTIF(Logs!$G188, I$40)+COUNTIF(Logs!$G209, I$40)+COUNTIF(Logs!$G226, I$40)+COUNTIF(Logs!$G244, I$40)+COUNTIF(Logs!$G261, I$40)+COUNTIF(Logs!$G278, I$40)+COUNTIF(Logs!$G296, I$40)+COUNTIF(Logs!$G313, I$40)+COUNTIF(Logs!$G331, I$40)+COUNTIF(Logs!$G349, I$40)+COUNTIF(Logs!$G367, I$40)+COUNTIF(Logs!$G385, I$40)+COUNTIF(Logs!$G404, I$40)+COUNTIF(Logs!$G422, I$40)+COUNTIF(Logs!$G440, I$40)+COUNTIF(Logs!$G458, I$40)+COUNTIF(Logs!$G476, I$40)+COUNTIF(Logs!$G494, I$40)+COUNTIF(Logs!$G512, I$40)+COUNTIF(Logs!$G530, I$40)+COUNTIF(Logs!$G548, I$40)+COUNTIF(Logs!$G566, I$40)+COUNTIF(Logs!$G583, I$40)+COUNTIF(Logs!$G602, I$40)+COUNTIF(Logs!$G618, I$40)+COUNTIF(Logs!$G634, I$40)+COUNTIF(Logs!$G651, I$40)+COUNTIF(Logs!$G666, I$40)+COUNTIF(Logs!$G682, I$40)</f>
        <v>0</v>
      </c>
      <c r="J53" s="1444" t="str">
        <f t="shared" si="23"/>
        <v/>
      </c>
      <c r="K53" s="1101">
        <f>COUNTIF(Logs!$G20, K$40)+COUNTIF(Logs!$G38, K$40)+COUNTIF(Logs!$G56, K$40)+COUNTIF(Logs!$G74, K$40)+COUNTIF(Logs!$G92, K$40)+COUNTIF(Logs!$G111, K$40)+COUNTIF(Logs!$G131, K$40)+COUNTIF(Logs!$G150, K$40)+COUNTIF(Logs!$G170, K$40)+COUNTIF(Logs!$G188, K$40)+COUNTIF(Logs!$G209, K$40)+COUNTIF(Logs!$G226, K$40)+COUNTIF(Logs!$G244, K$40)+COUNTIF(Logs!$G261, K$40)+COUNTIF(Logs!$G278, K$40)+COUNTIF(Logs!$G296, K$40)+COUNTIF(Logs!$G313, K$40)+COUNTIF(Logs!$G331, K$40)+COUNTIF(Logs!$G349, K$40)+COUNTIF(Logs!$G367, K$40)+COUNTIF(Logs!$G385, K$40)+COUNTIF(Logs!$G404, K$40)+COUNTIF(Logs!$G422, K$40)+COUNTIF(Logs!$G440, K$40)+COUNTIF(Logs!$G458, K$40)+COUNTIF(Logs!$G476, K$40)+COUNTIF(Logs!$G494, K$40)+COUNTIF(Logs!$G512, K$40)+COUNTIF(Logs!$G530, K$40)+COUNTIF(Logs!$G548, K$40)+COUNTIF(Logs!$G566, K$40)+COUNTIF(Logs!$G583, K$40)+COUNTIF(Logs!$G602, K$40)+COUNTIF(Logs!$G618, K$40)+COUNTIF(Logs!$G634, K$40)+COUNTIF(Logs!$G651, K$40)+COUNTIF(Logs!$G666, K$40)+COUNTIF(Logs!$G682, K$40)</f>
        <v>0</v>
      </c>
      <c r="L53" s="1432" t="str">
        <f t="shared" si="24"/>
        <v/>
      </c>
      <c r="N53" s="1378" t="s">
        <v>1638</v>
      </c>
      <c r="O53" s="319">
        <f>COUNTIF(Logs!$H20, O$8)+COUNTIF(Logs!$H38, O$8)+COUNTIF(Logs!$H56, O$8)+COUNTIF(Logs!$H74, O$8)+COUNTIF(Logs!$H92, O$8)+COUNTIF(Logs!$H111, O$8)+COUNTIF(Logs!$H131, O$8)+COUNTIF(Logs!$H150, O$8)+COUNTIF(Logs!$H170, O$8)+COUNTIF(Logs!$H188, O$8)+COUNTIF(Logs!$H209, O$8)+COUNTIF(Logs!$H226, O$8)+COUNTIF(Logs!$H244, O$8)+COUNTIF(Logs!$H261, O$8)+COUNTIF(Logs!$H278, O$8)+COUNTIF(Logs!$H296, O$8)+COUNTIF(Logs!$H313, O$8)+COUNTIF(Logs!$H331, O$8)+COUNTIF(Logs!$H349, O$8)+COUNTIF(Logs!$H367, O$8)+COUNTIF(Logs!$H385, O$8)+COUNTIF(Logs!$H404, O$8)+COUNTIF(Logs!$H422, O$8)+COUNTIF(Logs!$H440, O$8)+COUNTIF(Logs!$H458, O$8)+COUNTIF(Logs!$H476, O$8)+COUNTIF(Logs!$H494, O$8)+COUNTIF(Logs!$H512, O$8)+COUNTIF(Logs!$H530, O$8)+COUNTIF(Logs!$H548, O$8)+COUNTIF(Logs!$H566, O$8)+COUNTIF(Logs!$H583, O$8)+COUNTIF(Logs!$H602, O$8)+COUNTIF(Logs!$H618, O$8)+COUNTIF(Logs!$H634, O$8)+COUNTIF(Logs!$H651, O$8)+COUNTIF(Logs!$H666, O$8)+COUNTIF(Logs!$H682, O$8)</f>
        <v>0</v>
      </c>
      <c r="P53" s="1448" t="str">
        <f t="shared" si="25"/>
        <v/>
      </c>
      <c r="Q53" s="342">
        <f>COUNTIF(Logs!$H20, Q$8)+COUNTIF(Logs!$H38, Q$8)+COUNTIF(Logs!$H56, Q$8)+COUNTIF(Logs!$H74, Q$8)+COUNTIF(Logs!$H92, Q$8)+COUNTIF(Logs!$H111, Q$8)+COUNTIF(Logs!$H131, Q$8)+COUNTIF(Logs!$H150, Q$8)+COUNTIF(Logs!$H170, Q$8)+COUNTIF(Logs!$H188, Q$8)+COUNTIF(Logs!$H209, Q$8)+COUNTIF(Logs!$H226, Q$8)+COUNTIF(Logs!$H244, Q$8)+COUNTIF(Logs!$H261, Q$8)+COUNTIF(Logs!$H278, Q$8)+COUNTIF(Logs!$H296, Q$8)+COUNTIF(Logs!$H313, Q$8)+COUNTIF(Logs!$H331, Q$8)+COUNTIF(Logs!$H349, Q$8)+COUNTIF(Logs!$H367, Q$8)+COUNTIF(Logs!$H385, Q$8)+COUNTIF(Logs!$H404, Q$8)+COUNTIF(Logs!$H422, Q$8)+COUNTIF(Logs!$H440, Q$8)+COUNTIF(Logs!$H458, Q$8)+COUNTIF(Logs!$H476, Q$8)+COUNTIF(Logs!$H494, Q$8)+COUNTIF(Logs!$H512, Q$8)+COUNTIF(Logs!$H530, Q$8)+COUNTIF(Logs!$H548, Q$8)+COUNTIF(Logs!$H566, Q$8)+COUNTIF(Logs!$H583, Q$8)+COUNTIF(Logs!$H602, Q$8)+COUNTIF(Logs!$H618, Q$8)+COUNTIF(Logs!$H634, Q$8)+COUNTIF(Logs!$H651, Q$8)+COUNTIF(Logs!$H666, Q$8)+COUNTIF(Logs!$H682, Q$8)</f>
        <v>1</v>
      </c>
      <c r="R53" s="1437">
        <f t="shared" si="26"/>
        <v>1</v>
      </c>
      <c r="S53" s="1439">
        <f>COUNTIF(Logs!$H20, S$8)+COUNTIF(Logs!$H38, S$8)+COUNTIF(Logs!$H56, S$8)+COUNTIF(Logs!$H74, S$8)+COUNTIF(Logs!$H92, S$8)+COUNTIF(Logs!$H111, S$8)+COUNTIF(Logs!$H131, S$8)+COUNTIF(Logs!$H150, S$8)+COUNTIF(Logs!$H170, S$8)+COUNTIF(Logs!$H188, S$8)+COUNTIF(Logs!$H209, S$8)+COUNTIF(Logs!$H226, S$8)+COUNTIF(Logs!$H244, S$8)+COUNTIF(Logs!$H261, S$8)+COUNTIF(Logs!$H278, S$8)+COUNTIF(Logs!$H296, S$8)+COUNTIF(Logs!$H313, S$8)+COUNTIF(Logs!$H331, S$8)+COUNTIF(Logs!$H349, S$8)+COUNTIF(Logs!$H367, S$8)+COUNTIF(Logs!$H385, S$8)+COUNTIF(Logs!$H404, S$8)+COUNTIF(Logs!$H422, S$8)+COUNTIF(Logs!$H440, S$8)+COUNTIF(Logs!$H458, S$8)+COUNTIF(Logs!$H476, S$8)+COUNTIF(Logs!$H494, S$8)+COUNTIF(Logs!$H512, S$8)+COUNTIF(Logs!$H530, S$8)+COUNTIF(Logs!$H548, S$8)+COUNTIF(Logs!$H566, S$8)+COUNTIF(Logs!$H583, S$8)+COUNTIF(Logs!$H602, S$8)+COUNTIF(Logs!$H618, S$8)+COUNTIF(Logs!$H634, S$8)+COUNTIF(Logs!$H651, S$8)+COUNTIF(Logs!$H666, S$8)+COUNTIF(Logs!$H682, S$8)</f>
        <v>0</v>
      </c>
      <c r="T53" s="1440" t="str">
        <f t="shared" si="27"/>
        <v/>
      </c>
      <c r="U53" s="1443">
        <f>COUNTIF(Logs!$H20, U$8)+COUNTIF(Logs!$H38, U$8)+COUNTIF(Logs!$H56, U$8)+COUNTIF(Logs!$H74, U$8)+COUNTIF(Logs!$H92, U$8)+COUNTIF(Logs!$H111, U$8)+COUNTIF(Logs!$H131, U$8)+COUNTIF(Logs!$H150, U$8)+COUNTIF(Logs!$H170, U$8)+COUNTIF(Logs!$H188, U$8)+COUNTIF(Logs!$H209, U$8)+COUNTIF(Logs!$H226, U$8)+COUNTIF(Logs!$H244, U$8)+COUNTIF(Logs!$H261, U$8)+COUNTIF(Logs!$H278, U$8)+COUNTIF(Logs!$H296, U$8)+COUNTIF(Logs!$H313, U$8)+COUNTIF(Logs!$H331, U$8)+COUNTIF(Logs!$H349, U$8)+COUNTIF(Logs!$H367, U$8)+COUNTIF(Logs!$H385, U$8)+COUNTIF(Logs!$H404, U$8)+COUNTIF(Logs!$H422, U$8)+COUNTIF(Logs!$H440, U$8)+COUNTIF(Logs!$H458, U$8)+COUNTIF(Logs!$H476, U$8)+COUNTIF(Logs!$H494, U$8)+COUNTIF(Logs!$H512, U$8)+COUNTIF(Logs!$H530, U$8)+COUNTIF(Logs!$H548, U$8)+COUNTIF(Logs!$H566, U$8)+COUNTIF(Logs!$H583, U$8)+COUNTIF(Logs!$H602, U$8)+COUNTIF(Logs!$H618, U$8)+COUNTIF(Logs!$H634, U$8)+COUNTIF(Logs!$H651, U$8)+COUNTIF(Logs!$H666, U$8)+COUNTIF(Logs!$H682, U$8)</f>
        <v>0</v>
      </c>
      <c r="V53" s="1444" t="str">
        <f t="shared" si="28"/>
        <v/>
      </c>
      <c r="W53" s="1101">
        <f>COUNTIF(Logs!$H20, W$8)+COUNTIF(Logs!$H38, W$8)+COUNTIF(Logs!$H56, W$8)+COUNTIF(Logs!$H74, W$8)+COUNTIF(Logs!$H92, W$8)+COUNTIF(Logs!$H111, W$8)+COUNTIF(Logs!$H131, W$8)+COUNTIF(Logs!$H150, W$8)+COUNTIF(Logs!$H170, W$8)+COUNTIF(Logs!$H188, W$8)+COUNTIF(Logs!$H209, W$8)+COUNTIF(Logs!$H226, W$8)+COUNTIF(Logs!$H244, W$8)+COUNTIF(Logs!$H261, W$8)+COUNTIF(Logs!$H278, W$8)+COUNTIF(Logs!$H296, W$8)+COUNTIF(Logs!$H313, W$8)+COUNTIF(Logs!$H331, W$8)+COUNTIF(Logs!$H349, W$8)+COUNTIF(Logs!$H367, W$8)+COUNTIF(Logs!$H385, W$8)+COUNTIF(Logs!$H404, W$8)+COUNTIF(Logs!$H422, W$8)+COUNTIF(Logs!$H440, W$8)+COUNTIF(Logs!$H458, W$8)+COUNTIF(Logs!$H476, W$8)+COUNTIF(Logs!$H494, W$8)+COUNTIF(Logs!$H512, W$8)+COUNTIF(Logs!$H530, W$8)+COUNTIF(Logs!$H548, W$8)+COUNTIF(Logs!$H566, W$8)+COUNTIF(Logs!$H583, W$8)+COUNTIF(Logs!$H602, W$8)+COUNTIF(Logs!$H618, W$8)+COUNTIF(Logs!$H634, W$8)+COUNTIF(Logs!$H651, W$8)+COUNTIF(Logs!$H666, W$8)+COUNTIF(Logs!$H682, W$8)</f>
        <v>0</v>
      </c>
      <c r="X53" s="1432" t="str">
        <f t="shared" si="29"/>
        <v/>
      </c>
    </row>
    <row r="54" spans="2:24" ht="16.5" thickBot="1">
      <c r="B54" s="1379" t="s">
        <v>1639</v>
      </c>
      <c r="C54" s="1108">
        <f>COUNTIF(Logs!$G21, C$40)+COUNTIF(Logs!$G39, C$40)+COUNTIF(Logs!$G57, C$40)+COUNTIF(Logs!$G75, C$40)+COUNTIF(Logs!$G93, C$40)+COUNTIF(Logs!$G112, C$40)+COUNTIF(Logs!$G132, C$40)+COUNTIF(Logs!$G151, C$40)+COUNTIF(Logs!$G171, C$40)+COUNTIF(Logs!$G189, C$40)+COUNTIF(Logs!$G210, C$40)+COUNTIF(Logs!$G227, C$40)+COUNTIF(Logs!$G245, C$40)+COUNTIF(Logs!$G262, C$40)+COUNTIF(Logs!$G279, C$40)+COUNTIF(Logs!$G297, C$40)+COUNTIF(Logs!$G314, C$40)+COUNTIF(Logs!$G332, C$40)+COUNTIF(Logs!$G350, C$40)+COUNTIF(Logs!$G368, C$40)+COUNTIF(Logs!$G386, C$40)+COUNTIF(Logs!$G405, C$40)+COUNTIF(Logs!$G423, C$40)+COUNTIF(Logs!$G441, C$40)+COUNTIF(Logs!$G459, C$40)+COUNTIF(Logs!$G477, C$40)+COUNTIF(Logs!$G495, C$40)+COUNTIF(Logs!$G513, C$40)+COUNTIF(Logs!$G531, C$40)+COUNTIF(Logs!$G549, C$40)+COUNTIF(Logs!$G567, C$40)+COUNTIF(Logs!$G584, C$40)+COUNTIF(Logs!$G603, C$40)+COUNTIF(Logs!$G619, C$40)+COUNTIF(Logs!$G635, C$40)+COUNTIF(Logs!$G652, C$40)+COUNTIF(Logs!$G667, C$40)+COUNTIF(Logs!$G683, C$40)</f>
        <v>0</v>
      </c>
      <c r="D54" s="1449" t="str">
        <f t="shared" si="20"/>
        <v/>
      </c>
      <c r="E54" s="1435">
        <f>COUNTIF(Logs!$G21, E$40)+COUNTIF(Logs!$G39, E$40)+COUNTIF(Logs!$G57, E$40)+COUNTIF(Logs!$G75, E$40)+COUNTIF(Logs!$G93, E$40)+COUNTIF(Logs!$G112, E$40)+COUNTIF(Logs!$G132, E$40)+COUNTIF(Logs!$G151, E$40)+COUNTIF(Logs!$G171, E$40)+COUNTIF(Logs!$G189, E$40)+COUNTIF(Logs!$G210, E$40)+COUNTIF(Logs!$G227, E$40)+COUNTIF(Logs!$G245, E$40)+COUNTIF(Logs!$G262, E$40)+COUNTIF(Logs!$G279, E$40)+COUNTIF(Logs!$G297, E$40)+COUNTIF(Logs!$G314, E$40)+COUNTIF(Logs!$G332, E$40)+COUNTIF(Logs!$G350, E$40)+COUNTIF(Logs!$G368, E$40)+COUNTIF(Logs!$G386, E$40)+COUNTIF(Logs!$G405, E$40)+COUNTIF(Logs!$G423, E$40)+COUNTIF(Logs!$G441, E$40)+COUNTIF(Logs!$G459, E$40)+COUNTIF(Logs!$G477, E$40)+COUNTIF(Logs!$G495, E$40)+COUNTIF(Logs!$G513, E$40)+COUNTIF(Logs!$G531, E$40)+COUNTIF(Logs!$G549, E$40)+COUNTIF(Logs!$G567, E$40)+COUNTIF(Logs!$G584, E$40)+COUNTIF(Logs!$G603, E$40)+COUNTIF(Logs!$G619, E$40)+COUNTIF(Logs!$G635, E$40)+COUNTIF(Logs!$G652, E$40)+COUNTIF(Logs!$G667, E$40)+COUNTIF(Logs!$G683, E$40)</f>
        <v>0</v>
      </c>
      <c r="F54" s="1438" t="str">
        <f t="shared" si="21"/>
        <v/>
      </c>
      <c r="G54" s="1441">
        <f>COUNTIF(Logs!$G21, G$40)+COUNTIF(Logs!$G39, G$40)+COUNTIF(Logs!$G57, G$40)+COUNTIF(Logs!$G75, G$40)+COUNTIF(Logs!$G93, G$40)+COUNTIF(Logs!$G112, G$40)+COUNTIF(Logs!$G132, G$40)+COUNTIF(Logs!$G151, G$40)+COUNTIF(Logs!$G171, G$40)+COUNTIF(Logs!$G189, G$40)+COUNTIF(Logs!$G210, G$40)+COUNTIF(Logs!$G227, G$40)+COUNTIF(Logs!$G245, G$40)+COUNTIF(Logs!$G262, G$40)+COUNTIF(Logs!$G279, G$40)+COUNTIF(Logs!$G297, G$40)+COUNTIF(Logs!$G314, G$40)+COUNTIF(Logs!$G332, G$40)+COUNTIF(Logs!$G350, G$40)+COUNTIF(Logs!$G368, G$40)+COUNTIF(Logs!$G386, G$40)+COUNTIF(Logs!$G405, G$40)+COUNTIF(Logs!$G423, G$40)+COUNTIF(Logs!$G441, G$40)+COUNTIF(Logs!$G459, G$40)+COUNTIF(Logs!$G477, G$40)+COUNTIF(Logs!$G495, G$40)+COUNTIF(Logs!$G513, G$40)+COUNTIF(Logs!$G531, G$40)+COUNTIF(Logs!$G549, G$40)+COUNTIF(Logs!$G567, G$40)+COUNTIF(Logs!$G584, G$40)+COUNTIF(Logs!$G603, G$40)+COUNTIF(Logs!$G619, G$40)+COUNTIF(Logs!$G635, G$40)+COUNTIF(Logs!$G652, G$40)+COUNTIF(Logs!$G667, G$40)+COUNTIF(Logs!$G683, G$40)</f>
        <v>0</v>
      </c>
      <c r="H54" s="1442" t="str">
        <f t="shared" si="22"/>
        <v/>
      </c>
      <c r="I54" s="1445">
        <f>COUNTIF(Logs!$G21, I$40)+COUNTIF(Logs!$G39, I$40)+COUNTIF(Logs!$G57, I$40)+COUNTIF(Logs!$G75, I$40)+COUNTIF(Logs!$G93, I$40)+COUNTIF(Logs!$G112, I$40)+COUNTIF(Logs!$G132, I$40)+COUNTIF(Logs!$G151, I$40)+COUNTIF(Logs!$G171, I$40)+COUNTIF(Logs!$G189, I$40)+COUNTIF(Logs!$G210, I$40)+COUNTIF(Logs!$G227, I$40)+COUNTIF(Logs!$G245, I$40)+COUNTIF(Logs!$G262, I$40)+COUNTIF(Logs!$G279, I$40)+COUNTIF(Logs!$G297, I$40)+COUNTIF(Logs!$G314, I$40)+COUNTIF(Logs!$G332, I$40)+COUNTIF(Logs!$G350, I$40)+COUNTIF(Logs!$G368, I$40)+COUNTIF(Logs!$G386, I$40)+COUNTIF(Logs!$G405, I$40)+COUNTIF(Logs!$G423, I$40)+COUNTIF(Logs!$G441, I$40)+COUNTIF(Logs!$G459, I$40)+COUNTIF(Logs!$G477, I$40)+COUNTIF(Logs!$G495, I$40)+COUNTIF(Logs!$G513, I$40)+COUNTIF(Logs!$G531, I$40)+COUNTIF(Logs!$G549, I$40)+COUNTIF(Logs!$G567, I$40)+COUNTIF(Logs!$G584, I$40)+COUNTIF(Logs!$G603, I$40)+COUNTIF(Logs!$G619, I$40)+COUNTIF(Logs!$G635, I$40)+COUNTIF(Logs!$G652, I$40)+COUNTIF(Logs!$G667, I$40)+COUNTIF(Logs!$G683, I$40)</f>
        <v>0</v>
      </c>
      <c r="J54" s="1446" t="str">
        <f t="shared" si="23"/>
        <v/>
      </c>
      <c r="K54" s="1433">
        <f>COUNTIF(Logs!$G21, K$40)+COUNTIF(Logs!$G39, K$40)+COUNTIF(Logs!$G57, K$40)+COUNTIF(Logs!$G75, K$40)+COUNTIF(Logs!$G93, K$40)+COUNTIF(Logs!$G112, K$40)+COUNTIF(Logs!$G132, K$40)+COUNTIF(Logs!$G151, K$40)+COUNTIF(Logs!$G171, K$40)+COUNTIF(Logs!$G189, K$40)+COUNTIF(Logs!$G210, K$40)+COUNTIF(Logs!$G227, K$40)+COUNTIF(Logs!$G245, K$40)+COUNTIF(Logs!$G262, K$40)+COUNTIF(Logs!$G279, K$40)+COUNTIF(Logs!$G297, K$40)+COUNTIF(Logs!$G314, K$40)+COUNTIF(Logs!$G332, K$40)+COUNTIF(Logs!$G350, K$40)+COUNTIF(Logs!$G368, K$40)+COUNTIF(Logs!$G386, K$40)+COUNTIF(Logs!$G405, K$40)+COUNTIF(Logs!$G423, K$40)+COUNTIF(Logs!$G441, K$40)+COUNTIF(Logs!$G459, K$40)+COUNTIF(Logs!$G477, K$40)+COUNTIF(Logs!$G495, K$40)+COUNTIF(Logs!$G513, K$40)+COUNTIF(Logs!$G531, K$40)+COUNTIF(Logs!$G549, K$40)+COUNTIF(Logs!$G567, K$40)+COUNTIF(Logs!$G584, K$40)+COUNTIF(Logs!$G603, K$40)+COUNTIF(Logs!$G619, K$40)+COUNTIF(Logs!$G635, K$40)+COUNTIF(Logs!$G652, K$40)+COUNTIF(Logs!$G667, K$40)+COUNTIF(Logs!$G683, K$40)</f>
        <v>0</v>
      </c>
      <c r="L54" s="1434" t="str">
        <f t="shared" si="24"/>
        <v/>
      </c>
      <c r="N54" s="1379" t="s">
        <v>1639</v>
      </c>
      <c r="O54" s="1447">
        <f>COUNTIF(Logs!$H21, O$8)+COUNTIF(Logs!$H39, O$8)+COUNTIF(Logs!$H57, O$8)+COUNTIF(Logs!$H75, O$8)+COUNTIF(Logs!$H93, O$8)+COUNTIF(Logs!$H112, O$8)+COUNTIF(Logs!$H132, O$8)+COUNTIF(Logs!$H151, O$8)+COUNTIF(Logs!$H171, O$8)+COUNTIF(Logs!$H189, O$8)+COUNTIF(Logs!$H210, O$8)+COUNTIF(Logs!$H227, O$8)+COUNTIF(Logs!$H245, O$8)+COUNTIF(Logs!$H262, O$8)+COUNTIF(Logs!$H279, O$8)+COUNTIF(Logs!$H297, O$8)+COUNTIF(Logs!$H314, O$8)+COUNTIF(Logs!$H332, O$8)+COUNTIF(Logs!$H350, O$8)+COUNTIF(Logs!$H368, O$8)+COUNTIF(Logs!$H386, O$8)+COUNTIF(Logs!$H405, O$8)+COUNTIF(Logs!$H423, O$8)+COUNTIF(Logs!$H441, O$8)+COUNTIF(Logs!$H459, O$8)+COUNTIF(Logs!$H477, O$8)+COUNTIF(Logs!$H495, O$8)+COUNTIF(Logs!$H513, O$8)+COUNTIF(Logs!$H531, O$8)+COUNTIF(Logs!$H549, O$8)+COUNTIF(Logs!$H567, O$8)+COUNTIF(Logs!$H584, O$8)+COUNTIF(Logs!$H603, O$8)+COUNTIF(Logs!$H619, O$8)+COUNTIF(Logs!$H635, O$8)+COUNTIF(Logs!$H652, O$8)+COUNTIF(Logs!$H667, O$8)+COUNTIF(Logs!$H683, O$8)</f>
        <v>1</v>
      </c>
      <c r="P54" s="1449">
        <f t="shared" si="25"/>
        <v>1</v>
      </c>
      <c r="Q54" s="1435">
        <f>COUNTIF(Logs!$H21, Q$8)+COUNTIF(Logs!$H39, Q$8)+COUNTIF(Logs!$H57, Q$8)+COUNTIF(Logs!$H75, Q$8)+COUNTIF(Logs!$H93, Q$8)+COUNTIF(Logs!$H112, Q$8)+COUNTIF(Logs!$H132, Q$8)+COUNTIF(Logs!$H151, Q$8)+COUNTIF(Logs!$H171, Q$8)+COUNTIF(Logs!$H189, Q$8)+COUNTIF(Logs!$H210, Q$8)+COUNTIF(Logs!$H227, Q$8)+COUNTIF(Logs!$H245, Q$8)+COUNTIF(Logs!$H262, Q$8)+COUNTIF(Logs!$H279, Q$8)+COUNTIF(Logs!$H297, Q$8)+COUNTIF(Logs!$H314, Q$8)+COUNTIF(Logs!$H332, Q$8)+COUNTIF(Logs!$H350, Q$8)+COUNTIF(Logs!$H368, Q$8)+COUNTIF(Logs!$H386, Q$8)+COUNTIF(Logs!$H405, Q$8)+COUNTIF(Logs!$H423, Q$8)+COUNTIF(Logs!$H441, Q$8)+COUNTIF(Logs!$H459, Q$8)+COUNTIF(Logs!$H477, Q$8)+COUNTIF(Logs!$H495, Q$8)+COUNTIF(Logs!$H513, Q$8)+COUNTIF(Logs!$H531, Q$8)+COUNTIF(Logs!$H549, Q$8)+COUNTIF(Logs!$H567, Q$8)+COUNTIF(Logs!$H584, Q$8)+COUNTIF(Logs!$H603, Q$8)+COUNTIF(Logs!$H619, Q$8)+COUNTIF(Logs!$H635, Q$8)+COUNTIF(Logs!$H652, Q$8)+COUNTIF(Logs!$H667, Q$8)+COUNTIF(Logs!$H683, Q$8)</f>
        <v>0</v>
      </c>
      <c r="R54" s="1438" t="str">
        <f t="shared" si="26"/>
        <v/>
      </c>
      <c r="S54" s="1441">
        <f>COUNTIF(Logs!$H21, S$8)+COUNTIF(Logs!$H39, S$8)+COUNTIF(Logs!$H57, S$8)+COUNTIF(Logs!$H75, S$8)+COUNTIF(Logs!$H93, S$8)+COUNTIF(Logs!$H112, S$8)+COUNTIF(Logs!$H132, S$8)+COUNTIF(Logs!$H151, S$8)+COUNTIF(Logs!$H171, S$8)+COUNTIF(Logs!$H189, S$8)+COUNTIF(Logs!$H210, S$8)+COUNTIF(Logs!$H227, S$8)+COUNTIF(Logs!$H245, S$8)+COUNTIF(Logs!$H262, S$8)+COUNTIF(Logs!$H279, S$8)+COUNTIF(Logs!$H297, S$8)+COUNTIF(Logs!$H314, S$8)+COUNTIF(Logs!$H332, S$8)+COUNTIF(Logs!$H350, S$8)+COUNTIF(Logs!$H368, S$8)+COUNTIF(Logs!$H386, S$8)+COUNTIF(Logs!$H405, S$8)+COUNTIF(Logs!$H423, S$8)+COUNTIF(Logs!$H441, S$8)+COUNTIF(Logs!$H459, S$8)+COUNTIF(Logs!$H477, S$8)+COUNTIF(Logs!$H495, S$8)+COUNTIF(Logs!$H513, S$8)+COUNTIF(Logs!$H531, S$8)+COUNTIF(Logs!$H549, S$8)+COUNTIF(Logs!$H567, S$8)+COUNTIF(Logs!$H584, S$8)+COUNTIF(Logs!$H603, S$8)+COUNTIF(Logs!$H619, S$8)+COUNTIF(Logs!$H635, S$8)+COUNTIF(Logs!$H652, S$8)+COUNTIF(Logs!$H667, S$8)+COUNTIF(Logs!$H683, S$8)</f>
        <v>0</v>
      </c>
      <c r="T54" s="1442" t="str">
        <f t="shared" si="27"/>
        <v/>
      </c>
      <c r="U54" s="1445">
        <f>COUNTIF(Logs!$H21, U$8)+COUNTIF(Logs!$H39, U$8)+COUNTIF(Logs!$H57, U$8)+COUNTIF(Logs!$H75, U$8)+COUNTIF(Logs!$H93, U$8)+COUNTIF(Logs!$H112, U$8)+COUNTIF(Logs!$H132, U$8)+COUNTIF(Logs!$H151, U$8)+COUNTIF(Logs!$H171, U$8)+COUNTIF(Logs!$H189, U$8)+COUNTIF(Logs!$H210, U$8)+COUNTIF(Logs!$H227, U$8)+COUNTIF(Logs!$H245, U$8)+COUNTIF(Logs!$H262, U$8)+COUNTIF(Logs!$H279, U$8)+COUNTIF(Logs!$H297, U$8)+COUNTIF(Logs!$H314, U$8)+COUNTIF(Logs!$H332, U$8)+COUNTIF(Logs!$H350, U$8)+COUNTIF(Logs!$H368, U$8)+COUNTIF(Logs!$H386, U$8)+COUNTIF(Logs!$H405, U$8)+COUNTIF(Logs!$H423, U$8)+COUNTIF(Logs!$H441, U$8)+COUNTIF(Logs!$H459, U$8)+COUNTIF(Logs!$H477, U$8)+COUNTIF(Logs!$H495, U$8)+COUNTIF(Logs!$H513, U$8)+COUNTIF(Logs!$H531, U$8)+COUNTIF(Logs!$H549, U$8)+COUNTIF(Logs!$H567, U$8)+COUNTIF(Logs!$H584, U$8)+COUNTIF(Logs!$H603, U$8)+COUNTIF(Logs!$H619, U$8)+COUNTIF(Logs!$H635, U$8)+COUNTIF(Logs!$H652, U$8)+COUNTIF(Logs!$H667, U$8)+COUNTIF(Logs!$H683, U$8)</f>
        <v>0</v>
      </c>
      <c r="V54" s="1446" t="str">
        <f t="shared" si="28"/>
        <v/>
      </c>
      <c r="W54" s="1433">
        <f>COUNTIF(Logs!$H21, W$8)+COUNTIF(Logs!$H39, W$8)+COUNTIF(Logs!$H57, W$8)+COUNTIF(Logs!$H75, W$8)+COUNTIF(Logs!$H93, W$8)+COUNTIF(Logs!$H112, W$8)+COUNTIF(Logs!$H132, W$8)+COUNTIF(Logs!$H151, W$8)+COUNTIF(Logs!$H171, W$8)+COUNTIF(Logs!$H189, W$8)+COUNTIF(Logs!$H210, W$8)+COUNTIF(Logs!$H227, W$8)+COUNTIF(Logs!$H245, W$8)+COUNTIF(Logs!$H262, W$8)+COUNTIF(Logs!$H279, W$8)+COUNTIF(Logs!$H297, W$8)+COUNTIF(Logs!$H314, W$8)+COUNTIF(Logs!$H332, W$8)+COUNTIF(Logs!$H350, W$8)+COUNTIF(Logs!$H368, W$8)+COUNTIF(Logs!$H386, W$8)+COUNTIF(Logs!$H405, W$8)+COUNTIF(Logs!$H423, W$8)+COUNTIF(Logs!$H441, W$8)+COUNTIF(Logs!$H459, W$8)+COUNTIF(Logs!$H477, W$8)+COUNTIF(Logs!$H495, W$8)+COUNTIF(Logs!$H513, W$8)+COUNTIF(Logs!$H531, W$8)+COUNTIF(Logs!$H549, W$8)+COUNTIF(Logs!$H567, W$8)+COUNTIF(Logs!$H584, W$8)+COUNTIF(Logs!$H603, W$8)+COUNTIF(Logs!$H619, W$8)+COUNTIF(Logs!$H635, W$8)+COUNTIF(Logs!$H652, W$8)+COUNTIF(Logs!$H667, W$8)+COUNTIF(Logs!$H683, W$8)</f>
        <v>0</v>
      </c>
      <c r="X54" s="1434" t="str">
        <f t="shared" si="29"/>
        <v/>
      </c>
    </row>
    <row r="55" spans="2:24" ht="16.5" thickBot="1"/>
    <row r="56" spans="2:24" ht="19.5" thickBot="1">
      <c r="B56" s="1380" t="s">
        <v>7</v>
      </c>
      <c r="C56" s="1744" t="s">
        <v>12</v>
      </c>
      <c r="D56" s="1751"/>
      <c r="E56" s="1745" t="s">
        <v>14</v>
      </c>
      <c r="F56" s="1746"/>
      <c r="G56" s="1747" t="s">
        <v>13</v>
      </c>
      <c r="H56" s="1748"/>
      <c r="I56" s="1749" t="s">
        <v>49</v>
      </c>
      <c r="J56" s="1750"/>
      <c r="K56" s="1742" t="s">
        <v>71</v>
      </c>
      <c r="L56" s="1743"/>
      <c r="N56" s="1380" t="s">
        <v>8</v>
      </c>
      <c r="O56" s="1744" t="s">
        <v>12</v>
      </c>
      <c r="P56" s="1751"/>
      <c r="Q56" s="1745" t="s">
        <v>14</v>
      </c>
      <c r="R56" s="1746"/>
      <c r="S56" s="1747" t="s">
        <v>13</v>
      </c>
      <c r="T56" s="1748"/>
      <c r="U56" s="1749" t="s">
        <v>49</v>
      </c>
      <c r="V56" s="1750"/>
      <c r="W56" s="1742" t="s">
        <v>71</v>
      </c>
      <c r="X56" s="1743"/>
    </row>
    <row r="57" spans="2:24">
      <c r="B57" s="1376" t="s">
        <v>1635</v>
      </c>
      <c r="C57" s="355" t="s">
        <v>150</v>
      </c>
      <c r="D57" s="1436" t="s">
        <v>195</v>
      </c>
      <c r="E57" s="563" t="s">
        <v>150</v>
      </c>
      <c r="F57" s="1436" t="s">
        <v>195</v>
      </c>
      <c r="G57" s="563" t="s">
        <v>150</v>
      </c>
      <c r="H57" s="1436" t="s">
        <v>195</v>
      </c>
      <c r="I57" s="563" t="s">
        <v>150</v>
      </c>
      <c r="J57" s="1436" t="s">
        <v>195</v>
      </c>
      <c r="K57" s="355" t="s">
        <v>150</v>
      </c>
      <c r="L57" s="1377" t="s">
        <v>195</v>
      </c>
      <c r="N57" s="1376" t="s">
        <v>1635</v>
      </c>
      <c r="O57" s="355" t="s">
        <v>150</v>
      </c>
      <c r="P57" s="1436" t="s">
        <v>195</v>
      </c>
      <c r="Q57" s="563" t="s">
        <v>150</v>
      </c>
      <c r="R57" s="1436" t="s">
        <v>195</v>
      </c>
      <c r="S57" s="563" t="s">
        <v>150</v>
      </c>
      <c r="T57" s="1436" t="s">
        <v>195</v>
      </c>
      <c r="U57" s="563" t="s">
        <v>150</v>
      </c>
      <c r="V57" s="1436" t="s">
        <v>195</v>
      </c>
      <c r="W57" s="355" t="s">
        <v>150</v>
      </c>
      <c r="X57" s="1377" t="s">
        <v>195</v>
      </c>
    </row>
    <row r="58" spans="2:24">
      <c r="B58" s="1378" t="s">
        <v>185</v>
      </c>
      <c r="C58" s="319">
        <f>COUNTIF(Logs!$I9, C$56)+COUNTIF(Logs!$I27, C$56)+COUNTIF(Logs!$I45, C$56)+COUNTIF(Logs!$I63, C$56)+COUNTIF(Logs!$I81, C$56)+COUNTIF(Logs!$I100, C$56)+COUNTIF(Logs!$I120, C$56)+COUNTIF(Logs!$I139, C$56)+COUNTIF(Logs!$I159, C$56)+COUNTIF(Logs!$I177, C$56)+COUNTIF(Logs!$I198, C$56)+COUNTIF(Logs!$I215, C$56)+COUNTIF(Logs!$I233, C$56)+COUNTIF(Logs!$I250, C$56)+COUNTIF(Logs!$I267, C$56)+COUNTIF(Logs!$I285, C$56)+COUNTIF(Logs!$I302, C$56)+COUNTIF(Logs!$I320, C$56)+COUNTIF(Logs!$I338, C$56)+COUNTIF(Logs!$I356, C$56)+COUNTIF(Logs!$I374, C$56)+COUNTIF(Logs!$I393, C$56)+COUNTIF(Logs!$I411, C$56)+COUNTIF(Logs!$I429, C$56)+COUNTIF(Logs!$I447, C$56)+COUNTIF(Logs!$I465, C$56)+COUNTIF(Logs!$I483, C$56)+COUNTIF(Logs!$I501, C$56)+COUNTIF(Logs!$I519, C$56)+COUNTIF(Logs!$I537, C$56)+COUNTIF(Logs!$I555, C$56)+COUNTIF(Logs!$I572, C$56)+COUNTIF(Logs!$I591, C$56)+COUNTIF(Logs!$I607, C$56)+COUNTIF(Logs!$I623, C$56)+COUNTIF(Logs!$I640, C$56)+COUNTIF(Logs!$I655, C$56)+COUNTIF(Logs!$I671, C$56)</f>
        <v>37</v>
      </c>
      <c r="D58" s="1448">
        <f>IF(C58&gt;0, C58/SUM($C58,$E58, $G58,$I58,$K58), "")</f>
        <v>0.97368421052631582</v>
      </c>
      <c r="E58" s="342">
        <f>COUNTIF(Logs!$I9, E$56)+COUNTIF(Logs!$I27, E$56)+COUNTIF(Logs!$I45, E$56)+COUNTIF(Logs!$I63, E$56)+COUNTIF(Logs!$I81, E$56)+COUNTIF(Logs!$I100, E$56)+COUNTIF(Logs!$I120, E$56)+COUNTIF(Logs!$I139, E$56)+COUNTIF(Logs!$I159, E$56)+COUNTIF(Logs!$I177, E$56)+COUNTIF(Logs!$I198, E$56)+COUNTIF(Logs!$I215, E$56)+COUNTIF(Logs!$I233, E$56)+COUNTIF(Logs!$I250, E$56)+COUNTIF(Logs!$I267, E$56)+COUNTIF(Logs!$I285, E$56)+COUNTIF(Logs!$I302, E$56)+COUNTIF(Logs!$I320, E$56)+COUNTIF(Logs!$I338, E$56)+COUNTIF(Logs!$I356, E$56)+COUNTIF(Logs!$I374, E$56)+COUNTIF(Logs!$I393, E$56)+COUNTIF(Logs!$I411, E$56)+COUNTIF(Logs!$I429, E$56)+COUNTIF(Logs!$I447, E$56)+COUNTIF(Logs!$I465, E$56)+COUNTIF(Logs!$I483, E$56)+COUNTIF(Logs!$I501, E$56)+COUNTIF(Logs!$I519, E$56)+COUNTIF(Logs!$I537, E$56)+COUNTIF(Logs!$I555, E$56)+COUNTIF(Logs!$I572, E$56)+COUNTIF(Logs!$I591, E$56)+COUNTIF(Logs!$I607, E$56)+COUNTIF(Logs!$I623, E$56)+COUNTIF(Logs!$I640, E$56)+COUNTIF(Logs!$I655, E$56)+COUNTIF(Logs!$I671, E$56)</f>
        <v>0</v>
      </c>
      <c r="F58" s="1437" t="str">
        <f>IF(E58&gt;0, E58/SUM($C58,$E58, $G58,$I58,$K58), "")</f>
        <v/>
      </c>
      <c r="G58" s="1439">
        <f>COUNTIF(Logs!$I9, G$56)+COUNTIF(Logs!$I27, G$56)+COUNTIF(Logs!$I45, G$56)+COUNTIF(Logs!$I63, G$56)+COUNTIF(Logs!$I81, G$56)+COUNTIF(Logs!$I100, G$56)+COUNTIF(Logs!$I120, G$56)+COUNTIF(Logs!$I139, G$56)+COUNTIF(Logs!$I159, G$56)+COUNTIF(Logs!$I177, G$56)+COUNTIF(Logs!$I198, G$56)+COUNTIF(Logs!$I215, G$56)+COUNTIF(Logs!$I233, G$56)+COUNTIF(Logs!$I250, G$56)+COUNTIF(Logs!$I267, G$56)+COUNTIF(Logs!$I285, G$56)+COUNTIF(Logs!$I302, G$56)+COUNTIF(Logs!$I320, G$56)+COUNTIF(Logs!$I338, G$56)+COUNTIF(Logs!$I356, G$56)+COUNTIF(Logs!$I374, G$56)+COUNTIF(Logs!$I393, G$56)+COUNTIF(Logs!$I411, G$56)+COUNTIF(Logs!$I429, G$56)+COUNTIF(Logs!$I447, G$56)+COUNTIF(Logs!$I465, G$56)+COUNTIF(Logs!$I483, G$56)+COUNTIF(Logs!$I501, G$56)+COUNTIF(Logs!$I519, G$56)+COUNTIF(Logs!$I537, G$56)+COUNTIF(Logs!$I555, G$56)+COUNTIF(Logs!$I572, G$56)+COUNTIF(Logs!$I591, G$56)+COUNTIF(Logs!$I607, G$56)+COUNTIF(Logs!$I623, G$56)+COUNTIF(Logs!$I640, G$56)+COUNTIF(Logs!$I655, G$56)+COUNTIF(Logs!$I671, G$56)</f>
        <v>0</v>
      </c>
      <c r="H58" s="1440" t="str">
        <f>IF(G58&gt;0, G58/SUM($C58,$E58, $G58,$I58,$K58), "")</f>
        <v/>
      </c>
      <c r="I58" s="1443">
        <f>COUNTIF(Logs!$I9, I$56)+COUNTIF(Logs!$I27, I$56)+COUNTIF(Logs!$I45, I$56)+COUNTIF(Logs!$I63, I$56)+COUNTIF(Logs!$I81, I$56)+COUNTIF(Logs!$I100, I$56)+COUNTIF(Logs!$I120, I$56)+COUNTIF(Logs!$I139, I$56)+COUNTIF(Logs!$I159, I$56)+COUNTIF(Logs!$I177, I$56)+COUNTIF(Logs!$I198, I$56)+COUNTIF(Logs!$I215, I$56)+COUNTIF(Logs!$I233, I$56)+COUNTIF(Logs!$I250, I$56)+COUNTIF(Logs!$I267, I$56)+COUNTIF(Logs!$I285, I$56)+COUNTIF(Logs!$I302, I$56)+COUNTIF(Logs!$I320, I$56)+COUNTIF(Logs!$I338, I$56)+COUNTIF(Logs!$I356, I$56)+COUNTIF(Logs!$I374, I$56)+COUNTIF(Logs!$I393, I$56)+COUNTIF(Logs!$I411, I$56)+COUNTIF(Logs!$I429, I$56)+COUNTIF(Logs!$I447, I$56)+COUNTIF(Logs!$I465, I$56)+COUNTIF(Logs!$I483, I$56)+COUNTIF(Logs!$I501, I$56)+COUNTIF(Logs!$I519, I$56)+COUNTIF(Logs!$I537, I$56)+COUNTIF(Logs!$I555, I$56)+COUNTIF(Logs!$I572, I$56)+COUNTIF(Logs!$I591, I$56)+COUNTIF(Logs!$I607, I$56)+COUNTIF(Logs!$I623, I$56)+COUNTIF(Logs!$I640, I$56)+COUNTIF(Logs!$I655, I$56)+COUNTIF(Logs!$I671, I$56)</f>
        <v>0</v>
      </c>
      <c r="J58" s="1444" t="str">
        <f>IF(I58&gt;0, I58/SUM($C58,$E58, $G58,$I58,$K58), "")</f>
        <v/>
      </c>
      <c r="K58" s="1101">
        <f>COUNTIF(Logs!$I9, K$56)+COUNTIF(Logs!$I27, K$56)+COUNTIF(Logs!$I45, K$56)+COUNTIF(Logs!$I63, K$56)+COUNTIF(Logs!$I81, K$56)+COUNTIF(Logs!$I100, K$56)+COUNTIF(Logs!$I120, K$56)+COUNTIF(Logs!$I139, K$56)+COUNTIF(Logs!$I159, K$56)+COUNTIF(Logs!$I177, K$56)+COUNTIF(Logs!$I198, K$56)+COUNTIF(Logs!$I215, K$56)+COUNTIF(Logs!$I233, K$56)+COUNTIF(Logs!$I250, K$56)+COUNTIF(Logs!$I267, K$56)+COUNTIF(Logs!$I285, K$56)+COUNTIF(Logs!$I302, K$56)+COUNTIF(Logs!$I320, K$56)+COUNTIF(Logs!$I338, K$56)+COUNTIF(Logs!$I356, K$56)+COUNTIF(Logs!$I374, K$56)+COUNTIF(Logs!$I393, K$56)+COUNTIF(Logs!$I411, K$56)+COUNTIF(Logs!$I429, K$56)+COUNTIF(Logs!$I447, K$56)+COUNTIF(Logs!$I465, K$56)+COUNTIF(Logs!$I483, K$56)+COUNTIF(Logs!$I501, K$56)+COUNTIF(Logs!$I519, K$56)+COUNTIF(Logs!$I537, K$56)+COUNTIF(Logs!$I555, K$56)+COUNTIF(Logs!$I572, K$56)+COUNTIF(Logs!$I591, K$56)+COUNTIF(Logs!$I607, K$56)+COUNTIF(Logs!$I623, K$56)+COUNTIF(Logs!$I640, K$56)+COUNTIF(Logs!$I655, K$56)+COUNTIF(Logs!$I671, K$56)</f>
        <v>1</v>
      </c>
      <c r="L58" s="1432">
        <f>IF(K58&gt;0, K58/SUM($C58,$E58, $G58,$I58,$K58), "")</f>
        <v>2.6315789473684209E-2</v>
      </c>
      <c r="N58" s="1378" t="s">
        <v>185</v>
      </c>
      <c r="O58" s="319">
        <f>COUNTIF(Logs!$J9, O$56)+COUNTIF(Logs!$J27, O$56)+COUNTIF(Logs!$J45, O$56)+COUNTIF(Logs!$J63, O$56)+COUNTIF(Logs!$J81, O$56)+COUNTIF(Logs!$J100, O$56)+COUNTIF(Logs!$J120, O$56)+COUNTIF(Logs!$J139, O$56)+COUNTIF(Logs!$J159, O$56)+COUNTIF(Logs!$J177, O$56)+COUNTIF(Logs!$J198, O$56)+COUNTIF(Logs!$J215, O$56)+COUNTIF(Logs!$J233, O$56)+COUNTIF(Logs!$J250, O$56)+COUNTIF(Logs!$J267, O$56)+COUNTIF(Logs!$J285, O$56)+COUNTIF(Logs!$J302, O$56)+COUNTIF(Logs!$J320, O$56)+COUNTIF(Logs!$J338, O$56)+COUNTIF(Logs!$J356, O$56)+COUNTIF(Logs!$J374, O$56)+COUNTIF(Logs!$J393, O$56)+COUNTIF(Logs!$J411, O$56)+COUNTIF(Logs!$J429, O$56)+COUNTIF(Logs!$J447, O$56)+COUNTIF(Logs!$J465, O$56)+COUNTIF(Logs!$J483, O$56)+COUNTIF(Logs!$J501, O$56)+COUNTIF(Logs!$J519, O$56)+COUNTIF(Logs!$J537, O$56)+COUNTIF(Logs!$J555, O$56)+COUNTIF(Logs!$J572, O$56)+COUNTIF(Logs!$J591, O$56)+COUNTIF(Logs!$J607, O$56)+COUNTIF(Logs!$J623, O$56)+COUNTIF(Logs!$J640, O$56)+COUNTIF(Logs!$J655, O$56)+COUNTIF(Logs!$J671, O$56)</f>
        <v>36</v>
      </c>
      <c r="P58" s="1448">
        <f>IF(O58&gt;0, O58/SUM($O58,$Q58, $S58,$U58,$W58), "")</f>
        <v>0.97297297297297303</v>
      </c>
      <c r="Q58" s="342">
        <f>COUNTIF(Logs!$J9, Q$56)+COUNTIF(Logs!$J27, Q$56)+COUNTIF(Logs!$J45, Q$56)+COUNTIF(Logs!$J63, Q$56)+COUNTIF(Logs!$J81, Q$56)+COUNTIF(Logs!$J100, Q$56)+COUNTIF(Logs!$J120, Q$56)+COUNTIF(Logs!$J139, Q$56)+COUNTIF(Logs!$J159, Q$56)+COUNTIF(Logs!$J177, Q$56)+COUNTIF(Logs!$J198, Q$56)+COUNTIF(Logs!$J215, Q$56)+COUNTIF(Logs!$J233, Q$56)+COUNTIF(Logs!$J250, Q$56)+COUNTIF(Logs!$J267, Q$56)+COUNTIF(Logs!$J285, Q$56)+COUNTIF(Logs!$J302, Q$56)+COUNTIF(Logs!$J320, Q$56)+COUNTIF(Logs!$J338, Q$56)+COUNTIF(Logs!$J356, Q$56)+COUNTIF(Logs!$J374, Q$56)+COUNTIF(Logs!$J393, Q$56)+COUNTIF(Logs!$J411, Q$56)+COUNTIF(Logs!$J429, Q$56)+COUNTIF(Logs!$J447, Q$56)+COUNTIF(Logs!$J465, Q$56)+COUNTIF(Logs!$J483, Q$56)+COUNTIF(Logs!$J501, Q$56)+COUNTIF(Logs!$J519, Q$56)+COUNTIF(Logs!$J537, Q$56)+COUNTIF(Logs!$J555, Q$56)+COUNTIF(Logs!$J572, Q$56)+COUNTIF(Logs!$J591, Q$56)+COUNTIF(Logs!$J607, Q$56)+COUNTIF(Logs!$J623, Q$56)+COUNTIF(Logs!$J640, Q$56)+COUNTIF(Logs!$J655, Q$56)+COUNTIF(Logs!$J671, Q$56)</f>
        <v>0</v>
      </c>
      <c r="R58" s="1437" t="str">
        <f>IF(Q58&gt;0, Q58/SUM($O58,$Q58, $S58,$U58,$W58), "")</f>
        <v/>
      </c>
      <c r="S58" s="1439">
        <f>COUNTIF(Logs!$J9, S$56)+COUNTIF(Logs!$J27, S$56)+COUNTIF(Logs!$J45, S$56)+COUNTIF(Logs!$J63, S$56)+COUNTIF(Logs!$J81, S$56)+COUNTIF(Logs!$J100, S$56)+COUNTIF(Logs!$J120, S$56)+COUNTIF(Logs!$J139, S$56)+COUNTIF(Logs!$J159, S$56)+COUNTIF(Logs!$J177, S$56)+COUNTIF(Logs!$J198, S$56)+COUNTIF(Logs!$J215, S$56)+COUNTIF(Logs!$J233, S$56)+COUNTIF(Logs!$J250, S$56)+COUNTIF(Logs!$J267, S$56)+COUNTIF(Logs!$J285, S$56)+COUNTIF(Logs!$J302, S$56)+COUNTIF(Logs!$J320, S$56)+COUNTIF(Logs!$J338, S$56)+COUNTIF(Logs!$J356, S$56)+COUNTIF(Logs!$J374, S$56)+COUNTIF(Logs!$J393, S$56)+COUNTIF(Logs!$J411, S$56)+COUNTIF(Logs!$J429, S$56)+COUNTIF(Logs!$J447, S$56)+COUNTIF(Logs!$J465, S$56)+COUNTIF(Logs!$J483, S$56)+COUNTIF(Logs!$J501, S$56)+COUNTIF(Logs!$J519, S$56)+COUNTIF(Logs!$J537, S$56)+COUNTIF(Logs!$J555, S$56)+COUNTIF(Logs!$J572, S$56)+COUNTIF(Logs!$J591, S$56)+COUNTIF(Logs!$J607, S$56)+COUNTIF(Logs!$J623, S$56)+COUNTIF(Logs!$J640, S$56)+COUNTIF(Logs!$J655, S$56)+COUNTIF(Logs!$J671, S$56)</f>
        <v>0</v>
      </c>
      <c r="T58" s="1440" t="str">
        <f>IF(S58&gt;0, S58/SUM($O58,$Q58, $S58,$U58,$W58), "")</f>
        <v/>
      </c>
      <c r="U58" s="1443">
        <f>COUNTIF(Logs!$J9, U$56)+COUNTIF(Logs!$J27, U$56)+COUNTIF(Logs!$J45, U$56)+COUNTIF(Logs!$J63, U$56)+COUNTIF(Logs!$J81, U$56)+COUNTIF(Logs!$J100, U$56)+COUNTIF(Logs!$J120, U$56)+COUNTIF(Logs!$J139, U$56)+COUNTIF(Logs!$J159, U$56)+COUNTIF(Logs!$J177, U$56)+COUNTIF(Logs!$J198, U$56)+COUNTIF(Logs!$J215, U$56)+COUNTIF(Logs!$J233, U$56)+COUNTIF(Logs!$J250, U$56)+COUNTIF(Logs!$J267, U$56)+COUNTIF(Logs!$J285, U$56)+COUNTIF(Logs!$J302, U$56)+COUNTIF(Logs!$J320, U$56)+COUNTIF(Logs!$J338, U$56)+COUNTIF(Logs!$J356, U$56)+COUNTIF(Logs!$J374, U$56)+COUNTIF(Logs!$J393, U$56)+COUNTIF(Logs!$J411, U$56)+COUNTIF(Logs!$J429, U$56)+COUNTIF(Logs!$J447, U$56)+COUNTIF(Logs!$J465, U$56)+COUNTIF(Logs!$J483, U$56)+COUNTIF(Logs!$J501, U$56)+COUNTIF(Logs!$J519, U$56)+COUNTIF(Logs!$J537, U$56)+COUNTIF(Logs!$J555, U$56)+COUNTIF(Logs!$J572, U$56)+COUNTIF(Logs!$J591, U$56)+COUNTIF(Logs!$J607, U$56)+COUNTIF(Logs!$J623, U$56)+COUNTIF(Logs!$J640, U$56)+COUNTIF(Logs!$J655, U$56)+COUNTIF(Logs!$J671, U$56)</f>
        <v>0</v>
      </c>
      <c r="V58" s="1444" t="str">
        <f>IF(U58&gt;0, U58/SUM($O58,$Q58, $S58,$U58,$W58), "")</f>
        <v/>
      </c>
      <c r="W58" s="1101">
        <f>COUNTIF(Logs!$J9, W$56)+COUNTIF(Logs!$J27, W$56)+COUNTIF(Logs!$J45, W$56)+COUNTIF(Logs!$J63, W$56)+COUNTIF(Logs!$J81, W$56)+COUNTIF(Logs!$J100, W$56)+COUNTIF(Logs!$J120, W$56)+COUNTIF(Logs!$J139, W$56)+COUNTIF(Logs!$J159, W$56)+COUNTIF(Logs!$J177, W$56)+COUNTIF(Logs!$J198, W$56)+COUNTIF(Logs!$J215, W$56)+COUNTIF(Logs!$J233, W$56)+COUNTIF(Logs!$J250, W$56)+COUNTIF(Logs!$J267, W$56)+COUNTIF(Logs!$J285, W$56)+COUNTIF(Logs!$J302, W$56)+COUNTIF(Logs!$J320, W$56)+COUNTIF(Logs!$J338, W$56)+COUNTIF(Logs!$J356, W$56)+COUNTIF(Logs!$J374, W$56)+COUNTIF(Logs!$J393, W$56)+COUNTIF(Logs!$J411, W$56)+COUNTIF(Logs!$J429, W$56)+COUNTIF(Logs!$J447, W$56)+COUNTIF(Logs!$J465, W$56)+COUNTIF(Logs!$J483, W$56)+COUNTIF(Logs!$J501, W$56)+COUNTIF(Logs!$J519, W$56)+COUNTIF(Logs!$J537, W$56)+COUNTIF(Logs!$J555, W$56)+COUNTIF(Logs!$J572, W$56)+COUNTIF(Logs!$J591, W$56)+COUNTIF(Logs!$J607, W$56)+COUNTIF(Logs!$J623, W$56)+COUNTIF(Logs!$J640, W$56)+COUNTIF(Logs!$J655, W$56)+COUNTIF(Logs!$J671, W$56)</f>
        <v>1</v>
      </c>
      <c r="X58" s="1432">
        <f>IF(W58&gt;0, W58/SUM($O58,$Q58, $S58,$U58,$W58), "")</f>
        <v>2.7027027027027029E-2</v>
      </c>
    </row>
    <row r="59" spans="2:24">
      <c r="B59" s="1378" t="s">
        <v>186</v>
      </c>
      <c r="C59" s="319">
        <f>COUNTIF(Logs!$I10, C$56)+COUNTIF(Logs!$I28, C$56)+COUNTIF(Logs!$I46, C$56)+COUNTIF(Logs!$I64, C$56)+COUNTIF(Logs!$I82, C$56)+COUNTIF(Logs!$I101, C$56)+COUNTIF(Logs!$I121, C$56)+COUNTIF(Logs!$I140, C$56)+COUNTIF(Logs!$I160, C$56)+COUNTIF(Logs!$I178, C$56)+COUNTIF(Logs!$I199, C$56)+COUNTIF(Logs!$I216, C$56)+COUNTIF(Logs!$I234, C$56)+COUNTIF(Logs!$I251, C$56)+COUNTIF(Logs!$I268, C$56)+COUNTIF(Logs!$I286, C$56)+COUNTIF(Logs!$I303, C$56)+COUNTIF(Logs!$I321, C$56)+COUNTIF(Logs!$I339, C$56)+COUNTIF(Logs!$I357, C$56)+COUNTIF(Logs!$I375, C$56)+COUNTIF(Logs!$I394, C$56)+COUNTIF(Logs!$I412, C$56)+COUNTIF(Logs!$I430, C$56)+COUNTIF(Logs!$I448, C$56)+COUNTIF(Logs!$I466, C$56)+COUNTIF(Logs!$I484, C$56)+COUNTIF(Logs!$I502, C$56)+COUNTIF(Logs!$I520, C$56)+COUNTIF(Logs!$I538, C$56)+COUNTIF(Logs!$I556, C$56)+COUNTIF(Logs!$I573, C$56)+COUNTIF(Logs!$I592, C$56)+COUNTIF(Logs!$I608, C$56)+COUNTIF(Logs!$I624, C$56)+COUNTIF(Logs!$I641, C$56)+COUNTIF(Logs!$I656, C$56)+COUNTIF(Logs!$I672, C$56)</f>
        <v>18</v>
      </c>
      <c r="D59" s="1448">
        <f t="shared" ref="D59:D70" si="30">IF(C59&gt;0, C59/SUM($C59,$E59, $G59,$I59,$K59), "")</f>
        <v>0.47368421052631576</v>
      </c>
      <c r="E59" s="342">
        <f>COUNTIF(Logs!$I10, E$56)+COUNTIF(Logs!$I28, E$56)+COUNTIF(Logs!$I46, E$56)+COUNTIF(Logs!$I64, E$56)+COUNTIF(Logs!$I82, E$56)+COUNTIF(Logs!$I101, E$56)+COUNTIF(Logs!$I121, E$56)+COUNTIF(Logs!$I140, E$56)+COUNTIF(Logs!$I160, E$56)+COUNTIF(Logs!$I178, E$56)+COUNTIF(Logs!$I199, E$56)+COUNTIF(Logs!$I216, E$56)+COUNTIF(Logs!$I234, E$56)+COUNTIF(Logs!$I251, E$56)+COUNTIF(Logs!$I268, E$56)+COUNTIF(Logs!$I286, E$56)+COUNTIF(Logs!$I303, E$56)+COUNTIF(Logs!$I321, E$56)+COUNTIF(Logs!$I339, E$56)+COUNTIF(Logs!$I357, E$56)+COUNTIF(Logs!$I375, E$56)+COUNTIF(Logs!$I394, E$56)+COUNTIF(Logs!$I412, E$56)+COUNTIF(Logs!$I430, E$56)+COUNTIF(Logs!$I448, E$56)+COUNTIF(Logs!$I466, E$56)+COUNTIF(Logs!$I484, E$56)+COUNTIF(Logs!$I502, E$56)+COUNTIF(Logs!$I520, E$56)+COUNTIF(Logs!$I538, E$56)+COUNTIF(Logs!$I556, E$56)+COUNTIF(Logs!$I573, E$56)+COUNTIF(Logs!$I592, E$56)+COUNTIF(Logs!$I608, E$56)+COUNTIF(Logs!$I624, E$56)+COUNTIF(Logs!$I641, E$56)+COUNTIF(Logs!$I656, E$56)+COUNTIF(Logs!$I672, E$56)</f>
        <v>7</v>
      </c>
      <c r="F59" s="1437">
        <f t="shared" ref="F59:F70" si="31">IF(E59&gt;0, E59/SUM($C59,$E59, $G59,$I59,$K59), "")</f>
        <v>0.18421052631578946</v>
      </c>
      <c r="G59" s="1439">
        <f>COUNTIF(Logs!$I10, G$56)+COUNTIF(Logs!$I28, G$56)+COUNTIF(Logs!$I46, G$56)+COUNTIF(Logs!$I64, G$56)+COUNTIF(Logs!$I82, G$56)+COUNTIF(Logs!$I101, G$56)+COUNTIF(Logs!$I121, G$56)+COUNTIF(Logs!$I140, G$56)+COUNTIF(Logs!$I160, G$56)+COUNTIF(Logs!$I178, G$56)+COUNTIF(Logs!$I199, G$56)+COUNTIF(Logs!$I216, G$56)+COUNTIF(Logs!$I234, G$56)+COUNTIF(Logs!$I251, G$56)+COUNTIF(Logs!$I268, G$56)+COUNTIF(Logs!$I286, G$56)+COUNTIF(Logs!$I303, G$56)+COUNTIF(Logs!$I321, G$56)+COUNTIF(Logs!$I339, G$56)+COUNTIF(Logs!$I357, G$56)+COUNTIF(Logs!$I375, G$56)+COUNTIF(Logs!$I394, G$56)+COUNTIF(Logs!$I412, G$56)+COUNTIF(Logs!$I430, G$56)+COUNTIF(Logs!$I448, G$56)+COUNTIF(Logs!$I466, G$56)+COUNTIF(Logs!$I484, G$56)+COUNTIF(Logs!$I502, G$56)+COUNTIF(Logs!$I520, G$56)+COUNTIF(Logs!$I538, G$56)+COUNTIF(Logs!$I556, G$56)+COUNTIF(Logs!$I573, G$56)+COUNTIF(Logs!$I592, G$56)+COUNTIF(Logs!$I608, G$56)+COUNTIF(Logs!$I624, G$56)+COUNTIF(Logs!$I641, G$56)+COUNTIF(Logs!$I656, G$56)+COUNTIF(Logs!$I672, G$56)</f>
        <v>6</v>
      </c>
      <c r="H59" s="1440">
        <f t="shared" ref="H59:H70" si="32">IF(G59&gt;0, G59/SUM($C59,$E59, $G59,$I59,$K59), "")</f>
        <v>0.15789473684210525</v>
      </c>
      <c r="I59" s="1443">
        <f>COUNTIF(Logs!$I10, I$56)+COUNTIF(Logs!$I28, I$56)+COUNTIF(Logs!$I46, I$56)+COUNTIF(Logs!$I64, I$56)+COUNTIF(Logs!$I82, I$56)+COUNTIF(Logs!$I101, I$56)+COUNTIF(Logs!$I121, I$56)+COUNTIF(Logs!$I140, I$56)+COUNTIF(Logs!$I160, I$56)+COUNTIF(Logs!$I178, I$56)+COUNTIF(Logs!$I199, I$56)+COUNTIF(Logs!$I216, I$56)+COUNTIF(Logs!$I234, I$56)+COUNTIF(Logs!$I251, I$56)+COUNTIF(Logs!$I268, I$56)+COUNTIF(Logs!$I286, I$56)+COUNTIF(Logs!$I303, I$56)+COUNTIF(Logs!$I321, I$56)+COUNTIF(Logs!$I339, I$56)+COUNTIF(Logs!$I357, I$56)+COUNTIF(Logs!$I375, I$56)+COUNTIF(Logs!$I394, I$56)+COUNTIF(Logs!$I412, I$56)+COUNTIF(Logs!$I430, I$56)+COUNTIF(Logs!$I448, I$56)+COUNTIF(Logs!$I466, I$56)+COUNTIF(Logs!$I484, I$56)+COUNTIF(Logs!$I502, I$56)+COUNTIF(Logs!$I520, I$56)+COUNTIF(Logs!$I538, I$56)+COUNTIF(Logs!$I556, I$56)+COUNTIF(Logs!$I573, I$56)+COUNTIF(Logs!$I592, I$56)+COUNTIF(Logs!$I608, I$56)+COUNTIF(Logs!$I624, I$56)+COUNTIF(Logs!$I641, I$56)+COUNTIF(Logs!$I656, I$56)+COUNTIF(Logs!$I672, I$56)</f>
        <v>4</v>
      </c>
      <c r="J59" s="1444">
        <f t="shared" ref="J59:J70" si="33">IF(I59&gt;0, I59/SUM($C59,$E59, $G59,$I59,$K59), "")</f>
        <v>0.10526315789473684</v>
      </c>
      <c r="K59" s="1101">
        <f>COUNTIF(Logs!$I10, K$56)+COUNTIF(Logs!$I28, K$56)+COUNTIF(Logs!$I46, K$56)+COUNTIF(Logs!$I64, K$56)+COUNTIF(Logs!$I82, K$56)+COUNTIF(Logs!$I101, K$56)+COUNTIF(Logs!$I121, K$56)+COUNTIF(Logs!$I140, K$56)+COUNTIF(Logs!$I160, K$56)+COUNTIF(Logs!$I178, K$56)+COUNTIF(Logs!$I199, K$56)+COUNTIF(Logs!$I216, K$56)+COUNTIF(Logs!$I234, K$56)+COUNTIF(Logs!$I251, K$56)+COUNTIF(Logs!$I268, K$56)+COUNTIF(Logs!$I286, K$56)+COUNTIF(Logs!$I303, K$56)+COUNTIF(Logs!$I321, K$56)+COUNTIF(Logs!$I339, K$56)+COUNTIF(Logs!$I357, K$56)+COUNTIF(Logs!$I375, K$56)+COUNTIF(Logs!$I394, K$56)+COUNTIF(Logs!$I412, K$56)+COUNTIF(Logs!$I430, K$56)+COUNTIF(Logs!$I448, K$56)+COUNTIF(Logs!$I466, K$56)+COUNTIF(Logs!$I484, K$56)+COUNTIF(Logs!$I502, K$56)+COUNTIF(Logs!$I520, K$56)+COUNTIF(Logs!$I538, K$56)+COUNTIF(Logs!$I556, K$56)+COUNTIF(Logs!$I573, K$56)+COUNTIF(Logs!$I592, K$56)+COUNTIF(Logs!$I608, K$56)+COUNTIF(Logs!$I624, K$56)+COUNTIF(Logs!$I641, K$56)+COUNTIF(Logs!$I656, K$56)+COUNTIF(Logs!$I672, K$56)</f>
        <v>3</v>
      </c>
      <c r="L59" s="1432">
        <f t="shared" ref="L59:L70" si="34">IF(K59&gt;0, K59/SUM($C59,$E59, $G59,$I59,$K59), "")</f>
        <v>7.8947368421052627E-2</v>
      </c>
      <c r="N59" s="1378" t="s">
        <v>186</v>
      </c>
      <c r="O59" s="319">
        <f>COUNTIF(Logs!$J10, O$56)+COUNTIF(Logs!$J28, O$56)+COUNTIF(Logs!$J46, O$56)+COUNTIF(Logs!$J64, O$56)+COUNTIF(Logs!$J82, O$56)+COUNTIF(Logs!$J101, O$56)+COUNTIF(Logs!$J121, O$56)+COUNTIF(Logs!$J140, O$56)+COUNTIF(Logs!$J160, O$56)+COUNTIF(Logs!$J178, O$56)+COUNTIF(Logs!$J199, O$56)+COUNTIF(Logs!$J216, O$56)+COUNTIF(Logs!$J234, O$56)+COUNTIF(Logs!$J251, O$56)+COUNTIF(Logs!$J268, O$56)+COUNTIF(Logs!$J286, O$56)+COUNTIF(Logs!$J303, O$56)+COUNTIF(Logs!$J321, O$56)+COUNTIF(Logs!$J339, O$56)+COUNTIF(Logs!$J357, O$56)+COUNTIF(Logs!$J375, O$56)+COUNTIF(Logs!$J394, O$56)+COUNTIF(Logs!$J412, O$56)+COUNTIF(Logs!$J430, O$56)+COUNTIF(Logs!$J448, O$56)+COUNTIF(Logs!$J466, O$56)+COUNTIF(Logs!$J484, O$56)+COUNTIF(Logs!$J502, O$56)+COUNTIF(Logs!$J520, O$56)+COUNTIF(Logs!$J538, O$56)+COUNTIF(Logs!$J556, O$56)+COUNTIF(Logs!$J573, O$56)+COUNTIF(Logs!$J592, O$56)+COUNTIF(Logs!$J608, O$56)+COUNTIF(Logs!$J624, O$56)+COUNTIF(Logs!$J641, O$56)+COUNTIF(Logs!$J656, O$56)+COUNTIF(Logs!$J672, O$56)</f>
        <v>17</v>
      </c>
      <c r="P59" s="1448">
        <f t="shared" ref="P59:P70" si="35">IF(O59&gt;0, O59/SUM($O59,$Q59, $S59,$U59,$W59), "")</f>
        <v>0.44736842105263158</v>
      </c>
      <c r="Q59" s="342">
        <f>COUNTIF(Logs!$J10, Q$56)+COUNTIF(Logs!$J28, Q$56)+COUNTIF(Logs!$J46, Q$56)+COUNTIF(Logs!$J64, Q$56)+COUNTIF(Logs!$J82, Q$56)+COUNTIF(Logs!$J101, Q$56)+COUNTIF(Logs!$J121, Q$56)+COUNTIF(Logs!$J140, Q$56)+COUNTIF(Logs!$J160, Q$56)+COUNTIF(Logs!$J178, Q$56)+COUNTIF(Logs!$J199, Q$56)+COUNTIF(Logs!$J216, Q$56)+COUNTIF(Logs!$J234, Q$56)+COUNTIF(Logs!$J251, Q$56)+COUNTIF(Logs!$J268, Q$56)+COUNTIF(Logs!$J286, Q$56)+COUNTIF(Logs!$J303, Q$56)+COUNTIF(Logs!$J321, Q$56)+COUNTIF(Logs!$J339, Q$56)+COUNTIF(Logs!$J357, Q$56)+COUNTIF(Logs!$J375, Q$56)+COUNTIF(Logs!$J394, Q$56)+COUNTIF(Logs!$J412, Q$56)+COUNTIF(Logs!$J430, Q$56)+COUNTIF(Logs!$J448, Q$56)+COUNTIF(Logs!$J466, Q$56)+COUNTIF(Logs!$J484, Q$56)+COUNTIF(Logs!$J502, Q$56)+COUNTIF(Logs!$J520, Q$56)+COUNTIF(Logs!$J538, Q$56)+COUNTIF(Logs!$J556, Q$56)+COUNTIF(Logs!$J573, Q$56)+COUNTIF(Logs!$J592, Q$56)+COUNTIF(Logs!$J608, Q$56)+COUNTIF(Logs!$J624, Q$56)+COUNTIF(Logs!$J641, Q$56)+COUNTIF(Logs!$J656, Q$56)+COUNTIF(Logs!$J672, Q$56)</f>
        <v>7</v>
      </c>
      <c r="R59" s="1437">
        <f t="shared" ref="R59:R70" si="36">IF(Q59&gt;0, Q59/SUM($O59,$Q59, $S59,$U59,$W59), "")</f>
        <v>0.18421052631578946</v>
      </c>
      <c r="S59" s="1439">
        <f>COUNTIF(Logs!$J10, S$56)+COUNTIF(Logs!$J28, S$56)+COUNTIF(Logs!$J46, S$56)+COUNTIF(Logs!$J64, S$56)+COUNTIF(Logs!$J82, S$56)+COUNTIF(Logs!$J101, S$56)+COUNTIF(Logs!$J121, S$56)+COUNTIF(Logs!$J140, S$56)+COUNTIF(Logs!$J160, S$56)+COUNTIF(Logs!$J178, S$56)+COUNTIF(Logs!$J199, S$56)+COUNTIF(Logs!$J216, S$56)+COUNTIF(Logs!$J234, S$56)+COUNTIF(Logs!$J251, S$56)+COUNTIF(Logs!$J268, S$56)+COUNTIF(Logs!$J286, S$56)+COUNTIF(Logs!$J303, S$56)+COUNTIF(Logs!$J321, S$56)+COUNTIF(Logs!$J339, S$56)+COUNTIF(Logs!$J357, S$56)+COUNTIF(Logs!$J375, S$56)+COUNTIF(Logs!$J394, S$56)+COUNTIF(Logs!$J412, S$56)+COUNTIF(Logs!$J430, S$56)+COUNTIF(Logs!$J448, S$56)+COUNTIF(Logs!$J466, S$56)+COUNTIF(Logs!$J484, S$56)+COUNTIF(Logs!$J502, S$56)+COUNTIF(Logs!$J520, S$56)+COUNTIF(Logs!$J538, S$56)+COUNTIF(Logs!$J556, S$56)+COUNTIF(Logs!$J573, S$56)+COUNTIF(Logs!$J592, S$56)+COUNTIF(Logs!$J608, S$56)+COUNTIF(Logs!$J624, S$56)+COUNTIF(Logs!$J641, S$56)+COUNTIF(Logs!$J656, S$56)+COUNTIF(Logs!$J672, S$56)</f>
        <v>7</v>
      </c>
      <c r="T59" s="1440">
        <f t="shared" ref="T59:T70" si="37">IF(S59&gt;0, S59/SUM($O59,$Q59, $S59,$U59,$W59), "")</f>
        <v>0.18421052631578946</v>
      </c>
      <c r="U59" s="1443">
        <f>COUNTIF(Logs!$J10, U$56)+COUNTIF(Logs!$J28, U$56)+COUNTIF(Logs!$J46, U$56)+COUNTIF(Logs!$J64, U$56)+COUNTIF(Logs!$J82, U$56)+COUNTIF(Logs!$J101, U$56)+COUNTIF(Logs!$J121, U$56)+COUNTIF(Logs!$J140, U$56)+COUNTIF(Logs!$J160, U$56)+COUNTIF(Logs!$J178, U$56)+COUNTIF(Logs!$J199, U$56)+COUNTIF(Logs!$J216, U$56)+COUNTIF(Logs!$J234, U$56)+COUNTIF(Logs!$J251, U$56)+COUNTIF(Logs!$J268, U$56)+COUNTIF(Logs!$J286, U$56)+COUNTIF(Logs!$J303, U$56)+COUNTIF(Logs!$J321, U$56)+COUNTIF(Logs!$J339, U$56)+COUNTIF(Logs!$J357, U$56)+COUNTIF(Logs!$J375, U$56)+COUNTIF(Logs!$J394, U$56)+COUNTIF(Logs!$J412, U$56)+COUNTIF(Logs!$J430, U$56)+COUNTIF(Logs!$J448, U$56)+COUNTIF(Logs!$J466, U$56)+COUNTIF(Logs!$J484, U$56)+COUNTIF(Logs!$J502, U$56)+COUNTIF(Logs!$J520, U$56)+COUNTIF(Logs!$J538, U$56)+COUNTIF(Logs!$J556, U$56)+COUNTIF(Logs!$J573, U$56)+COUNTIF(Logs!$J592, U$56)+COUNTIF(Logs!$J608, U$56)+COUNTIF(Logs!$J624, U$56)+COUNTIF(Logs!$J641, U$56)+COUNTIF(Logs!$J656, U$56)+COUNTIF(Logs!$J672, U$56)</f>
        <v>3</v>
      </c>
      <c r="V59" s="1444">
        <f t="shared" ref="V59:V70" si="38">IF(U59&gt;0, U59/SUM($O59,$Q59, $S59,$U59,$W59), "")</f>
        <v>7.8947368421052627E-2</v>
      </c>
      <c r="W59" s="1101">
        <f>COUNTIF(Logs!$J10, W$56)+COUNTIF(Logs!$J28, W$56)+COUNTIF(Logs!$J46, W$56)+COUNTIF(Logs!$J64, W$56)+COUNTIF(Logs!$J82, W$56)+COUNTIF(Logs!$J101, W$56)+COUNTIF(Logs!$J121, W$56)+COUNTIF(Logs!$J140, W$56)+COUNTIF(Logs!$J160, W$56)+COUNTIF(Logs!$J178, W$56)+COUNTIF(Logs!$J199, W$56)+COUNTIF(Logs!$J216, W$56)+COUNTIF(Logs!$J234, W$56)+COUNTIF(Logs!$J251, W$56)+COUNTIF(Logs!$J268, W$56)+COUNTIF(Logs!$J286, W$56)+COUNTIF(Logs!$J303, W$56)+COUNTIF(Logs!$J321, W$56)+COUNTIF(Logs!$J339, W$56)+COUNTIF(Logs!$J357, W$56)+COUNTIF(Logs!$J375, W$56)+COUNTIF(Logs!$J394, W$56)+COUNTIF(Logs!$J412, W$56)+COUNTIF(Logs!$J430, W$56)+COUNTIF(Logs!$J448, W$56)+COUNTIF(Logs!$J466, W$56)+COUNTIF(Logs!$J484, W$56)+COUNTIF(Logs!$J502, W$56)+COUNTIF(Logs!$J520, W$56)+COUNTIF(Logs!$J538, W$56)+COUNTIF(Logs!$J556, W$56)+COUNTIF(Logs!$J573, W$56)+COUNTIF(Logs!$J592, W$56)+COUNTIF(Logs!$J608, W$56)+COUNTIF(Logs!$J624, W$56)+COUNTIF(Logs!$J641, W$56)+COUNTIF(Logs!$J656, W$56)+COUNTIF(Logs!$J672, W$56)</f>
        <v>4</v>
      </c>
      <c r="X59" s="1432">
        <f t="shared" ref="X59:X70" si="39">IF(W59&gt;0, W59/SUM($O59,$Q59, $S59,$U59,$W59), "")</f>
        <v>0.10526315789473684</v>
      </c>
    </row>
    <row r="60" spans="2:24">
      <c r="B60" s="1378" t="s">
        <v>187</v>
      </c>
      <c r="C60" s="319">
        <f>COUNTIF(Logs!$I11, C$56)+COUNTIF(Logs!$I29, C$56)+COUNTIF(Logs!$I47, C$56)+COUNTIF(Logs!$I65, C$56)+COUNTIF(Logs!$I83, C$56)+COUNTIF(Logs!$I102, C$56)+COUNTIF(Logs!$I122, C$56)+COUNTIF(Logs!$I141, C$56)+COUNTIF(Logs!$I161, C$56)+COUNTIF(Logs!$I179, C$56)+COUNTIF(Logs!$I200, C$56)+COUNTIF(Logs!$I217, C$56)+COUNTIF(Logs!$I235, C$56)+COUNTIF(Logs!$I252, C$56)+COUNTIF(Logs!$I269, C$56)+COUNTIF(Logs!$I287, C$56)+COUNTIF(Logs!$I304, C$56)+COUNTIF(Logs!$I322, C$56)+COUNTIF(Logs!$I340, C$56)+COUNTIF(Logs!$I358, C$56)+COUNTIF(Logs!$I376, C$56)+COUNTIF(Logs!$I395, C$56)+COUNTIF(Logs!$I413, C$56)+COUNTIF(Logs!$I431, C$56)+COUNTIF(Logs!$I449, C$56)+COUNTIF(Logs!$I467, C$56)+COUNTIF(Logs!$I485, C$56)+COUNTIF(Logs!$I503, C$56)+COUNTIF(Logs!$I521, C$56)+COUNTIF(Logs!$I539, C$56)+COUNTIF(Logs!$I557, C$56)+COUNTIF(Logs!$I574, C$56)+COUNTIF(Logs!$I593, C$56)+COUNTIF(Logs!$I609, C$56)+COUNTIF(Logs!$I625, C$56)+COUNTIF(Logs!$I642, C$56)+COUNTIF(Logs!$I657, C$56)+COUNTIF(Logs!$I673, C$56)</f>
        <v>19</v>
      </c>
      <c r="D60" s="1448">
        <f t="shared" si="30"/>
        <v>0.5</v>
      </c>
      <c r="E60" s="342">
        <f>COUNTIF(Logs!$I11, E$56)+COUNTIF(Logs!$I29, E$56)+COUNTIF(Logs!$I47, E$56)+COUNTIF(Logs!$I65, E$56)+COUNTIF(Logs!$I83, E$56)+COUNTIF(Logs!$I102, E$56)+COUNTIF(Logs!$I122, E$56)+COUNTIF(Logs!$I141, E$56)+COUNTIF(Logs!$I161, E$56)+COUNTIF(Logs!$I179, E$56)+COUNTIF(Logs!$I200, E$56)+COUNTIF(Logs!$I217, E$56)+COUNTIF(Logs!$I235, E$56)+COUNTIF(Logs!$I252, E$56)+COUNTIF(Logs!$I269, E$56)+COUNTIF(Logs!$I287, E$56)+COUNTIF(Logs!$I304, E$56)+COUNTIF(Logs!$I322, E$56)+COUNTIF(Logs!$I340, E$56)+COUNTIF(Logs!$I358, E$56)+COUNTIF(Logs!$I376, E$56)+COUNTIF(Logs!$I395, E$56)+COUNTIF(Logs!$I413, E$56)+COUNTIF(Logs!$I431, E$56)+COUNTIF(Logs!$I449, E$56)+COUNTIF(Logs!$I467, E$56)+COUNTIF(Logs!$I485, E$56)+COUNTIF(Logs!$I503, E$56)+COUNTIF(Logs!$I521, E$56)+COUNTIF(Logs!$I539, E$56)+COUNTIF(Logs!$I557, E$56)+COUNTIF(Logs!$I574, E$56)+COUNTIF(Logs!$I593, E$56)+COUNTIF(Logs!$I609, E$56)+COUNTIF(Logs!$I625, E$56)+COUNTIF(Logs!$I642, E$56)+COUNTIF(Logs!$I657, E$56)+COUNTIF(Logs!$I673, E$56)</f>
        <v>6</v>
      </c>
      <c r="F60" s="1437">
        <f t="shared" si="31"/>
        <v>0.15789473684210525</v>
      </c>
      <c r="G60" s="1439">
        <f>COUNTIF(Logs!$I11, G$56)+COUNTIF(Logs!$I29, G$56)+COUNTIF(Logs!$I47, G$56)+COUNTIF(Logs!$I65, G$56)+COUNTIF(Logs!$I83, G$56)+COUNTIF(Logs!$I102, G$56)+COUNTIF(Logs!$I122, G$56)+COUNTIF(Logs!$I141, G$56)+COUNTIF(Logs!$I161, G$56)+COUNTIF(Logs!$I179, G$56)+COUNTIF(Logs!$I200, G$56)+COUNTIF(Logs!$I217, G$56)+COUNTIF(Logs!$I235, G$56)+COUNTIF(Logs!$I252, G$56)+COUNTIF(Logs!$I269, G$56)+COUNTIF(Logs!$I287, G$56)+COUNTIF(Logs!$I304, G$56)+COUNTIF(Logs!$I322, G$56)+COUNTIF(Logs!$I340, G$56)+COUNTIF(Logs!$I358, G$56)+COUNTIF(Logs!$I376, G$56)+COUNTIF(Logs!$I395, G$56)+COUNTIF(Logs!$I413, G$56)+COUNTIF(Logs!$I431, G$56)+COUNTIF(Logs!$I449, G$56)+COUNTIF(Logs!$I467, G$56)+COUNTIF(Logs!$I485, G$56)+COUNTIF(Logs!$I503, G$56)+COUNTIF(Logs!$I521, G$56)+COUNTIF(Logs!$I539, G$56)+COUNTIF(Logs!$I557, G$56)+COUNTIF(Logs!$I574, G$56)+COUNTIF(Logs!$I593, G$56)+COUNTIF(Logs!$I609, G$56)+COUNTIF(Logs!$I625, G$56)+COUNTIF(Logs!$I642, G$56)+COUNTIF(Logs!$I657, G$56)+COUNTIF(Logs!$I673, G$56)</f>
        <v>9</v>
      </c>
      <c r="H60" s="1440">
        <f t="shared" si="32"/>
        <v>0.23684210526315788</v>
      </c>
      <c r="I60" s="1443">
        <f>COUNTIF(Logs!$I11, I$56)+COUNTIF(Logs!$I29, I$56)+COUNTIF(Logs!$I47, I$56)+COUNTIF(Logs!$I65, I$56)+COUNTIF(Logs!$I83, I$56)+COUNTIF(Logs!$I102, I$56)+COUNTIF(Logs!$I122, I$56)+COUNTIF(Logs!$I141, I$56)+COUNTIF(Logs!$I161, I$56)+COUNTIF(Logs!$I179, I$56)+COUNTIF(Logs!$I200, I$56)+COUNTIF(Logs!$I217, I$56)+COUNTIF(Logs!$I235, I$56)+COUNTIF(Logs!$I252, I$56)+COUNTIF(Logs!$I269, I$56)+COUNTIF(Logs!$I287, I$56)+COUNTIF(Logs!$I304, I$56)+COUNTIF(Logs!$I322, I$56)+COUNTIF(Logs!$I340, I$56)+COUNTIF(Logs!$I358, I$56)+COUNTIF(Logs!$I376, I$56)+COUNTIF(Logs!$I395, I$56)+COUNTIF(Logs!$I413, I$56)+COUNTIF(Logs!$I431, I$56)+COUNTIF(Logs!$I449, I$56)+COUNTIF(Logs!$I467, I$56)+COUNTIF(Logs!$I485, I$56)+COUNTIF(Logs!$I503, I$56)+COUNTIF(Logs!$I521, I$56)+COUNTIF(Logs!$I539, I$56)+COUNTIF(Logs!$I557, I$56)+COUNTIF(Logs!$I574, I$56)+COUNTIF(Logs!$I593, I$56)+COUNTIF(Logs!$I609, I$56)+COUNTIF(Logs!$I625, I$56)+COUNTIF(Logs!$I642, I$56)+COUNTIF(Logs!$I657, I$56)+COUNTIF(Logs!$I673, I$56)</f>
        <v>0</v>
      </c>
      <c r="J60" s="1444" t="str">
        <f t="shared" si="33"/>
        <v/>
      </c>
      <c r="K60" s="1101">
        <f>COUNTIF(Logs!$I11, K$56)+COUNTIF(Logs!$I29, K$56)+COUNTIF(Logs!$I47, K$56)+COUNTIF(Logs!$I65, K$56)+COUNTIF(Logs!$I83, K$56)+COUNTIF(Logs!$I102, K$56)+COUNTIF(Logs!$I122, K$56)+COUNTIF(Logs!$I141, K$56)+COUNTIF(Logs!$I161, K$56)+COUNTIF(Logs!$I179, K$56)+COUNTIF(Logs!$I200, K$56)+COUNTIF(Logs!$I217, K$56)+COUNTIF(Logs!$I235, K$56)+COUNTIF(Logs!$I252, K$56)+COUNTIF(Logs!$I269, K$56)+COUNTIF(Logs!$I287, K$56)+COUNTIF(Logs!$I304, K$56)+COUNTIF(Logs!$I322, K$56)+COUNTIF(Logs!$I340, K$56)+COUNTIF(Logs!$I358, K$56)+COUNTIF(Logs!$I376, K$56)+COUNTIF(Logs!$I395, K$56)+COUNTIF(Logs!$I413, K$56)+COUNTIF(Logs!$I431, K$56)+COUNTIF(Logs!$I449, K$56)+COUNTIF(Logs!$I467, K$56)+COUNTIF(Logs!$I485, K$56)+COUNTIF(Logs!$I503, K$56)+COUNTIF(Logs!$I521, K$56)+COUNTIF(Logs!$I539, K$56)+COUNTIF(Logs!$I557, K$56)+COUNTIF(Logs!$I574, K$56)+COUNTIF(Logs!$I593, K$56)+COUNTIF(Logs!$I609, K$56)+COUNTIF(Logs!$I625, K$56)+COUNTIF(Logs!$I642, K$56)+COUNTIF(Logs!$I657, K$56)+COUNTIF(Logs!$I673, K$56)</f>
        <v>4</v>
      </c>
      <c r="L60" s="1432">
        <f t="shared" si="34"/>
        <v>0.10526315789473684</v>
      </c>
      <c r="N60" s="1378" t="s">
        <v>187</v>
      </c>
      <c r="O60" s="319">
        <f>COUNTIF(Logs!$J11, O$56)+COUNTIF(Logs!$J29, O$56)+COUNTIF(Logs!$J47, O$56)+COUNTIF(Logs!$J65, O$56)+COUNTIF(Logs!$J83, O$56)+COUNTIF(Logs!$J102, O$56)+COUNTIF(Logs!$J122, O$56)+COUNTIF(Logs!$J141, O$56)+COUNTIF(Logs!$J161, O$56)+COUNTIF(Logs!$J179, O$56)+COUNTIF(Logs!$J200, O$56)+COUNTIF(Logs!$J217, O$56)+COUNTIF(Logs!$J235, O$56)+COUNTIF(Logs!$J252, O$56)+COUNTIF(Logs!$J269, O$56)+COUNTIF(Logs!$J287, O$56)+COUNTIF(Logs!$J304, O$56)+COUNTIF(Logs!$J322, O$56)+COUNTIF(Logs!$J340, O$56)+COUNTIF(Logs!$J358, O$56)+COUNTIF(Logs!$J376, O$56)+COUNTIF(Logs!$J395, O$56)+COUNTIF(Logs!$J413, O$56)+COUNTIF(Logs!$J431, O$56)+COUNTIF(Logs!$J449, O$56)+COUNTIF(Logs!$J467, O$56)+COUNTIF(Logs!$J485, O$56)+COUNTIF(Logs!$J503, O$56)+COUNTIF(Logs!$J521, O$56)+COUNTIF(Logs!$J539, O$56)+COUNTIF(Logs!$J557, O$56)+COUNTIF(Logs!$J574, O$56)+COUNTIF(Logs!$J593, O$56)+COUNTIF(Logs!$J609, O$56)+COUNTIF(Logs!$J625, O$56)+COUNTIF(Logs!$J642, O$56)+COUNTIF(Logs!$J657, O$56)+COUNTIF(Logs!$J673, O$56)</f>
        <v>21</v>
      </c>
      <c r="P60" s="1448">
        <f t="shared" si="35"/>
        <v>0.55263157894736847</v>
      </c>
      <c r="Q60" s="342">
        <f>COUNTIF(Logs!$J11, Q$56)+COUNTIF(Logs!$J29, Q$56)+COUNTIF(Logs!$J47, Q$56)+COUNTIF(Logs!$J65, Q$56)+COUNTIF(Logs!$J83, Q$56)+COUNTIF(Logs!$J102, Q$56)+COUNTIF(Logs!$J122, Q$56)+COUNTIF(Logs!$J141, Q$56)+COUNTIF(Logs!$J161, Q$56)+COUNTIF(Logs!$J179, Q$56)+COUNTIF(Logs!$J200, Q$56)+COUNTIF(Logs!$J217, Q$56)+COUNTIF(Logs!$J235, Q$56)+COUNTIF(Logs!$J252, Q$56)+COUNTIF(Logs!$J269, Q$56)+COUNTIF(Logs!$J287, Q$56)+COUNTIF(Logs!$J304, Q$56)+COUNTIF(Logs!$J322, Q$56)+COUNTIF(Logs!$J340, Q$56)+COUNTIF(Logs!$J358, Q$56)+COUNTIF(Logs!$J376, Q$56)+COUNTIF(Logs!$J395, Q$56)+COUNTIF(Logs!$J413, Q$56)+COUNTIF(Logs!$J431, Q$56)+COUNTIF(Logs!$J449, Q$56)+COUNTIF(Logs!$J467, Q$56)+COUNTIF(Logs!$J485, Q$56)+COUNTIF(Logs!$J503, Q$56)+COUNTIF(Logs!$J521, Q$56)+COUNTIF(Logs!$J539, Q$56)+COUNTIF(Logs!$J557, Q$56)+COUNTIF(Logs!$J574, Q$56)+COUNTIF(Logs!$J593, Q$56)+COUNTIF(Logs!$J609, Q$56)+COUNTIF(Logs!$J625, Q$56)+COUNTIF(Logs!$J642, Q$56)+COUNTIF(Logs!$J657, Q$56)+COUNTIF(Logs!$J673, Q$56)</f>
        <v>8</v>
      </c>
      <c r="R60" s="1437">
        <f t="shared" si="36"/>
        <v>0.21052631578947367</v>
      </c>
      <c r="S60" s="1439">
        <f>COUNTIF(Logs!$J11, S$56)+COUNTIF(Logs!$J29, S$56)+COUNTIF(Logs!$J47, S$56)+COUNTIF(Logs!$J65, S$56)+COUNTIF(Logs!$J83, S$56)+COUNTIF(Logs!$J102, S$56)+COUNTIF(Logs!$J122, S$56)+COUNTIF(Logs!$J141, S$56)+COUNTIF(Logs!$J161, S$56)+COUNTIF(Logs!$J179, S$56)+COUNTIF(Logs!$J200, S$56)+COUNTIF(Logs!$J217, S$56)+COUNTIF(Logs!$J235, S$56)+COUNTIF(Logs!$J252, S$56)+COUNTIF(Logs!$J269, S$56)+COUNTIF(Logs!$J287, S$56)+COUNTIF(Logs!$J304, S$56)+COUNTIF(Logs!$J322, S$56)+COUNTIF(Logs!$J340, S$56)+COUNTIF(Logs!$J358, S$56)+COUNTIF(Logs!$J376, S$56)+COUNTIF(Logs!$J395, S$56)+COUNTIF(Logs!$J413, S$56)+COUNTIF(Logs!$J431, S$56)+COUNTIF(Logs!$J449, S$56)+COUNTIF(Logs!$J467, S$56)+COUNTIF(Logs!$J485, S$56)+COUNTIF(Logs!$J503, S$56)+COUNTIF(Logs!$J521, S$56)+COUNTIF(Logs!$J539, S$56)+COUNTIF(Logs!$J557, S$56)+COUNTIF(Logs!$J574, S$56)+COUNTIF(Logs!$J593, S$56)+COUNTIF(Logs!$J609, S$56)+COUNTIF(Logs!$J625, S$56)+COUNTIF(Logs!$J642, S$56)+COUNTIF(Logs!$J657, S$56)+COUNTIF(Logs!$J673, S$56)</f>
        <v>4</v>
      </c>
      <c r="T60" s="1440">
        <f t="shared" si="37"/>
        <v>0.10526315789473684</v>
      </c>
      <c r="U60" s="1443">
        <f>COUNTIF(Logs!$J11, U$56)+COUNTIF(Logs!$J29, U$56)+COUNTIF(Logs!$J47, U$56)+COUNTIF(Logs!$J65, U$56)+COUNTIF(Logs!$J83, U$56)+COUNTIF(Logs!$J102, U$56)+COUNTIF(Logs!$J122, U$56)+COUNTIF(Logs!$J141, U$56)+COUNTIF(Logs!$J161, U$56)+COUNTIF(Logs!$J179, U$56)+COUNTIF(Logs!$J200, U$56)+COUNTIF(Logs!$J217, U$56)+COUNTIF(Logs!$J235, U$56)+COUNTIF(Logs!$J252, U$56)+COUNTIF(Logs!$J269, U$56)+COUNTIF(Logs!$J287, U$56)+COUNTIF(Logs!$J304, U$56)+COUNTIF(Logs!$J322, U$56)+COUNTIF(Logs!$J340, U$56)+COUNTIF(Logs!$J358, U$56)+COUNTIF(Logs!$J376, U$56)+COUNTIF(Logs!$J395, U$56)+COUNTIF(Logs!$J413, U$56)+COUNTIF(Logs!$J431, U$56)+COUNTIF(Logs!$J449, U$56)+COUNTIF(Logs!$J467, U$56)+COUNTIF(Logs!$J485, U$56)+COUNTIF(Logs!$J503, U$56)+COUNTIF(Logs!$J521, U$56)+COUNTIF(Logs!$J539, U$56)+COUNTIF(Logs!$J557, U$56)+COUNTIF(Logs!$J574, U$56)+COUNTIF(Logs!$J593, U$56)+COUNTIF(Logs!$J609, U$56)+COUNTIF(Logs!$J625, U$56)+COUNTIF(Logs!$J642, U$56)+COUNTIF(Logs!$J657, U$56)+COUNTIF(Logs!$J673, U$56)</f>
        <v>3</v>
      </c>
      <c r="V60" s="1444">
        <f t="shared" si="38"/>
        <v>7.8947368421052627E-2</v>
      </c>
      <c r="W60" s="1101">
        <f>COUNTIF(Logs!$J11, W$56)+COUNTIF(Logs!$J29, W$56)+COUNTIF(Logs!$J47, W$56)+COUNTIF(Logs!$J65, W$56)+COUNTIF(Logs!$J83, W$56)+COUNTIF(Logs!$J102, W$56)+COUNTIF(Logs!$J122, W$56)+COUNTIF(Logs!$J141, W$56)+COUNTIF(Logs!$J161, W$56)+COUNTIF(Logs!$J179, W$56)+COUNTIF(Logs!$J200, W$56)+COUNTIF(Logs!$J217, W$56)+COUNTIF(Logs!$J235, W$56)+COUNTIF(Logs!$J252, W$56)+COUNTIF(Logs!$J269, W$56)+COUNTIF(Logs!$J287, W$56)+COUNTIF(Logs!$J304, W$56)+COUNTIF(Logs!$J322, W$56)+COUNTIF(Logs!$J340, W$56)+COUNTIF(Logs!$J358, W$56)+COUNTIF(Logs!$J376, W$56)+COUNTIF(Logs!$J395, W$56)+COUNTIF(Logs!$J413, W$56)+COUNTIF(Logs!$J431, W$56)+COUNTIF(Logs!$J449, W$56)+COUNTIF(Logs!$J467, W$56)+COUNTIF(Logs!$J485, W$56)+COUNTIF(Logs!$J503, W$56)+COUNTIF(Logs!$J521, W$56)+COUNTIF(Logs!$J539, W$56)+COUNTIF(Logs!$J557, W$56)+COUNTIF(Logs!$J574, W$56)+COUNTIF(Logs!$J593, W$56)+COUNTIF(Logs!$J609, W$56)+COUNTIF(Logs!$J625, W$56)+COUNTIF(Logs!$J642, W$56)+COUNTIF(Logs!$J657, W$56)+COUNTIF(Logs!$J673, W$56)</f>
        <v>2</v>
      </c>
      <c r="X60" s="1432">
        <f t="shared" si="39"/>
        <v>5.2631578947368418E-2</v>
      </c>
    </row>
    <row r="61" spans="2:24">
      <c r="B61" s="1378" t="s">
        <v>188</v>
      </c>
      <c r="C61" s="319">
        <f>COUNTIF(Logs!$I12, C$56)+COUNTIF(Logs!$I30, C$56)+COUNTIF(Logs!$I48, C$56)+COUNTIF(Logs!$I66, C$56)+COUNTIF(Logs!$I84, C$56)+COUNTIF(Logs!$I103, C$56)+COUNTIF(Logs!$I123, C$56)+COUNTIF(Logs!$I142, C$56)+COUNTIF(Logs!$I162, C$56)+COUNTIF(Logs!$I180, C$56)+COUNTIF(Logs!$I201, C$56)+COUNTIF(Logs!$I218, C$56)+COUNTIF(Logs!$I236, C$56)+COUNTIF(Logs!$I253, C$56)+COUNTIF(Logs!$I270, C$56)+COUNTIF(Logs!$I288, C$56)+COUNTIF(Logs!$I305, C$56)+COUNTIF(Logs!$I323, C$56)+COUNTIF(Logs!$I341, C$56)+COUNTIF(Logs!$I359, C$56)+COUNTIF(Logs!$I377, C$56)+COUNTIF(Logs!$I396, C$56)+COUNTIF(Logs!$I414, C$56)+COUNTIF(Logs!$I432, C$56)+COUNTIF(Logs!$I450, C$56)+COUNTIF(Logs!$I468, C$56)+COUNTIF(Logs!$I486, C$56)+COUNTIF(Logs!$I504, C$56)+COUNTIF(Logs!$I522, C$56)+COUNTIF(Logs!$I540, C$56)+COUNTIF(Logs!$I558, C$56)+COUNTIF(Logs!$I575, C$56)+COUNTIF(Logs!$I594, C$56)+COUNTIF(Logs!$I610, C$56)+COUNTIF(Logs!$I626, C$56)+COUNTIF(Logs!$I643, C$56)+COUNTIF(Logs!$I658, C$56)+COUNTIF(Logs!$I674, C$56)</f>
        <v>20</v>
      </c>
      <c r="D61" s="1448">
        <f t="shared" si="30"/>
        <v>0.52631578947368418</v>
      </c>
      <c r="E61" s="342">
        <f>COUNTIF(Logs!$I12, E$56)+COUNTIF(Logs!$I30, E$56)+COUNTIF(Logs!$I48, E$56)+COUNTIF(Logs!$I66, E$56)+COUNTIF(Logs!$I84, E$56)+COUNTIF(Logs!$I103, E$56)+COUNTIF(Logs!$I123, E$56)+COUNTIF(Logs!$I142, E$56)+COUNTIF(Logs!$I162, E$56)+COUNTIF(Logs!$I180, E$56)+COUNTIF(Logs!$I201, E$56)+COUNTIF(Logs!$I218, E$56)+COUNTIF(Logs!$I236, E$56)+COUNTIF(Logs!$I253, E$56)+COUNTIF(Logs!$I270, E$56)+COUNTIF(Logs!$I288, E$56)+COUNTIF(Logs!$I305, E$56)+COUNTIF(Logs!$I323, E$56)+COUNTIF(Logs!$I341, E$56)+COUNTIF(Logs!$I359, E$56)+COUNTIF(Logs!$I377, E$56)+COUNTIF(Logs!$I396, E$56)+COUNTIF(Logs!$I414, E$56)+COUNTIF(Logs!$I432, E$56)+COUNTIF(Logs!$I450, E$56)+COUNTIF(Logs!$I468, E$56)+COUNTIF(Logs!$I486, E$56)+COUNTIF(Logs!$I504, E$56)+COUNTIF(Logs!$I522, E$56)+COUNTIF(Logs!$I540, E$56)+COUNTIF(Logs!$I558, E$56)+COUNTIF(Logs!$I575, E$56)+COUNTIF(Logs!$I594, E$56)+COUNTIF(Logs!$I610, E$56)+COUNTIF(Logs!$I626, E$56)+COUNTIF(Logs!$I643, E$56)+COUNTIF(Logs!$I658, E$56)+COUNTIF(Logs!$I674, E$56)</f>
        <v>8</v>
      </c>
      <c r="F61" s="1437">
        <f t="shared" si="31"/>
        <v>0.21052631578947367</v>
      </c>
      <c r="G61" s="1439">
        <f>COUNTIF(Logs!$I12, G$56)+COUNTIF(Logs!$I30, G$56)+COUNTIF(Logs!$I48, G$56)+COUNTIF(Logs!$I66, G$56)+COUNTIF(Logs!$I84, G$56)+COUNTIF(Logs!$I103, G$56)+COUNTIF(Logs!$I123, G$56)+COUNTIF(Logs!$I142, G$56)+COUNTIF(Logs!$I162, G$56)+COUNTIF(Logs!$I180, G$56)+COUNTIF(Logs!$I201, G$56)+COUNTIF(Logs!$I218, G$56)+COUNTIF(Logs!$I236, G$56)+COUNTIF(Logs!$I253, G$56)+COUNTIF(Logs!$I270, G$56)+COUNTIF(Logs!$I288, G$56)+COUNTIF(Logs!$I305, G$56)+COUNTIF(Logs!$I323, G$56)+COUNTIF(Logs!$I341, G$56)+COUNTIF(Logs!$I359, G$56)+COUNTIF(Logs!$I377, G$56)+COUNTIF(Logs!$I396, G$56)+COUNTIF(Logs!$I414, G$56)+COUNTIF(Logs!$I432, G$56)+COUNTIF(Logs!$I450, G$56)+COUNTIF(Logs!$I468, G$56)+COUNTIF(Logs!$I486, G$56)+COUNTIF(Logs!$I504, G$56)+COUNTIF(Logs!$I522, G$56)+COUNTIF(Logs!$I540, G$56)+COUNTIF(Logs!$I558, G$56)+COUNTIF(Logs!$I575, G$56)+COUNTIF(Logs!$I594, G$56)+COUNTIF(Logs!$I610, G$56)+COUNTIF(Logs!$I626, G$56)+COUNTIF(Logs!$I643, G$56)+COUNTIF(Logs!$I658, G$56)+COUNTIF(Logs!$I674, G$56)</f>
        <v>8</v>
      </c>
      <c r="H61" s="1440">
        <f t="shared" si="32"/>
        <v>0.21052631578947367</v>
      </c>
      <c r="I61" s="1443">
        <f>COUNTIF(Logs!$I12, I$56)+COUNTIF(Logs!$I30, I$56)+COUNTIF(Logs!$I48, I$56)+COUNTIF(Logs!$I66, I$56)+COUNTIF(Logs!$I84, I$56)+COUNTIF(Logs!$I103, I$56)+COUNTIF(Logs!$I123, I$56)+COUNTIF(Logs!$I142, I$56)+COUNTIF(Logs!$I162, I$56)+COUNTIF(Logs!$I180, I$56)+COUNTIF(Logs!$I201, I$56)+COUNTIF(Logs!$I218, I$56)+COUNTIF(Logs!$I236, I$56)+COUNTIF(Logs!$I253, I$56)+COUNTIF(Logs!$I270, I$56)+COUNTIF(Logs!$I288, I$56)+COUNTIF(Logs!$I305, I$56)+COUNTIF(Logs!$I323, I$56)+COUNTIF(Logs!$I341, I$56)+COUNTIF(Logs!$I359, I$56)+COUNTIF(Logs!$I377, I$56)+COUNTIF(Logs!$I396, I$56)+COUNTIF(Logs!$I414, I$56)+COUNTIF(Logs!$I432, I$56)+COUNTIF(Logs!$I450, I$56)+COUNTIF(Logs!$I468, I$56)+COUNTIF(Logs!$I486, I$56)+COUNTIF(Logs!$I504, I$56)+COUNTIF(Logs!$I522, I$56)+COUNTIF(Logs!$I540, I$56)+COUNTIF(Logs!$I558, I$56)+COUNTIF(Logs!$I575, I$56)+COUNTIF(Logs!$I594, I$56)+COUNTIF(Logs!$I610, I$56)+COUNTIF(Logs!$I626, I$56)+COUNTIF(Logs!$I643, I$56)+COUNTIF(Logs!$I658, I$56)+COUNTIF(Logs!$I674, I$56)</f>
        <v>1</v>
      </c>
      <c r="J61" s="1444">
        <f t="shared" si="33"/>
        <v>2.6315789473684209E-2</v>
      </c>
      <c r="K61" s="1101">
        <f>COUNTIF(Logs!$I12, K$56)+COUNTIF(Logs!$I30, K$56)+COUNTIF(Logs!$I48, K$56)+COUNTIF(Logs!$I66, K$56)+COUNTIF(Logs!$I84, K$56)+COUNTIF(Logs!$I103, K$56)+COUNTIF(Logs!$I123, K$56)+COUNTIF(Logs!$I142, K$56)+COUNTIF(Logs!$I162, K$56)+COUNTIF(Logs!$I180, K$56)+COUNTIF(Logs!$I201, K$56)+COUNTIF(Logs!$I218, K$56)+COUNTIF(Logs!$I236, K$56)+COUNTIF(Logs!$I253, K$56)+COUNTIF(Logs!$I270, K$56)+COUNTIF(Logs!$I288, K$56)+COUNTIF(Logs!$I305, K$56)+COUNTIF(Logs!$I323, K$56)+COUNTIF(Logs!$I341, K$56)+COUNTIF(Logs!$I359, K$56)+COUNTIF(Logs!$I377, K$56)+COUNTIF(Logs!$I396, K$56)+COUNTIF(Logs!$I414, K$56)+COUNTIF(Logs!$I432, K$56)+COUNTIF(Logs!$I450, K$56)+COUNTIF(Logs!$I468, K$56)+COUNTIF(Logs!$I486, K$56)+COUNTIF(Logs!$I504, K$56)+COUNTIF(Logs!$I522, K$56)+COUNTIF(Logs!$I540, K$56)+COUNTIF(Logs!$I558, K$56)+COUNTIF(Logs!$I575, K$56)+COUNTIF(Logs!$I594, K$56)+COUNTIF(Logs!$I610, K$56)+COUNTIF(Logs!$I626, K$56)+COUNTIF(Logs!$I643, K$56)+COUNTIF(Logs!$I658, K$56)+COUNTIF(Logs!$I674, K$56)</f>
        <v>1</v>
      </c>
      <c r="L61" s="1432">
        <f t="shared" si="34"/>
        <v>2.6315789473684209E-2</v>
      </c>
      <c r="N61" s="1378" t="s">
        <v>188</v>
      </c>
      <c r="O61" s="319">
        <f>COUNTIF(Logs!$J12, O$56)+COUNTIF(Logs!$J30, O$56)+COUNTIF(Logs!$J48, O$56)+COUNTIF(Logs!$J66, O$56)+COUNTIF(Logs!$J84, O$56)+COUNTIF(Logs!$J103, O$56)+COUNTIF(Logs!$J123, O$56)+COUNTIF(Logs!$J142, O$56)+COUNTIF(Logs!$J162, O$56)+COUNTIF(Logs!$J180, O$56)+COUNTIF(Logs!$J201, O$56)+COUNTIF(Logs!$J218, O$56)+COUNTIF(Logs!$J236, O$56)+COUNTIF(Logs!$J253, O$56)+COUNTIF(Logs!$J270, O$56)+COUNTIF(Logs!$J288, O$56)+COUNTIF(Logs!$J305, O$56)+COUNTIF(Logs!$J323, O$56)+COUNTIF(Logs!$J341, O$56)+COUNTIF(Logs!$J359, O$56)+COUNTIF(Logs!$J377, O$56)+COUNTIF(Logs!$J396, O$56)+COUNTIF(Logs!$J414, O$56)+COUNTIF(Logs!$J432, O$56)+COUNTIF(Logs!$J450, O$56)+COUNTIF(Logs!$J468, O$56)+COUNTIF(Logs!$J486, O$56)+COUNTIF(Logs!$J504, O$56)+COUNTIF(Logs!$J522, O$56)+COUNTIF(Logs!$J540, O$56)+COUNTIF(Logs!$J558, O$56)+COUNTIF(Logs!$J575, O$56)+COUNTIF(Logs!$J594, O$56)+COUNTIF(Logs!$J610, O$56)+COUNTIF(Logs!$J626, O$56)+COUNTIF(Logs!$J643, O$56)+COUNTIF(Logs!$J658, O$56)+COUNTIF(Logs!$J674, O$56)</f>
        <v>22</v>
      </c>
      <c r="P61" s="1448">
        <f t="shared" si="35"/>
        <v>0.59459459459459463</v>
      </c>
      <c r="Q61" s="342">
        <f>COUNTIF(Logs!$J12, Q$56)+COUNTIF(Logs!$J30, Q$56)+COUNTIF(Logs!$J48, Q$56)+COUNTIF(Logs!$J66, Q$56)+COUNTIF(Logs!$J84, Q$56)+COUNTIF(Logs!$J103, Q$56)+COUNTIF(Logs!$J123, Q$56)+COUNTIF(Logs!$J142, Q$56)+COUNTIF(Logs!$J162, Q$56)+COUNTIF(Logs!$J180, Q$56)+COUNTIF(Logs!$J201, Q$56)+COUNTIF(Logs!$J218, Q$56)+COUNTIF(Logs!$J236, Q$56)+COUNTIF(Logs!$J253, Q$56)+COUNTIF(Logs!$J270, Q$56)+COUNTIF(Logs!$J288, Q$56)+COUNTIF(Logs!$J305, Q$56)+COUNTIF(Logs!$J323, Q$56)+COUNTIF(Logs!$J341, Q$56)+COUNTIF(Logs!$J359, Q$56)+COUNTIF(Logs!$J377, Q$56)+COUNTIF(Logs!$J396, Q$56)+COUNTIF(Logs!$J414, Q$56)+COUNTIF(Logs!$J432, Q$56)+COUNTIF(Logs!$J450, Q$56)+COUNTIF(Logs!$J468, Q$56)+COUNTIF(Logs!$J486, Q$56)+COUNTIF(Logs!$J504, Q$56)+COUNTIF(Logs!$J522, Q$56)+COUNTIF(Logs!$J540, Q$56)+COUNTIF(Logs!$J558, Q$56)+COUNTIF(Logs!$J575, Q$56)+COUNTIF(Logs!$J594, Q$56)+COUNTIF(Logs!$J610, Q$56)+COUNTIF(Logs!$J626, Q$56)+COUNTIF(Logs!$J643, Q$56)+COUNTIF(Logs!$J658, Q$56)+COUNTIF(Logs!$J674, Q$56)</f>
        <v>1</v>
      </c>
      <c r="R61" s="1437">
        <f t="shared" si="36"/>
        <v>2.7027027027027029E-2</v>
      </c>
      <c r="S61" s="1439">
        <f>COUNTIF(Logs!$J12, S$56)+COUNTIF(Logs!$J30, S$56)+COUNTIF(Logs!$J48, S$56)+COUNTIF(Logs!$J66, S$56)+COUNTIF(Logs!$J84, S$56)+COUNTIF(Logs!$J103, S$56)+COUNTIF(Logs!$J123, S$56)+COUNTIF(Logs!$J142, S$56)+COUNTIF(Logs!$J162, S$56)+COUNTIF(Logs!$J180, S$56)+COUNTIF(Logs!$J201, S$56)+COUNTIF(Logs!$J218, S$56)+COUNTIF(Logs!$J236, S$56)+COUNTIF(Logs!$J253, S$56)+COUNTIF(Logs!$J270, S$56)+COUNTIF(Logs!$J288, S$56)+COUNTIF(Logs!$J305, S$56)+COUNTIF(Logs!$J323, S$56)+COUNTIF(Logs!$J341, S$56)+COUNTIF(Logs!$J359, S$56)+COUNTIF(Logs!$J377, S$56)+COUNTIF(Logs!$J396, S$56)+COUNTIF(Logs!$J414, S$56)+COUNTIF(Logs!$J432, S$56)+COUNTIF(Logs!$J450, S$56)+COUNTIF(Logs!$J468, S$56)+COUNTIF(Logs!$J486, S$56)+COUNTIF(Logs!$J504, S$56)+COUNTIF(Logs!$J522, S$56)+COUNTIF(Logs!$J540, S$56)+COUNTIF(Logs!$J558, S$56)+COUNTIF(Logs!$J575, S$56)+COUNTIF(Logs!$J594, S$56)+COUNTIF(Logs!$J610, S$56)+COUNTIF(Logs!$J626, S$56)+COUNTIF(Logs!$J643, S$56)+COUNTIF(Logs!$J658, S$56)+COUNTIF(Logs!$J674, S$56)</f>
        <v>12</v>
      </c>
      <c r="T61" s="1440">
        <f t="shared" si="37"/>
        <v>0.32432432432432434</v>
      </c>
      <c r="U61" s="1443">
        <f>COUNTIF(Logs!$J12, U$56)+COUNTIF(Logs!$J30, U$56)+COUNTIF(Logs!$J48, U$56)+COUNTIF(Logs!$J66, U$56)+COUNTIF(Logs!$J84, U$56)+COUNTIF(Logs!$J103, U$56)+COUNTIF(Logs!$J123, U$56)+COUNTIF(Logs!$J142, U$56)+COUNTIF(Logs!$J162, U$56)+COUNTIF(Logs!$J180, U$56)+COUNTIF(Logs!$J201, U$56)+COUNTIF(Logs!$J218, U$56)+COUNTIF(Logs!$J236, U$56)+COUNTIF(Logs!$J253, U$56)+COUNTIF(Logs!$J270, U$56)+COUNTIF(Logs!$J288, U$56)+COUNTIF(Logs!$J305, U$56)+COUNTIF(Logs!$J323, U$56)+COUNTIF(Logs!$J341, U$56)+COUNTIF(Logs!$J359, U$56)+COUNTIF(Logs!$J377, U$56)+COUNTIF(Logs!$J396, U$56)+COUNTIF(Logs!$J414, U$56)+COUNTIF(Logs!$J432, U$56)+COUNTIF(Logs!$J450, U$56)+COUNTIF(Logs!$J468, U$56)+COUNTIF(Logs!$J486, U$56)+COUNTIF(Logs!$J504, U$56)+COUNTIF(Logs!$J522, U$56)+COUNTIF(Logs!$J540, U$56)+COUNTIF(Logs!$J558, U$56)+COUNTIF(Logs!$J575, U$56)+COUNTIF(Logs!$J594, U$56)+COUNTIF(Logs!$J610, U$56)+COUNTIF(Logs!$J626, U$56)+COUNTIF(Logs!$J643, U$56)+COUNTIF(Logs!$J658, U$56)+COUNTIF(Logs!$J674, U$56)</f>
        <v>2</v>
      </c>
      <c r="V61" s="1444">
        <f t="shared" si="38"/>
        <v>5.4054054054054057E-2</v>
      </c>
      <c r="W61" s="1101">
        <f>COUNTIF(Logs!$J12, W$56)+COUNTIF(Logs!$J30, W$56)+COUNTIF(Logs!$J48, W$56)+COUNTIF(Logs!$J66, W$56)+COUNTIF(Logs!$J84, W$56)+COUNTIF(Logs!$J103, W$56)+COUNTIF(Logs!$J123, W$56)+COUNTIF(Logs!$J142, W$56)+COUNTIF(Logs!$J162, W$56)+COUNTIF(Logs!$J180, W$56)+COUNTIF(Logs!$J201, W$56)+COUNTIF(Logs!$J218, W$56)+COUNTIF(Logs!$J236, W$56)+COUNTIF(Logs!$J253, W$56)+COUNTIF(Logs!$J270, W$56)+COUNTIF(Logs!$J288, W$56)+COUNTIF(Logs!$J305, W$56)+COUNTIF(Logs!$J323, W$56)+COUNTIF(Logs!$J341, W$56)+COUNTIF(Logs!$J359, W$56)+COUNTIF(Logs!$J377, W$56)+COUNTIF(Logs!$J396, W$56)+COUNTIF(Logs!$J414, W$56)+COUNTIF(Logs!$J432, W$56)+COUNTIF(Logs!$J450, W$56)+COUNTIF(Logs!$J468, W$56)+COUNTIF(Logs!$J486, W$56)+COUNTIF(Logs!$J504, W$56)+COUNTIF(Logs!$J522, W$56)+COUNTIF(Logs!$J540, W$56)+COUNTIF(Logs!$J558, W$56)+COUNTIF(Logs!$J575, W$56)+COUNTIF(Logs!$J594, W$56)+COUNTIF(Logs!$J610, W$56)+COUNTIF(Logs!$J626, W$56)+COUNTIF(Logs!$J643, W$56)+COUNTIF(Logs!$J658, W$56)+COUNTIF(Logs!$J674, W$56)</f>
        <v>0</v>
      </c>
      <c r="X61" s="1432" t="str">
        <f t="shared" si="39"/>
        <v/>
      </c>
    </row>
    <row r="62" spans="2:24">
      <c r="B62" s="1378" t="s">
        <v>189</v>
      </c>
      <c r="C62" s="319">
        <f>COUNTIF(Logs!$I13, C$56)+COUNTIF(Logs!$I31, C$56)+COUNTIF(Logs!$I49, C$56)+COUNTIF(Logs!$I67, C$56)+COUNTIF(Logs!$I85, C$56)+COUNTIF(Logs!$I104, C$56)+COUNTIF(Logs!$I124, C$56)+COUNTIF(Logs!$I143, C$56)+COUNTIF(Logs!$I163, C$56)+COUNTIF(Logs!$I181, C$56)+COUNTIF(Logs!$I202, C$56)+COUNTIF(Logs!$I219, C$56)+COUNTIF(Logs!$I237, C$56)+COUNTIF(Logs!$I254, C$56)+COUNTIF(Logs!$I271, C$56)+COUNTIF(Logs!$I289, C$56)+COUNTIF(Logs!$I306, C$56)+COUNTIF(Logs!$I324, C$56)+COUNTIF(Logs!$I342, C$56)+COUNTIF(Logs!$I360, C$56)+COUNTIF(Logs!$I378, C$56)+COUNTIF(Logs!$I397, C$56)+COUNTIF(Logs!$I415, C$56)+COUNTIF(Logs!$I433, C$56)+COUNTIF(Logs!$I451, C$56)+COUNTIF(Logs!$I469, C$56)+COUNTIF(Logs!$I487, C$56)+COUNTIF(Logs!$I505, C$56)+COUNTIF(Logs!$I523, C$56)+COUNTIF(Logs!$I541, C$56)+COUNTIF(Logs!$I559, C$56)+COUNTIF(Logs!$I576, C$56)+COUNTIF(Logs!$I595, C$56)+COUNTIF(Logs!$I611, C$56)+COUNTIF(Logs!$I627, C$56)+COUNTIF(Logs!$I644, C$56)+COUNTIF(Logs!$I659, C$56)+COUNTIF(Logs!$I675, C$56)</f>
        <v>23</v>
      </c>
      <c r="D62" s="1448">
        <f t="shared" si="30"/>
        <v>0.60526315789473684</v>
      </c>
      <c r="E62" s="342">
        <f>COUNTIF(Logs!$I13, E$56)+COUNTIF(Logs!$I31, E$56)+COUNTIF(Logs!$I49, E$56)+COUNTIF(Logs!$I67, E$56)+COUNTIF(Logs!$I85, E$56)+COUNTIF(Logs!$I104, E$56)+COUNTIF(Logs!$I124, E$56)+COUNTIF(Logs!$I143, E$56)+COUNTIF(Logs!$I163, E$56)+COUNTIF(Logs!$I181, E$56)+COUNTIF(Logs!$I202, E$56)+COUNTIF(Logs!$I219, E$56)+COUNTIF(Logs!$I237, E$56)+COUNTIF(Logs!$I254, E$56)+COUNTIF(Logs!$I271, E$56)+COUNTIF(Logs!$I289, E$56)+COUNTIF(Logs!$I306, E$56)+COUNTIF(Logs!$I324, E$56)+COUNTIF(Logs!$I342, E$56)+COUNTIF(Logs!$I360, E$56)+COUNTIF(Logs!$I378, E$56)+COUNTIF(Logs!$I397, E$56)+COUNTIF(Logs!$I415, E$56)+COUNTIF(Logs!$I433, E$56)+COUNTIF(Logs!$I451, E$56)+COUNTIF(Logs!$I469, E$56)+COUNTIF(Logs!$I487, E$56)+COUNTIF(Logs!$I505, E$56)+COUNTIF(Logs!$I523, E$56)+COUNTIF(Logs!$I541, E$56)+COUNTIF(Logs!$I559, E$56)+COUNTIF(Logs!$I576, E$56)+COUNTIF(Logs!$I595, E$56)+COUNTIF(Logs!$I611, E$56)+COUNTIF(Logs!$I627, E$56)+COUNTIF(Logs!$I644, E$56)+COUNTIF(Logs!$I659, E$56)+COUNTIF(Logs!$I675, E$56)</f>
        <v>7</v>
      </c>
      <c r="F62" s="1437">
        <f t="shared" si="31"/>
        <v>0.18421052631578946</v>
      </c>
      <c r="G62" s="1439">
        <f>COUNTIF(Logs!$I13, G$56)+COUNTIF(Logs!$I31, G$56)+COUNTIF(Logs!$I49, G$56)+COUNTIF(Logs!$I67, G$56)+COUNTIF(Logs!$I85, G$56)+COUNTIF(Logs!$I104, G$56)+COUNTIF(Logs!$I124, G$56)+COUNTIF(Logs!$I143, G$56)+COUNTIF(Logs!$I163, G$56)+COUNTIF(Logs!$I181, G$56)+COUNTIF(Logs!$I202, G$56)+COUNTIF(Logs!$I219, G$56)+COUNTIF(Logs!$I237, G$56)+COUNTIF(Logs!$I254, G$56)+COUNTIF(Logs!$I271, G$56)+COUNTIF(Logs!$I289, G$56)+COUNTIF(Logs!$I306, G$56)+COUNTIF(Logs!$I324, G$56)+COUNTIF(Logs!$I342, G$56)+COUNTIF(Logs!$I360, G$56)+COUNTIF(Logs!$I378, G$56)+COUNTIF(Logs!$I397, G$56)+COUNTIF(Logs!$I415, G$56)+COUNTIF(Logs!$I433, G$56)+COUNTIF(Logs!$I451, G$56)+COUNTIF(Logs!$I469, G$56)+COUNTIF(Logs!$I487, G$56)+COUNTIF(Logs!$I505, G$56)+COUNTIF(Logs!$I523, G$56)+COUNTIF(Logs!$I541, G$56)+COUNTIF(Logs!$I559, G$56)+COUNTIF(Logs!$I576, G$56)+COUNTIF(Logs!$I595, G$56)+COUNTIF(Logs!$I611, G$56)+COUNTIF(Logs!$I627, G$56)+COUNTIF(Logs!$I644, G$56)+COUNTIF(Logs!$I659, G$56)+COUNTIF(Logs!$I675, G$56)</f>
        <v>8</v>
      </c>
      <c r="H62" s="1440">
        <f t="shared" si="32"/>
        <v>0.21052631578947367</v>
      </c>
      <c r="I62" s="1443">
        <f>COUNTIF(Logs!$I13, I$56)+COUNTIF(Logs!$I31, I$56)+COUNTIF(Logs!$I49, I$56)+COUNTIF(Logs!$I67, I$56)+COUNTIF(Logs!$I85, I$56)+COUNTIF(Logs!$I104, I$56)+COUNTIF(Logs!$I124, I$56)+COUNTIF(Logs!$I143, I$56)+COUNTIF(Logs!$I163, I$56)+COUNTIF(Logs!$I181, I$56)+COUNTIF(Logs!$I202, I$56)+COUNTIF(Logs!$I219, I$56)+COUNTIF(Logs!$I237, I$56)+COUNTIF(Logs!$I254, I$56)+COUNTIF(Logs!$I271, I$56)+COUNTIF(Logs!$I289, I$56)+COUNTIF(Logs!$I306, I$56)+COUNTIF(Logs!$I324, I$56)+COUNTIF(Logs!$I342, I$56)+COUNTIF(Logs!$I360, I$56)+COUNTIF(Logs!$I378, I$56)+COUNTIF(Logs!$I397, I$56)+COUNTIF(Logs!$I415, I$56)+COUNTIF(Logs!$I433, I$56)+COUNTIF(Logs!$I451, I$56)+COUNTIF(Logs!$I469, I$56)+COUNTIF(Logs!$I487, I$56)+COUNTIF(Logs!$I505, I$56)+COUNTIF(Logs!$I523, I$56)+COUNTIF(Logs!$I541, I$56)+COUNTIF(Logs!$I559, I$56)+COUNTIF(Logs!$I576, I$56)+COUNTIF(Logs!$I595, I$56)+COUNTIF(Logs!$I611, I$56)+COUNTIF(Logs!$I627, I$56)+COUNTIF(Logs!$I644, I$56)+COUNTIF(Logs!$I659, I$56)+COUNTIF(Logs!$I675, I$56)</f>
        <v>0</v>
      </c>
      <c r="J62" s="1444" t="str">
        <f t="shared" si="33"/>
        <v/>
      </c>
      <c r="K62" s="1101">
        <f>COUNTIF(Logs!$I13, K$56)+COUNTIF(Logs!$I31, K$56)+COUNTIF(Logs!$I49, K$56)+COUNTIF(Logs!$I67, K$56)+COUNTIF(Logs!$I85, K$56)+COUNTIF(Logs!$I104, K$56)+COUNTIF(Logs!$I124, K$56)+COUNTIF(Logs!$I143, K$56)+COUNTIF(Logs!$I163, K$56)+COUNTIF(Logs!$I181, K$56)+COUNTIF(Logs!$I202, K$56)+COUNTIF(Logs!$I219, K$56)+COUNTIF(Logs!$I237, K$56)+COUNTIF(Logs!$I254, K$56)+COUNTIF(Logs!$I271, K$56)+COUNTIF(Logs!$I289, K$56)+COUNTIF(Logs!$I306, K$56)+COUNTIF(Logs!$I324, K$56)+COUNTIF(Logs!$I342, K$56)+COUNTIF(Logs!$I360, K$56)+COUNTIF(Logs!$I378, K$56)+COUNTIF(Logs!$I397, K$56)+COUNTIF(Logs!$I415, K$56)+COUNTIF(Logs!$I433, K$56)+COUNTIF(Logs!$I451, K$56)+COUNTIF(Logs!$I469, K$56)+COUNTIF(Logs!$I487, K$56)+COUNTIF(Logs!$I505, K$56)+COUNTIF(Logs!$I523, K$56)+COUNTIF(Logs!$I541, K$56)+COUNTIF(Logs!$I559, K$56)+COUNTIF(Logs!$I576, K$56)+COUNTIF(Logs!$I595, K$56)+COUNTIF(Logs!$I611, K$56)+COUNTIF(Logs!$I627, K$56)+COUNTIF(Logs!$I644, K$56)+COUNTIF(Logs!$I659, K$56)+COUNTIF(Logs!$I675, K$56)</f>
        <v>0</v>
      </c>
      <c r="L62" s="1432" t="str">
        <f t="shared" si="34"/>
        <v/>
      </c>
      <c r="N62" s="1378" t="s">
        <v>189</v>
      </c>
      <c r="O62" s="319">
        <f>COUNTIF(Logs!$J13, O$56)+COUNTIF(Logs!$J31, O$56)+COUNTIF(Logs!$J49, O$56)+COUNTIF(Logs!$J67, O$56)+COUNTIF(Logs!$J85, O$56)+COUNTIF(Logs!$J104, O$56)+COUNTIF(Logs!$J124, O$56)+COUNTIF(Logs!$J143, O$56)+COUNTIF(Logs!$J163, O$56)+COUNTIF(Logs!$J181, O$56)+COUNTIF(Logs!$J202, O$56)+COUNTIF(Logs!$J219, O$56)+COUNTIF(Logs!$J237, O$56)+COUNTIF(Logs!$J254, O$56)+COUNTIF(Logs!$J271, O$56)+COUNTIF(Logs!$J289, O$56)+COUNTIF(Logs!$J306, O$56)+COUNTIF(Logs!$J324, O$56)+COUNTIF(Logs!$J342, O$56)+COUNTIF(Logs!$J360, O$56)+COUNTIF(Logs!$J378, O$56)+COUNTIF(Logs!$J397, O$56)+COUNTIF(Logs!$J415, O$56)+COUNTIF(Logs!$J433, O$56)+COUNTIF(Logs!$J451, O$56)+COUNTIF(Logs!$J469, O$56)+COUNTIF(Logs!$J487, O$56)+COUNTIF(Logs!$J505, O$56)+COUNTIF(Logs!$J523, O$56)+COUNTIF(Logs!$J541, O$56)+COUNTIF(Logs!$J559, O$56)+COUNTIF(Logs!$J576, O$56)+COUNTIF(Logs!$J595, O$56)+COUNTIF(Logs!$J611, O$56)+COUNTIF(Logs!$J627, O$56)+COUNTIF(Logs!$J644, O$56)+COUNTIF(Logs!$J659, O$56)+COUNTIF(Logs!$J675, O$56)</f>
        <v>17</v>
      </c>
      <c r="P62" s="1448">
        <f t="shared" si="35"/>
        <v>0.44736842105263158</v>
      </c>
      <c r="Q62" s="342">
        <f>COUNTIF(Logs!$J13, Q$56)+COUNTIF(Logs!$J31, Q$56)+COUNTIF(Logs!$J49, Q$56)+COUNTIF(Logs!$J67, Q$56)+COUNTIF(Logs!$J85, Q$56)+COUNTIF(Logs!$J104, Q$56)+COUNTIF(Logs!$J124, Q$56)+COUNTIF(Logs!$J143, Q$56)+COUNTIF(Logs!$J163, Q$56)+COUNTIF(Logs!$J181, Q$56)+COUNTIF(Logs!$J202, Q$56)+COUNTIF(Logs!$J219, Q$56)+COUNTIF(Logs!$J237, Q$56)+COUNTIF(Logs!$J254, Q$56)+COUNTIF(Logs!$J271, Q$56)+COUNTIF(Logs!$J289, Q$56)+COUNTIF(Logs!$J306, Q$56)+COUNTIF(Logs!$J324, Q$56)+COUNTIF(Logs!$J342, Q$56)+COUNTIF(Logs!$J360, Q$56)+COUNTIF(Logs!$J378, Q$56)+COUNTIF(Logs!$J397, Q$56)+COUNTIF(Logs!$J415, Q$56)+COUNTIF(Logs!$J433, Q$56)+COUNTIF(Logs!$J451, Q$56)+COUNTIF(Logs!$J469, Q$56)+COUNTIF(Logs!$J487, Q$56)+COUNTIF(Logs!$J505, Q$56)+COUNTIF(Logs!$J523, Q$56)+COUNTIF(Logs!$J541, Q$56)+COUNTIF(Logs!$J559, Q$56)+COUNTIF(Logs!$J576, Q$56)+COUNTIF(Logs!$J595, Q$56)+COUNTIF(Logs!$J611, Q$56)+COUNTIF(Logs!$J627, Q$56)+COUNTIF(Logs!$J644, Q$56)+COUNTIF(Logs!$J659, Q$56)+COUNTIF(Logs!$J675, Q$56)</f>
        <v>10</v>
      </c>
      <c r="R62" s="1437">
        <f t="shared" si="36"/>
        <v>0.26315789473684209</v>
      </c>
      <c r="S62" s="1439">
        <f>COUNTIF(Logs!$J13, S$56)+COUNTIF(Logs!$J31, S$56)+COUNTIF(Logs!$J49, S$56)+COUNTIF(Logs!$J67, S$56)+COUNTIF(Logs!$J85, S$56)+COUNTIF(Logs!$J104, S$56)+COUNTIF(Logs!$J124, S$56)+COUNTIF(Logs!$J143, S$56)+COUNTIF(Logs!$J163, S$56)+COUNTIF(Logs!$J181, S$56)+COUNTIF(Logs!$J202, S$56)+COUNTIF(Logs!$J219, S$56)+COUNTIF(Logs!$J237, S$56)+COUNTIF(Logs!$J254, S$56)+COUNTIF(Logs!$J271, S$56)+COUNTIF(Logs!$J289, S$56)+COUNTIF(Logs!$J306, S$56)+COUNTIF(Logs!$J324, S$56)+COUNTIF(Logs!$J342, S$56)+COUNTIF(Logs!$J360, S$56)+COUNTIF(Logs!$J378, S$56)+COUNTIF(Logs!$J397, S$56)+COUNTIF(Logs!$J415, S$56)+COUNTIF(Logs!$J433, S$56)+COUNTIF(Logs!$J451, S$56)+COUNTIF(Logs!$J469, S$56)+COUNTIF(Logs!$J487, S$56)+COUNTIF(Logs!$J505, S$56)+COUNTIF(Logs!$J523, S$56)+COUNTIF(Logs!$J541, S$56)+COUNTIF(Logs!$J559, S$56)+COUNTIF(Logs!$J576, S$56)+COUNTIF(Logs!$J595, S$56)+COUNTIF(Logs!$J611, S$56)+COUNTIF(Logs!$J627, S$56)+COUNTIF(Logs!$J644, S$56)+COUNTIF(Logs!$J659, S$56)+COUNTIF(Logs!$J675, S$56)</f>
        <v>10</v>
      </c>
      <c r="T62" s="1440">
        <f t="shared" si="37"/>
        <v>0.26315789473684209</v>
      </c>
      <c r="U62" s="1443">
        <f>COUNTIF(Logs!$J13, U$56)+COUNTIF(Logs!$J31, U$56)+COUNTIF(Logs!$J49, U$56)+COUNTIF(Logs!$J67, U$56)+COUNTIF(Logs!$J85, U$56)+COUNTIF(Logs!$J104, U$56)+COUNTIF(Logs!$J124, U$56)+COUNTIF(Logs!$J143, U$56)+COUNTIF(Logs!$J163, U$56)+COUNTIF(Logs!$J181, U$56)+COUNTIF(Logs!$J202, U$56)+COUNTIF(Logs!$J219, U$56)+COUNTIF(Logs!$J237, U$56)+COUNTIF(Logs!$J254, U$56)+COUNTIF(Logs!$J271, U$56)+COUNTIF(Logs!$J289, U$56)+COUNTIF(Logs!$J306, U$56)+COUNTIF(Logs!$J324, U$56)+COUNTIF(Logs!$J342, U$56)+COUNTIF(Logs!$J360, U$56)+COUNTIF(Logs!$J378, U$56)+COUNTIF(Logs!$J397, U$56)+COUNTIF(Logs!$J415, U$56)+COUNTIF(Logs!$J433, U$56)+COUNTIF(Logs!$J451, U$56)+COUNTIF(Logs!$J469, U$56)+COUNTIF(Logs!$J487, U$56)+COUNTIF(Logs!$J505, U$56)+COUNTIF(Logs!$J523, U$56)+COUNTIF(Logs!$J541, U$56)+COUNTIF(Logs!$J559, U$56)+COUNTIF(Logs!$J576, U$56)+COUNTIF(Logs!$J595, U$56)+COUNTIF(Logs!$J611, U$56)+COUNTIF(Logs!$J627, U$56)+COUNTIF(Logs!$J644, U$56)+COUNTIF(Logs!$J659, U$56)+COUNTIF(Logs!$J675, U$56)</f>
        <v>1</v>
      </c>
      <c r="V62" s="1444">
        <f t="shared" si="38"/>
        <v>2.6315789473684209E-2</v>
      </c>
      <c r="W62" s="1101">
        <f>COUNTIF(Logs!$J13, W$56)+COUNTIF(Logs!$J31, W$56)+COUNTIF(Logs!$J49, W$56)+COUNTIF(Logs!$J67, W$56)+COUNTIF(Logs!$J85, W$56)+COUNTIF(Logs!$J104, W$56)+COUNTIF(Logs!$J124, W$56)+COUNTIF(Logs!$J143, W$56)+COUNTIF(Logs!$J163, W$56)+COUNTIF(Logs!$J181, W$56)+COUNTIF(Logs!$J202, W$56)+COUNTIF(Logs!$J219, W$56)+COUNTIF(Logs!$J237, W$56)+COUNTIF(Logs!$J254, W$56)+COUNTIF(Logs!$J271, W$56)+COUNTIF(Logs!$J289, W$56)+COUNTIF(Logs!$J306, W$56)+COUNTIF(Logs!$J324, W$56)+COUNTIF(Logs!$J342, W$56)+COUNTIF(Logs!$J360, W$56)+COUNTIF(Logs!$J378, W$56)+COUNTIF(Logs!$J397, W$56)+COUNTIF(Logs!$J415, W$56)+COUNTIF(Logs!$J433, W$56)+COUNTIF(Logs!$J451, W$56)+COUNTIF(Logs!$J469, W$56)+COUNTIF(Logs!$J487, W$56)+COUNTIF(Logs!$J505, W$56)+COUNTIF(Logs!$J523, W$56)+COUNTIF(Logs!$J541, W$56)+COUNTIF(Logs!$J559, W$56)+COUNTIF(Logs!$J576, W$56)+COUNTIF(Logs!$J595, W$56)+COUNTIF(Logs!$J611, W$56)+COUNTIF(Logs!$J627, W$56)+COUNTIF(Logs!$J644, W$56)+COUNTIF(Logs!$J659, W$56)+COUNTIF(Logs!$J675, W$56)</f>
        <v>0</v>
      </c>
      <c r="X62" s="1432" t="str">
        <f t="shared" si="39"/>
        <v/>
      </c>
    </row>
    <row r="63" spans="2:24">
      <c r="B63" s="1378" t="s">
        <v>190</v>
      </c>
      <c r="C63" s="319">
        <f>COUNTIF(Logs!$I14, C$56)+COUNTIF(Logs!$I32, C$56)+COUNTIF(Logs!$I50, C$56)+COUNTIF(Logs!$I68, C$56)+COUNTIF(Logs!$I86, C$56)+COUNTIF(Logs!$I105, C$56)+COUNTIF(Logs!$I125, C$56)+COUNTIF(Logs!$I144, C$56)+COUNTIF(Logs!$I164, C$56)+COUNTIF(Logs!$I182, C$56)+COUNTIF(Logs!$I203, C$56)+COUNTIF(Logs!$I220, C$56)+COUNTIF(Logs!$I238, C$56)+COUNTIF(Logs!$I255, C$56)+COUNTIF(Logs!$I272, C$56)+COUNTIF(Logs!$I290, C$56)+COUNTIF(Logs!$I307, C$56)+COUNTIF(Logs!$I325, C$56)+COUNTIF(Logs!$I343, C$56)+COUNTIF(Logs!$I361, C$56)+COUNTIF(Logs!$I379, C$56)+COUNTIF(Logs!$I398, C$56)+COUNTIF(Logs!$I416, C$56)+COUNTIF(Logs!$I434, C$56)+COUNTIF(Logs!$I452, C$56)+COUNTIF(Logs!$I470, C$56)+COUNTIF(Logs!$I488, C$56)+COUNTIF(Logs!$I506, C$56)+COUNTIF(Logs!$I524, C$56)+COUNTIF(Logs!$I542, C$56)+COUNTIF(Logs!$I560, C$56)+COUNTIF(Logs!$I577, C$56)+COUNTIF(Logs!$I596, C$56)+COUNTIF(Logs!$I612, C$56)+COUNTIF(Logs!$I628, C$56)+COUNTIF(Logs!$I645, C$56)+COUNTIF(Logs!$I660, C$56)+COUNTIF(Logs!$I676, C$56)</f>
        <v>17</v>
      </c>
      <c r="D63" s="1448">
        <f t="shared" si="30"/>
        <v>0.65384615384615385</v>
      </c>
      <c r="E63" s="342">
        <f>COUNTIF(Logs!$I14, E$56)+COUNTIF(Logs!$I32, E$56)+COUNTIF(Logs!$I50, E$56)+COUNTIF(Logs!$I68, E$56)+COUNTIF(Logs!$I86, E$56)+COUNTIF(Logs!$I105, E$56)+COUNTIF(Logs!$I125, E$56)+COUNTIF(Logs!$I144, E$56)+COUNTIF(Logs!$I164, E$56)+COUNTIF(Logs!$I182, E$56)+COUNTIF(Logs!$I203, E$56)+COUNTIF(Logs!$I220, E$56)+COUNTIF(Logs!$I238, E$56)+COUNTIF(Logs!$I255, E$56)+COUNTIF(Logs!$I272, E$56)+COUNTIF(Logs!$I290, E$56)+COUNTIF(Logs!$I307, E$56)+COUNTIF(Logs!$I325, E$56)+COUNTIF(Logs!$I343, E$56)+COUNTIF(Logs!$I361, E$56)+COUNTIF(Logs!$I379, E$56)+COUNTIF(Logs!$I398, E$56)+COUNTIF(Logs!$I416, E$56)+COUNTIF(Logs!$I434, E$56)+COUNTIF(Logs!$I452, E$56)+COUNTIF(Logs!$I470, E$56)+COUNTIF(Logs!$I488, E$56)+COUNTIF(Logs!$I506, E$56)+COUNTIF(Logs!$I524, E$56)+COUNTIF(Logs!$I542, E$56)+COUNTIF(Logs!$I560, E$56)+COUNTIF(Logs!$I577, E$56)+COUNTIF(Logs!$I596, E$56)+COUNTIF(Logs!$I612, E$56)+COUNTIF(Logs!$I628, E$56)+COUNTIF(Logs!$I645, E$56)+COUNTIF(Logs!$I660, E$56)+COUNTIF(Logs!$I676, E$56)</f>
        <v>3</v>
      </c>
      <c r="F63" s="1437">
        <f t="shared" si="31"/>
        <v>0.11538461538461539</v>
      </c>
      <c r="G63" s="1439">
        <f>COUNTIF(Logs!$I14, G$56)+COUNTIF(Logs!$I32, G$56)+COUNTIF(Logs!$I50, G$56)+COUNTIF(Logs!$I68, G$56)+COUNTIF(Logs!$I86, G$56)+COUNTIF(Logs!$I105, G$56)+COUNTIF(Logs!$I125, G$56)+COUNTIF(Logs!$I144, G$56)+COUNTIF(Logs!$I164, G$56)+COUNTIF(Logs!$I182, G$56)+COUNTIF(Logs!$I203, G$56)+COUNTIF(Logs!$I220, G$56)+COUNTIF(Logs!$I238, G$56)+COUNTIF(Logs!$I255, G$56)+COUNTIF(Logs!$I272, G$56)+COUNTIF(Logs!$I290, G$56)+COUNTIF(Logs!$I307, G$56)+COUNTIF(Logs!$I325, G$56)+COUNTIF(Logs!$I343, G$56)+COUNTIF(Logs!$I361, G$56)+COUNTIF(Logs!$I379, G$56)+COUNTIF(Logs!$I398, G$56)+COUNTIF(Logs!$I416, G$56)+COUNTIF(Logs!$I434, G$56)+COUNTIF(Logs!$I452, G$56)+COUNTIF(Logs!$I470, G$56)+COUNTIF(Logs!$I488, G$56)+COUNTIF(Logs!$I506, G$56)+COUNTIF(Logs!$I524, G$56)+COUNTIF(Logs!$I542, G$56)+COUNTIF(Logs!$I560, G$56)+COUNTIF(Logs!$I577, G$56)+COUNTIF(Logs!$I596, G$56)+COUNTIF(Logs!$I612, G$56)+COUNTIF(Logs!$I628, G$56)+COUNTIF(Logs!$I645, G$56)+COUNTIF(Logs!$I660, G$56)+COUNTIF(Logs!$I676, G$56)</f>
        <v>6</v>
      </c>
      <c r="H63" s="1440">
        <f t="shared" si="32"/>
        <v>0.23076923076923078</v>
      </c>
      <c r="I63" s="1443">
        <f>COUNTIF(Logs!$I14, I$56)+COUNTIF(Logs!$I32, I$56)+COUNTIF(Logs!$I50, I$56)+COUNTIF(Logs!$I68, I$56)+COUNTIF(Logs!$I86, I$56)+COUNTIF(Logs!$I105, I$56)+COUNTIF(Logs!$I125, I$56)+COUNTIF(Logs!$I144, I$56)+COUNTIF(Logs!$I164, I$56)+COUNTIF(Logs!$I182, I$56)+COUNTIF(Logs!$I203, I$56)+COUNTIF(Logs!$I220, I$56)+COUNTIF(Logs!$I238, I$56)+COUNTIF(Logs!$I255, I$56)+COUNTIF(Logs!$I272, I$56)+COUNTIF(Logs!$I290, I$56)+COUNTIF(Logs!$I307, I$56)+COUNTIF(Logs!$I325, I$56)+COUNTIF(Logs!$I343, I$56)+COUNTIF(Logs!$I361, I$56)+COUNTIF(Logs!$I379, I$56)+COUNTIF(Logs!$I398, I$56)+COUNTIF(Logs!$I416, I$56)+COUNTIF(Logs!$I434, I$56)+COUNTIF(Logs!$I452, I$56)+COUNTIF(Logs!$I470, I$56)+COUNTIF(Logs!$I488, I$56)+COUNTIF(Logs!$I506, I$56)+COUNTIF(Logs!$I524, I$56)+COUNTIF(Logs!$I542, I$56)+COUNTIF(Logs!$I560, I$56)+COUNTIF(Logs!$I577, I$56)+COUNTIF(Logs!$I596, I$56)+COUNTIF(Logs!$I612, I$56)+COUNTIF(Logs!$I628, I$56)+COUNTIF(Logs!$I645, I$56)+COUNTIF(Logs!$I660, I$56)+COUNTIF(Logs!$I676, I$56)</f>
        <v>0</v>
      </c>
      <c r="J63" s="1444" t="str">
        <f t="shared" si="33"/>
        <v/>
      </c>
      <c r="K63" s="1101">
        <f>COUNTIF(Logs!$I14, K$56)+COUNTIF(Logs!$I32, K$56)+COUNTIF(Logs!$I50, K$56)+COUNTIF(Logs!$I68, K$56)+COUNTIF(Logs!$I86, K$56)+COUNTIF(Logs!$I105, K$56)+COUNTIF(Logs!$I125, K$56)+COUNTIF(Logs!$I144, K$56)+COUNTIF(Logs!$I164, K$56)+COUNTIF(Logs!$I182, K$56)+COUNTIF(Logs!$I203, K$56)+COUNTIF(Logs!$I220, K$56)+COUNTIF(Logs!$I238, K$56)+COUNTIF(Logs!$I255, K$56)+COUNTIF(Logs!$I272, K$56)+COUNTIF(Logs!$I290, K$56)+COUNTIF(Logs!$I307, K$56)+COUNTIF(Logs!$I325, K$56)+COUNTIF(Logs!$I343, K$56)+COUNTIF(Logs!$I361, K$56)+COUNTIF(Logs!$I379, K$56)+COUNTIF(Logs!$I398, K$56)+COUNTIF(Logs!$I416, K$56)+COUNTIF(Logs!$I434, K$56)+COUNTIF(Logs!$I452, K$56)+COUNTIF(Logs!$I470, K$56)+COUNTIF(Logs!$I488, K$56)+COUNTIF(Logs!$I506, K$56)+COUNTIF(Logs!$I524, K$56)+COUNTIF(Logs!$I542, K$56)+COUNTIF(Logs!$I560, K$56)+COUNTIF(Logs!$I577, K$56)+COUNTIF(Logs!$I596, K$56)+COUNTIF(Logs!$I612, K$56)+COUNTIF(Logs!$I628, K$56)+COUNTIF(Logs!$I645, K$56)+COUNTIF(Logs!$I660, K$56)+COUNTIF(Logs!$I676, K$56)</f>
        <v>0</v>
      </c>
      <c r="L63" s="1432" t="str">
        <f t="shared" si="34"/>
        <v/>
      </c>
      <c r="N63" s="1378" t="s">
        <v>190</v>
      </c>
      <c r="O63" s="319">
        <f>COUNTIF(Logs!$J14, O$56)+COUNTIF(Logs!$J32, O$56)+COUNTIF(Logs!$J50, O$56)+COUNTIF(Logs!$J68, O$56)+COUNTIF(Logs!$J86, O$56)+COUNTIF(Logs!$J105, O$56)+COUNTIF(Logs!$J125, O$56)+COUNTIF(Logs!$J144, O$56)+COUNTIF(Logs!$J164, O$56)+COUNTIF(Logs!$J182, O$56)+COUNTIF(Logs!$J203, O$56)+COUNTIF(Logs!$J220, O$56)+COUNTIF(Logs!$J238, O$56)+COUNTIF(Logs!$J255, O$56)+COUNTIF(Logs!$J272, O$56)+COUNTIF(Logs!$J290, O$56)+COUNTIF(Logs!$J307, O$56)+COUNTIF(Logs!$J325, O$56)+COUNTIF(Logs!$J343, O$56)+COUNTIF(Logs!$J361, O$56)+COUNTIF(Logs!$J379, O$56)+COUNTIF(Logs!$J398, O$56)+COUNTIF(Logs!$J416, O$56)+COUNTIF(Logs!$J434, O$56)+COUNTIF(Logs!$J452, O$56)+COUNTIF(Logs!$J470, O$56)+COUNTIF(Logs!$J488, O$56)+COUNTIF(Logs!$J506, O$56)+COUNTIF(Logs!$J524, O$56)+COUNTIF(Logs!$J542, O$56)+COUNTIF(Logs!$J560, O$56)+COUNTIF(Logs!$J577, O$56)+COUNTIF(Logs!$J596, O$56)+COUNTIF(Logs!$J612, O$56)+COUNTIF(Logs!$J628, O$56)+COUNTIF(Logs!$J645, O$56)+COUNTIF(Logs!$J660, O$56)+COUNTIF(Logs!$J676, O$56)</f>
        <v>24</v>
      </c>
      <c r="P63" s="1448">
        <f t="shared" si="35"/>
        <v>0.70588235294117652</v>
      </c>
      <c r="Q63" s="342">
        <f>COUNTIF(Logs!$J14, Q$56)+COUNTIF(Logs!$J32, Q$56)+COUNTIF(Logs!$J50, Q$56)+COUNTIF(Logs!$J68, Q$56)+COUNTIF(Logs!$J86, Q$56)+COUNTIF(Logs!$J105, Q$56)+COUNTIF(Logs!$J125, Q$56)+COUNTIF(Logs!$J144, Q$56)+COUNTIF(Logs!$J164, Q$56)+COUNTIF(Logs!$J182, Q$56)+COUNTIF(Logs!$J203, Q$56)+COUNTIF(Logs!$J220, Q$56)+COUNTIF(Logs!$J238, Q$56)+COUNTIF(Logs!$J255, Q$56)+COUNTIF(Logs!$J272, Q$56)+COUNTIF(Logs!$J290, Q$56)+COUNTIF(Logs!$J307, Q$56)+COUNTIF(Logs!$J325, Q$56)+COUNTIF(Logs!$J343, Q$56)+COUNTIF(Logs!$J361, Q$56)+COUNTIF(Logs!$J379, Q$56)+COUNTIF(Logs!$J398, Q$56)+COUNTIF(Logs!$J416, Q$56)+COUNTIF(Logs!$J434, Q$56)+COUNTIF(Logs!$J452, Q$56)+COUNTIF(Logs!$J470, Q$56)+COUNTIF(Logs!$J488, Q$56)+COUNTIF(Logs!$J506, Q$56)+COUNTIF(Logs!$J524, Q$56)+COUNTIF(Logs!$J542, Q$56)+COUNTIF(Logs!$J560, Q$56)+COUNTIF(Logs!$J577, Q$56)+COUNTIF(Logs!$J596, Q$56)+COUNTIF(Logs!$J612, Q$56)+COUNTIF(Logs!$J628, Q$56)+COUNTIF(Logs!$J645, Q$56)+COUNTIF(Logs!$J660, Q$56)+COUNTIF(Logs!$J676, Q$56)</f>
        <v>7</v>
      </c>
      <c r="R63" s="1437">
        <f t="shared" si="36"/>
        <v>0.20588235294117646</v>
      </c>
      <c r="S63" s="1439">
        <f>COUNTIF(Logs!$J14, S$56)+COUNTIF(Logs!$J32, S$56)+COUNTIF(Logs!$J50, S$56)+COUNTIF(Logs!$J68, S$56)+COUNTIF(Logs!$J86, S$56)+COUNTIF(Logs!$J105, S$56)+COUNTIF(Logs!$J125, S$56)+COUNTIF(Logs!$J144, S$56)+COUNTIF(Logs!$J164, S$56)+COUNTIF(Logs!$J182, S$56)+COUNTIF(Logs!$J203, S$56)+COUNTIF(Logs!$J220, S$56)+COUNTIF(Logs!$J238, S$56)+COUNTIF(Logs!$J255, S$56)+COUNTIF(Logs!$J272, S$56)+COUNTIF(Logs!$J290, S$56)+COUNTIF(Logs!$J307, S$56)+COUNTIF(Logs!$J325, S$56)+COUNTIF(Logs!$J343, S$56)+COUNTIF(Logs!$J361, S$56)+COUNTIF(Logs!$J379, S$56)+COUNTIF(Logs!$J398, S$56)+COUNTIF(Logs!$J416, S$56)+COUNTIF(Logs!$J434, S$56)+COUNTIF(Logs!$J452, S$56)+COUNTIF(Logs!$J470, S$56)+COUNTIF(Logs!$J488, S$56)+COUNTIF(Logs!$J506, S$56)+COUNTIF(Logs!$J524, S$56)+COUNTIF(Logs!$J542, S$56)+COUNTIF(Logs!$J560, S$56)+COUNTIF(Logs!$J577, S$56)+COUNTIF(Logs!$J596, S$56)+COUNTIF(Logs!$J612, S$56)+COUNTIF(Logs!$J628, S$56)+COUNTIF(Logs!$J645, S$56)+COUNTIF(Logs!$J660, S$56)+COUNTIF(Logs!$J676, S$56)</f>
        <v>3</v>
      </c>
      <c r="T63" s="1440">
        <f t="shared" si="37"/>
        <v>8.8235294117647065E-2</v>
      </c>
      <c r="U63" s="1443">
        <f>COUNTIF(Logs!$J14, U$56)+COUNTIF(Logs!$J32, U$56)+COUNTIF(Logs!$J50, U$56)+COUNTIF(Logs!$J68, U$56)+COUNTIF(Logs!$J86, U$56)+COUNTIF(Logs!$J105, U$56)+COUNTIF(Logs!$J125, U$56)+COUNTIF(Logs!$J144, U$56)+COUNTIF(Logs!$J164, U$56)+COUNTIF(Logs!$J182, U$56)+COUNTIF(Logs!$J203, U$56)+COUNTIF(Logs!$J220, U$56)+COUNTIF(Logs!$J238, U$56)+COUNTIF(Logs!$J255, U$56)+COUNTIF(Logs!$J272, U$56)+COUNTIF(Logs!$J290, U$56)+COUNTIF(Logs!$J307, U$56)+COUNTIF(Logs!$J325, U$56)+COUNTIF(Logs!$J343, U$56)+COUNTIF(Logs!$J361, U$56)+COUNTIF(Logs!$J379, U$56)+COUNTIF(Logs!$J398, U$56)+COUNTIF(Logs!$J416, U$56)+COUNTIF(Logs!$J434, U$56)+COUNTIF(Logs!$J452, U$56)+COUNTIF(Logs!$J470, U$56)+COUNTIF(Logs!$J488, U$56)+COUNTIF(Logs!$J506, U$56)+COUNTIF(Logs!$J524, U$56)+COUNTIF(Logs!$J542, U$56)+COUNTIF(Logs!$J560, U$56)+COUNTIF(Logs!$J577, U$56)+COUNTIF(Logs!$J596, U$56)+COUNTIF(Logs!$J612, U$56)+COUNTIF(Logs!$J628, U$56)+COUNTIF(Logs!$J645, U$56)+COUNTIF(Logs!$J660, U$56)+COUNTIF(Logs!$J676, U$56)</f>
        <v>0</v>
      </c>
      <c r="V63" s="1444" t="str">
        <f t="shared" si="38"/>
        <v/>
      </c>
      <c r="W63" s="1101">
        <f>COUNTIF(Logs!$J14, W$56)+COUNTIF(Logs!$J32, W$56)+COUNTIF(Logs!$J50, W$56)+COUNTIF(Logs!$J68, W$56)+COUNTIF(Logs!$J86, W$56)+COUNTIF(Logs!$J105, W$56)+COUNTIF(Logs!$J125, W$56)+COUNTIF(Logs!$J144, W$56)+COUNTIF(Logs!$J164, W$56)+COUNTIF(Logs!$J182, W$56)+COUNTIF(Logs!$J203, W$56)+COUNTIF(Logs!$J220, W$56)+COUNTIF(Logs!$J238, W$56)+COUNTIF(Logs!$J255, W$56)+COUNTIF(Logs!$J272, W$56)+COUNTIF(Logs!$J290, W$56)+COUNTIF(Logs!$J307, W$56)+COUNTIF(Logs!$J325, W$56)+COUNTIF(Logs!$J343, W$56)+COUNTIF(Logs!$J361, W$56)+COUNTIF(Logs!$J379, W$56)+COUNTIF(Logs!$J398, W$56)+COUNTIF(Logs!$J416, W$56)+COUNTIF(Logs!$J434, W$56)+COUNTIF(Logs!$J452, W$56)+COUNTIF(Logs!$J470, W$56)+COUNTIF(Logs!$J488, W$56)+COUNTIF(Logs!$J506, W$56)+COUNTIF(Logs!$J524, W$56)+COUNTIF(Logs!$J542, W$56)+COUNTIF(Logs!$J560, W$56)+COUNTIF(Logs!$J577, W$56)+COUNTIF(Logs!$J596, W$56)+COUNTIF(Logs!$J612, W$56)+COUNTIF(Logs!$J628, W$56)+COUNTIF(Logs!$J645, W$56)+COUNTIF(Logs!$J660, W$56)+COUNTIF(Logs!$J676, W$56)</f>
        <v>0</v>
      </c>
      <c r="X63" s="1432" t="str">
        <f t="shared" si="39"/>
        <v/>
      </c>
    </row>
    <row r="64" spans="2:24">
      <c r="B64" s="1378" t="s">
        <v>191</v>
      </c>
      <c r="C64" s="319">
        <f>COUNTIF(Logs!$I15, C$56)+COUNTIF(Logs!$I33, C$56)+COUNTIF(Logs!$I51, C$56)+COUNTIF(Logs!$I69, C$56)+COUNTIF(Logs!$I87, C$56)+COUNTIF(Logs!$I106, C$56)+COUNTIF(Logs!$I126, C$56)+COUNTIF(Logs!$I145, C$56)+COUNTIF(Logs!$I165, C$56)+COUNTIF(Logs!$I183, C$56)+COUNTIF(Logs!$I204, C$56)+COUNTIF(Logs!$I221, C$56)+COUNTIF(Logs!$I239, C$56)+COUNTIF(Logs!$I256, C$56)+COUNTIF(Logs!$I273, C$56)+COUNTIF(Logs!$I291, C$56)+COUNTIF(Logs!$I308, C$56)+COUNTIF(Logs!$I326, C$56)+COUNTIF(Logs!$I344, C$56)+COUNTIF(Logs!$I362, C$56)+COUNTIF(Logs!$I380, C$56)+COUNTIF(Logs!$I399, C$56)+COUNTIF(Logs!$I417, C$56)+COUNTIF(Logs!$I435, C$56)+COUNTIF(Logs!$I453, C$56)+COUNTIF(Logs!$I471, C$56)+COUNTIF(Logs!$I489, C$56)+COUNTIF(Logs!$I507, C$56)+COUNTIF(Logs!$I525, C$56)+COUNTIF(Logs!$I543, C$56)+COUNTIF(Logs!$I561, C$56)+COUNTIF(Logs!$I578, C$56)+COUNTIF(Logs!$I597, C$56)+COUNTIF(Logs!$I613, C$56)+COUNTIF(Logs!$I629, C$56)+COUNTIF(Logs!$I646, C$56)+COUNTIF(Logs!$I661, C$56)+COUNTIF(Logs!$I677, C$56)</f>
        <v>9</v>
      </c>
      <c r="D64" s="1448">
        <f t="shared" si="30"/>
        <v>0.69230769230769229</v>
      </c>
      <c r="E64" s="342">
        <f>COUNTIF(Logs!$I15, E$56)+COUNTIF(Logs!$I33, E$56)+COUNTIF(Logs!$I51, E$56)+COUNTIF(Logs!$I69, E$56)+COUNTIF(Logs!$I87, E$56)+COUNTIF(Logs!$I106, E$56)+COUNTIF(Logs!$I126, E$56)+COUNTIF(Logs!$I145, E$56)+COUNTIF(Logs!$I165, E$56)+COUNTIF(Logs!$I183, E$56)+COUNTIF(Logs!$I204, E$56)+COUNTIF(Logs!$I221, E$56)+COUNTIF(Logs!$I239, E$56)+COUNTIF(Logs!$I256, E$56)+COUNTIF(Logs!$I273, E$56)+COUNTIF(Logs!$I291, E$56)+COUNTIF(Logs!$I308, E$56)+COUNTIF(Logs!$I326, E$56)+COUNTIF(Logs!$I344, E$56)+COUNTIF(Logs!$I362, E$56)+COUNTIF(Logs!$I380, E$56)+COUNTIF(Logs!$I399, E$56)+COUNTIF(Logs!$I417, E$56)+COUNTIF(Logs!$I435, E$56)+COUNTIF(Logs!$I453, E$56)+COUNTIF(Logs!$I471, E$56)+COUNTIF(Logs!$I489, E$56)+COUNTIF(Logs!$I507, E$56)+COUNTIF(Logs!$I525, E$56)+COUNTIF(Logs!$I543, E$56)+COUNTIF(Logs!$I561, E$56)+COUNTIF(Logs!$I578, E$56)+COUNTIF(Logs!$I597, E$56)+COUNTIF(Logs!$I613, E$56)+COUNTIF(Logs!$I629, E$56)+COUNTIF(Logs!$I646, E$56)+COUNTIF(Logs!$I661, E$56)+COUNTIF(Logs!$I677, E$56)</f>
        <v>3</v>
      </c>
      <c r="F64" s="1437">
        <f t="shared" si="31"/>
        <v>0.23076923076923078</v>
      </c>
      <c r="G64" s="1439">
        <f>COUNTIF(Logs!$I15, G$56)+COUNTIF(Logs!$I33, G$56)+COUNTIF(Logs!$I51, G$56)+COUNTIF(Logs!$I69, G$56)+COUNTIF(Logs!$I87, G$56)+COUNTIF(Logs!$I106, G$56)+COUNTIF(Logs!$I126, G$56)+COUNTIF(Logs!$I145, G$56)+COUNTIF(Logs!$I165, G$56)+COUNTIF(Logs!$I183, G$56)+COUNTIF(Logs!$I204, G$56)+COUNTIF(Logs!$I221, G$56)+COUNTIF(Logs!$I239, G$56)+COUNTIF(Logs!$I256, G$56)+COUNTIF(Logs!$I273, G$56)+COUNTIF(Logs!$I291, G$56)+COUNTIF(Logs!$I308, G$56)+COUNTIF(Logs!$I326, G$56)+COUNTIF(Logs!$I344, G$56)+COUNTIF(Logs!$I362, G$56)+COUNTIF(Logs!$I380, G$56)+COUNTIF(Logs!$I399, G$56)+COUNTIF(Logs!$I417, G$56)+COUNTIF(Logs!$I435, G$56)+COUNTIF(Logs!$I453, G$56)+COUNTIF(Logs!$I471, G$56)+COUNTIF(Logs!$I489, G$56)+COUNTIF(Logs!$I507, G$56)+COUNTIF(Logs!$I525, G$56)+COUNTIF(Logs!$I543, G$56)+COUNTIF(Logs!$I561, G$56)+COUNTIF(Logs!$I578, G$56)+COUNTIF(Logs!$I597, G$56)+COUNTIF(Logs!$I613, G$56)+COUNTIF(Logs!$I629, G$56)+COUNTIF(Logs!$I646, G$56)+COUNTIF(Logs!$I661, G$56)+COUNTIF(Logs!$I677, G$56)</f>
        <v>1</v>
      </c>
      <c r="H64" s="1440">
        <f t="shared" si="32"/>
        <v>7.6923076923076927E-2</v>
      </c>
      <c r="I64" s="1443">
        <f>COUNTIF(Logs!$I15, I$56)+COUNTIF(Logs!$I33, I$56)+COUNTIF(Logs!$I51, I$56)+COUNTIF(Logs!$I69, I$56)+COUNTIF(Logs!$I87, I$56)+COUNTIF(Logs!$I106, I$56)+COUNTIF(Logs!$I126, I$56)+COUNTIF(Logs!$I145, I$56)+COUNTIF(Logs!$I165, I$56)+COUNTIF(Logs!$I183, I$56)+COUNTIF(Logs!$I204, I$56)+COUNTIF(Logs!$I221, I$56)+COUNTIF(Logs!$I239, I$56)+COUNTIF(Logs!$I256, I$56)+COUNTIF(Logs!$I273, I$56)+COUNTIF(Logs!$I291, I$56)+COUNTIF(Logs!$I308, I$56)+COUNTIF(Logs!$I326, I$56)+COUNTIF(Logs!$I344, I$56)+COUNTIF(Logs!$I362, I$56)+COUNTIF(Logs!$I380, I$56)+COUNTIF(Logs!$I399, I$56)+COUNTIF(Logs!$I417, I$56)+COUNTIF(Logs!$I435, I$56)+COUNTIF(Logs!$I453, I$56)+COUNTIF(Logs!$I471, I$56)+COUNTIF(Logs!$I489, I$56)+COUNTIF(Logs!$I507, I$56)+COUNTIF(Logs!$I525, I$56)+COUNTIF(Logs!$I543, I$56)+COUNTIF(Logs!$I561, I$56)+COUNTIF(Logs!$I578, I$56)+COUNTIF(Logs!$I597, I$56)+COUNTIF(Logs!$I613, I$56)+COUNTIF(Logs!$I629, I$56)+COUNTIF(Logs!$I646, I$56)+COUNTIF(Logs!$I661, I$56)+COUNTIF(Logs!$I677, I$56)</f>
        <v>0</v>
      </c>
      <c r="J64" s="1444" t="str">
        <f t="shared" si="33"/>
        <v/>
      </c>
      <c r="K64" s="1101">
        <f>COUNTIF(Logs!$I15, K$56)+COUNTIF(Logs!$I33, K$56)+COUNTIF(Logs!$I51, K$56)+COUNTIF(Logs!$I69, K$56)+COUNTIF(Logs!$I87, K$56)+COUNTIF(Logs!$I106, K$56)+COUNTIF(Logs!$I126, K$56)+COUNTIF(Logs!$I145, K$56)+COUNTIF(Logs!$I165, K$56)+COUNTIF(Logs!$I183, K$56)+COUNTIF(Logs!$I204, K$56)+COUNTIF(Logs!$I221, K$56)+COUNTIF(Logs!$I239, K$56)+COUNTIF(Logs!$I256, K$56)+COUNTIF(Logs!$I273, K$56)+COUNTIF(Logs!$I291, K$56)+COUNTIF(Logs!$I308, K$56)+COUNTIF(Logs!$I326, K$56)+COUNTIF(Logs!$I344, K$56)+COUNTIF(Logs!$I362, K$56)+COUNTIF(Logs!$I380, K$56)+COUNTIF(Logs!$I399, K$56)+COUNTIF(Logs!$I417, K$56)+COUNTIF(Logs!$I435, K$56)+COUNTIF(Logs!$I453, K$56)+COUNTIF(Logs!$I471, K$56)+COUNTIF(Logs!$I489, K$56)+COUNTIF(Logs!$I507, K$56)+COUNTIF(Logs!$I525, K$56)+COUNTIF(Logs!$I543, K$56)+COUNTIF(Logs!$I561, K$56)+COUNTIF(Logs!$I578, K$56)+COUNTIF(Logs!$I597, K$56)+COUNTIF(Logs!$I613, K$56)+COUNTIF(Logs!$I629, K$56)+COUNTIF(Logs!$I646, K$56)+COUNTIF(Logs!$I661, K$56)+COUNTIF(Logs!$I677, K$56)</f>
        <v>0</v>
      </c>
      <c r="L64" s="1432" t="str">
        <f t="shared" si="34"/>
        <v/>
      </c>
      <c r="N64" s="1378" t="s">
        <v>191</v>
      </c>
      <c r="O64" s="319">
        <f>COUNTIF(Logs!$J15, O$56)+COUNTIF(Logs!$J33, O$56)+COUNTIF(Logs!$J51, O$56)+COUNTIF(Logs!$J69, O$56)+COUNTIF(Logs!$J87, O$56)+COUNTIF(Logs!$J106, O$56)+COUNTIF(Logs!$J126, O$56)+COUNTIF(Logs!$J145, O$56)+COUNTIF(Logs!$J165, O$56)+COUNTIF(Logs!$J183, O$56)+COUNTIF(Logs!$J204, O$56)+COUNTIF(Logs!$J221, O$56)+COUNTIF(Logs!$J239, O$56)+COUNTIF(Logs!$J256, O$56)+COUNTIF(Logs!$J273, O$56)+COUNTIF(Logs!$J291, O$56)+COUNTIF(Logs!$J308, O$56)+COUNTIF(Logs!$J326, O$56)+COUNTIF(Logs!$J344, O$56)+COUNTIF(Logs!$J362, O$56)+COUNTIF(Logs!$J380, O$56)+COUNTIF(Logs!$J399, O$56)+COUNTIF(Logs!$J417, O$56)+COUNTIF(Logs!$J435, O$56)+COUNTIF(Logs!$J453, O$56)+COUNTIF(Logs!$J471, O$56)+COUNTIF(Logs!$J489, O$56)+COUNTIF(Logs!$J507, O$56)+COUNTIF(Logs!$J525, O$56)+COUNTIF(Logs!$J543, O$56)+COUNTIF(Logs!$J561, O$56)+COUNTIF(Logs!$J578, O$56)+COUNTIF(Logs!$J597, O$56)+COUNTIF(Logs!$J613, O$56)+COUNTIF(Logs!$J629, O$56)+COUNTIF(Logs!$J646, O$56)+COUNTIF(Logs!$J661, O$56)+COUNTIF(Logs!$J677, O$56)</f>
        <v>14</v>
      </c>
      <c r="P64" s="1448">
        <f t="shared" si="35"/>
        <v>0.73684210526315785</v>
      </c>
      <c r="Q64" s="342">
        <f>COUNTIF(Logs!$J15, Q$56)+COUNTIF(Logs!$J33, Q$56)+COUNTIF(Logs!$J51, Q$56)+COUNTIF(Logs!$J69, Q$56)+COUNTIF(Logs!$J87, Q$56)+COUNTIF(Logs!$J106, Q$56)+COUNTIF(Logs!$J126, Q$56)+COUNTIF(Logs!$J145, Q$56)+COUNTIF(Logs!$J165, Q$56)+COUNTIF(Logs!$J183, Q$56)+COUNTIF(Logs!$J204, Q$56)+COUNTIF(Logs!$J221, Q$56)+COUNTIF(Logs!$J239, Q$56)+COUNTIF(Logs!$J256, Q$56)+COUNTIF(Logs!$J273, Q$56)+COUNTIF(Logs!$J291, Q$56)+COUNTIF(Logs!$J308, Q$56)+COUNTIF(Logs!$J326, Q$56)+COUNTIF(Logs!$J344, Q$56)+COUNTIF(Logs!$J362, Q$56)+COUNTIF(Logs!$J380, Q$56)+COUNTIF(Logs!$J399, Q$56)+COUNTIF(Logs!$J417, Q$56)+COUNTIF(Logs!$J435, Q$56)+COUNTIF(Logs!$J453, Q$56)+COUNTIF(Logs!$J471, Q$56)+COUNTIF(Logs!$J489, Q$56)+COUNTIF(Logs!$J507, Q$56)+COUNTIF(Logs!$J525, Q$56)+COUNTIF(Logs!$J543, Q$56)+COUNTIF(Logs!$J561, Q$56)+COUNTIF(Logs!$J578, Q$56)+COUNTIF(Logs!$J597, Q$56)+COUNTIF(Logs!$J613, Q$56)+COUNTIF(Logs!$J629, Q$56)+COUNTIF(Logs!$J646, Q$56)+COUNTIF(Logs!$J661, Q$56)+COUNTIF(Logs!$J677, Q$56)</f>
        <v>4</v>
      </c>
      <c r="R64" s="1437">
        <f t="shared" si="36"/>
        <v>0.21052631578947367</v>
      </c>
      <c r="S64" s="1439">
        <f>COUNTIF(Logs!$J15, S$56)+COUNTIF(Logs!$J33, S$56)+COUNTIF(Logs!$J51, S$56)+COUNTIF(Logs!$J69, S$56)+COUNTIF(Logs!$J87, S$56)+COUNTIF(Logs!$J106, S$56)+COUNTIF(Logs!$J126, S$56)+COUNTIF(Logs!$J145, S$56)+COUNTIF(Logs!$J165, S$56)+COUNTIF(Logs!$J183, S$56)+COUNTIF(Logs!$J204, S$56)+COUNTIF(Logs!$J221, S$56)+COUNTIF(Logs!$J239, S$56)+COUNTIF(Logs!$J256, S$56)+COUNTIF(Logs!$J273, S$56)+COUNTIF(Logs!$J291, S$56)+COUNTIF(Logs!$J308, S$56)+COUNTIF(Logs!$J326, S$56)+COUNTIF(Logs!$J344, S$56)+COUNTIF(Logs!$J362, S$56)+COUNTIF(Logs!$J380, S$56)+COUNTIF(Logs!$J399, S$56)+COUNTIF(Logs!$J417, S$56)+COUNTIF(Logs!$J435, S$56)+COUNTIF(Logs!$J453, S$56)+COUNTIF(Logs!$J471, S$56)+COUNTIF(Logs!$J489, S$56)+COUNTIF(Logs!$J507, S$56)+COUNTIF(Logs!$J525, S$56)+COUNTIF(Logs!$J543, S$56)+COUNTIF(Logs!$J561, S$56)+COUNTIF(Logs!$J578, S$56)+COUNTIF(Logs!$J597, S$56)+COUNTIF(Logs!$J613, S$56)+COUNTIF(Logs!$J629, S$56)+COUNTIF(Logs!$J646, S$56)+COUNTIF(Logs!$J661, S$56)+COUNTIF(Logs!$J677, S$56)</f>
        <v>1</v>
      </c>
      <c r="T64" s="1440">
        <f t="shared" si="37"/>
        <v>5.2631578947368418E-2</v>
      </c>
      <c r="U64" s="1443">
        <f>COUNTIF(Logs!$J15, U$56)+COUNTIF(Logs!$J33, U$56)+COUNTIF(Logs!$J51, U$56)+COUNTIF(Logs!$J69, U$56)+COUNTIF(Logs!$J87, U$56)+COUNTIF(Logs!$J106, U$56)+COUNTIF(Logs!$J126, U$56)+COUNTIF(Logs!$J145, U$56)+COUNTIF(Logs!$J165, U$56)+COUNTIF(Logs!$J183, U$56)+COUNTIF(Logs!$J204, U$56)+COUNTIF(Logs!$J221, U$56)+COUNTIF(Logs!$J239, U$56)+COUNTIF(Logs!$J256, U$56)+COUNTIF(Logs!$J273, U$56)+COUNTIF(Logs!$J291, U$56)+COUNTIF(Logs!$J308, U$56)+COUNTIF(Logs!$J326, U$56)+COUNTIF(Logs!$J344, U$56)+COUNTIF(Logs!$J362, U$56)+COUNTIF(Logs!$J380, U$56)+COUNTIF(Logs!$J399, U$56)+COUNTIF(Logs!$J417, U$56)+COUNTIF(Logs!$J435, U$56)+COUNTIF(Logs!$J453, U$56)+COUNTIF(Logs!$J471, U$56)+COUNTIF(Logs!$J489, U$56)+COUNTIF(Logs!$J507, U$56)+COUNTIF(Logs!$J525, U$56)+COUNTIF(Logs!$J543, U$56)+COUNTIF(Logs!$J561, U$56)+COUNTIF(Logs!$J578, U$56)+COUNTIF(Logs!$J597, U$56)+COUNTIF(Logs!$J613, U$56)+COUNTIF(Logs!$J629, U$56)+COUNTIF(Logs!$J646, U$56)+COUNTIF(Logs!$J661, U$56)+COUNTIF(Logs!$J677, U$56)</f>
        <v>0</v>
      </c>
      <c r="V64" s="1444" t="str">
        <f t="shared" si="38"/>
        <v/>
      </c>
      <c r="W64" s="1101">
        <f>COUNTIF(Logs!$J15, W$56)+COUNTIF(Logs!$J33, W$56)+COUNTIF(Logs!$J51, W$56)+COUNTIF(Logs!$J69, W$56)+COUNTIF(Logs!$J87, W$56)+COUNTIF(Logs!$J106, W$56)+COUNTIF(Logs!$J126, W$56)+COUNTIF(Logs!$J145, W$56)+COUNTIF(Logs!$J165, W$56)+COUNTIF(Logs!$J183, W$56)+COUNTIF(Logs!$J204, W$56)+COUNTIF(Logs!$J221, W$56)+COUNTIF(Logs!$J239, W$56)+COUNTIF(Logs!$J256, W$56)+COUNTIF(Logs!$J273, W$56)+COUNTIF(Logs!$J291, W$56)+COUNTIF(Logs!$J308, W$56)+COUNTIF(Logs!$J326, W$56)+COUNTIF(Logs!$J344, W$56)+COUNTIF(Logs!$J362, W$56)+COUNTIF(Logs!$J380, W$56)+COUNTIF(Logs!$J399, W$56)+COUNTIF(Logs!$J417, W$56)+COUNTIF(Logs!$J435, W$56)+COUNTIF(Logs!$J453, W$56)+COUNTIF(Logs!$J471, W$56)+COUNTIF(Logs!$J489, W$56)+COUNTIF(Logs!$J507, W$56)+COUNTIF(Logs!$J525, W$56)+COUNTIF(Logs!$J543, W$56)+COUNTIF(Logs!$J561, W$56)+COUNTIF(Logs!$J578, W$56)+COUNTIF(Logs!$J597, W$56)+COUNTIF(Logs!$J613, W$56)+COUNTIF(Logs!$J629, W$56)+COUNTIF(Logs!$J646, W$56)+COUNTIF(Logs!$J661, W$56)+COUNTIF(Logs!$J677, W$56)</f>
        <v>0</v>
      </c>
      <c r="X64" s="1432" t="str">
        <f t="shared" si="39"/>
        <v/>
      </c>
    </row>
    <row r="65" spans="2:24">
      <c r="B65" s="1378" t="s">
        <v>192</v>
      </c>
      <c r="C65" s="319">
        <f>COUNTIF(Logs!$I16, C$56)+COUNTIF(Logs!$I34, C$56)+COUNTIF(Logs!$I52, C$56)+COUNTIF(Logs!$I70, C$56)+COUNTIF(Logs!$I88, C$56)+COUNTIF(Logs!$I107, C$56)+COUNTIF(Logs!$I127, C$56)+COUNTIF(Logs!$I146, C$56)+COUNTIF(Logs!$I166, C$56)+COUNTIF(Logs!$I184, C$56)+COUNTIF(Logs!$I205, C$56)+COUNTIF(Logs!$I222, C$56)+COUNTIF(Logs!$I240, C$56)+COUNTIF(Logs!$I257, C$56)+COUNTIF(Logs!$I274, C$56)+COUNTIF(Logs!$I292, C$56)+COUNTIF(Logs!$I309, C$56)+COUNTIF(Logs!$I327, C$56)+COUNTIF(Logs!$I345, C$56)+COUNTIF(Logs!$I363, C$56)+COUNTIF(Logs!$I381, C$56)+COUNTIF(Logs!$I400, C$56)+COUNTIF(Logs!$I418, C$56)+COUNTIF(Logs!$I436, C$56)+COUNTIF(Logs!$I454, C$56)+COUNTIF(Logs!$I472, C$56)+COUNTIF(Logs!$I490, C$56)+COUNTIF(Logs!$I508, C$56)+COUNTIF(Logs!$I526, C$56)+COUNTIF(Logs!$I544, C$56)+COUNTIF(Logs!$I562, C$56)+COUNTIF(Logs!$I579, C$56)+COUNTIF(Logs!$I598, C$56)+COUNTIF(Logs!$I614, C$56)+COUNTIF(Logs!$I630, C$56)+COUNTIF(Logs!$I647, C$56)+COUNTIF(Logs!$I662, C$56)+COUNTIF(Logs!$I678, C$56)</f>
        <v>4</v>
      </c>
      <c r="D65" s="1448">
        <f t="shared" si="30"/>
        <v>0.8</v>
      </c>
      <c r="E65" s="342">
        <f>COUNTIF(Logs!$I16, E$56)+COUNTIF(Logs!$I34, E$56)+COUNTIF(Logs!$I52, E$56)+COUNTIF(Logs!$I70, E$56)+COUNTIF(Logs!$I88, E$56)+COUNTIF(Logs!$I107, E$56)+COUNTIF(Logs!$I127, E$56)+COUNTIF(Logs!$I146, E$56)+COUNTIF(Logs!$I166, E$56)+COUNTIF(Logs!$I184, E$56)+COUNTIF(Logs!$I205, E$56)+COUNTIF(Logs!$I222, E$56)+COUNTIF(Logs!$I240, E$56)+COUNTIF(Logs!$I257, E$56)+COUNTIF(Logs!$I274, E$56)+COUNTIF(Logs!$I292, E$56)+COUNTIF(Logs!$I309, E$56)+COUNTIF(Logs!$I327, E$56)+COUNTIF(Logs!$I345, E$56)+COUNTIF(Logs!$I363, E$56)+COUNTIF(Logs!$I381, E$56)+COUNTIF(Logs!$I400, E$56)+COUNTIF(Logs!$I418, E$56)+COUNTIF(Logs!$I436, E$56)+COUNTIF(Logs!$I454, E$56)+COUNTIF(Logs!$I472, E$56)+COUNTIF(Logs!$I490, E$56)+COUNTIF(Logs!$I508, E$56)+COUNTIF(Logs!$I526, E$56)+COUNTIF(Logs!$I544, E$56)+COUNTIF(Logs!$I562, E$56)+COUNTIF(Logs!$I579, E$56)+COUNTIF(Logs!$I598, E$56)+COUNTIF(Logs!$I614, E$56)+COUNTIF(Logs!$I630, E$56)+COUNTIF(Logs!$I647, E$56)+COUNTIF(Logs!$I662, E$56)+COUNTIF(Logs!$I678, E$56)</f>
        <v>1</v>
      </c>
      <c r="F65" s="1437">
        <f t="shared" si="31"/>
        <v>0.2</v>
      </c>
      <c r="G65" s="1439">
        <f>COUNTIF(Logs!$I16, G$56)+COUNTIF(Logs!$I34, G$56)+COUNTIF(Logs!$I52, G$56)+COUNTIF(Logs!$I70, G$56)+COUNTIF(Logs!$I88, G$56)+COUNTIF(Logs!$I107, G$56)+COUNTIF(Logs!$I127, G$56)+COUNTIF(Logs!$I146, G$56)+COUNTIF(Logs!$I166, G$56)+COUNTIF(Logs!$I184, G$56)+COUNTIF(Logs!$I205, G$56)+COUNTIF(Logs!$I222, G$56)+COUNTIF(Logs!$I240, G$56)+COUNTIF(Logs!$I257, G$56)+COUNTIF(Logs!$I274, G$56)+COUNTIF(Logs!$I292, G$56)+COUNTIF(Logs!$I309, G$56)+COUNTIF(Logs!$I327, G$56)+COUNTIF(Logs!$I345, G$56)+COUNTIF(Logs!$I363, G$56)+COUNTIF(Logs!$I381, G$56)+COUNTIF(Logs!$I400, G$56)+COUNTIF(Logs!$I418, G$56)+COUNTIF(Logs!$I436, G$56)+COUNTIF(Logs!$I454, G$56)+COUNTIF(Logs!$I472, G$56)+COUNTIF(Logs!$I490, G$56)+COUNTIF(Logs!$I508, G$56)+COUNTIF(Logs!$I526, G$56)+COUNTIF(Logs!$I544, G$56)+COUNTIF(Logs!$I562, G$56)+COUNTIF(Logs!$I579, G$56)+COUNTIF(Logs!$I598, G$56)+COUNTIF(Logs!$I614, G$56)+COUNTIF(Logs!$I630, G$56)+COUNTIF(Logs!$I647, G$56)+COUNTIF(Logs!$I662, G$56)+COUNTIF(Logs!$I678, G$56)</f>
        <v>0</v>
      </c>
      <c r="H65" s="1440" t="str">
        <f t="shared" si="32"/>
        <v/>
      </c>
      <c r="I65" s="1443">
        <f>COUNTIF(Logs!$I16, I$56)+COUNTIF(Logs!$I34, I$56)+COUNTIF(Logs!$I52, I$56)+COUNTIF(Logs!$I70, I$56)+COUNTIF(Logs!$I88, I$56)+COUNTIF(Logs!$I107, I$56)+COUNTIF(Logs!$I127, I$56)+COUNTIF(Logs!$I146, I$56)+COUNTIF(Logs!$I166, I$56)+COUNTIF(Logs!$I184, I$56)+COUNTIF(Logs!$I205, I$56)+COUNTIF(Logs!$I222, I$56)+COUNTIF(Logs!$I240, I$56)+COUNTIF(Logs!$I257, I$56)+COUNTIF(Logs!$I274, I$56)+COUNTIF(Logs!$I292, I$56)+COUNTIF(Logs!$I309, I$56)+COUNTIF(Logs!$I327, I$56)+COUNTIF(Logs!$I345, I$56)+COUNTIF(Logs!$I363, I$56)+COUNTIF(Logs!$I381, I$56)+COUNTIF(Logs!$I400, I$56)+COUNTIF(Logs!$I418, I$56)+COUNTIF(Logs!$I436, I$56)+COUNTIF(Logs!$I454, I$56)+COUNTIF(Logs!$I472, I$56)+COUNTIF(Logs!$I490, I$56)+COUNTIF(Logs!$I508, I$56)+COUNTIF(Logs!$I526, I$56)+COUNTIF(Logs!$I544, I$56)+COUNTIF(Logs!$I562, I$56)+COUNTIF(Logs!$I579, I$56)+COUNTIF(Logs!$I598, I$56)+COUNTIF(Logs!$I614, I$56)+COUNTIF(Logs!$I630, I$56)+COUNTIF(Logs!$I647, I$56)+COUNTIF(Logs!$I662, I$56)+COUNTIF(Logs!$I678, I$56)</f>
        <v>0</v>
      </c>
      <c r="J65" s="1444" t="str">
        <f t="shared" si="33"/>
        <v/>
      </c>
      <c r="K65" s="1101">
        <f>COUNTIF(Logs!$I16, K$56)+COUNTIF(Logs!$I34, K$56)+COUNTIF(Logs!$I52, K$56)+COUNTIF(Logs!$I70, K$56)+COUNTIF(Logs!$I88, K$56)+COUNTIF(Logs!$I107, K$56)+COUNTIF(Logs!$I127, K$56)+COUNTIF(Logs!$I146, K$56)+COUNTIF(Logs!$I166, K$56)+COUNTIF(Logs!$I184, K$56)+COUNTIF(Logs!$I205, K$56)+COUNTIF(Logs!$I222, K$56)+COUNTIF(Logs!$I240, K$56)+COUNTIF(Logs!$I257, K$56)+COUNTIF(Logs!$I274, K$56)+COUNTIF(Logs!$I292, K$56)+COUNTIF(Logs!$I309, K$56)+COUNTIF(Logs!$I327, K$56)+COUNTIF(Logs!$I345, K$56)+COUNTIF(Logs!$I363, K$56)+COUNTIF(Logs!$I381, K$56)+COUNTIF(Logs!$I400, K$56)+COUNTIF(Logs!$I418, K$56)+COUNTIF(Logs!$I436, K$56)+COUNTIF(Logs!$I454, K$56)+COUNTIF(Logs!$I472, K$56)+COUNTIF(Logs!$I490, K$56)+COUNTIF(Logs!$I508, K$56)+COUNTIF(Logs!$I526, K$56)+COUNTIF(Logs!$I544, K$56)+COUNTIF(Logs!$I562, K$56)+COUNTIF(Logs!$I579, K$56)+COUNTIF(Logs!$I598, K$56)+COUNTIF(Logs!$I614, K$56)+COUNTIF(Logs!$I630, K$56)+COUNTIF(Logs!$I647, K$56)+COUNTIF(Logs!$I662, K$56)+COUNTIF(Logs!$I678, K$56)</f>
        <v>0</v>
      </c>
      <c r="L65" s="1432" t="str">
        <f t="shared" si="34"/>
        <v/>
      </c>
      <c r="N65" s="1378" t="s">
        <v>192</v>
      </c>
      <c r="O65" s="319">
        <f>COUNTIF(Logs!$J16, O$56)+COUNTIF(Logs!$J34, O$56)+COUNTIF(Logs!$J52, O$56)+COUNTIF(Logs!$J70, O$56)+COUNTIF(Logs!$J88, O$56)+COUNTIF(Logs!$J107, O$56)+COUNTIF(Logs!$J127, O$56)+COUNTIF(Logs!$J146, O$56)+COUNTIF(Logs!$J166, O$56)+COUNTIF(Logs!$J184, O$56)+COUNTIF(Logs!$J205, O$56)+COUNTIF(Logs!$J222, O$56)+COUNTIF(Logs!$J240, O$56)+COUNTIF(Logs!$J257, O$56)+COUNTIF(Logs!$J274, O$56)+COUNTIF(Logs!$J292, O$56)+COUNTIF(Logs!$J309, O$56)+COUNTIF(Logs!$J327, O$56)+COUNTIF(Logs!$J345, O$56)+COUNTIF(Logs!$J363, O$56)+COUNTIF(Logs!$J381, O$56)+COUNTIF(Logs!$J400, O$56)+COUNTIF(Logs!$J418, O$56)+COUNTIF(Logs!$J436, O$56)+COUNTIF(Logs!$J454, O$56)+COUNTIF(Logs!$J472, O$56)+COUNTIF(Logs!$J490, O$56)+COUNTIF(Logs!$J508, O$56)+COUNTIF(Logs!$J526, O$56)+COUNTIF(Logs!$J544, O$56)+COUNTIF(Logs!$J562, O$56)+COUNTIF(Logs!$J579, O$56)+COUNTIF(Logs!$J598, O$56)+COUNTIF(Logs!$J614, O$56)+COUNTIF(Logs!$J630, O$56)+COUNTIF(Logs!$J647, O$56)+COUNTIF(Logs!$J662, O$56)+COUNTIF(Logs!$J678, O$56)</f>
        <v>8</v>
      </c>
      <c r="P65" s="1448">
        <f t="shared" si="35"/>
        <v>0.88888888888888884</v>
      </c>
      <c r="Q65" s="342">
        <f>COUNTIF(Logs!$J16, Q$56)+COUNTIF(Logs!$J34, Q$56)+COUNTIF(Logs!$J52, Q$56)+COUNTIF(Logs!$J70, Q$56)+COUNTIF(Logs!$J88, Q$56)+COUNTIF(Logs!$J107, Q$56)+COUNTIF(Logs!$J127, Q$56)+COUNTIF(Logs!$J146, Q$56)+COUNTIF(Logs!$J166, Q$56)+COUNTIF(Logs!$J184, Q$56)+COUNTIF(Logs!$J205, Q$56)+COUNTIF(Logs!$J222, Q$56)+COUNTIF(Logs!$J240, Q$56)+COUNTIF(Logs!$J257, Q$56)+COUNTIF(Logs!$J274, Q$56)+COUNTIF(Logs!$J292, Q$56)+COUNTIF(Logs!$J309, Q$56)+COUNTIF(Logs!$J327, Q$56)+COUNTIF(Logs!$J345, Q$56)+COUNTIF(Logs!$J363, Q$56)+COUNTIF(Logs!$J381, Q$56)+COUNTIF(Logs!$J400, Q$56)+COUNTIF(Logs!$J418, Q$56)+COUNTIF(Logs!$J436, Q$56)+COUNTIF(Logs!$J454, Q$56)+COUNTIF(Logs!$J472, Q$56)+COUNTIF(Logs!$J490, Q$56)+COUNTIF(Logs!$J508, Q$56)+COUNTIF(Logs!$J526, Q$56)+COUNTIF(Logs!$J544, Q$56)+COUNTIF(Logs!$J562, Q$56)+COUNTIF(Logs!$J579, Q$56)+COUNTIF(Logs!$J598, Q$56)+COUNTIF(Logs!$J614, Q$56)+COUNTIF(Logs!$J630, Q$56)+COUNTIF(Logs!$J647, Q$56)+COUNTIF(Logs!$J662, Q$56)+COUNTIF(Logs!$J678, Q$56)</f>
        <v>1</v>
      </c>
      <c r="R65" s="1437">
        <f t="shared" si="36"/>
        <v>0.1111111111111111</v>
      </c>
      <c r="S65" s="1439">
        <f>COUNTIF(Logs!$J16, S$56)+COUNTIF(Logs!$J34, S$56)+COUNTIF(Logs!$J52, S$56)+COUNTIF(Logs!$J70, S$56)+COUNTIF(Logs!$J88, S$56)+COUNTIF(Logs!$J107, S$56)+COUNTIF(Logs!$J127, S$56)+COUNTIF(Logs!$J146, S$56)+COUNTIF(Logs!$J166, S$56)+COUNTIF(Logs!$J184, S$56)+COUNTIF(Logs!$J205, S$56)+COUNTIF(Logs!$J222, S$56)+COUNTIF(Logs!$J240, S$56)+COUNTIF(Logs!$J257, S$56)+COUNTIF(Logs!$J274, S$56)+COUNTIF(Logs!$J292, S$56)+COUNTIF(Logs!$J309, S$56)+COUNTIF(Logs!$J327, S$56)+COUNTIF(Logs!$J345, S$56)+COUNTIF(Logs!$J363, S$56)+COUNTIF(Logs!$J381, S$56)+COUNTIF(Logs!$J400, S$56)+COUNTIF(Logs!$J418, S$56)+COUNTIF(Logs!$J436, S$56)+COUNTIF(Logs!$J454, S$56)+COUNTIF(Logs!$J472, S$56)+COUNTIF(Logs!$J490, S$56)+COUNTIF(Logs!$J508, S$56)+COUNTIF(Logs!$J526, S$56)+COUNTIF(Logs!$J544, S$56)+COUNTIF(Logs!$J562, S$56)+COUNTIF(Logs!$J579, S$56)+COUNTIF(Logs!$J598, S$56)+COUNTIF(Logs!$J614, S$56)+COUNTIF(Logs!$J630, S$56)+COUNTIF(Logs!$J647, S$56)+COUNTIF(Logs!$J662, S$56)+COUNTIF(Logs!$J678, S$56)</f>
        <v>0</v>
      </c>
      <c r="T65" s="1440" t="str">
        <f t="shared" si="37"/>
        <v/>
      </c>
      <c r="U65" s="1443">
        <f>COUNTIF(Logs!$J16, U$56)+COUNTIF(Logs!$J34, U$56)+COUNTIF(Logs!$J52, U$56)+COUNTIF(Logs!$J70, U$56)+COUNTIF(Logs!$J88, U$56)+COUNTIF(Logs!$J107, U$56)+COUNTIF(Logs!$J127, U$56)+COUNTIF(Logs!$J146, U$56)+COUNTIF(Logs!$J166, U$56)+COUNTIF(Logs!$J184, U$56)+COUNTIF(Logs!$J205, U$56)+COUNTIF(Logs!$J222, U$56)+COUNTIF(Logs!$J240, U$56)+COUNTIF(Logs!$J257, U$56)+COUNTIF(Logs!$J274, U$56)+COUNTIF(Logs!$J292, U$56)+COUNTIF(Logs!$J309, U$56)+COUNTIF(Logs!$J327, U$56)+COUNTIF(Logs!$J345, U$56)+COUNTIF(Logs!$J363, U$56)+COUNTIF(Logs!$J381, U$56)+COUNTIF(Logs!$J400, U$56)+COUNTIF(Logs!$J418, U$56)+COUNTIF(Logs!$J436, U$56)+COUNTIF(Logs!$J454, U$56)+COUNTIF(Logs!$J472, U$56)+COUNTIF(Logs!$J490, U$56)+COUNTIF(Logs!$J508, U$56)+COUNTIF(Logs!$J526, U$56)+COUNTIF(Logs!$J544, U$56)+COUNTIF(Logs!$J562, U$56)+COUNTIF(Logs!$J579, U$56)+COUNTIF(Logs!$J598, U$56)+COUNTIF(Logs!$J614, U$56)+COUNTIF(Logs!$J630, U$56)+COUNTIF(Logs!$J647, U$56)+COUNTIF(Logs!$J662, U$56)+COUNTIF(Logs!$J678, U$56)</f>
        <v>0</v>
      </c>
      <c r="V65" s="1444" t="str">
        <f t="shared" si="38"/>
        <v/>
      </c>
      <c r="W65" s="1101">
        <f>COUNTIF(Logs!$J16, W$56)+COUNTIF(Logs!$J34, W$56)+COUNTIF(Logs!$J52, W$56)+COUNTIF(Logs!$J70, W$56)+COUNTIF(Logs!$J88, W$56)+COUNTIF(Logs!$J107, W$56)+COUNTIF(Logs!$J127, W$56)+COUNTIF(Logs!$J146, W$56)+COUNTIF(Logs!$J166, W$56)+COUNTIF(Logs!$J184, W$56)+COUNTIF(Logs!$J205, W$56)+COUNTIF(Logs!$J222, W$56)+COUNTIF(Logs!$J240, W$56)+COUNTIF(Logs!$J257, W$56)+COUNTIF(Logs!$J274, W$56)+COUNTIF(Logs!$J292, W$56)+COUNTIF(Logs!$J309, W$56)+COUNTIF(Logs!$J327, W$56)+COUNTIF(Logs!$J345, W$56)+COUNTIF(Logs!$J363, W$56)+COUNTIF(Logs!$J381, W$56)+COUNTIF(Logs!$J400, W$56)+COUNTIF(Logs!$J418, W$56)+COUNTIF(Logs!$J436, W$56)+COUNTIF(Logs!$J454, W$56)+COUNTIF(Logs!$J472, W$56)+COUNTIF(Logs!$J490, W$56)+COUNTIF(Logs!$J508, W$56)+COUNTIF(Logs!$J526, W$56)+COUNTIF(Logs!$J544, W$56)+COUNTIF(Logs!$J562, W$56)+COUNTIF(Logs!$J579, W$56)+COUNTIF(Logs!$J598, W$56)+COUNTIF(Logs!$J614, W$56)+COUNTIF(Logs!$J630, W$56)+COUNTIF(Logs!$J647, W$56)+COUNTIF(Logs!$J662, W$56)+COUNTIF(Logs!$J678, W$56)</f>
        <v>0</v>
      </c>
      <c r="X65" s="1432" t="str">
        <f t="shared" si="39"/>
        <v/>
      </c>
    </row>
    <row r="66" spans="2:24">
      <c r="B66" s="1378" t="s">
        <v>193</v>
      </c>
      <c r="C66" s="319">
        <f>COUNTIF(Logs!$I17, C$56)+COUNTIF(Logs!$I35, C$56)+COUNTIF(Logs!$I53, C$56)+COUNTIF(Logs!$I71, C$56)+COUNTIF(Logs!$I89, C$56)+COUNTIF(Logs!$I108, C$56)+COUNTIF(Logs!$I128, C$56)+COUNTIF(Logs!$I147, C$56)+COUNTIF(Logs!$I167, C$56)+COUNTIF(Logs!$I185, C$56)+COUNTIF(Logs!$I206, C$56)+COUNTIF(Logs!$I223, C$56)+COUNTIF(Logs!$I241, C$56)+COUNTIF(Logs!$I258, C$56)+COUNTIF(Logs!$I275, C$56)+COUNTIF(Logs!$I293, C$56)+COUNTIF(Logs!$I310, C$56)+COUNTIF(Logs!$I328, C$56)+COUNTIF(Logs!$I346, C$56)+COUNTIF(Logs!$I364, C$56)+COUNTIF(Logs!$I382, C$56)+COUNTIF(Logs!$I401, C$56)+COUNTIF(Logs!$I419, C$56)+COUNTIF(Logs!$I437, C$56)+COUNTIF(Logs!$I455, C$56)+COUNTIF(Logs!$I473, C$56)+COUNTIF(Logs!$I491, C$56)+COUNTIF(Logs!$I509, C$56)+COUNTIF(Logs!$I527, C$56)+COUNTIF(Logs!$I545, C$56)+COUNTIF(Logs!$I563, C$56)+COUNTIF(Logs!$I580, C$56)+COUNTIF(Logs!$I599, C$56)+COUNTIF(Logs!$I615, C$56)+COUNTIF(Logs!$I631, C$56)+COUNTIF(Logs!$I648, C$56)+COUNTIF(Logs!$I663, C$56)+COUNTIF(Logs!$I679, C$56)</f>
        <v>1</v>
      </c>
      <c r="D66" s="1448">
        <f t="shared" si="30"/>
        <v>1</v>
      </c>
      <c r="E66" s="342">
        <f>COUNTIF(Logs!$I17, E$56)+COUNTIF(Logs!$I35, E$56)+COUNTIF(Logs!$I53, E$56)+COUNTIF(Logs!$I71, E$56)+COUNTIF(Logs!$I89, E$56)+COUNTIF(Logs!$I108, E$56)+COUNTIF(Logs!$I128, E$56)+COUNTIF(Logs!$I147, E$56)+COUNTIF(Logs!$I167, E$56)+COUNTIF(Logs!$I185, E$56)+COUNTIF(Logs!$I206, E$56)+COUNTIF(Logs!$I223, E$56)+COUNTIF(Logs!$I241, E$56)+COUNTIF(Logs!$I258, E$56)+COUNTIF(Logs!$I275, E$56)+COUNTIF(Logs!$I293, E$56)+COUNTIF(Logs!$I310, E$56)+COUNTIF(Logs!$I328, E$56)+COUNTIF(Logs!$I346, E$56)+COUNTIF(Logs!$I364, E$56)+COUNTIF(Logs!$I382, E$56)+COUNTIF(Logs!$I401, E$56)+COUNTIF(Logs!$I419, E$56)+COUNTIF(Logs!$I437, E$56)+COUNTIF(Logs!$I455, E$56)+COUNTIF(Logs!$I473, E$56)+COUNTIF(Logs!$I491, E$56)+COUNTIF(Logs!$I509, E$56)+COUNTIF(Logs!$I527, E$56)+COUNTIF(Logs!$I545, E$56)+COUNTIF(Logs!$I563, E$56)+COUNTIF(Logs!$I580, E$56)+COUNTIF(Logs!$I599, E$56)+COUNTIF(Logs!$I615, E$56)+COUNTIF(Logs!$I631, E$56)+COUNTIF(Logs!$I648, E$56)+COUNTIF(Logs!$I663, E$56)+COUNTIF(Logs!$I679, E$56)</f>
        <v>0</v>
      </c>
      <c r="F66" s="1437" t="str">
        <f t="shared" si="31"/>
        <v/>
      </c>
      <c r="G66" s="1439">
        <f>COUNTIF(Logs!$I17, G$56)+COUNTIF(Logs!$I35, G$56)+COUNTIF(Logs!$I53, G$56)+COUNTIF(Logs!$I71, G$56)+COUNTIF(Logs!$I89, G$56)+COUNTIF(Logs!$I108, G$56)+COUNTIF(Logs!$I128, G$56)+COUNTIF(Logs!$I147, G$56)+COUNTIF(Logs!$I167, G$56)+COUNTIF(Logs!$I185, G$56)+COUNTIF(Logs!$I206, G$56)+COUNTIF(Logs!$I223, G$56)+COUNTIF(Logs!$I241, G$56)+COUNTIF(Logs!$I258, G$56)+COUNTIF(Logs!$I275, G$56)+COUNTIF(Logs!$I293, G$56)+COUNTIF(Logs!$I310, G$56)+COUNTIF(Logs!$I328, G$56)+COUNTIF(Logs!$I346, G$56)+COUNTIF(Logs!$I364, G$56)+COUNTIF(Logs!$I382, G$56)+COUNTIF(Logs!$I401, G$56)+COUNTIF(Logs!$I419, G$56)+COUNTIF(Logs!$I437, G$56)+COUNTIF(Logs!$I455, G$56)+COUNTIF(Logs!$I473, G$56)+COUNTIF(Logs!$I491, G$56)+COUNTIF(Logs!$I509, G$56)+COUNTIF(Logs!$I527, G$56)+COUNTIF(Logs!$I545, G$56)+COUNTIF(Logs!$I563, G$56)+COUNTIF(Logs!$I580, G$56)+COUNTIF(Logs!$I599, G$56)+COUNTIF(Logs!$I615, G$56)+COUNTIF(Logs!$I631, G$56)+COUNTIF(Logs!$I648, G$56)+COUNTIF(Logs!$I663, G$56)+COUNTIF(Logs!$I679, G$56)</f>
        <v>0</v>
      </c>
      <c r="H66" s="1440" t="str">
        <f t="shared" si="32"/>
        <v/>
      </c>
      <c r="I66" s="1443">
        <f>COUNTIF(Logs!$I17, I$56)+COUNTIF(Logs!$I35, I$56)+COUNTIF(Logs!$I53, I$56)+COUNTIF(Logs!$I71, I$56)+COUNTIF(Logs!$I89, I$56)+COUNTIF(Logs!$I108, I$56)+COUNTIF(Logs!$I128, I$56)+COUNTIF(Logs!$I147, I$56)+COUNTIF(Logs!$I167, I$56)+COUNTIF(Logs!$I185, I$56)+COUNTIF(Logs!$I206, I$56)+COUNTIF(Logs!$I223, I$56)+COUNTIF(Logs!$I241, I$56)+COUNTIF(Logs!$I258, I$56)+COUNTIF(Logs!$I275, I$56)+COUNTIF(Logs!$I293, I$56)+COUNTIF(Logs!$I310, I$56)+COUNTIF(Logs!$I328, I$56)+COUNTIF(Logs!$I346, I$56)+COUNTIF(Logs!$I364, I$56)+COUNTIF(Logs!$I382, I$56)+COUNTIF(Logs!$I401, I$56)+COUNTIF(Logs!$I419, I$56)+COUNTIF(Logs!$I437, I$56)+COUNTIF(Logs!$I455, I$56)+COUNTIF(Logs!$I473, I$56)+COUNTIF(Logs!$I491, I$56)+COUNTIF(Logs!$I509, I$56)+COUNTIF(Logs!$I527, I$56)+COUNTIF(Logs!$I545, I$56)+COUNTIF(Logs!$I563, I$56)+COUNTIF(Logs!$I580, I$56)+COUNTIF(Logs!$I599, I$56)+COUNTIF(Logs!$I615, I$56)+COUNTIF(Logs!$I631, I$56)+COUNTIF(Logs!$I648, I$56)+COUNTIF(Logs!$I663, I$56)+COUNTIF(Logs!$I679, I$56)</f>
        <v>0</v>
      </c>
      <c r="J66" s="1444" t="str">
        <f t="shared" si="33"/>
        <v/>
      </c>
      <c r="K66" s="1101">
        <f>COUNTIF(Logs!$I17, K$56)+COUNTIF(Logs!$I35, K$56)+COUNTIF(Logs!$I53, K$56)+COUNTIF(Logs!$I71, K$56)+COUNTIF(Logs!$I89, K$56)+COUNTIF(Logs!$I108, K$56)+COUNTIF(Logs!$I128, K$56)+COUNTIF(Logs!$I147, K$56)+COUNTIF(Logs!$I167, K$56)+COUNTIF(Logs!$I185, K$56)+COUNTIF(Logs!$I206, K$56)+COUNTIF(Logs!$I223, K$56)+COUNTIF(Logs!$I241, K$56)+COUNTIF(Logs!$I258, K$56)+COUNTIF(Logs!$I275, K$56)+COUNTIF(Logs!$I293, K$56)+COUNTIF(Logs!$I310, K$56)+COUNTIF(Logs!$I328, K$56)+COUNTIF(Logs!$I346, K$56)+COUNTIF(Logs!$I364, K$56)+COUNTIF(Logs!$I382, K$56)+COUNTIF(Logs!$I401, K$56)+COUNTIF(Logs!$I419, K$56)+COUNTIF(Logs!$I437, K$56)+COUNTIF(Logs!$I455, K$56)+COUNTIF(Logs!$I473, K$56)+COUNTIF(Logs!$I491, K$56)+COUNTIF(Logs!$I509, K$56)+COUNTIF(Logs!$I527, K$56)+COUNTIF(Logs!$I545, K$56)+COUNTIF(Logs!$I563, K$56)+COUNTIF(Logs!$I580, K$56)+COUNTIF(Logs!$I599, K$56)+COUNTIF(Logs!$I615, K$56)+COUNTIF(Logs!$I631, K$56)+COUNTIF(Logs!$I648, K$56)+COUNTIF(Logs!$I663, K$56)+COUNTIF(Logs!$I679, K$56)</f>
        <v>0</v>
      </c>
      <c r="L66" s="1432" t="str">
        <f t="shared" si="34"/>
        <v/>
      </c>
      <c r="N66" s="1378" t="s">
        <v>193</v>
      </c>
      <c r="O66" s="319">
        <f>COUNTIF(Logs!$J17, O$56)+COUNTIF(Logs!$J35, O$56)+COUNTIF(Logs!$J53, O$56)+COUNTIF(Logs!$J71, O$56)+COUNTIF(Logs!$J89, O$56)+COUNTIF(Logs!$J108, O$56)+COUNTIF(Logs!$J128, O$56)+COUNTIF(Logs!$J147, O$56)+COUNTIF(Logs!$J167, O$56)+COUNTIF(Logs!$J185, O$56)+COUNTIF(Logs!$J206, O$56)+COUNTIF(Logs!$J223, O$56)+COUNTIF(Logs!$J241, O$56)+COUNTIF(Logs!$J258, O$56)+COUNTIF(Logs!$J275, O$56)+COUNTIF(Logs!$J293, O$56)+COUNTIF(Logs!$J310, O$56)+COUNTIF(Logs!$J328, O$56)+COUNTIF(Logs!$J346, O$56)+COUNTIF(Logs!$J364, O$56)+COUNTIF(Logs!$J382, O$56)+COUNTIF(Logs!$J401, O$56)+COUNTIF(Logs!$J419, O$56)+COUNTIF(Logs!$J437, O$56)+COUNTIF(Logs!$J455, O$56)+COUNTIF(Logs!$J473, O$56)+COUNTIF(Logs!$J491, O$56)+COUNTIF(Logs!$J509, O$56)+COUNTIF(Logs!$J527, O$56)+COUNTIF(Logs!$J545, O$56)+COUNTIF(Logs!$J563, O$56)+COUNTIF(Logs!$J580, O$56)+COUNTIF(Logs!$J599, O$56)+COUNTIF(Logs!$J615, O$56)+COUNTIF(Logs!$J631, O$56)+COUNTIF(Logs!$J648, O$56)+COUNTIF(Logs!$J663, O$56)+COUNTIF(Logs!$J679, O$56)</f>
        <v>2</v>
      </c>
      <c r="P66" s="1448">
        <f t="shared" si="35"/>
        <v>0.66666666666666663</v>
      </c>
      <c r="Q66" s="342">
        <f>COUNTIF(Logs!$J17, Q$56)+COUNTIF(Logs!$J35, Q$56)+COUNTIF(Logs!$J53, Q$56)+COUNTIF(Logs!$J71, Q$56)+COUNTIF(Logs!$J89, Q$56)+COUNTIF(Logs!$J108, Q$56)+COUNTIF(Logs!$J128, Q$56)+COUNTIF(Logs!$J147, Q$56)+COUNTIF(Logs!$J167, Q$56)+COUNTIF(Logs!$J185, Q$56)+COUNTIF(Logs!$J206, Q$56)+COUNTIF(Logs!$J223, Q$56)+COUNTIF(Logs!$J241, Q$56)+COUNTIF(Logs!$J258, Q$56)+COUNTIF(Logs!$J275, Q$56)+COUNTIF(Logs!$J293, Q$56)+COUNTIF(Logs!$J310, Q$56)+COUNTIF(Logs!$J328, Q$56)+COUNTIF(Logs!$J346, Q$56)+COUNTIF(Logs!$J364, Q$56)+COUNTIF(Logs!$J382, Q$56)+COUNTIF(Logs!$J401, Q$56)+COUNTIF(Logs!$J419, Q$56)+COUNTIF(Logs!$J437, Q$56)+COUNTIF(Logs!$J455, Q$56)+COUNTIF(Logs!$J473, Q$56)+COUNTIF(Logs!$J491, Q$56)+COUNTIF(Logs!$J509, Q$56)+COUNTIF(Logs!$J527, Q$56)+COUNTIF(Logs!$J545, Q$56)+COUNTIF(Logs!$J563, Q$56)+COUNTIF(Logs!$J580, Q$56)+COUNTIF(Logs!$J599, Q$56)+COUNTIF(Logs!$J615, Q$56)+COUNTIF(Logs!$J631, Q$56)+COUNTIF(Logs!$J648, Q$56)+COUNTIF(Logs!$J663, Q$56)+COUNTIF(Logs!$J679, Q$56)</f>
        <v>1</v>
      </c>
      <c r="R66" s="1437">
        <f t="shared" si="36"/>
        <v>0.33333333333333331</v>
      </c>
      <c r="S66" s="1439">
        <f>COUNTIF(Logs!$J17, S$56)+COUNTIF(Logs!$J35, S$56)+COUNTIF(Logs!$J53, S$56)+COUNTIF(Logs!$J71, S$56)+COUNTIF(Logs!$J89, S$56)+COUNTIF(Logs!$J108, S$56)+COUNTIF(Logs!$J128, S$56)+COUNTIF(Logs!$J147, S$56)+COUNTIF(Logs!$J167, S$56)+COUNTIF(Logs!$J185, S$56)+COUNTIF(Logs!$J206, S$56)+COUNTIF(Logs!$J223, S$56)+COUNTIF(Logs!$J241, S$56)+COUNTIF(Logs!$J258, S$56)+COUNTIF(Logs!$J275, S$56)+COUNTIF(Logs!$J293, S$56)+COUNTIF(Logs!$J310, S$56)+COUNTIF(Logs!$J328, S$56)+COUNTIF(Logs!$J346, S$56)+COUNTIF(Logs!$J364, S$56)+COUNTIF(Logs!$J382, S$56)+COUNTIF(Logs!$J401, S$56)+COUNTIF(Logs!$J419, S$56)+COUNTIF(Logs!$J437, S$56)+COUNTIF(Logs!$J455, S$56)+COUNTIF(Logs!$J473, S$56)+COUNTIF(Logs!$J491, S$56)+COUNTIF(Logs!$J509, S$56)+COUNTIF(Logs!$J527, S$56)+COUNTIF(Logs!$J545, S$56)+COUNTIF(Logs!$J563, S$56)+COUNTIF(Logs!$J580, S$56)+COUNTIF(Logs!$J599, S$56)+COUNTIF(Logs!$J615, S$56)+COUNTIF(Logs!$J631, S$56)+COUNTIF(Logs!$J648, S$56)+COUNTIF(Logs!$J663, S$56)+COUNTIF(Logs!$J679, S$56)</f>
        <v>0</v>
      </c>
      <c r="T66" s="1440" t="str">
        <f t="shared" si="37"/>
        <v/>
      </c>
      <c r="U66" s="1443">
        <f>COUNTIF(Logs!$J17, U$56)+COUNTIF(Logs!$J35, U$56)+COUNTIF(Logs!$J53, U$56)+COUNTIF(Logs!$J71, U$56)+COUNTIF(Logs!$J89, U$56)+COUNTIF(Logs!$J108, U$56)+COUNTIF(Logs!$J128, U$56)+COUNTIF(Logs!$J147, U$56)+COUNTIF(Logs!$J167, U$56)+COUNTIF(Logs!$J185, U$56)+COUNTIF(Logs!$J206, U$56)+COUNTIF(Logs!$J223, U$56)+COUNTIF(Logs!$J241, U$56)+COUNTIF(Logs!$J258, U$56)+COUNTIF(Logs!$J275, U$56)+COUNTIF(Logs!$J293, U$56)+COUNTIF(Logs!$J310, U$56)+COUNTIF(Logs!$J328, U$56)+COUNTIF(Logs!$J346, U$56)+COUNTIF(Logs!$J364, U$56)+COUNTIF(Logs!$J382, U$56)+COUNTIF(Logs!$J401, U$56)+COUNTIF(Logs!$J419, U$56)+COUNTIF(Logs!$J437, U$56)+COUNTIF(Logs!$J455, U$56)+COUNTIF(Logs!$J473, U$56)+COUNTIF(Logs!$J491, U$56)+COUNTIF(Logs!$J509, U$56)+COUNTIF(Logs!$J527, U$56)+COUNTIF(Logs!$J545, U$56)+COUNTIF(Logs!$J563, U$56)+COUNTIF(Logs!$J580, U$56)+COUNTIF(Logs!$J599, U$56)+COUNTIF(Logs!$J615, U$56)+COUNTIF(Logs!$J631, U$56)+COUNTIF(Logs!$J648, U$56)+COUNTIF(Logs!$J663, U$56)+COUNTIF(Logs!$J679, U$56)</f>
        <v>0</v>
      </c>
      <c r="V66" s="1444" t="str">
        <f t="shared" si="38"/>
        <v/>
      </c>
      <c r="W66" s="1101">
        <f>COUNTIF(Logs!$J17, W$56)+COUNTIF(Logs!$J35, W$56)+COUNTIF(Logs!$J53, W$56)+COUNTIF(Logs!$J71, W$56)+COUNTIF(Logs!$J89, W$56)+COUNTIF(Logs!$J108, W$56)+COUNTIF(Logs!$J128, W$56)+COUNTIF(Logs!$J147, W$56)+COUNTIF(Logs!$J167, W$56)+COUNTIF(Logs!$J185, W$56)+COUNTIF(Logs!$J206, W$56)+COUNTIF(Logs!$J223, W$56)+COUNTIF(Logs!$J241, W$56)+COUNTIF(Logs!$J258, W$56)+COUNTIF(Logs!$J275, W$56)+COUNTIF(Logs!$J293, W$56)+COUNTIF(Logs!$J310, W$56)+COUNTIF(Logs!$J328, W$56)+COUNTIF(Logs!$J346, W$56)+COUNTIF(Logs!$J364, W$56)+COUNTIF(Logs!$J382, W$56)+COUNTIF(Logs!$J401, W$56)+COUNTIF(Logs!$J419, W$56)+COUNTIF(Logs!$J437, W$56)+COUNTIF(Logs!$J455, W$56)+COUNTIF(Logs!$J473, W$56)+COUNTIF(Logs!$J491, W$56)+COUNTIF(Logs!$J509, W$56)+COUNTIF(Logs!$J527, W$56)+COUNTIF(Logs!$J545, W$56)+COUNTIF(Logs!$J563, W$56)+COUNTIF(Logs!$J580, W$56)+COUNTIF(Logs!$J599, W$56)+COUNTIF(Logs!$J615, W$56)+COUNTIF(Logs!$J631, W$56)+COUNTIF(Logs!$J648, W$56)+COUNTIF(Logs!$J663, W$56)+COUNTIF(Logs!$J679, W$56)</f>
        <v>0</v>
      </c>
      <c r="X66" s="1432" t="str">
        <f t="shared" si="39"/>
        <v/>
      </c>
    </row>
    <row r="67" spans="2:24">
      <c r="B67" s="1378" t="s">
        <v>194</v>
      </c>
      <c r="C67" s="319">
        <f>COUNTIF(Logs!$I18, C$56)+COUNTIF(Logs!$I36, C$56)+COUNTIF(Logs!$I54, C$56)+COUNTIF(Logs!$I72, C$56)+COUNTIF(Logs!$I90, C$56)+COUNTIF(Logs!$I109, C$56)+COUNTIF(Logs!$I129, C$56)+COUNTIF(Logs!$I148, C$56)+COUNTIF(Logs!$I168, C$56)+COUNTIF(Logs!$I186, C$56)+COUNTIF(Logs!$I207, C$56)+COUNTIF(Logs!$I224, C$56)+COUNTIF(Logs!$I242, C$56)+COUNTIF(Logs!$I259, C$56)+COUNTIF(Logs!$I276, C$56)+COUNTIF(Logs!$I294, C$56)+COUNTIF(Logs!$I311, C$56)+COUNTIF(Logs!$I329, C$56)+COUNTIF(Logs!$I347, C$56)+COUNTIF(Logs!$I365, C$56)+COUNTIF(Logs!$I383, C$56)+COUNTIF(Logs!$I402, C$56)+COUNTIF(Logs!$I420, C$56)+COUNTIF(Logs!$I438, C$56)+COUNTIF(Logs!$I456, C$56)+COUNTIF(Logs!$I474, C$56)+COUNTIF(Logs!$I492, C$56)+COUNTIF(Logs!$I510, C$56)+COUNTIF(Logs!$I528, C$56)+COUNTIF(Logs!$I546, C$56)+COUNTIF(Logs!$I564, C$56)+COUNTIF(Logs!$I581, C$56)+COUNTIF(Logs!$I600, C$56)+COUNTIF(Logs!$I616, C$56)+COUNTIF(Logs!$I632, C$56)+COUNTIF(Logs!$I649, C$56)+COUNTIF(Logs!$I664, C$56)+COUNTIF(Logs!$I680, C$56)</f>
        <v>0</v>
      </c>
      <c r="D67" s="1448" t="str">
        <f t="shared" si="30"/>
        <v/>
      </c>
      <c r="E67" s="342">
        <f>COUNTIF(Logs!$I18, E$56)+COUNTIF(Logs!$I36, E$56)+COUNTIF(Logs!$I54, E$56)+COUNTIF(Logs!$I72, E$56)+COUNTIF(Logs!$I90, E$56)+COUNTIF(Logs!$I109, E$56)+COUNTIF(Logs!$I129, E$56)+COUNTIF(Logs!$I148, E$56)+COUNTIF(Logs!$I168, E$56)+COUNTIF(Logs!$I186, E$56)+COUNTIF(Logs!$I207, E$56)+COUNTIF(Logs!$I224, E$56)+COUNTIF(Logs!$I242, E$56)+COUNTIF(Logs!$I259, E$56)+COUNTIF(Logs!$I276, E$56)+COUNTIF(Logs!$I294, E$56)+COUNTIF(Logs!$I311, E$56)+COUNTIF(Logs!$I329, E$56)+COUNTIF(Logs!$I347, E$56)+COUNTIF(Logs!$I365, E$56)+COUNTIF(Logs!$I383, E$56)+COUNTIF(Logs!$I402, E$56)+COUNTIF(Logs!$I420, E$56)+COUNTIF(Logs!$I438, E$56)+COUNTIF(Logs!$I456, E$56)+COUNTIF(Logs!$I474, E$56)+COUNTIF(Logs!$I492, E$56)+COUNTIF(Logs!$I510, E$56)+COUNTIF(Logs!$I528, E$56)+COUNTIF(Logs!$I546, E$56)+COUNTIF(Logs!$I564, E$56)+COUNTIF(Logs!$I581, E$56)+COUNTIF(Logs!$I600, E$56)+COUNTIF(Logs!$I616, E$56)+COUNTIF(Logs!$I632, E$56)+COUNTIF(Logs!$I649, E$56)+COUNTIF(Logs!$I664, E$56)+COUNTIF(Logs!$I680, E$56)</f>
        <v>0</v>
      </c>
      <c r="F67" s="1437" t="str">
        <f t="shared" si="31"/>
        <v/>
      </c>
      <c r="G67" s="1439">
        <f>COUNTIF(Logs!$I18, G$56)+COUNTIF(Logs!$I36, G$56)+COUNTIF(Logs!$I54, G$56)+COUNTIF(Logs!$I72, G$56)+COUNTIF(Logs!$I90, G$56)+COUNTIF(Logs!$I109, G$56)+COUNTIF(Logs!$I129, G$56)+COUNTIF(Logs!$I148, G$56)+COUNTIF(Logs!$I168, G$56)+COUNTIF(Logs!$I186, G$56)+COUNTIF(Logs!$I207, G$56)+COUNTIF(Logs!$I224, G$56)+COUNTIF(Logs!$I242, G$56)+COUNTIF(Logs!$I259, G$56)+COUNTIF(Logs!$I276, G$56)+COUNTIF(Logs!$I294, G$56)+COUNTIF(Logs!$I311, G$56)+COUNTIF(Logs!$I329, G$56)+COUNTIF(Logs!$I347, G$56)+COUNTIF(Logs!$I365, G$56)+COUNTIF(Logs!$I383, G$56)+COUNTIF(Logs!$I402, G$56)+COUNTIF(Logs!$I420, G$56)+COUNTIF(Logs!$I438, G$56)+COUNTIF(Logs!$I456, G$56)+COUNTIF(Logs!$I474, G$56)+COUNTIF(Logs!$I492, G$56)+COUNTIF(Logs!$I510, G$56)+COUNTIF(Logs!$I528, G$56)+COUNTIF(Logs!$I546, G$56)+COUNTIF(Logs!$I564, G$56)+COUNTIF(Logs!$I581, G$56)+COUNTIF(Logs!$I600, G$56)+COUNTIF(Logs!$I616, G$56)+COUNTIF(Logs!$I632, G$56)+COUNTIF(Logs!$I649, G$56)+COUNTIF(Logs!$I664, G$56)+COUNTIF(Logs!$I680, G$56)</f>
        <v>0</v>
      </c>
      <c r="H67" s="1440" t="str">
        <f t="shared" si="32"/>
        <v/>
      </c>
      <c r="I67" s="1443">
        <f>COUNTIF(Logs!$I18, I$56)+COUNTIF(Logs!$I36, I$56)+COUNTIF(Logs!$I54, I$56)+COUNTIF(Logs!$I72, I$56)+COUNTIF(Logs!$I90, I$56)+COUNTIF(Logs!$I109, I$56)+COUNTIF(Logs!$I129, I$56)+COUNTIF(Logs!$I148, I$56)+COUNTIF(Logs!$I168, I$56)+COUNTIF(Logs!$I186, I$56)+COUNTIF(Logs!$I207, I$56)+COUNTIF(Logs!$I224, I$56)+COUNTIF(Logs!$I242, I$56)+COUNTIF(Logs!$I259, I$56)+COUNTIF(Logs!$I276, I$56)+COUNTIF(Logs!$I294, I$56)+COUNTIF(Logs!$I311, I$56)+COUNTIF(Logs!$I329, I$56)+COUNTIF(Logs!$I347, I$56)+COUNTIF(Logs!$I365, I$56)+COUNTIF(Logs!$I383, I$56)+COUNTIF(Logs!$I402, I$56)+COUNTIF(Logs!$I420, I$56)+COUNTIF(Logs!$I438, I$56)+COUNTIF(Logs!$I456, I$56)+COUNTIF(Logs!$I474, I$56)+COUNTIF(Logs!$I492, I$56)+COUNTIF(Logs!$I510, I$56)+COUNTIF(Logs!$I528, I$56)+COUNTIF(Logs!$I546, I$56)+COUNTIF(Logs!$I564, I$56)+COUNTIF(Logs!$I581, I$56)+COUNTIF(Logs!$I600, I$56)+COUNTIF(Logs!$I616, I$56)+COUNTIF(Logs!$I632, I$56)+COUNTIF(Logs!$I649, I$56)+COUNTIF(Logs!$I664, I$56)+COUNTIF(Logs!$I680, I$56)</f>
        <v>0</v>
      </c>
      <c r="J67" s="1444" t="str">
        <f t="shared" si="33"/>
        <v/>
      </c>
      <c r="K67" s="1101">
        <f>COUNTIF(Logs!$I18, K$56)+COUNTIF(Logs!$I36, K$56)+COUNTIF(Logs!$I54, K$56)+COUNTIF(Logs!$I72, K$56)+COUNTIF(Logs!$I90, K$56)+COUNTIF(Logs!$I109, K$56)+COUNTIF(Logs!$I129, K$56)+COUNTIF(Logs!$I148, K$56)+COUNTIF(Logs!$I168, K$56)+COUNTIF(Logs!$I186, K$56)+COUNTIF(Logs!$I207, K$56)+COUNTIF(Logs!$I224, K$56)+COUNTIF(Logs!$I242, K$56)+COUNTIF(Logs!$I259, K$56)+COUNTIF(Logs!$I276, K$56)+COUNTIF(Logs!$I294, K$56)+COUNTIF(Logs!$I311, K$56)+COUNTIF(Logs!$I329, K$56)+COUNTIF(Logs!$I347, K$56)+COUNTIF(Logs!$I365, K$56)+COUNTIF(Logs!$I383, K$56)+COUNTIF(Logs!$I402, K$56)+COUNTIF(Logs!$I420, K$56)+COUNTIF(Logs!$I438, K$56)+COUNTIF(Logs!$I456, K$56)+COUNTIF(Logs!$I474, K$56)+COUNTIF(Logs!$I492, K$56)+COUNTIF(Logs!$I510, K$56)+COUNTIF(Logs!$I528, K$56)+COUNTIF(Logs!$I546, K$56)+COUNTIF(Logs!$I564, K$56)+COUNTIF(Logs!$I581, K$56)+COUNTIF(Logs!$I600, K$56)+COUNTIF(Logs!$I616, K$56)+COUNTIF(Logs!$I632, K$56)+COUNTIF(Logs!$I649, K$56)+COUNTIF(Logs!$I664, K$56)+COUNTIF(Logs!$I680, K$56)</f>
        <v>0</v>
      </c>
      <c r="L67" s="1432" t="str">
        <f t="shared" si="34"/>
        <v/>
      </c>
      <c r="N67" s="1378" t="s">
        <v>194</v>
      </c>
      <c r="O67" s="319">
        <f>COUNTIF(Logs!$J18, O$56)+COUNTIF(Logs!$J36, O$56)+COUNTIF(Logs!$J54, O$56)+COUNTIF(Logs!$J72, O$56)+COUNTIF(Logs!$J90, O$56)+COUNTIF(Logs!$J109, O$56)+COUNTIF(Logs!$J129, O$56)+COUNTIF(Logs!$J148, O$56)+COUNTIF(Logs!$J168, O$56)+COUNTIF(Logs!$J186, O$56)+COUNTIF(Logs!$J207, O$56)+COUNTIF(Logs!$J224, O$56)+COUNTIF(Logs!$J242, O$56)+COUNTIF(Logs!$J259, O$56)+COUNTIF(Logs!$J276, O$56)+COUNTIF(Logs!$J294, O$56)+COUNTIF(Logs!$J311, O$56)+COUNTIF(Logs!$J329, O$56)+COUNTIF(Logs!$J347, O$56)+COUNTIF(Logs!$J365, O$56)+COUNTIF(Logs!$J383, O$56)+COUNTIF(Logs!$J402, O$56)+COUNTIF(Logs!$J420, O$56)+COUNTIF(Logs!$J438, O$56)+COUNTIF(Logs!$J456, O$56)+COUNTIF(Logs!$J474, O$56)+COUNTIF(Logs!$J492, O$56)+COUNTIF(Logs!$J510, O$56)+COUNTIF(Logs!$J528, O$56)+COUNTIF(Logs!$J546, O$56)+COUNTIF(Logs!$J564, O$56)+COUNTIF(Logs!$J581, O$56)+COUNTIF(Logs!$J600, O$56)+COUNTIF(Logs!$J616, O$56)+COUNTIF(Logs!$J632, O$56)+COUNTIF(Logs!$J649, O$56)+COUNTIF(Logs!$J664, O$56)+COUNTIF(Logs!$J680, O$56)</f>
        <v>1</v>
      </c>
      <c r="P67" s="1448">
        <f t="shared" si="35"/>
        <v>0.5</v>
      </c>
      <c r="Q67" s="342">
        <f>COUNTIF(Logs!$J18, Q$56)+COUNTIF(Logs!$J36, Q$56)+COUNTIF(Logs!$J54, Q$56)+COUNTIF(Logs!$J72, Q$56)+COUNTIF(Logs!$J90, Q$56)+COUNTIF(Logs!$J109, Q$56)+COUNTIF(Logs!$J129, Q$56)+COUNTIF(Logs!$J148, Q$56)+COUNTIF(Logs!$J168, Q$56)+COUNTIF(Logs!$J186, Q$56)+COUNTIF(Logs!$J207, Q$56)+COUNTIF(Logs!$J224, Q$56)+COUNTIF(Logs!$J242, Q$56)+COUNTIF(Logs!$J259, Q$56)+COUNTIF(Logs!$J276, Q$56)+COUNTIF(Logs!$J294, Q$56)+COUNTIF(Logs!$J311, Q$56)+COUNTIF(Logs!$J329, Q$56)+COUNTIF(Logs!$J347, Q$56)+COUNTIF(Logs!$J365, Q$56)+COUNTIF(Logs!$J383, Q$56)+COUNTIF(Logs!$J402, Q$56)+COUNTIF(Logs!$J420, Q$56)+COUNTIF(Logs!$J438, Q$56)+COUNTIF(Logs!$J456, Q$56)+COUNTIF(Logs!$J474, Q$56)+COUNTIF(Logs!$J492, Q$56)+COUNTIF(Logs!$J510, Q$56)+COUNTIF(Logs!$J528, Q$56)+COUNTIF(Logs!$J546, Q$56)+COUNTIF(Logs!$J564, Q$56)+COUNTIF(Logs!$J581, Q$56)+COUNTIF(Logs!$J600, Q$56)+COUNTIF(Logs!$J616, Q$56)+COUNTIF(Logs!$J632, Q$56)+COUNTIF(Logs!$J649, Q$56)+COUNTIF(Logs!$J664, Q$56)+COUNTIF(Logs!$J680, Q$56)</f>
        <v>1</v>
      </c>
      <c r="R67" s="1437">
        <f t="shared" si="36"/>
        <v>0.5</v>
      </c>
      <c r="S67" s="1439">
        <f>COUNTIF(Logs!$J18, S$56)+COUNTIF(Logs!$J36, S$56)+COUNTIF(Logs!$J54, S$56)+COUNTIF(Logs!$J72, S$56)+COUNTIF(Logs!$J90, S$56)+COUNTIF(Logs!$J109, S$56)+COUNTIF(Logs!$J129, S$56)+COUNTIF(Logs!$J148, S$56)+COUNTIF(Logs!$J168, S$56)+COUNTIF(Logs!$J186, S$56)+COUNTIF(Logs!$J207, S$56)+COUNTIF(Logs!$J224, S$56)+COUNTIF(Logs!$J242, S$56)+COUNTIF(Logs!$J259, S$56)+COUNTIF(Logs!$J276, S$56)+COUNTIF(Logs!$J294, S$56)+COUNTIF(Logs!$J311, S$56)+COUNTIF(Logs!$J329, S$56)+COUNTIF(Logs!$J347, S$56)+COUNTIF(Logs!$J365, S$56)+COUNTIF(Logs!$J383, S$56)+COUNTIF(Logs!$J402, S$56)+COUNTIF(Logs!$J420, S$56)+COUNTIF(Logs!$J438, S$56)+COUNTIF(Logs!$J456, S$56)+COUNTIF(Logs!$J474, S$56)+COUNTIF(Logs!$J492, S$56)+COUNTIF(Logs!$J510, S$56)+COUNTIF(Logs!$J528, S$56)+COUNTIF(Logs!$J546, S$56)+COUNTIF(Logs!$J564, S$56)+COUNTIF(Logs!$J581, S$56)+COUNTIF(Logs!$J600, S$56)+COUNTIF(Logs!$J616, S$56)+COUNTIF(Logs!$J632, S$56)+COUNTIF(Logs!$J649, S$56)+COUNTIF(Logs!$J664, S$56)+COUNTIF(Logs!$J680, S$56)</f>
        <v>0</v>
      </c>
      <c r="T67" s="1440" t="str">
        <f t="shared" si="37"/>
        <v/>
      </c>
      <c r="U67" s="1443">
        <f>COUNTIF(Logs!$J18, U$56)+COUNTIF(Logs!$J36, U$56)+COUNTIF(Logs!$J54, U$56)+COUNTIF(Logs!$J72, U$56)+COUNTIF(Logs!$J90, U$56)+COUNTIF(Logs!$J109, U$56)+COUNTIF(Logs!$J129, U$56)+COUNTIF(Logs!$J148, U$56)+COUNTIF(Logs!$J168, U$56)+COUNTIF(Logs!$J186, U$56)+COUNTIF(Logs!$J207, U$56)+COUNTIF(Logs!$J224, U$56)+COUNTIF(Logs!$J242, U$56)+COUNTIF(Logs!$J259, U$56)+COUNTIF(Logs!$J276, U$56)+COUNTIF(Logs!$J294, U$56)+COUNTIF(Logs!$J311, U$56)+COUNTIF(Logs!$J329, U$56)+COUNTIF(Logs!$J347, U$56)+COUNTIF(Logs!$J365, U$56)+COUNTIF(Logs!$J383, U$56)+COUNTIF(Logs!$J402, U$56)+COUNTIF(Logs!$J420, U$56)+COUNTIF(Logs!$J438, U$56)+COUNTIF(Logs!$J456, U$56)+COUNTIF(Logs!$J474, U$56)+COUNTIF(Logs!$J492, U$56)+COUNTIF(Logs!$J510, U$56)+COUNTIF(Logs!$J528, U$56)+COUNTIF(Logs!$J546, U$56)+COUNTIF(Logs!$J564, U$56)+COUNTIF(Logs!$J581, U$56)+COUNTIF(Logs!$J600, U$56)+COUNTIF(Logs!$J616, U$56)+COUNTIF(Logs!$J632, U$56)+COUNTIF(Logs!$J649, U$56)+COUNTIF(Logs!$J664, U$56)+COUNTIF(Logs!$J680, U$56)</f>
        <v>0</v>
      </c>
      <c r="V67" s="1444" t="str">
        <f t="shared" si="38"/>
        <v/>
      </c>
      <c r="W67" s="1101">
        <f>COUNTIF(Logs!$J18, W$56)+COUNTIF(Logs!$J36, W$56)+COUNTIF(Logs!$J54, W$56)+COUNTIF(Logs!$J72, W$56)+COUNTIF(Logs!$J90, W$56)+COUNTIF(Logs!$J109, W$56)+COUNTIF(Logs!$J129, W$56)+COUNTIF(Logs!$J148, W$56)+COUNTIF(Logs!$J168, W$56)+COUNTIF(Logs!$J186, W$56)+COUNTIF(Logs!$J207, W$56)+COUNTIF(Logs!$J224, W$56)+COUNTIF(Logs!$J242, W$56)+COUNTIF(Logs!$J259, W$56)+COUNTIF(Logs!$J276, W$56)+COUNTIF(Logs!$J294, W$56)+COUNTIF(Logs!$J311, W$56)+COUNTIF(Logs!$J329, W$56)+COUNTIF(Logs!$J347, W$56)+COUNTIF(Logs!$J365, W$56)+COUNTIF(Logs!$J383, W$56)+COUNTIF(Logs!$J402, W$56)+COUNTIF(Logs!$J420, W$56)+COUNTIF(Logs!$J438, W$56)+COUNTIF(Logs!$J456, W$56)+COUNTIF(Logs!$J474, W$56)+COUNTIF(Logs!$J492, W$56)+COUNTIF(Logs!$J510, W$56)+COUNTIF(Logs!$J528, W$56)+COUNTIF(Logs!$J546, W$56)+COUNTIF(Logs!$J564, W$56)+COUNTIF(Logs!$J581, W$56)+COUNTIF(Logs!$J600, W$56)+COUNTIF(Logs!$J616, W$56)+COUNTIF(Logs!$J632, W$56)+COUNTIF(Logs!$J649, W$56)+COUNTIF(Logs!$J664, W$56)+COUNTIF(Logs!$J680, W$56)</f>
        <v>0</v>
      </c>
      <c r="X67" s="1432" t="str">
        <f t="shared" si="39"/>
        <v/>
      </c>
    </row>
    <row r="68" spans="2:24">
      <c r="B68" s="1378" t="s">
        <v>1637</v>
      </c>
      <c r="C68" s="319">
        <f>COUNTIF(Logs!$I19, C$56)+COUNTIF(Logs!$I37, C$56)+COUNTIF(Logs!$I55, C$56)+COUNTIF(Logs!$I73, C$56)+COUNTIF(Logs!$I91, C$56)+COUNTIF(Logs!$I110, C$56)+COUNTIF(Logs!$I130, C$56)+COUNTIF(Logs!$I149, C$56)+COUNTIF(Logs!$I169, C$56)+COUNTIF(Logs!$I187, C$56)+COUNTIF(Logs!$I208, C$56)+COUNTIF(Logs!$I225, C$56)+COUNTIF(Logs!$I243, C$56)+COUNTIF(Logs!$I260, C$56)+COUNTIF(Logs!$I277, C$56)+COUNTIF(Logs!$I295, C$56)+COUNTIF(Logs!$I312, C$56)+COUNTIF(Logs!$I330, C$56)+COUNTIF(Logs!$I348, C$56)+COUNTIF(Logs!$I366, C$56)+COUNTIF(Logs!$I384, C$56)+COUNTIF(Logs!$I403, C$56)+COUNTIF(Logs!$I421, C$56)+COUNTIF(Logs!$I439, C$56)+COUNTIF(Logs!$I457, C$56)+COUNTIF(Logs!$I475, C$56)+COUNTIF(Logs!$I493, C$56)+COUNTIF(Logs!$I511, C$56)+COUNTIF(Logs!$I529, C$56)+COUNTIF(Logs!$I547, C$56)+COUNTIF(Logs!$I565, C$56)+COUNTIF(Logs!$I582, C$56)+COUNTIF(Logs!$I601, C$56)+COUNTIF(Logs!$I617, C$56)+COUNTIF(Logs!$I633, C$56)+COUNTIF(Logs!$I650, C$56)+COUNTIF(Logs!$I665, C$56)+COUNTIF(Logs!$I681, C$56)</f>
        <v>0</v>
      </c>
      <c r="D68" s="1448" t="str">
        <f t="shared" si="30"/>
        <v/>
      </c>
      <c r="E68" s="342">
        <f>COUNTIF(Logs!$I19, E$56)+COUNTIF(Logs!$I37, E$56)+COUNTIF(Logs!$I55, E$56)+COUNTIF(Logs!$I73, E$56)+COUNTIF(Logs!$I91, E$56)+COUNTIF(Logs!$I110, E$56)+COUNTIF(Logs!$I130, E$56)+COUNTIF(Logs!$I149, E$56)+COUNTIF(Logs!$I169, E$56)+COUNTIF(Logs!$I187, E$56)+COUNTIF(Logs!$I208, E$56)+COUNTIF(Logs!$I225, E$56)+COUNTIF(Logs!$I243, E$56)+COUNTIF(Logs!$I260, E$56)+COUNTIF(Logs!$I277, E$56)+COUNTIF(Logs!$I295, E$56)+COUNTIF(Logs!$I312, E$56)+COUNTIF(Logs!$I330, E$56)+COUNTIF(Logs!$I348, E$56)+COUNTIF(Logs!$I366, E$56)+COUNTIF(Logs!$I384, E$56)+COUNTIF(Logs!$I403, E$56)+COUNTIF(Logs!$I421, E$56)+COUNTIF(Logs!$I439, E$56)+COUNTIF(Logs!$I457, E$56)+COUNTIF(Logs!$I475, E$56)+COUNTIF(Logs!$I493, E$56)+COUNTIF(Logs!$I511, E$56)+COUNTIF(Logs!$I529, E$56)+COUNTIF(Logs!$I547, E$56)+COUNTIF(Logs!$I565, E$56)+COUNTIF(Logs!$I582, E$56)+COUNTIF(Logs!$I601, E$56)+COUNTIF(Logs!$I617, E$56)+COUNTIF(Logs!$I633, E$56)+COUNTIF(Logs!$I650, E$56)+COUNTIF(Logs!$I665, E$56)+COUNTIF(Logs!$I681, E$56)</f>
        <v>0</v>
      </c>
      <c r="F68" s="1437" t="str">
        <f t="shared" si="31"/>
        <v/>
      </c>
      <c r="G68" s="1439">
        <f>COUNTIF(Logs!$I19, G$56)+COUNTIF(Logs!$I37, G$56)+COUNTIF(Logs!$I55, G$56)+COUNTIF(Logs!$I73, G$56)+COUNTIF(Logs!$I91, G$56)+COUNTIF(Logs!$I110, G$56)+COUNTIF(Logs!$I130, G$56)+COUNTIF(Logs!$I149, G$56)+COUNTIF(Logs!$I169, G$56)+COUNTIF(Logs!$I187, G$56)+COUNTIF(Logs!$I208, G$56)+COUNTIF(Logs!$I225, G$56)+COUNTIF(Logs!$I243, G$56)+COUNTIF(Logs!$I260, G$56)+COUNTIF(Logs!$I277, G$56)+COUNTIF(Logs!$I295, G$56)+COUNTIF(Logs!$I312, G$56)+COUNTIF(Logs!$I330, G$56)+COUNTIF(Logs!$I348, G$56)+COUNTIF(Logs!$I366, G$56)+COUNTIF(Logs!$I384, G$56)+COUNTIF(Logs!$I403, G$56)+COUNTIF(Logs!$I421, G$56)+COUNTIF(Logs!$I439, G$56)+COUNTIF(Logs!$I457, G$56)+COUNTIF(Logs!$I475, G$56)+COUNTIF(Logs!$I493, G$56)+COUNTIF(Logs!$I511, G$56)+COUNTIF(Logs!$I529, G$56)+COUNTIF(Logs!$I547, G$56)+COUNTIF(Logs!$I565, G$56)+COUNTIF(Logs!$I582, G$56)+COUNTIF(Logs!$I601, G$56)+COUNTIF(Logs!$I617, G$56)+COUNTIF(Logs!$I633, G$56)+COUNTIF(Logs!$I650, G$56)+COUNTIF(Logs!$I665, G$56)+COUNTIF(Logs!$I681, G$56)</f>
        <v>0</v>
      </c>
      <c r="H68" s="1440" t="str">
        <f t="shared" si="32"/>
        <v/>
      </c>
      <c r="I68" s="1443">
        <f>COUNTIF(Logs!$I19, I$56)+COUNTIF(Logs!$I37, I$56)+COUNTIF(Logs!$I55, I$56)+COUNTIF(Logs!$I73, I$56)+COUNTIF(Logs!$I91, I$56)+COUNTIF(Logs!$I110, I$56)+COUNTIF(Logs!$I130, I$56)+COUNTIF(Logs!$I149, I$56)+COUNTIF(Logs!$I169, I$56)+COUNTIF(Logs!$I187, I$56)+COUNTIF(Logs!$I208, I$56)+COUNTIF(Logs!$I225, I$56)+COUNTIF(Logs!$I243, I$56)+COUNTIF(Logs!$I260, I$56)+COUNTIF(Logs!$I277, I$56)+COUNTIF(Logs!$I295, I$56)+COUNTIF(Logs!$I312, I$56)+COUNTIF(Logs!$I330, I$56)+COUNTIF(Logs!$I348, I$56)+COUNTIF(Logs!$I366, I$56)+COUNTIF(Logs!$I384, I$56)+COUNTIF(Logs!$I403, I$56)+COUNTIF(Logs!$I421, I$56)+COUNTIF(Logs!$I439, I$56)+COUNTIF(Logs!$I457, I$56)+COUNTIF(Logs!$I475, I$56)+COUNTIF(Logs!$I493, I$56)+COUNTIF(Logs!$I511, I$56)+COUNTIF(Logs!$I529, I$56)+COUNTIF(Logs!$I547, I$56)+COUNTIF(Logs!$I565, I$56)+COUNTIF(Logs!$I582, I$56)+COUNTIF(Logs!$I601, I$56)+COUNTIF(Logs!$I617, I$56)+COUNTIF(Logs!$I633, I$56)+COUNTIF(Logs!$I650, I$56)+COUNTIF(Logs!$I665, I$56)+COUNTIF(Logs!$I681, I$56)</f>
        <v>0</v>
      </c>
      <c r="J68" s="1444" t="str">
        <f t="shared" si="33"/>
        <v/>
      </c>
      <c r="K68" s="1101">
        <f>COUNTIF(Logs!$I19, K$56)+COUNTIF(Logs!$I37, K$56)+COUNTIF(Logs!$I55, K$56)+COUNTIF(Logs!$I73, K$56)+COUNTIF(Logs!$I91, K$56)+COUNTIF(Logs!$I110, K$56)+COUNTIF(Logs!$I130, K$56)+COUNTIF(Logs!$I149, K$56)+COUNTIF(Logs!$I169, K$56)+COUNTIF(Logs!$I187, K$56)+COUNTIF(Logs!$I208, K$56)+COUNTIF(Logs!$I225, K$56)+COUNTIF(Logs!$I243, K$56)+COUNTIF(Logs!$I260, K$56)+COUNTIF(Logs!$I277, K$56)+COUNTIF(Logs!$I295, K$56)+COUNTIF(Logs!$I312, K$56)+COUNTIF(Logs!$I330, K$56)+COUNTIF(Logs!$I348, K$56)+COUNTIF(Logs!$I366, K$56)+COUNTIF(Logs!$I384, K$56)+COUNTIF(Logs!$I403, K$56)+COUNTIF(Logs!$I421, K$56)+COUNTIF(Logs!$I439, K$56)+COUNTIF(Logs!$I457, K$56)+COUNTIF(Logs!$I475, K$56)+COUNTIF(Logs!$I493, K$56)+COUNTIF(Logs!$I511, K$56)+COUNTIF(Logs!$I529, K$56)+COUNTIF(Logs!$I547, K$56)+COUNTIF(Logs!$I565, K$56)+COUNTIF(Logs!$I582, K$56)+COUNTIF(Logs!$I601, K$56)+COUNTIF(Logs!$I617, K$56)+COUNTIF(Logs!$I633, K$56)+COUNTIF(Logs!$I650, K$56)+COUNTIF(Logs!$I665, K$56)+COUNTIF(Logs!$I681, K$56)</f>
        <v>0</v>
      </c>
      <c r="L68" s="1432" t="str">
        <f t="shared" si="34"/>
        <v/>
      </c>
      <c r="N68" s="1378" t="s">
        <v>1637</v>
      </c>
      <c r="O68" s="319">
        <f>COUNTIF(Logs!$J19, O$56)+COUNTIF(Logs!$J37, O$56)+COUNTIF(Logs!$J55, O$56)+COUNTIF(Logs!$J73, O$56)+COUNTIF(Logs!$J91, O$56)+COUNTIF(Logs!$J110, O$56)+COUNTIF(Logs!$J130, O$56)+COUNTIF(Logs!$J149, O$56)+COUNTIF(Logs!$J169, O$56)+COUNTIF(Logs!$J187, O$56)+COUNTIF(Logs!$J208, O$56)+COUNTIF(Logs!$J225, O$56)+COUNTIF(Logs!$J243, O$56)+COUNTIF(Logs!$J260, O$56)+COUNTIF(Logs!$J277, O$56)+COUNTIF(Logs!$J295, O$56)+COUNTIF(Logs!$J312, O$56)+COUNTIF(Logs!$J330, O$56)+COUNTIF(Logs!$J348, O$56)+COUNTIF(Logs!$J366, O$56)+COUNTIF(Logs!$J384, O$56)+COUNTIF(Logs!$J403, O$56)+COUNTIF(Logs!$J421, O$56)+COUNTIF(Logs!$J439, O$56)+COUNTIF(Logs!$J457, O$56)+COUNTIF(Logs!$J475, O$56)+COUNTIF(Logs!$J493, O$56)+COUNTIF(Logs!$J511, O$56)+COUNTIF(Logs!$J529, O$56)+COUNTIF(Logs!$J547, O$56)+COUNTIF(Logs!$J565, O$56)+COUNTIF(Logs!$J582, O$56)+COUNTIF(Logs!$J601, O$56)+COUNTIF(Logs!$J617, O$56)+COUNTIF(Logs!$J633, O$56)+COUNTIF(Logs!$J650, O$56)+COUNTIF(Logs!$J665, O$56)+COUNTIF(Logs!$J681, O$56)</f>
        <v>1</v>
      </c>
      <c r="P68" s="1448">
        <f t="shared" si="35"/>
        <v>1</v>
      </c>
      <c r="Q68" s="342">
        <f>COUNTIF(Logs!$J19, Q$56)+COUNTIF(Logs!$J37, Q$56)+COUNTIF(Logs!$J55, Q$56)+COUNTIF(Logs!$J73, Q$56)+COUNTIF(Logs!$J91, Q$56)+COUNTIF(Logs!$J110, Q$56)+COUNTIF(Logs!$J130, Q$56)+COUNTIF(Logs!$J149, Q$56)+COUNTIF(Logs!$J169, Q$56)+COUNTIF(Logs!$J187, Q$56)+COUNTIF(Logs!$J208, Q$56)+COUNTIF(Logs!$J225, Q$56)+COUNTIF(Logs!$J243, Q$56)+COUNTIF(Logs!$J260, Q$56)+COUNTIF(Logs!$J277, Q$56)+COUNTIF(Logs!$J295, Q$56)+COUNTIF(Logs!$J312, Q$56)+COUNTIF(Logs!$J330, Q$56)+COUNTIF(Logs!$J348, Q$56)+COUNTIF(Logs!$J366, Q$56)+COUNTIF(Logs!$J384, Q$56)+COUNTIF(Logs!$J403, Q$56)+COUNTIF(Logs!$J421, Q$56)+COUNTIF(Logs!$J439, Q$56)+COUNTIF(Logs!$J457, Q$56)+COUNTIF(Logs!$J475, Q$56)+COUNTIF(Logs!$J493, Q$56)+COUNTIF(Logs!$J511, Q$56)+COUNTIF(Logs!$J529, Q$56)+COUNTIF(Logs!$J547, Q$56)+COUNTIF(Logs!$J565, Q$56)+COUNTIF(Logs!$J582, Q$56)+COUNTIF(Logs!$J601, Q$56)+COUNTIF(Logs!$J617, Q$56)+COUNTIF(Logs!$J633, Q$56)+COUNTIF(Logs!$J650, Q$56)+COUNTIF(Logs!$J665, Q$56)+COUNTIF(Logs!$J681, Q$56)</f>
        <v>0</v>
      </c>
      <c r="R68" s="1437" t="str">
        <f t="shared" si="36"/>
        <v/>
      </c>
      <c r="S68" s="1439">
        <f>COUNTIF(Logs!$J19, S$56)+COUNTIF(Logs!$J37, S$56)+COUNTIF(Logs!$J55, S$56)+COUNTIF(Logs!$J73, S$56)+COUNTIF(Logs!$J91, S$56)+COUNTIF(Logs!$J110, S$56)+COUNTIF(Logs!$J130, S$56)+COUNTIF(Logs!$J149, S$56)+COUNTIF(Logs!$J169, S$56)+COUNTIF(Logs!$J187, S$56)+COUNTIF(Logs!$J208, S$56)+COUNTIF(Logs!$J225, S$56)+COUNTIF(Logs!$J243, S$56)+COUNTIF(Logs!$J260, S$56)+COUNTIF(Logs!$J277, S$56)+COUNTIF(Logs!$J295, S$56)+COUNTIF(Logs!$J312, S$56)+COUNTIF(Logs!$J330, S$56)+COUNTIF(Logs!$J348, S$56)+COUNTIF(Logs!$J366, S$56)+COUNTIF(Logs!$J384, S$56)+COUNTIF(Logs!$J403, S$56)+COUNTIF(Logs!$J421, S$56)+COUNTIF(Logs!$J439, S$56)+COUNTIF(Logs!$J457, S$56)+COUNTIF(Logs!$J475, S$56)+COUNTIF(Logs!$J493, S$56)+COUNTIF(Logs!$J511, S$56)+COUNTIF(Logs!$J529, S$56)+COUNTIF(Logs!$J547, S$56)+COUNTIF(Logs!$J565, S$56)+COUNTIF(Logs!$J582, S$56)+COUNTIF(Logs!$J601, S$56)+COUNTIF(Logs!$J617, S$56)+COUNTIF(Logs!$J633, S$56)+COUNTIF(Logs!$J650, S$56)+COUNTIF(Logs!$J665, S$56)+COUNTIF(Logs!$J681, S$56)</f>
        <v>0</v>
      </c>
      <c r="T68" s="1440" t="str">
        <f t="shared" si="37"/>
        <v/>
      </c>
      <c r="U68" s="1443">
        <f>COUNTIF(Logs!$J19, U$56)+COUNTIF(Logs!$J37, U$56)+COUNTIF(Logs!$J55, U$56)+COUNTIF(Logs!$J73, U$56)+COUNTIF(Logs!$J91, U$56)+COUNTIF(Logs!$J110, U$56)+COUNTIF(Logs!$J130, U$56)+COUNTIF(Logs!$J149, U$56)+COUNTIF(Logs!$J169, U$56)+COUNTIF(Logs!$J187, U$56)+COUNTIF(Logs!$J208, U$56)+COUNTIF(Logs!$J225, U$56)+COUNTIF(Logs!$J243, U$56)+COUNTIF(Logs!$J260, U$56)+COUNTIF(Logs!$J277, U$56)+COUNTIF(Logs!$J295, U$56)+COUNTIF(Logs!$J312, U$56)+COUNTIF(Logs!$J330, U$56)+COUNTIF(Logs!$J348, U$56)+COUNTIF(Logs!$J366, U$56)+COUNTIF(Logs!$J384, U$56)+COUNTIF(Logs!$J403, U$56)+COUNTIF(Logs!$J421, U$56)+COUNTIF(Logs!$J439, U$56)+COUNTIF(Logs!$J457, U$56)+COUNTIF(Logs!$J475, U$56)+COUNTIF(Logs!$J493, U$56)+COUNTIF(Logs!$J511, U$56)+COUNTIF(Logs!$J529, U$56)+COUNTIF(Logs!$J547, U$56)+COUNTIF(Logs!$J565, U$56)+COUNTIF(Logs!$J582, U$56)+COUNTIF(Logs!$J601, U$56)+COUNTIF(Logs!$J617, U$56)+COUNTIF(Logs!$J633, U$56)+COUNTIF(Logs!$J650, U$56)+COUNTIF(Logs!$J665, U$56)+COUNTIF(Logs!$J681, U$56)</f>
        <v>0</v>
      </c>
      <c r="V68" s="1444" t="str">
        <f t="shared" si="38"/>
        <v/>
      </c>
      <c r="W68" s="1101">
        <f>COUNTIF(Logs!$J19, W$56)+COUNTIF(Logs!$J37, W$56)+COUNTIF(Logs!$J55, W$56)+COUNTIF(Logs!$J73, W$56)+COUNTIF(Logs!$J91, W$56)+COUNTIF(Logs!$J110, W$56)+COUNTIF(Logs!$J130, W$56)+COUNTIF(Logs!$J149, W$56)+COUNTIF(Logs!$J169, W$56)+COUNTIF(Logs!$J187, W$56)+COUNTIF(Logs!$J208, W$56)+COUNTIF(Logs!$J225, W$56)+COUNTIF(Logs!$J243, W$56)+COUNTIF(Logs!$J260, W$56)+COUNTIF(Logs!$J277, W$56)+COUNTIF(Logs!$J295, W$56)+COUNTIF(Logs!$J312, W$56)+COUNTIF(Logs!$J330, W$56)+COUNTIF(Logs!$J348, W$56)+COUNTIF(Logs!$J366, W$56)+COUNTIF(Logs!$J384, W$56)+COUNTIF(Logs!$J403, W$56)+COUNTIF(Logs!$J421, W$56)+COUNTIF(Logs!$J439, W$56)+COUNTIF(Logs!$J457, W$56)+COUNTIF(Logs!$J475, W$56)+COUNTIF(Logs!$J493, W$56)+COUNTIF(Logs!$J511, W$56)+COUNTIF(Logs!$J529, W$56)+COUNTIF(Logs!$J547, W$56)+COUNTIF(Logs!$J565, W$56)+COUNTIF(Logs!$J582, W$56)+COUNTIF(Logs!$J601, W$56)+COUNTIF(Logs!$J617, W$56)+COUNTIF(Logs!$J633, W$56)+COUNTIF(Logs!$J650, W$56)+COUNTIF(Logs!$J665, W$56)+COUNTIF(Logs!$J681, W$56)</f>
        <v>0</v>
      </c>
      <c r="X68" s="1432" t="str">
        <f t="shared" si="39"/>
        <v/>
      </c>
    </row>
    <row r="69" spans="2:24">
      <c r="B69" s="1378" t="s">
        <v>1638</v>
      </c>
      <c r="C69" s="319">
        <f>COUNTIF(Logs!$I20, C$56)+COUNTIF(Logs!$I38, C$56)+COUNTIF(Logs!$I56, C$56)+COUNTIF(Logs!$I74, C$56)+COUNTIF(Logs!$I92, C$56)+COUNTIF(Logs!$I111, C$56)+COUNTIF(Logs!$I131, C$56)+COUNTIF(Logs!$I150, C$56)+COUNTIF(Logs!$I170, C$56)+COUNTIF(Logs!$I188, C$56)+COUNTIF(Logs!$I209, C$56)+COUNTIF(Logs!$I226, C$56)+COUNTIF(Logs!$I244, C$56)+COUNTIF(Logs!$I261, C$56)+COUNTIF(Logs!$I278, C$56)+COUNTIF(Logs!$I296, C$56)+COUNTIF(Logs!$I313, C$56)+COUNTIF(Logs!$I331, C$56)+COUNTIF(Logs!$I349, C$56)+COUNTIF(Logs!$I367, C$56)+COUNTIF(Logs!$I385, C$56)+COUNTIF(Logs!$I404, C$56)+COUNTIF(Logs!$I422, C$56)+COUNTIF(Logs!$I440, C$56)+COUNTIF(Logs!$I458, C$56)+COUNTIF(Logs!$I476, C$56)+COUNTIF(Logs!$I494, C$56)+COUNTIF(Logs!$I512, C$56)+COUNTIF(Logs!$I530, C$56)+COUNTIF(Logs!$I548, C$56)+COUNTIF(Logs!$I566, C$56)+COUNTIF(Logs!$I583, C$56)+COUNTIF(Logs!$I602, C$56)+COUNTIF(Logs!$I618, C$56)+COUNTIF(Logs!$I634, C$56)+COUNTIF(Logs!$I651, C$56)+COUNTIF(Logs!$I666, C$56)+COUNTIF(Logs!$I682, C$56)</f>
        <v>0</v>
      </c>
      <c r="D69" s="1448" t="str">
        <f t="shared" si="30"/>
        <v/>
      </c>
      <c r="E69" s="342">
        <f>COUNTIF(Logs!$I20, E$56)+COUNTIF(Logs!$I38, E$56)+COUNTIF(Logs!$I56, E$56)+COUNTIF(Logs!$I74, E$56)+COUNTIF(Logs!$I92, E$56)+COUNTIF(Logs!$I111, E$56)+COUNTIF(Logs!$I131, E$56)+COUNTIF(Logs!$I150, E$56)+COUNTIF(Logs!$I170, E$56)+COUNTIF(Logs!$I188, E$56)+COUNTIF(Logs!$I209, E$56)+COUNTIF(Logs!$I226, E$56)+COUNTIF(Logs!$I244, E$56)+COUNTIF(Logs!$I261, E$56)+COUNTIF(Logs!$I278, E$56)+COUNTIF(Logs!$I296, E$56)+COUNTIF(Logs!$I313, E$56)+COUNTIF(Logs!$I331, E$56)+COUNTIF(Logs!$I349, E$56)+COUNTIF(Logs!$I367, E$56)+COUNTIF(Logs!$I385, E$56)+COUNTIF(Logs!$I404, E$56)+COUNTIF(Logs!$I422, E$56)+COUNTIF(Logs!$I440, E$56)+COUNTIF(Logs!$I458, E$56)+COUNTIF(Logs!$I476, E$56)+COUNTIF(Logs!$I494, E$56)+COUNTIF(Logs!$I512, E$56)+COUNTIF(Logs!$I530, E$56)+COUNTIF(Logs!$I548, E$56)+COUNTIF(Logs!$I566, E$56)+COUNTIF(Logs!$I583, E$56)+COUNTIF(Logs!$I602, E$56)+COUNTIF(Logs!$I618, E$56)+COUNTIF(Logs!$I634, E$56)+COUNTIF(Logs!$I651, E$56)+COUNTIF(Logs!$I666, E$56)+COUNTIF(Logs!$I682, E$56)</f>
        <v>0</v>
      </c>
      <c r="F69" s="1437" t="str">
        <f t="shared" si="31"/>
        <v/>
      </c>
      <c r="G69" s="1439">
        <f>COUNTIF(Logs!$I20, G$56)+COUNTIF(Logs!$I38, G$56)+COUNTIF(Logs!$I56, G$56)+COUNTIF(Logs!$I74, G$56)+COUNTIF(Logs!$I92, G$56)+COUNTIF(Logs!$I111, G$56)+COUNTIF(Logs!$I131, G$56)+COUNTIF(Logs!$I150, G$56)+COUNTIF(Logs!$I170, G$56)+COUNTIF(Logs!$I188, G$56)+COUNTIF(Logs!$I209, G$56)+COUNTIF(Logs!$I226, G$56)+COUNTIF(Logs!$I244, G$56)+COUNTIF(Logs!$I261, G$56)+COUNTIF(Logs!$I278, G$56)+COUNTIF(Logs!$I296, G$56)+COUNTIF(Logs!$I313, G$56)+COUNTIF(Logs!$I331, G$56)+COUNTIF(Logs!$I349, G$56)+COUNTIF(Logs!$I367, G$56)+COUNTIF(Logs!$I385, G$56)+COUNTIF(Logs!$I404, G$56)+COUNTIF(Logs!$I422, G$56)+COUNTIF(Logs!$I440, G$56)+COUNTIF(Logs!$I458, G$56)+COUNTIF(Logs!$I476, G$56)+COUNTIF(Logs!$I494, G$56)+COUNTIF(Logs!$I512, G$56)+COUNTIF(Logs!$I530, G$56)+COUNTIF(Logs!$I548, G$56)+COUNTIF(Logs!$I566, G$56)+COUNTIF(Logs!$I583, G$56)+COUNTIF(Logs!$I602, G$56)+COUNTIF(Logs!$I618, G$56)+COUNTIF(Logs!$I634, G$56)+COUNTIF(Logs!$I651, G$56)+COUNTIF(Logs!$I666, G$56)+COUNTIF(Logs!$I682, G$56)</f>
        <v>0</v>
      </c>
      <c r="H69" s="1440" t="str">
        <f t="shared" si="32"/>
        <v/>
      </c>
      <c r="I69" s="1443">
        <f>COUNTIF(Logs!$I20, I$56)+COUNTIF(Logs!$I38, I$56)+COUNTIF(Logs!$I56, I$56)+COUNTIF(Logs!$I74, I$56)+COUNTIF(Logs!$I92, I$56)+COUNTIF(Logs!$I111, I$56)+COUNTIF(Logs!$I131, I$56)+COUNTIF(Logs!$I150, I$56)+COUNTIF(Logs!$I170, I$56)+COUNTIF(Logs!$I188, I$56)+COUNTIF(Logs!$I209, I$56)+COUNTIF(Logs!$I226, I$56)+COUNTIF(Logs!$I244, I$56)+COUNTIF(Logs!$I261, I$56)+COUNTIF(Logs!$I278, I$56)+COUNTIF(Logs!$I296, I$56)+COUNTIF(Logs!$I313, I$56)+COUNTIF(Logs!$I331, I$56)+COUNTIF(Logs!$I349, I$56)+COUNTIF(Logs!$I367, I$56)+COUNTIF(Logs!$I385, I$56)+COUNTIF(Logs!$I404, I$56)+COUNTIF(Logs!$I422, I$56)+COUNTIF(Logs!$I440, I$56)+COUNTIF(Logs!$I458, I$56)+COUNTIF(Logs!$I476, I$56)+COUNTIF(Logs!$I494, I$56)+COUNTIF(Logs!$I512, I$56)+COUNTIF(Logs!$I530, I$56)+COUNTIF(Logs!$I548, I$56)+COUNTIF(Logs!$I566, I$56)+COUNTIF(Logs!$I583, I$56)+COUNTIF(Logs!$I602, I$56)+COUNTIF(Logs!$I618, I$56)+COUNTIF(Logs!$I634, I$56)+COUNTIF(Logs!$I651, I$56)+COUNTIF(Logs!$I666, I$56)+COUNTIF(Logs!$I682, I$56)</f>
        <v>0</v>
      </c>
      <c r="J69" s="1444" t="str">
        <f t="shared" si="33"/>
        <v/>
      </c>
      <c r="K69" s="1101">
        <f>COUNTIF(Logs!$I20, K$56)+COUNTIF(Logs!$I38, K$56)+COUNTIF(Logs!$I56, K$56)+COUNTIF(Logs!$I74, K$56)+COUNTIF(Logs!$I92, K$56)+COUNTIF(Logs!$I111, K$56)+COUNTIF(Logs!$I131, K$56)+COUNTIF(Logs!$I150, K$56)+COUNTIF(Logs!$I170, K$56)+COUNTIF(Logs!$I188, K$56)+COUNTIF(Logs!$I209, K$56)+COUNTIF(Logs!$I226, K$56)+COUNTIF(Logs!$I244, K$56)+COUNTIF(Logs!$I261, K$56)+COUNTIF(Logs!$I278, K$56)+COUNTIF(Logs!$I296, K$56)+COUNTIF(Logs!$I313, K$56)+COUNTIF(Logs!$I331, K$56)+COUNTIF(Logs!$I349, K$56)+COUNTIF(Logs!$I367, K$56)+COUNTIF(Logs!$I385, K$56)+COUNTIF(Logs!$I404, K$56)+COUNTIF(Logs!$I422, K$56)+COUNTIF(Logs!$I440, K$56)+COUNTIF(Logs!$I458, K$56)+COUNTIF(Logs!$I476, K$56)+COUNTIF(Logs!$I494, K$56)+COUNTIF(Logs!$I512, K$56)+COUNTIF(Logs!$I530, K$56)+COUNTIF(Logs!$I548, K$56)+COUNTIF(Logs!$I566, K$56)+COUNTIF(Logs!$I583, K$56)+COUNTIF(Logs!$I602, K$56)+COUNTIF(Logs!$I618, K$56)+COUNTIF(Logs!$I634, K$56)+COUNTIF(Logs!$I651, K$56)+COUNTIF(Logs!$I666, K$56)+COUNTIF(Logs!$I682, K$56)</f>
        <v>0</v>
      </c>
      <c r="L69" s="1432" t="str">
        <f t="shared" si="34"/>
        <v/>
      </c>
      <c r="N69" s="1378" t="s">
        <v>1638</v>
      </c>
      <c r="O69" s="319">
        <f>COUNTIF(Logs!$J20, O$56)+COUNTIF(Logs!$J38, O$56)+COUNTIF(Logs!$J56, O$56)+COUNTIF(Logs!$J74, O$56)+COUNTIF(Logs!$J92, O$56)+COUNTIF(Logs!$J111, O$56)+COUNTIF(Logs!$J131, O$56)+COUNTIF(Logs!$J150, O$56)+COUNTIF(Logs!$J170, O$56)+COUNTIF(Logs!$J188, O$56)+COUNTIF(Logs!$J209, O$56)+COUNTIF(Logs!$J226, O$56)+COUNTIF(Logs!$J244, O$56)+COUNTIF(Logs!$J261, O$56)+COUNTIF(Logs!$J278, O$56)+COUNTIF(Logs!$J296, O$56)+COUNTIF(Logs!$J313, O$56)+COUNTIF(Logs!$J331, O$56)+COUNTIF(Logs!$J349, O$56)+COUNTIF(Logs!$J367, O$56)+COUNTIF(Logs!$J385, O$56)+COUNTIF(Logs!$J404, O$56)+COUNTIF(Logs!$J422, O$56)+COUNTIF(Logs!$J440, O$56)+COUNTIF(Logs!$J458, O$56)+COUNTIF(Logs!$J476, O$56)+COUNTIF(Logs!$J494, O$56)+COUNTIF(Logs!$J512, O$56)+COUNTIF(Logs!$J530, O$56)+COUNTIF(Logs!$J548, O$56)+COUNTIF(Logs!$J566, O$56)+COUNTIF(Logs!$J583, O$56)+COUNTIF(Logs!$J602, O$56)+COUNTIF(Logs!$J618, O$56)+COUNTIF(Logs!$J634, O$56)+COUNTIF(Logs!$J651, O$56)+COUNTIF(Logs!$J666, O$56)+COUNTIF(Logs!$J682, O$56)</f>
        <v>0</v>
      </c>
      <c r="P69" s="1448" t="str">
        <f t="shared" si="35"/>
        <v/>
      </c>
      <c r="Q69" s="342">
        <f>COUNTIF(Logs!$J20, Q$56)+COUNTIF(Logs!$J38, Q$56)+COUNTIF(Logs!$J56, Q$56)+COUNTIF(Logs!$J74, Q$56)+COUNTIF(Logs!$J92, Q$56)+COUNTIF(Logs!$J111, Q$56)+COUNTIF(Logs!$J131, Q$56)+COUNTIF(Logs!$J150, Q$56)+COUNTIF(Logs!$J170, Q$56)+COUNTIF(Logs!$J188, Q$56)+COUNTIF(Logs!$J209, Q$56)+COUNTIF(Logs!$J226, Q$56)+COUNTIF(Logs!$J244, Q$56)+COUNTIF(Logs!$J261, Q$56)+COUNTIF(Logs!$J278, Q$56)+COUNTIF(Logs!$J296, Q$56)+COUNTIF(Logs!$J313, Q$56)+COUNTIF(Logs!$J331, Q$56)+COUNTIF(Logs!$J349, Q$56)+COUNTIF(Logs!$J367, Q$56)+COUNTIF(Logs!$J385, Q$56)+COUNTIF(Logs!$J404, Q$56)+COUNTIF(Logs!$J422, Q$56)+COUNTIF(Logs!$J440, Q$56)+COUNTIF(Logs!$J458, Q$56)+COUNTIF(Logs!$J476, Q$56)+COUNTIF(Logs!$J494, Q$56)+COUNTIF(Logs!$J512, Q$56)+COUNTIF(Logs!$J530, Q$56)+COUNTIF(Logs!$J548, Q$56)+COUNTIF(Logs!$J566, Q$56)+COUNTIF(Logs!$J583, Q$56)+COUNTIF(Logs!$J602, Q$56)+COUNTIF(Logs!$J618, Q$56)+COUNTIF(Logs!$J634, Q$56)+COUNTIF(Logs!$J651, Q$56)+COUNTIF(Logs!$J666, Q$56)+COUNTIF(Logs!$J682, Q$56)</f>
        <v>0</v>
      </c>
      <c r="R69" s="1437" t="str">
        <f t="shared" si="36"/>
        <v/>
      </c>
      <c r="S69" s="1439">
        <f>COUNTIF(Logs!$J20, S$56)+COUNTIF(Logs!$J38, S$56)+COUNTIF(Logs!$J56, S$56)+COUNTIF(Logs!$J74, S$56)+COUNTIF(Logs!$J92, S$56)+COUNTIF(Logs!$J111, S$56)+COUNTIF(Logs!$J131, S$56)+COUNTIF(Logs!$J150, S$56)+COUNTIF(Logs!$J170, S$56)+COUNTIF(Logs!$J188, S$56)+COUNTIF(Logs!$J209, S$56)+COUNTIF(Logs!$J226, S$56)+COUNTIF(Logs!$J244, S$56)+COUNTIF(Logs!$J261, S$56)+COUNTIF(Logs!$J278, S$56)+COUNTIF(Logs!$J296, S$56)+COUNTIF(Logs!$J313, S$56)+COUNTIF(Logs!$J331, S$56)+COUNTIF(Logs!$J349, S$56)+COUNTIF(Logs!$J367, S$56)+COUNTIF(Logs!$J385, S$56)+COUNTIF(Logs!$J404, S$56)+COUNTIF(Logs!$J422, S$56)+COUNTIF(Logs!$J440, S$56)+COUNTIF(Logs!$J458, S$56)+COUNTIF(Logs!$J476, S$56)+COUNTIF(Logs!$J494, S$56)+COUNTIF(Logs!$J512, S$56)+COUNTIF(Logs!$J530, S$56)+COUNTIF(Logs!$J548, S$56)+COUNTIF(Logs!$J566, S$56)+COUNTIF(Logs!$J583, S$56)+COUNTIF(Logs!$J602, S$56)+COUNTIF(Logs!$J618, S$56)+COUNTIF(Logs!$J634, S$56)+COUNTIF(Logs!$J651, S$56)+COUNTIF(Logs!$J666, S$56)+COUNTIF(Logs!$J682, S$56)</f>
        <v>0</v>
      </c>
      <c r="T69" s="1440" t="str">
        <f t="shared" si="37"/>
        <v/>
      </c>
      <c r="U69" s="1443">
        <f>COUNTIF(Logs!$J20, U$56)+COUNTIF(Logs!$J38, U$56)+COUNTIF(Logs!$J56, U$56)+COUNTIF(Logs!$J74, U$56)+COUNTIF(Logs!$J92, U$56)+COUNTIF(Logs!$J111, U$56)+COUNTIF(Logs!$J131, U$56)+COUNTIF(Logs!$J150, U$56)+COUNTIF(Logs!$J170, U$56)+COUNTIF(Logs!$J188, U$56)+COUNTIF(Logs!$J209, U$56)+COUNTIF(Logs!$J226, U$56)+COUNTIF(Logs!$J244, U$56)+COUNTIF(Logs!$J261, U$56)+COUNTIF(Logs!$J278, U$56)+COUNTIF(Logs!$J296, U$56)+COUNTIF(Logs!$J313, U$56)+COUNTIF(Logs!$J331, U$56)+COUNTIF(Logs!$J349, U$56)+COUNTIF(Logs!$J367, U$56)+COUNTIF(Logs!$J385, U$56)+COUNTIF(Logs!$J404, U$56)+COUNTIF(Logs!$J422, U$56)+COUNTIF(Logs!$J440, U$56)+COUNTIF(Logs!$J458, U$56)+COUNTIF(Logs!$J476, U$56)+COUNTIF(Logs!$J494, U$56)+COUNTIF(Logs!$J512, U$56)+COUNTIF(Logs!$J530, U$56)+COUNTIF(Logs!$J548, U$56)+COUNTIF(Logs!$J566, U$56)+COUNTIF(Logs!$J583, U$56)+COUNTIF(Logs!$J602, U$56)+COUNTIF(Logs!$J618, U$56)+COUNTIF(Logs!$J634, U$56)+COUNTIF(Logs!$J651, U$56)+COUNTIF(Logs!$J666, U$56)+COUNTIF(Logs!$J682, U$56)</f>
        <v>0</v>
      </c>
      <c r="V69" s="1444" t="str">
        <f t="shared" si="38"/>
        <v/>
      </c>
      <c r="W69" s="1101">
        <f>COUNTIF(Logs!$J20, W$56)+COUNTIF(Logs!$J38, W$56)+COUNTIF(Logs!$J56, W$56)+COUNTIF(Logs!$J74, W$56)+COUNTIF(Logs!$J92, W$56)+COUNTIF(Logs!$J111, W$56)+COUNTIF(Logs!$J131, W$56)+COUNTIF(Logs!$J150, W$56)+COUNTIF(Logs!$J170, W$56)+COUNTIF(Logs!$J188, W$56)+COUNTIF(Logs!$J209, W$56)+COUNTIF(Logs!$J226, W$56)+COUNTIF(Logs!$J244, W$56)+COUNTIF(Logs!$J261, W$56)+COUNTIF(Logs!$J278, W$56)+COUNTIF(Logs!$J296, W$56)+COUNTIF(Logs!$J313, W$56)+COUNTIF(Logs!$J331, W$56)+COUNTIF(Logs!$J349, W$56)+COUNTIF(Logs!$J367, W$56)+COUNTIF(Logs!$J385, W$56)+COUNTIF(Logs!$J404, W$56)+COUNTIF(Logs!$J422, W$56)+COUNTIF(Logs!$J440, W$56)+COUNTIF(Logs!$J458, W$56)+COUNTIF(Logs!$J476, W$56)+COUNTIF(Logs!$J494, W$56)+COUNTIF(Logs!$J512, W$56)+COUNTIF(Logs!$J530, W$56)+COUNTIF(Logs!$J548, W$56)+COUNTIF(Logs!$J566, W$56)+COUNTIF(Logs!$J583, W$56)+COUNTIF(Logs!$J602, W$56)+COUNTIF(Logs!$J618, W$56)+COUNTIF(Logs!$J634, W$56)+COUNTIF(Logs!$J651, W$56)+COUNTIF(Logs!$J666, W$56)+COUNTIF(Logs!$J682, W$56)</f>
        <v>0</v>
      </c>
      <c r="X69" s="1432" t="str">
        <f t="shared" si="39"/>
        <v/>
      </c>
    </row>
    <row r="70" spans="2:24" ht="16.5" thickBot="1">
      <c r="B70" s="1379" t="s">
        <v>1639</v>
      </c>
      <c r="C70" s="1447">
        <f>COUNTIF(Logs!$I21, C$56)+COUNTIF(Logs!$I39, C$56)+COUNTIF(Logs!$I57, C$56)+COUNTIF(Logs!$I75, C$56)+COUNTIF(Logs!$I93, C$56)+COUNTIF(Logs!$I112, C$56)+COUNTIF(Logs!$I132, C$56)+COUNTIF(Logs!$I151, C$56)+COUNTIF(Logs!$I171, C$56)+COUNTIF(Logs!$I189, C$56)+COUNTIF(Logs!$I210, C$56)+COUNTIF(Logs!$I227, C$56)+COUNTIF(Logs!$I245, C$56)+COUNTIF(Logs!$I262, C$56)+COUNTIF(Logs!$I279, C$56)+COUNTIF(Logs!$I297, C$56)+COUNTIF(Logs!$I314, C$56)+COUNTIF(Logs!$I332, C$56)+COUNTIF(Logs!$I350, C$56)+COUNTIF(Logs!$I368, C$56)+COUNTIF(Logs!$I386, C$56)+COUNTIF(Logs!$I405, C$56)+COUNTIF(Logs!$I423, C$56)+COUNTIF(Logs!$I441, C$56)+COUNTIF(Logs!$I459, C$56)+COUNTIF(Logs!$I477, C$56)+COUNTIF(Logs!$I495, C$56)+COUNTIF(Logs!$I513, C$56)+COUNTIF(Logs!$I531, C$56)+COUNTIF(Logs!$I549, C$56)+COUNTIF(Logs!$I567, C$56)+COUNTIF(Logs!$I584, C$56)+COUNTIF(Logs!$I603, C$56)+COUNTIF(Logs!$I619, C$56)+COUNTIF(Logs!$I635, C$56)+COUNTIF(Logs!$I652, C$56)+COUNTIF(Logs!$I667, C$56)+COUNTIF(Logs!$I683, C$56)</f>
        <v>0</v>
      </c>
      <c r="D70" s="1449" t="str">
        <f t="shared" si="30"/>
        <v/>
      </c>
      <c r="E70" s="1435">
        <f>COUNTIF(Logs!$I21, E$56)+COUNTIF(Logs!$I39, E$56)+COUNTIF(Logs!$I57, E$56)+COUNTIF(Logs!$I75, E$56)+COUNTIF(Logs!$I93, E$56)+COUNTIF(Logs!$I112, E$56)+COUNTIF(Logs!$I132, E$56)+COUNTIF(Logs!$I151, E$56)+COUNTIF(Logs!$I171, E$56)+COUNTIF(Logs!$I189, E$56)+COUNTIF(Logs!$I210, E$56)+COUNTIF(Logs!$I227, E$56)+COUNTIF(Logs!$I245, E$56)+COUNTIF(Logs!$I262, E$56)+COUNTIF(Logs!$I279, E$56)+COUNTIF(Logs!$I297, E$56)+COUNTIF(Logs!$I314, E$56)+COUNTIF(Logs!$I332, E$56)+COUNTIF(Logs!$I350, E$56)+COUNTIF(Logs!$I368, E$56)+COUNTIF(Logs!$I386, E$56)+COUNTIF(Logs!$I405, E$56)+COUNTIF(Logs!$I423, E$56)+COUNTIF(Logs!$I441, E$56)+COUNTIF(Logs!$I459, E$56)+COUNTIF(Logs!$I477, E$56)+COUNTIF(Logs!$I495, E$56)+COUNTIF(Logs!$I513, E$56)+COUNTIF(Logs!$I531, E$56)+COUNTIF(Logs!$I549, E$56)+COUNTIF(Logs!$I567, E$56)+COUNTIF(Logs!$I584, E$56)+COUNTIF(Logs!$I603, E$56)+COUNTIF(Logs!$I619, E$56)+COUNTIF(Logs!$I635, E$56)+COUNTIF(Logs!$I652, E$56)+COUNTIF(Logs!$I667, E$56)+COUNTIF(Logs!$I683, E$56)</f>
        <v>0</v>
      </c>
      <c r="F70" s="1438" t="str">
        <f t="shared" si="31"/>
        <v/>
      </c>
      <c r="G70" s="1441">
        <f>COUNTIF(Logs!$I21, G$56)+COUNTIF(Logs!$I39, G$56)+COUNTIF(Logs!$I57, G$56)+COUNTIF(Logs!$I75, G$56)+COUNTIF(Logs!$I93, G$56)+COUNTIF(Logs!$I112, G$56)+COUNTIF(Logs!$I132, G$56)+COUNTIF(Logs!$I151, G$56)+COUNTIF(Logs!$I171, G$56)+COUNTIF(Logs!$I189, G$56)+COUNTIF(Logs!$I210, G$56)+COUNTIF(Logs!$I227, G$56)+COUNTIF(Logs!$I245, G$56)+COUNTIF(Logs!$I262, G$56)+COUNTIF(Logs!$I279, G$56)+COUNTIF(Logs!$I297, G$56)+COUNTIF(Logs!$I314, G$56)+COUNTIF(Logs!$I332, G$56)+COUNTIF(Logs!$I350, G$56)+COUNTIF(Logs!$I368, G$56)+COUNTIF(Logs!$I386, G$56)+COUNTIF(Logs!$I405, G$56)+COUNTIF(Logs!$I423, G$56)+COUNTIF(Logs!$I441, G$56)+COUNTIF(Logs!$I459, G$56)+COUNTIF(Logs!$I477, G$56)+COUNTIF(Logs!$I495, G$56)+COUNTIF(Logs!$I513, G$56)+COUNTIF(Logs!$I531, G$56)+COUNTIF(Logs!$I549, G$56)+COUNTIF(Logs!$I567, G$56)+COUNTIF(Logs!$I584, G$56)+COUNTIF(Logs!$I603, G$56)+COUNTIF(Logs!$I619, G$56)+COUNTIF(Logs!$I635, G$56)+COUNTIF(Logs!$I652, G$56)+COUNTIF(Logs!$I667, G$56)+COUNTIF(Logs!$I683, G$56)</f>
        <v>0</v>
      </c>
      <c r="H70" s="1442" t="str">
        <f t="shared" si="32"/>
        <v/>
      </c>
      <c r="I70" s="1445">
        <f>COUNTIF(Logs!$I21, I$56)+COUNTIF(Logs!$I39, I$56)+COUNTIF(Logs!$I57, I$56)+COUNTIF(Logs!$I75, I$56)+COUNTIF(Logs!$I93, I$56)+COUNTIF(Logs!$I112, I$56)+COUNTIF(Logs!$I132, I$56)+COUNTIF(Logs!$I151, I$56)+COUNTIF(Logs!$I171, I$56)+COUNTIF(Logs!$I189, I$56)+COUNTIF(Logs!$I210, I$56)+COUNTIF(Logs!$I227, I$56)+COUNTIF(Logs!$I245, I$56)+COUNTIF(Logs!$I262, I$56)+COUNTIF(Logs!$I279, I$56)+COUNTIF(Logs!$I297, I$56)+COUNTIF(Logs!$I314, I$56)+COUNTIF(Logs!$I332, I$56)+COUNTIF(Logs!$I350, I$56)+COUNTIF(Logs!$I368, I$56)+COUNTIF(Logs!$I386, I$56)+COUNTIF(Logs!$I405, I$56)+COUNTIF(Logs!$I423, I$56)+COUNTIF(Logs!$I441, I$56)+COUNTIF(Logs!$I459, I$56)+COUNTIF(Logs!$I477, I$56)+COUNTIF(Logs!$I495, I$56)+COUNTIF(Logs!$I513, I$56)+COUNTIF(Logs!$I531, I$56)+COUNTIF(Logs!$I549, I$56)+COUNTIF(Logs!$I567, I$56)+COUNTIF(Logs!$I584, I$56)+COUNTIF(Logs!$I603, I$56)+COUNTIF(Logs!$I619, I$56)+COUNTIF(Logs!$I635, I$56)+COUNTIF(Logs!$I652, I$56)+COUNTIF(Logs!$I667, I$56)+COUNTIF(Logs!$I683, I$56)</f>
        <v>0</v>
      </c>
      <c r="J70" s="1446" t="str">
        <f t="shared" si="33"/>
        <v/>
      </c>
      <c r="K70" s="1433">
        <f>COUNTIF(Logs!$I21, K$56)+COUNTIF(Logs!$I39, K$56)+COUNTIF(Logs!$I57, K$56)+COUNTIF(Logs!$I75, K$56)+COUNTIF(Logs!$I93, K$56)+COUNTIF(Logs!$I112, K$56)+COUNTIF(Logs!$I132, K$56)+COUNTIF(Logs!$I151, K$56)+COUNTIF(Logs!$I171, K$56)+COUNTIF(Logs!$I189, K$56)+COUNTIF(Logs!$I210, K$56)+COUNTIF(Logs!$I227, K$56)+COUNTIF(Logs!$I245, K$56)+COUNTIF(Logs!$I262, K$56)+COUNTIF(Logs!$I279, K$56)+COUNTIF(Logs!$I297, K$56)+COUNTIF(Logs!$I314, K$56)+COUNTIF(Logs!$I332, K$56)+COUNTIF(Logs!$I350, K$56)+COUNTIF(Logs!$I368, K$56)+COUNTIF(Logs!$I386, K$56)+COUNTIF(Logs!$I405, K$56)+COUNTIF(Logs!$I423, K$56)+COUNTIF(Logs!$I441, K$56)+COUNTIF(Logs!$I459, K$56)+COUNTIF(Logs!$I477, K$56)+COUNTIF(Logs!$I495, K$56)+COUNTIF(Logs!$I513, K$56)+COUNTIF(Logs!$I531, K$56)+COUNTIF(Logs!$I549, K$56)+COUNTIF(Logs!$I567, K$56)+COUNTIF(Logs!$I584, K$56)+COUNTIF(Logs!$I603, K$56)+COUNTIF(Logs!$I619, K$56)+COUNTIF(Logs!$I635, K$56)+COUNTIF(Logs!$I652, K$56)+COUNTIF(Logs!$I667, K$56)+COUNTIF(Logs!$I683, K$56)</f>
        <v>0</v>
      </c>
      <c r="L70" s="1434" t="str">
        <f t="shared" si="34"/>
        <v/>
      </c>
      <c r="N70" s="1379" t="s">
        <v>1639</v>
      </c>
      <c r="O70" s="1447">
        <f>COUNTIF(Logs!$J21, O$56)+COUNTIF(Logs!$J39, O$56)+COUNTIF(Logs!$J57, O$56)+COUNTIF(Logs!$J75, O$56)+COUNTIF(Logs!$J93, O$56)+COUNTIF(Logs!$J112, O$56)+COUNTIF(Logs!$J132, O$56)+COUNTIF(Logs!$J151, O$56)+COUNTIF(Logs!$J171, O$56)+COUNTIF(Logs!$J189, O$56)+COUNTIF(Logs!$J210, O$56)+COUNTIF(Logs!$J227, O$56)+COUNTIF(Logs!$J245, O$56)+COUNTIF(Logs!$J262, O$56)+COUNTIF(Logs!$J279, O$56)+COUNTIF(Logs!$J297, O$56)+COUNTIF(Logs!$J314, O$56)+COUNTIF(Logs!$J332, O$56)+COUNTIF(Logs!$J350, O$56)+COUNTIF(Logs!$J368, O$56)+COUNTIF(Logs!$J386, O$56)+COUNTIF(Logs!$J405, O$56)+COUNTIF(Logs!$J423, O$56)+COUNTIF(Logs!$J441, O$56)+COUNTIF(Logs!$J459, O$56)+COUNTIF(Logs!$J477, O$56)+COUNTIF(Logs!$J495, O$56)+COUNTIF(Logs!$J513, O$56)+COUNTIF(Logs!$J531, O$56)+COUNTIF(Logs!$J549, O$56)+COUNTIF(Logs!$J567, O$56)+COUNTIF(Logs!$J584, O$56)+COUNTIF(Logs!$J603, O$56)+COUNTIF(Logs!$J619, O$56)+COUNTIF(Logs!$J635, O$56)+COUNTIF(Logs!$J652, O$56)+COUNTIF(Logs!$J667, O$56)+COUNTIF(Logs!$J683, O$56)</f>
        <v>0</v>
      </c>
      <c r="P70" s="1449" t="str">
        <f t="shared" si="35"/>
        <v/>
      </c>
      <c r="Q70" s="1435">
        <f>COUNTIF(Logs!$J21, Q$56)+COUNTIF(Logs!$J39, Q$56)+COUNTIF(Logs!$J57, Q$56)+COUNTIF(Logs!$J75, Q$56)+COUNTIF(Logs!$J93, Q$56)+COUNTIF(Logs!$J112, Q$56)+COUNTIF(Logs!$J132, Q$56)+COUNTIF(Logs!$J151, Q$56)+COUNTIF(Logs!$J171, Q$56)+COUNTIF(Logs!$J189, Q$56)+COUNTIF(Logs!$J210, Q$56)+COUNTIF(Logs!$J227, Q$56)+COUNTIF(Logs!$J245, Q$56)+COUNTIF(Logs!$J262, Q$56)+COUNTIF(Logs!$J279, Q$56)+COUNTIF(Logs!$J297, Q$56)+COUNTIF(Logs!$J314, Q$56)+COUNTIF(Logs!$J332, Q$56)+COUNTIF(Logs!$J350, Q$56)+COUNTIF(Logs!$J368, Q$56)+COUNTIF(Logs!$J386, Q$56)+COUNTIF(Logs!$J405, Q$56)+COUNTIF(Logs!$J423, Q$56)+COUNTIF(Logs!$J441, Q$56)+COUNTIF(Logs!$J459, Q$56)+COUNTIF(Logs!$J477, Q$56)+COUNTIF(Logs!$J495, Q$56)+COUNTIF(Logs!$J513, Q$56)+COUNTIF(Logs!$J531, Q$56)+COUNTIF(Logs!$J549, Q$56)+COUNTIF(Logs!$J567, Q$56)+COUNTIF(Logs!$J584, Q$56)+COUNTIF(Logs!$J603, Q$56)+COUNTIF(Logs!$J619, Q$56)+COUNTIF(Logs!$J635, Q$56)+COUNTIF(Logs!$J652, Q$56)+COUNTIF(Logs!$J667, Q$56)+COUNTIF(Logs!$J683, Q$56)</f>
        <v>0</v>
      </c>
      <c r="R70" s="1438" t="str">
        <f t="shared" si="36"/>
        <v/>
      </c>
      <c r="S70" s="1441">
        <f>COUNTIF(Logs!$J21, S$56)+COUNTIF(Logs!$J39, S$56)+COUNTIF(Logs!$J57, S$56)+COUNTIF(Logs!$J75, S$56)+COUNTIF(Logs!$J93, S$56)+COUNTIF(Logs!$J112, S$56)+COUNTIF(Logs!$J132, S$56)+COUNTIF(Logs!$J151, S$56)+COUNTIF(Logs!$J171, S$56)+COUNTIF(Logs!$J189, S$56)+COUNTIF(Logs!$J210, S$56)+COUNTIF(Logs!$J227, S$56)+COUNTIF(Logs!$J245, S$56)+COUNTIF(Logs!$J262, S$56)+COUNTIF(Logs!$J279, S$56)+COUNTIF(Logs!$J297, S$56)+COUNTIF(Logs!$J314, S$56)+COUNTIF(Logs!$J332, S$56)+COUNTIF(Logs!$J350, S$56)+COUNTIF(Logs!$J368, S$56)+COUNTIF(Logs!$J386, S$56)+COUNTIF(Logs!$J405, S$56)+COUNTIF(Logs!$J423, S$56)+COUNTIF(Logs!$J441, S$56)+COUNTIF(Logs!$J459, S$56)+COUNTIF(Logs!$J477, S$56)+COUNTIF(Logs!$J495, S$56)+COUNTIF(Logs!$J513, S$56)+COUNTIF(Logs!$J531, S$56)+COUNTIF(Logs!$J549, S$56)+COUNTIF(Logs!$J567, S$56)+COUNTIF(Logs!$J584, S$56)+COUNTIF(Logs!$J603, S$56)+COUNTIF(Logs!$J619, S$56)+COUNTIF(Logs!$J635, S$56)+COUNTIF(Logs!$J652, S$56)+COUNTIF(Logs!$J667, S$56)+COUNTIF(Logs!$J683, S$56)</f>
        <v>0</v>
      </c>
      <c r="T70" s="1442" t="str">
        <f t="shared" si="37"/>
        <v/>
      </c>
      <c r="U70" s="1445">
        <f>COUNTIF(Logs!$J21, U$56)+COUNTIF(Logs!$J39, U$56)+COUNTIF(Logs!$J57, U$56)+COUNTIF(Logs!$J75, U$56)+COUNTIF(Logs!$J93, U$56)+COUNTIF(Logs!$J112, U$56)+COUNTIF(Logs!$J132, U$56)+COUNTIF(Logs!$J151, U$56)+COUNTIF(Logs!$J171, U$56)+COUNTIF(Logs!$J189, U$56)+COUNTIF(Logs!$J210, U$56)+COUNTIF(Logs!$J227, U$56)+COUNTIF(Logs!$J245, U$56)+COUNTIF(Logs!$J262, U$56)+COUNTIF(Logs!$J279, U$56)+COUNTIF(Logs!$J297, U$56)+COUNTIF(Logs!$J314, U$56)+COUNTIF(Logs!$J332, U$56)+COUNTIF(Logs!$J350, U$56)+COUNTIF(Logs!$J368, U$56)+COUNTIF(Logs!$J386, U$56)+COUNTIF(Logs!$J405, U$56)+COUNTIF(Logs!$J423, U$56)+COUNTIF(Logs!$J441, U$56)+COUNTIF(Logs!$J459, U$56)+COUNTIF(Logs!$J477, U$56)+COUNTIF(Logs!$J495, U$56)+COUNTIF(Logs!$J513, U$56)+COUNTIF(Logs!$J531, U$56)+COUNTIF(Logs!$J549, U$56)+COUNTIF(Logs!$J567, U$56)+COUNTIF(Logs!$J584, U$56)+COUNTIF(Logs!$J603, U$56)+COUNTIF(Logs!$J619, U$56)+COUNTIF(Logs!$J635, U$56)+COUNTIF(Logs!$J652, U$56)+COUNTIF(Logs!$J667, U$56)+COUNTIF(Logs!$J683, U$56)</f>
        <v>0</v>
      </c>
      <c r="V70" s="1446" t="str">
        <f t="shared" si="38"/>
        <v/>
      </c>
      <c r="W70" s="1433">
        <f>COUNTIF(Logs!$J21, W$56)+COUNTIF(Logs!$J39, W$56)+COUNTIF(Logs!$J57, W$56)+COUNTIF(Logs!$J75, W$56)+COUNTIF(Logs!$J93, W$56)+COUNTIF(Logs!$J112, W$56)+COUNTIF(Logs!$J132, W$56)+COUNTIF(Logs!$J151, W$56)+COUNTIF(Logs!$J171, W$56)+COUNTIF(Logs!$J189, W$56)+COUNTIF(Logs!$J210, W$56)+COUNTIF(Logs!$J227, W$56)+COUNTIF(Logs!$J245, W$56)+COUNTIF(Logs!$J262, W$56)+COUNTIF(Logs!$J279, W$56)+COUNTIF(Logs!$J297, W$56)+COUNTIF(Logs!$J314, W$56)+COUNTIF(Logs!$J332, W$56)+COUNTIF(Logs!$J350, W$56)+COUNTIF(Logs!$J368, W$56)+COUNTIF(Logs!$J386, W$56)+COUNTIF(Logs!$J405, W$56)+COUNTIF(Logs!$J423, W$56)+COUNTIF(Logs!$J441, W$56)+COUNTIF(Logs!$J459, W$56)+COUNTIF(Logs!$J477, W$56)+COUNTIF(Logs!$J495, W$56)+COUNTIF(Logs!$J513, W$56)+COUNTIF(Logs!$J531, W$56)+COUNTIF(Logs!$J549, W$56)+COUNTIF(Logs!$J567, W$56)+COUNTIF(Logs!$J584, W$56)+COUNTIF(Logs!$J603, W$56)+COUNTIF(Logs!$J619, W$56)+COUNTIF(Logs!$J635, W$56)+COUNTIF(Logs!$J652, W$56)+COUNTIF(Logs!$J667, W$56)+COUNTIF(Logs!$J683, W$56)</f>
        <v>0</v>
      </c>
      <c r="X70" s="1434" t="str">
        <f t="shared" si="39"/>
        <v/>
      </c>
    </row>
    <row r="71" spans="2:24" ht="16.5" thickBot="1"/>
    <row r="72" spans="2:24" ht="19.5" thickBot="1">
      <c r="B72" s="1380" t="s">
        <v>9</v>
      </c>
      <c r="C72" s="1744" t="s">
        <v>12</v>
      </c>
      <c r="D72" s="1751"/>
      <c r="E72" s="1745" t="s">
        <v>14</v>
      </c>
      <c r="F72" s="1746"/>
      <c r="G72" s="1747" t="s">
        <v>13</v>
      </c>
      <c r="H72" s="1748"/>
      <c r="I72" s="1749" t="s">
        <v>49</v>
      </c>
      <c r="J72" s="1750"/>
      <c r="K72" s="1742" t="s">
        <v>71</v>
      </c>
      <c r="L72" s="1743"/>
      <c r="N72" s="1380" t="s">
        <v>10</v>
      </c>
      <c r="O72" s="1744" t="s">
        <v>12</v>
      </c>
      <c r="P72" s="1751"/>
      <c r="Q72" s="1745" t="s">
        <v>14</v>
      </c>
      <c r="R72" s="1746"/>
      <c r="S72" s="1747" t="s">
        <v>13</v>
      </c>
      <c r="T72" s="1748"/>
      <c r="U72" s="1749" t="s">
        <v>49</v>
      </c>
      <c r="V72" s="1750"/>
      <c r="W72" s="1742" t="s">
        <v>71</v>
      </c>
      <c r="X72" s="1743"/>
    </row>
    <row r="73" spans="2:24">
      <c r="B73" s="1376" t="s">
        <v>1635</v>
      </c>
      <c r="C73" s="355" t="s">
        <v>150</v>
      </c>
      <c r="D73" s="1436" t="s">
        <v>195</v>
      </c>
      <c r="E73" s="563" t="s">
        <v>150</v>
      </c>
      <c r="F73" s="1436" t="s">
        <v>195</v>
      </c>
      <c r="G73" s="563" t="s">
        <v>150</v>
      </c>
      <c r="H73" s="1436" t="s">
        <v>195</v>
      </c>
      <c r="I73" s="563" t="s">
        <v>150</v>
      </c>
      <c r="J73" s="1436" t="s">
        <v>195</v>
      </c>
      <c r="K73" s="355" t="s">
        <v>150</v>
      </c>
      <c r="L73" s="1377" t="s">
        <v>195</v>
      </c>
      <c r="N73" s="1376" t="s">
        <v>1635</v>
      </c>
      <c r="O73" s="355" t="s">
        <v>150</v>
      </c>
      <c r="P73" s="1436" t="s">
        <v>195</v>
      </c>
      <c r="Q73" s="563" t="s">
        <v>150</v>
      </c>
      <c r="R73" s="1436" t="s">
        <v>195</v>
      </c>
      <c r="S73" s="563" t="s">
        <v>150</v>
      </c>
      <c r="T73" s="1436" t="s">
        <v>195</v>
      </c>
      <c r="U73" s="563" t="s">
        <v>150</v>
      </c>
      <c r="V73" s="1436" t="s">
        <v>195</v>
      </c>
      <c r="W73" s="355" t="s">
        <v>150</v>
      </c>
      <c r="X73" s="1377" t="s">
        <v>195</v>
      </c>
    </row>
    <row r="74" spans="2:24">
      <c r="B74" s="1378" t="s">
        <v>185</v>
      </c>
      <c r="C74" s="319">
        <f>COUNTIF(Logs!$K9, C$72)+COUNTIF(Logs!$K27, C$72)+COUNTIF(Logs!$K45, C$72)+COUNTIF(Logs!$K63, C$72)+COUNTIF(Logs!$K81, C$72)+COUNTIF(Logs!$K100, C$72)+COUNTIF(Logs!$K120, C$72)+COUNTIF(Logs!$K139, C$72)+COUNTIF(Logs!$K159, C$72)+COUNTIF(Logs!$K177, C$72)+COUNTIF(Logs!$K198, C$72)+COUNTIF(Logs!$K215, C$72)+COUNTIF(Logs!$K233, C$72)+COUNTIF(Logs!$K250, C$72)+COUNTIF(Logs!$K267, C$72)+COUNTIF(Logs!$K285, C$72)+COUNTIF(Logs!$K302, C$72)+COUNTIF(Logs!$K320, C$72)+COUNTIF(Logs!$K338, C$72)+COUNTIF(Logs!$K356, C$72)+COUNTIF(Logs!$K374, C$72)+COUNTIF(Logs!$K393, C$72)+COUNTIF(Logs!$K411, C$72)+COUNTIF(Logs!$K429, C$72)+COUNTIF(Logs!$K447, C$72)+COUNTIF(Logs!$K465, C$72)+COUNTIF(Logs!$K483, C$72)+COUNTIF(Logs!$K501, C$72)+COUNTIF(Logs!$K519, C$72)+COUNTIF(Logs!$K537, C$72)+COUNTIF(Logs!$K555, C$72)+COUNTIF(Logs!$K572, C$72)+COUNTIF(Logs!$K591, C$72)+COUNTIF(Logs!$K607, C$72)+COUNTIF(Logs!$K623, C$72)+COUNTIF(Logs!$K640, C$72)+COUNTIF(Logs!$K655, C$72)+COUNTIF(Logs!$K671, C$72)</f>
        <v>36</v>
      </c>
      <c r="D74" s="1448">
        <f>IF(C74&gt;0, C74/SUM($C74,$E74, $G74,$I74,$K74), "")</f>
        <v>0.94736842105263153</v>
      </c>
      <c r="E74" s="342">
        <f>COUNTIF(Logs!$K9, E$72)+COUNTIF(Logs!$K27, E$72)+COUNTIF(Logs!$K45, E$72)+COUNTIF(Logs!$K63, E$72)+COUNTIF(Logs!$K81, E$72)+COUNTIF(Logs!$K100, E$72)+COUNTIF(Logs!$K120, E$72)+COUNTIF(Logs!$K139, E$72)+COUNTIF(Logs!$K159, E$72)+COUNTIF(Logs!$K177, E$72)+COUNTIF(Logs!$K198, E$72)+COUNTIF(Logs!$K215, E$72)+COUNTIF(Logs!$K233, E$72)+COUNTIF(Logs!$K250, E$72)+COUNTIF(Logs!$K267, E$72)+COUNTIF(Logs!$K285, E$72)+COUNTIF(Logs!$K302, E$72)+COUNTIF(Logs!$K320, E$72)+COUNTIF(Logs!$K338, E$72)+COUNTIF(Logs!$K356, E$72)+COUNTIF(Logs!$K374, E$72)+COUNTIF(Logs!$K393, E$72)+COUNTIF(Logs!$K411, E$72)+COUNTIF(Logs!$K429, E$72)+COUNTIF(Logs!$K447, E$72)+COUNTIF(Logs!$K465, E$72)+COUNTIF(Logs!$K483, E$72)+COUNTIF(Logs!$K501, E$72)+COUNTIF(Logs!$K519, E$72)+COUNTIF(Logs!$K537, E$72)+COUNTIF(Logs!$K555, E$72)+COUNTIF(Logs!$K572, E$72)+COUNTIF(Logs!$K591, E$72)+COUNTIF(Logs!$K607, E$72)+COUNTIF(Logs!$K623, E$72)+COUNTIF(Logs!$K640, E$72)+COUNTIF(Logs!$K655, E$72)+COUNTIF(Logs!$K671, E$72)</f>
        <v>0</v>
      </c>
      <c r="F74" s="1437" t="str">
        <f>IF(E74&gt;0, E74/SUM($C74,$E74, $G74,$I74,$K74), "")</f>
        <v/>
      </c>
      <c r="G74" s="1439">
        <f>COUNTIF(Logs!$K9, G$72)+COUNTIF(Logs!$K27, G$72)+COUNTIF(Logs!$K45, G$72)+COUNTIF(Logs!$K63, G$72)+COUNTIF(Logs!$K81, G$72)+COUNTIF(Logs!$K100, G$72)+COUNTIF(Logs!$K120, G$72)+COUNTIF(Logs!$K139, G$72)+COUNTIF(Logs!$K159, G$72)+COUNTIF(Logs!$K177, G$72)+COUNTIF(Logs!$K198, G$72)+COUNTIF(Logs!$K215, G$72)+COUNTIF(Logs!$K233, G$72)+COUNTIF(Logs!$K250, G$72)+COUNTIF(Logs!$K267, G$72)+COUNTIF(Logs!$K285, G$72)+COUNTIF(Logs!$K302, G$72)+COUNTIF(Logs!$K320, G$72)+COUNTIF(Logs!$K338, G$72)+COUNTIF(Logs!$K356, G$72)+COUNTIF(Logs!$K374, G$72)+COUNTIF(Logs!$K393, G$72)+COUNTIF(Logs!$K411, G$72)+COUNTIF(Logs!$K429, G$72)+COUNTIF(Logs!$K447, G$72)+COUNTIF(Logs!$K465, G$72)+COUNTIF(Logs!$K483, G$72)+COUNTIF(Logs!$K501, G$72)+COUNTIF(Logs!$K519, G$72)+COUNTIF(Logs!$K537, G$72)+COUNTIF(Logs!$K555, G$72)+COUNTIF(Logs!$K572, G$72)+COUNTIF(Logs!$K591, G$72)+COUNTIF(Logs!$K607, G$72)+COUNTIF(Logs!$K623, G$72)+COUNTIF(Logs!$K640, G$72)+COUNTIF(Logs!$K655, G$72)+COUNTIF(Logs!$K671, G$72)</f>
        <v>0</v>
      </c>
      <c r="H74" s="1440" t="str">
        <f>IF(G74&gt;0, G74/SUM($C74,$E74, $G74,$I74,$K74), "")</f>
        <v/>
      </c>
      <c r="I74" s="1443">
        <f>COUNTIF(Logs!$K9, I$72)+COUNTIF(Logs!$K27, I$72)+COUNTIF(Logs!$K45, I$72)+COUNTIF(Logs!$K63, I$72)+COUNTIF(Logs!$K81, I$72)+COUNTIF(Logs!$K100, I$72)+COUNTIF(Logs!$K120, I$72)+COUNTIF(Logs!$K139, I$72)+COUNTIF(Logs!$K159, I$72)+COUNTIF(Logs!$K177, I$72)+COUNTIF(Logs!$K198, I$72)+COUNTIF(Logs!$K215, I$72)+COUNTIF(Logs!$K233, I$72)+COUNTIF(Logs!$K250, I$72)+COUNTIF(Logs!$K267, I$72)+COUNTIF(Logs!$K285, I$72)+COUNTIF(Logs!$K302, I$72)+COUNTIF(Logs!$K320, I$72)+COUNTIF(Logs!$K338, I$72)+COUNTIF(Logs!$K356, I$72)+COUNTIF(Logs!$K374, I$72)+COUNTIF(Logs!$K393, I$72)+COUNTIF(Logs!$K411, I$72)+COUNTIF(Logs!$K429, I$72)+COUNTIF(Logs!$K447, I$72)+COUNTIF(Logs!$K465, I$72)+COUNTIF(Logs!$K483, I$72)+COUNTIF(Logs!$K501, I$72)+COUNTIF(Logs!$K519, I$72)+COUNTIF(Logs!$K537, I$72)+COUNTIF(Logs!$K555, I$72)+COUNTIF(Logs!$K572, I$72)+COUNTIF(Logs!$K591, I$72)+COUNTIF(Logs!$K607, I$72)+COUNTIF(Logs!$K623, I$72)+COUNTIF(Logs!$K640, I$72)+COUNTIF(Logs!$K655, I$72)+COUNTIF(Logs!$K671, I$72)</f>
        <v>0</v>
      </c>
      <c r="J74" s="1444" t="str">
        <f>IF(I74&gt;0, I74/SUM($C74,$E74, $G74,$I74,$K74), "")</f>
        <v/>
      </c>
      <c r="K74" s="1101">
        <f>COUNTIF(Logs!$K9, K$72)+COUNTIF(Logs!$K27, K$72)+COUNTIF(Logs!$K45, K$72)+COUNTIF(Logs!$K63, K$72)+COUNTIF(Logs!$K81, K$72)+COUNTIF(Logs!$K100, K$72)+COUNTIF(Logs!$K120, K$72)+COUNTIF(Logs!$K139, K$72)+COUNTIF(Logs!$K159, K$72)+COUNTIF(Logs!$K177, K$72)+COUNTIF(Logs!$K198, K$72)+COUNTIF(Logs!$K215, K$72)+COUNTIF(Logs!$K233, K$72)+COUNTIF(Logs!$K250, K$72)+COUNTIF(Logs!$K267, K$72)+COUNTIF(Logs!$K285, K$72)+COUNTIF(Logs!$K302, K$72)+COUNTIF(Logs!$K320, K$72)+COUNTIF(Logs!$K338, K$72)+COUNTIF(Logs!$K356, K$72)+COUNTIF(Logs!$K374, K$72)+COUNTIF(Logs!$K393, K$72)+COUNTIF(Logs!$K411, K$72)+COUNTIF(Logs!$K429, K$72)+COUNTIF(Logs!$K447, K$72)+COUNTIF(Logs!$K465, K$72)+COUNTIF(Logs!$K483, K$72)+COUNTIF(Logs!$K501, K$72)+COUNTIF(Logs!$K519, K$72)+COUNTIF(Logs!$K537, K$72)+COUNTIF(Logs!$K555, K$72)+COUNTIF(Logs!$K572, K$72)+COUNTIF(Logs!$K591, K$72)+COUNTIF(Logs!$K607, K$72)+COUNTIF(Logs!$K623, K$72)+COUNTIF(Logs!$K640, K$72)+COUNTIF(Logs!$K655, K$72)+COUNTIF(Logs!$K671, K$72)</f>
        <v>2</v>
      </c>
      <c r="L74" s="1432">
        <f>IF(K74&gt;0, K74/SUM($C74,$E74, $G74,$I74,$K74), "")</f>
        <v>5.2631578947368418E-2</v>
      </c>
      <c r="N74" s="1378" t="s">
        <v>185</v>
      </c>
      <c r="O74" s="319">
        <f>COUNTIF(Logs!$L9, O$72)+COUNTIF(Logs!$L27, O$72)+COUNTIF(Logs!$L45, O$72)+COUNTIF(Logs!$L63, O$72)+COUNTIF(Logs!$L81, O$72)+COUNTIF(Logs!$L100, O$72)+COUNTIF(Logs!$L120, O$72)+COUNTIF(Logs!$L139, O$72)+COUNTIF(Logs!$L159, O$72)+COUNTIF(Logs!$L177, O$72)+COUNTIF(Logs!$L198, O$72)+COUNTIF(Logs!$L215, O$72)+COUNTIF(Logs!$L233, O$72)+COUNTIF(Logs!$L250, O$72)+COUNTIF(Logs!$L267, O$72)+COUNTIF(Logs!$L285, O$72)+COUNTIF(Logs!$L302, O$72)+COUNTIF(Logs!$L320, O$72)+COUNTIF(Logs!$L338, O$72)+COUNTIF(Logs!$L356, O$72)+COUNTIF(Logs!$L374, O$72)+COUNTIF(Logs!$L393, O$72)+COUNTIF(Logs!$L411, O$72)+COUNTIF(Logs!$L429, O$72)+COUNTIF(Logs!$L447, O$72)+COUNTIF(Logs!$L465, O$72)+COUNTIF(Logs!$L483, O$72)+COUNTIF(Logs!$L501, O$72)+COUNTIF(Logs!$L519, O$72)+COUNTIF(Logs!$L537, O$72)+COUNTIF(Logs!$L555, O$72)+COUNTIF(Logs!$L572, O$72)+COUNTIF(Logs!$L591, O$72)+COUNTIF(Logs!$L623, O$72)+COUNTIF(Logs!$L640, O$72)+COUNTIF(Logs!$L655, O$72)+COUNTIF(Logs!$L671, O$72)</f>
        <v>35</v>
      </c>
      <c r="P74" s="1448">
        <f>IF(O74&gt;0, O74/SUM($O74,$Q74, $S74,$U74,$W74), "")</f>
        <v>0.94594594594594594</v>
      </c>
      <c r="Q74" s="342">
        <f>COUNTIF(Logs!$L9, Q$72)+COUNTIF(Logs!$L27, Q$72)+COUNTIF(Logs!$L45, Q$72)+COUNTIF(Logs!$L63, Q$72)+COUNTIF(Logs!$L81, Q$72)+COUNTIF(Logs!$L100, Q$72)+COUNTIF(Logs!$L120, Q$72)+COUNTIF(Logs!$L139, Q$72)+COUNTIF(Logs!$L159, Q$72)+COUNTIF(Logs!$L177, Q$72)+COUNTIF(Logs!$L198, Q$72)+COUNTIF(Logs!$L215, Q$72)+COUNTIF(Logs!$L233, Q$72)+COUNTIF(Logs!$L250, Q$72)+COUNTIF(Logs!$L267, Q$72)+COUNTIF(Logs!$L285, Q$72)+COUNTIF(Logs!$L302, Q$72)+COUNTIF(Logs!$L320, Q$72)+COUNTIF(Logs!$L338, Q$72)+COUNTIF(Logs!$L356, Q$72)+COUNTIF(Logs!$L374, Q$72)+COUNTIF(Logs!$L393, Q$72)+COUNTIF(Logs!$L411, Q$72)+COUNTIF(Logs!$L429, Q$72)+COUNTIF(Logs!$L447, Q$72)+COUNTIF(Logs!$L465, Q$72)+COUNTIF(Logs!$L483, Q$72)+COUNTIF(Logs!$L501, Q$72)+COUNTIF(Logs!$L519, Q$72)+COUNTIF(Logs!$L537, Q$72)+COUNTIF(Logs!$L555, Q$72)+COUNTIF(Logs!$L572, Q$72)+COUNTIF(Logs!$L591, Q$72)+COUNTIF(Logs!$L623, Q$72)+COUNTIF(Logs!$L640, Q$72)+COUNTIF(Logs!$L655, Q$72)+COUNTIF(Logs!$L671, Q$72)</f>
        <v>0</v>
      </c>
      <c r="R74" s="1437" t="str">
        <f>IF(Q74&gt;0, Q74/SUM($O74,$Q74, $S74,$U74,$W74), "")</f>
        <v/>
      </c>
      <c r="S74" s="1439">
        <f>COUNTIF(Logs!$L9, S$72)+COUNTIF(Logs!$L27, S$72)+COUNTIF(Logs!$L45, S$72)+COUNTIF(Logs!$L63, S$72)+COUNTIF(Logs!$L81, S$72)+COUNTIF(Logs!$L100, S$72)+COUNTIF(Logs!$L120, S$72)+COUNTIF(Logs!$L139, S$72)+COUNTIF(Logs!$L159, S$72)+COUNTIF(Logs!$L177, S$72)+COUNTIF(Logs!$L198, S$72)+COUNTIF(Logs!$L215, S$72)+COUNTIF(Logs!$L233, S$72)+COUNTIF(Logs!$L250, S$72)+COUNTIF(Logs!$L267, S$72)+COUNTIF(Logs!$L285, S$72)+COUNTIF(Logs!$L302, S$72)+COUNTIF(Logs!$L320, S$72)+COUNTIF(Logs!$L338, S$72)+COUNTIF(Logs!$L356, S$72)+COUNTIF(Logs!$L374, S$72)+COUNTIF(Logs!$L393, S$72)+COUNTIF(Logs!$L411, S$72)+COUNTIF(Logs!$L429, S$72)+COUNTIF(Logs!$L447, S$72)+COUNTIF(Logs!$L465, S$72)+COUNTIF(Logs!$L483, S$72)+COUNTIF(Logs!$L501, S$72)+COUNTIF(Logs!$L519, S$72)+COUNTIF(Logs!$L537, S$72)+COUNTIF(Logs!$L555, S$72)+COUNTIF(Logs!$L572, S$72)+COUNTIF(Logs!$L591, S$72)+COUNTIF(Logs!$L623, S$72)+COUNTIF(Logs!$L640, S$72)+COUNTIF(Logs!$L655, S$72)+COUNTIF(Logs!$L671, S$72)</f>
        <v>0</v>
      </c>
      <c r="T74" s="1440" t="str">
        <f>IF(S74&gt;0, S74/SUM($O74,$Q74, $S74,$U74,$W74), "")</f>
        <v/>
      </c>
      <c r="U74" s="1443">
        <f>COUNTIF(Logs!$L9, U$72)+COUNTIF(Logs!$L27, U$72)+COUNTIF(Logs!$L45, U$72)+COUNTIF(Logs!$L63, U$72)+COUNTIF(Logs!$L81, U$72)+COUNTIF(Logs!$L100, U$72)+COUNTIF(Logs!$L120, U$72)+COUNTIF(Logs!$L139, U$72)+COUNTIF(Logs!$L159, U$72)+COUNTIF(Logs!$L177, U$72)+COUNTIF(Logs!$L198, U$72)+COUNTIF(Logs!$L215, U$72)+COUNTIF(Logs!$L233, U$72)+COUNTIF(Logs!$L250, U$72)+COUNTIF(Logs!$L267, U$72)+COUNTIF(Logs!$L285, U$72)+COUNTIF(Logs!$L302, U$72)+COUNTIF(Logs!$L320, U$72)+COUNTIF(Logs!$L338, U$72)+COUNTIF(Logs!$L356, U$72)+COUNTIF(Logs!$L374, U$72)+COUNTIF(Logs!$L393, U$72)+COUNTIF(Logs!$L411, U$72)+COUNTIF(Logs!$L429, U$72)+COUNTIF(Logs!$L447, U$72)+COUNTIF(Logs!$L465, U$72)+COUNTIF(Logs!$L483, U$72)+COUNTIF(Logs!$L501, U$72)+COUNTIF(Logs!$L519, U$72)+COUNTIF(Logs!$L537, U$72)+COUNTIF(Logs!$L555, U$72)+COUNTIF(Logs!$L572, U$72)+COUNTIF(Logs!$L591, U$72)+COUNTIF(Logs!$L623, U$72)+COUNTIF(Logs!$L640, U$72)+COUNTIF(Logs!$L655, U$72)+COUNTIF(Logs!$L671, U$72)</f>
        <v>0</v>
      </c>
      <c r="V74" s="1444" t="str">
        <f>IF(U74&gt;0, U74/SUM($O74,$Q74, $S74,$U74,$W74), "")</f>
        <v/>
      </c>
      <c r="W74" s="1101">
        <f>COUNTIF(Logs!$L9, W$72)+COUNTIF(Logs!$L27, W$72)+COUNTIF(Logs!$L45, W$72)+COUNTIF(Logs!$L63, W$72)+COUNTIF(Logs!$L81, W$72)+COUNTIF(Logs!$L100, W$72)+COUNTIF(Logs!$L120, W$72)+COUNTIF(Logs!$L139, W$72)+COUNTIF(Logs!$L159, W$72)+COUNTIF(Logs!$L177, W$72)+COUNTIF(Logs!$L198, W$72)+COUNTIF(Logs!$L215, W$72)+COUNTIF(Logs!$L233, W$72)+COUNTIF(Logs!$L250, W$72)+COUNTIF(Logs!$L267, W$72)+COUNTIF(Logs!$L285, W$72)+COUNTIF(Logs!$L302, W$72)+COUNTIF(Logs!$L320, W$72)+COUNTIF(Logs!$L338, W$72)+COUNTIF(Logs!$L356, W$72)+COUNTIF(Logs!$L374, W$72)+COUNTIF(Logs!$L393, W$72)+COUNTIF(Logs!$L411, W$72)+COUNTIF(Logs!$L429, W$72)+COUNTIF(Logs!$L447, W$72)+COUNTIF(Logs!$L465, W$72)+COUNTIF(Logs!$L483, W$72)+COUNTIF(Logs!$L501, W$72)+COUNTIF(Logs!$L519, W$72)+COUNTIF(Logs!$L537, W$72)+COUNTIF(Logs!$L555, W$72)+COUNTIF(Logs!$L572, W$72)+COUNTIF(Logs!$L591, W$72)+COUNTIF(Logs!$L623, W$72)+COUNTIF(Logs!$L640, W$72)+COUNTIF(Logs!$L655, W$72)+COUNTIF(Logs!$L671, W$72)</f>
        <v>2</v>
      </c>
      <c r="X74" s="1432">
        <f>IF(W74&gt;0, W74/SUM($O74,$Q74, $S74,$U74,$W74), "")</f>
        <v>5.4054054054054057E-2</v>
      </c>
    </row>
    <row r="75" spans="2:24">
      <c r="B75" s="1378" t="s">
        <v>186</v>
      </c>
      <c r="C75" s="319">
        <f>COUNTIF(Logs!$K10, C$72)+COUNTIF(Logs!$K28, C$72)+COUNTIF(Logs!$K46, C$72)+COUNTIF(Logs!$K64, C$72)+COUNTIF(Logs!$K82, C$72)+COUNTIF(Logs!$K101, C$72)+COUNTIF(Logs!$K121, C$72)+COUNTIF(Logs!$K140, C$72)+COUNTIF(Logs!$K160, C$72)+COUNTIF(Logs!$K178, C$72)+COUNTIF(Logs!$K199, C$72)+COUNTIF(Logs!$K216, C$72)+COUNTIF(Logs!$K234, C$72)+COUNTIF(Logs!$K251, C$72)+COUNTIF(Logs!$K268, C$72)+COUNTIF(Logs!$K286, C$72)+COUNTIF(Logs!$K303, C$72)+COUNTIF(Logs!$K321, C$72)+COUNTIF(Logs!$K339, C$72)+COUNTIF(Logs!$K357, C$72)+COUNTIF(Logs!$K375, C$72)+COUNTIF(Logs!$K394, C$72)+COUNTIF(Logs!$K412, C$72)+COUNTIF(Logs!$K430, C$72)+COUNTIF(Logs!$K448, C$72)+COUNTIF(Logs!$K466, C$72)+COUNTIF(Logs!$K484, C$72)+COUNTIF(Logs!$K502, C$72)+COUNTIF(Logs!$K520, C$72)+COUNTIF(Logs!$K538, C$72)+COUNTIF(Logs!$K556, C$72)+COUNTIF(Logs!$K573, C$72)+COUNTIF(Logs!$K592, C$72)+COUNTIF(Logs!$K608, C$72)+COUNTIF(Logs!$K624, C$72)+COUNTIF(Logs!$K641, C$72)+COUNTIF(Logs!$K656, C$72)+COUNTIF(Logs!$K672, C$72)</f>
        <v>21</v>
      </c>
      <c r="D75" s="1448">
        <f t="shared" ref="D75:D86" si="40">IF(C75&gt;0, C75/SUM($C75,$E75, $G75,$I75,$K75), "")</f>
        <v>0.55263157894736847</v>
      </c>
      <c r="E75" s="342">
        <f>COUNTIF(Logs!$K10, E$72)+COUNTIF(Logs!$K28, E$72)+COUNTIF(Logs!$K46, E$72)+COUNTIF(Logs!$K64, E$72)+COUNTIF(Logs!$K82, E$72)+COUNTIF(Logs!$K101, E$72)+COUNTIF(Logs!$K121, E$72)+COUNTIF(Logs!$K140, E$72)+COUNTIF(Logs!$K160, E$72)+COUNTIF(Logs!$K178, E$72)+COUNTIF(Logs!$K199, E$72)+COUNTIF(Logs!$K216, E$72)+COUNTIF(Logs!$K234, E$72)+COUNTIF(Logs!$K251, E$72)+COUNTIF(Logs!$K268, E$72)+COUNTIF(Logs!$K286, E$72)+COUNTIF(Logs!$K303, E$72)+COUNTIF(Logs!$K321, E$72)+COUNTIF(Logs!$K339, E$72)+COUNTIF(Logs!$K357, E$72)+COUNTIF(Logs!$K375, E$72)+COUNTIF(Logs!$K394, E$72)+COUNTIF(Logs!$K412, E$72)+COUNTIF(Logs!$K430, E$72)+COUNTIF(Logs!$K448, E$72)+COUNTIF(Logs!$K466, E$72)+COUNTIF(Logs!$K484, E$72)+COUNTIF(Logs!$K502, E$72)+COUNTIF(Logs!$K520, E$72)+COUNTIF(Logs!$K538, E$72)+COUNTIF(Logs!$K556, E$72)+COUNTIF(Logs!$K573, E$72)+COUNTIF(Logs!$K592, E$72)+COUNTIF(Logs!$K608, E$72)+COUNTIF(Logs!$K624, E$72)+COUNTIF(Logs!$K641, E$72)+COUNTIF(Logs!$K656, E$72)+COUNTIF(Logs!$K672, E$72)</f>
        <v>7</v>
      </c>
      <c r="F75" s="1437">
        <f t="shared" ref="F75:F86" si="41">IF(E75&gt;0, E75/SUM($C75,$E75, $G75,$I75,$K75), "")</f>
        <v>0.18421052631578946</v>
      </c>
      <c r="G75" s="1439">
        <f>COUNTIF(Logs!$K10, G$72)+COUNTIF(Logs!$K28, G$72)+COUNTIF(Logs!$K46, G$72)+COUNTIF(Logs!$K64, G$72)+COUNTIF(Logs!$K82, G$72)+COUNTIF(Logs!$K101, G$72)+COUNTIF(Logs!$K121, G$72)+COUNTIF(Logs!$K140, G$72)+COUNTIF(Logs!$K160, G$72)+COUNTIF(Logs!$K178, G$72)+COUNTIF(Logs!$K199, G$72)+COUNTIF(Logs!$K216, G$72)+COUNTIF(Logs!$K234, G$72)+COUNTIF(Logs!$K251, G$72)+COUNTIF(Logs!$K268, G$72)+COUNTIF(Logs!$K286, G$72)+COUNTIF(Logs!$K303, G$72)+COUNTIF(Logs!$K321, G$72)+COUNTIF(Logs!$K339, G$72)+COUNTIF(Logs!$K357, G$72)+COUNTIF(Logs!$K375, G$72)+COUNTIF(Logs!$K394, G$72)+COUNTIF(Logs!$K412, G$72)+COUNTIF(Logs!$K430, G$72)+COUNTIF(Logs!$K448, G$72)+COUNTIF(Logs!$K466, G$72)+COUNTIF(Logs!$K484, G$72)+COUNTIF(Logs!$K502, G$72)+COUNTIF(Logs!$K520, G$72)+COUNTIF(Logs!$K538, G$72)+COUNTIF(Logs!$K556, G$72)+COUNTIF(Logs!$K573, G$72)+COUNTIF(Logs!$K592, G$72)+COUNTIF(Logs!$K608, G$72)+COUNTIF(Logs!$K624, G$72)+COUNTIF(Logs!$K641, G$72)+COUNTIF(Logs!$K656, G$72)+COUNTIF(Logs!$K672, G$72)</f>
        <v>1</v>
      </c>
      <c r="H75" s="1440">
        <f t="shared" ref="H75:H86" si="42">IF(G75&gt;0, G75/SUM($C75,$E75, $G75,$I75,$K75), "")</f>
        <v>2.6315789473684209E-2</v>
      </c>
      <c r="I75" s="1443">
        <f>COUNTIF(Logs!$K10, I$72)+COUNTIF(Logs!$K28, I$72)+COUNTIF(Logs!$K46, I$72)+COUNTIF(Logs!$K64, I$72)+COUNTIF(Logs!$K82, I$72)+COUNTIF(Logs!$K101, I$72)+COUNTIF(Logs!$K121, I$72)+COUNTIF(Logs!$K140, I$72)+COUNTIF(Logs!$K160, I$72)+COUNTIF(Logs!$K178, I$72)+COUNTIF(Logs!$K199, I$72)+COUNTIF(Logs!$K216, I$72)+COUNTIF(Logs!$K234, I$72)+COUNTIF(Logs!$K251, I$72)+COUNTIF(Logs!$K268, I$72)+COUNTIF(Logs!$K286, I$72)+COUNTIF(Logs!$K303, I$72)+COUNTIF(Logs!$K321, I$72)+COUNTIF(Logs!$K339, I$72)+COUNTIF(Logs!$K357, I$72)+COUNTIF(Logs!$K375, I$72)+COUNTIF(Logs!$K394, I$72)+COUNTIF(Logs!$K412, I$72)+COUNTIF(Logs!$K430, I$72)+COUNTIF(Logs!$K448, I$72)+COUNTIF(Logs!$K466, I$72)+COUNTIF(Logs!$K484, I$72)+COUNTIF(Logs!$K502, I$72)+COUNTIF(Logs!$K520, I$72)+COUNTIF(Logs!$K538, I$72)+COUNTIF(Logs!$K556, I$72)+COUNTIF(Logs!$K573, I$72)+COUNTIF(Logs!$K592, I$72)+COUNTIF(Logs!$K608, I$72)+COUNTIF(Logs!$K624, I$72)+COUNTIF(Logs!$K641, I$72)+COUNTIF(Logs!$K656, I$72)+COUNTIF(Logs!$K672, I$72)</f>
        <v>4</v>
      </c>
      <c r="J75" s="1444">
        <f t="shared" ref="J75:J86" si="43">IF(I75&gt;0, I75/SUM($C75,$E75, $G75,$I75,$K75), "")</f>
        <v>0.10526315789473684</v>
      </c>
      <c r="K75" s="1101">
        <f>COUNTIF(Logs!$K10, K$72)+COUNTIF(Logs!$K28, K$72)+COUNTIF(Logs!$K46, K$72)+COUNTIF(Logs!$K64, K$72)+COUNTIF(Logs!$K82, K$72)+COUNTIF(Logs!$K101, K$72)+COUNTIF(Logs!$K121, K$72)+COUNTIF(Logs!$K140, K$72)+COUNTIF(Logs!$K160, K$72)+COUNTIF(Logs!$K178, K$72)+COUNTIF(Logs!$K199, K$72)+COUNTIF(Logs!$K216, K$72)+COUNTIF(Logs!$K234, K$72)+COUNTIF(Logs!$K251, K$72)+COUNTIF(Logs!$K268, K$72)+COUNTIF(Logs!$K286, K$72)+COUNTIF(Logs!$K303, K$72)+COUNTIF(Logs!$K321, K$72)+COUNTIF(Logs!$K339, K$72)+COUNTIF(Logs!$K357, K$72)+COUNTIF(Logs!$K375, K$72)+COUNTIF(Logs!$K394, K$72)+COUNTIF(Logs!$K412, K$72)+COUNTIF(Logs!$K430, K$72)+COUNTIF(Logs!$K448, K$72)+COUNTIF(Logs!$K466, K$72)+COUNTIF(Logs!$K484, K$72)+COUNTIF(Logs!$K502, K$72)+COUNTIF(Logs!$K520, K$72)+COUNTIF(Logs!$K538, K$72)+COUNTIF(Logs!$K556, K$72)+COUNTIF(Logs!$K573, K$72)+COUNTIF(Logs!$K592, K$72)+COUNTIF(Logs!$K608, K$72)+COUNTIF(Logs!$K624, K$72)+COUNTIF(Logs!$K641, K$72)+COUNTIF(Logs!$K656, K$72)+COUNTIF(Logs!$K672, K$72)</f>
        <v>5</v>
      </c>
      <c r="L75" s="1432">
        <f t="shared" ref="L75:L86" si="44">IF(K75&gt;0, K75/SUM($C75,$E75, $G75,$I75,$K75), "")</f>
        <v>0.13157894736842105</v>
      </c>
      <c r="N75" s="1378" t="s">
        <v>186</v>
      </c>
      <c r="O75" s="319">
        <f>COUNTIF(Logs!$L10, O$72)+COUNTIF(Logs!$L28, O$72)+COUNTIF(Logs!$L46, O$72)+COUNTIF(Logs!$L64, O$72)+COUNTIF(Logs!$L82, O$72)+COUNTIF(Logs!$L101, O$72)+COUNTIF(Logs!$L121, O$72)+COUNTIF(Logs!$L140, O$72)+COUNTIF(Logs!$L160, O$72)+COUNTIF(Logs!$L178, O$72)+COUNTIF(Logs!$L199, O$72)+COUNTIF(Logs!$L216, O$72)+COUNTIF(Logs!$L234, O$72)+COUNTIF(Logs!$L251, O$72)+COUNTIF(Logs!$L268, O$72)+COUNTIF(Logs!$L286, O$72)+COUNTIF(Logs!$L303, O$72)+COUNTIF(Logs!$L321, O$72)+COUNTIF(Logs!$L339, O$72)+COUNTIF(Logs!$L357, O$72)+COUNTIF(Logs!$L375, O$72)+COUNTIF(Logs!$L394, O$72)+COUNTIF(Logs!$L412, O$72)+COUNTIF(Logs!$L430, O$72)+COUNTIF(Logs!$L448, O$72)+COUNTIF(Logs!$L466, O$72)+COUNTIF(Logs!$L484, O$72)+COUNTIF(Logs!$L502, O$72)+COUNTIF(Logs!$L520, O$72)+COUNTIF(Logs!$L538, O$72)+COUNTIF(Logs!$L556, O$72)+COUNTIF(Logs!$L573, O$72)+COUNTIF(Logs!$L592, O$72)+COUNTIF(Logs!$L624, O$72)+COUNTIF(Logs!$L641, O$72)+COUNTIF(Logs!$L656, O$72)+COUNTIF(Logs!$L672, O$72)</f>
        <v>24</v>
      </c>
      <c r="P75" s="1448">
        <f t="shared" ref="P75:P85" si="45">IF(O75&gt;0, O75/SUM($O75,$Q75, $S75,$U75,$W75), "")</f>
        <v>0.66666666666666663</v>
      </c>
      <c r="Q75" s="342">
        <f>COUNTIF(Logs!$L10, Q$72)+COUNTIF(Logs!$L28, Q$72)+COUNTIF(Logs!$L46, Q$72)+COUNTIF(Logs!$L64, Q$72)+COUNTIF(Logs!$L82, Q$72)+COUNTIF(Logs!$L101, Q$72)+COUNTIF(Logs!$L121, Q$72)+COUNTIF(Logs!$L140, Q$72)+COUNTIF(Logs!$L160, Q$72)+COUNTIF(Logs!$L178, Q$72)+COUNTIF(Logs!$L199, Q$72)+COUNTIF(Logs!$L216, Q$72)+COUNTIF(Logs!$L234, Q$72)+COUNTIF(Logs!$L251, Q$72)+COUNTIF(Logs!$L268, Q$72)+COUNTIF(Logs!$L286, Q$72)+COUNTIF(Logs!$L303, Q$72)+COUNTIF(Logs!$L321, Q$72)+COUNTIF(Logs!$L339, Q$72)+COUNTIF(Logs!$L357, Q$72)+COUNTIF(Logs!$L375, Q$72)+COUNTIF(Logs!$L394, Q$72)+COUNTIF(Logs!$L412, Q$72)+COUNTIF(Logs!$L430, Q$72)+COUNTIF(Logs!$L448, Q$72)+COUNTIF(Logs!$L466, Q$72)+COUNTIF(Logs!$L484, Q$72)+COUNTIF(Logs!$L502, Q$72)+COUNTIF(Logs!$L520, Q$72)+COUNTIF(Logs!$L538, Q$72)+COUNTIF(Logs!$L556, Q$72)+COUNTIF(Logs!$L573, Q$72)+COUNTIF(Logs!$L592, Q$72)+COUNTIF(Logs!$L624, Q$72)+COUNTIF(Logs!$L641, Q$72)+COUNTIF(Logs!$L656, Q$72)+COUNTIF(Logs!$L672, Q$72)</f>
        <v>6</v>
      </c>
      <c r="R75" s="1437">
        <f t="shared" ref="R75:R86" si="46">IF(Q75&gt;0, Q75/SUM($O75,$Q75, $S75,$U75,$W75), "")</f>
        <v>0.16666666666666666</v>
      </c>
      <c r="S75" s="1439">
        <f>COUNTIF(Logs!$L10, S$72)+COUNTIF(Logs!$L28, S$72)+COUNTIF(Logs!$L46, S$72)+COUNTIF(Logs!$L64, S$72)+COUNTIF(Logs!$L82, S$72)+COUNTIF(Logs!$L101, S$72)+COUNTIF(Logs!$L121, S$72)+COUNTIF(Logs!$L140, S$72)+COUNTIF(Logs!$L160, S$72)+COUNTIF(Logs!$L178, S$72)+COUNTIF(Logs!$L199, S$72)+COUNTIF(Logs!$L216, S$72)+COUNTIF(Logs!$L234, S$72)+COUNTIF(Logs!$L251, S$72)+COUNTIF(Logs!$L268, S$72)+COUNTIF(Logs!$L286, S$72)+COUNTIF(Logs!$L303, S$72)+COUNTIF(Logs!$L321, S$72)+COUNTIF(Logs!$L339, S$72)+COUNTIF(Logs!$L357, S$72)+COUNTIF(Logs!$L375, S$72)+COUNTIF(Logs!$L394, S$72)+COUNTIF(Logs!$L412, S$72)+COUNTIF(Logs!$L430, S$72)+COUNTIF(Logs!$L448, S$72)+COUNTIF(Logs!$L466, S$72)+COUNTIF(Logs!$L484, S$72)+COUNTIF(Logs!$L502, S$72)+COUNTIF(Logs!$L520, S$72)+COUNTIF(Logs!$L538, S$72)+COUNTIF(Logs!$L556, S$72)+COUNTIF(Logs!$L573, S$72)+COUNTIF(Logs!$L592, S$72)+COUNTIF(Logs!$L624, S$72)+COUNTIF(Logs!$L641, S$72)+COUNTIF(Logs!$L656, S$72)+COUNTIF(Logs!$L672, S$72)</f>
        <v>4</v>
      </c>
      <c r="T75" s="1440">
        <f t="shared" ref="T75:T86" si="47">IF(S75&gt;0, S75/SUM($O75,$Q75, $S75,$U75,$W75), "")</f>
        <v>0.1111111111111111</v>
      </c>
      <c r="U75" s="1443">
        <f>COUNTIF(Logs!$L10, U$72)+COUNTIF(Logs!$L28, U$72)+COUNTIF(Logs!$L46, U$72)+COUNTIF(Logs!$L64, U$72)+COUNTIF(Logs!$L82, U$72)+COUNTIF(Logs!$L101, U$72)+COUNTIF(Logs!$L121, U$72)+COUNTIF(Logs!$L140, U$72)+COUNTIF(Logs!$L160, U$72)+COUNTIF(Logs!$L178, U$72)+COUNTIF(Logs!$L199, U$72)+COUNTIF(Logs!$L216, U$72)+COUNTIF(Logs!$L234, U$72)+COUNTIF(Logs!$L251, U$72)+COUNTIF(Logs!$L268, U$72)+COUNTIF(Logs!$L286, U$72)+COUNTIF(Logs!$L303, U$72)+COUNTIF(Logs!$L321, U$72)+COUNTIF(Logs!$L339, U$72)+COUNTIF(Logs!$L357, U$72)+COUNTIF(Logs!$L375, U$72)+COUNTIF(Logs!$L394, U$72)+COUNTIF(Logs!$L412, U$72)+COUNTIF(Logs!$L430, U$72)+COUNTIF(Logs!$L448, U$72)+COUNTIF(Logs!$L466, U$72)+COUNTIF(Logs!$L484, U$72)+COUNTIF(Logs!$L502, U$72)+COUNTIF(Logs!$L520, U$72)+COUNTIF(Logs!$L538, U$72)+COUNTIF(Logs!$L556, U$72)+COUNTIF(Logs!$L573, U$72)+COUNTIF(Logs!$L592, U$72)+COUNTIF(Logs!$L624, U$72)+COUNTIF(Logs!$L641, U$72)+COUNTIF(Logs!$L656, U$72)+COUNTIF(Logs!$L672, U$72)</f>
        <v>1</v>
      </c>
      <c r="V75" s="1444">
        <f t="shared" ref="V75:V86" si="48">IF(U75&gt;0, U75/SUM($O75,$Q75, $S75,$U75,$W75), "")</f>
        <v>2.7777777777777776E-2</v>
      </c>
      <c r="W75" s="1101">
        <f>COUNTIF(Logs!$L10, W$72)+COUNTIF(Logs!$L28, W$72)+COUNTIF(Logs!$L46, W$72)+COUNTIF(Logs!$L64, W$72)+COUNTIF(Logs!$L82, W$72)+COUNTIF(Logs!$L101, W$72)+COUNTIF(Logs!$L121, W$72)+COUNTIF(Logs!$L140, W$72)+COUNTIF(Logs!$L160, W$72)+COUNTIF(Logs!$L178, W$72)+COUNTIF(Logs!$L199, W$72)+COUNTIF(Logs!$L216, W$72)+COUNTIF(Logs!$L234, W$72)+COUNTIF(Logs!$L251, W$72)+COUNTIF(Logs!$L268, W$72)+COUNTIF(Logs!$L286, W$72)+COUNTIF(Logs!$L303, W$72)+COUNTIF(Logs!$L321, W$72)+COUNTIF(Logs!$L339, W$72)+COUNTIF(Logs!$L357, W$72)+COUNTIF(Logs!$L375, W$72)+COUNTIF(Logs!$L394, W$72)+COUNTIF(Logs!$L412, W$72)+COUNTIF(Logs!$L430, W$72)+COUNTIF(Logs!$L448, W$72)+COUNTIF(Logs!$L466, W$72)+COUNTIF(Logs!$L484, W$72)+COUNTIF(Logs!$L502, W$72)+COUNTIF(Logs!$L520, W$72)+COUNTIF(Logs!$L538, W$72)+COUNTIF(Logs!$L556, W$72)+COUNTIF(Logs!$L573, W$72)+COUNTIF(Logs!$L592, W$72)+COUNTIF(Logs!$L624, W$72)+COUNTIF(Logs!$L641, W$72)+COUNTIF(Logs!$L656, W$72)+COUNTIF(Logs!$L672, W$72)</f>
        <v>1</v>
      </c>
      <c r="X75" s="1432">
        <f t="shared" ref="X75:X86" si="49">IF(W75&gt;0, W75/SUM($O75,$Q75, $S75,$U75,$W75), "")</f>
        <v>2.7777777777777776E-2</v>
      </c>
    </row>
    <row r="76" spans="2:24">
      <c r="B76" s="1378" t="s">
        <v>187</v>
      </c>
      <c r="C76" s="319">
        <f>COUNTIF(Logs!$K11, C$72)+COUNTIF(Logs!$K29, C$72)+COUNTIF(Logs!$K47, C$72)+COUNTIF(Logs!$K65, C$72)+COUNTIF(Logs!$K83, C$72)+COUNTIF(Logs!$K102, C$72)+COUNTIF(Logs!$K122, C$72)+COUNTIF(Logs!$K141, C$72)+COUNTIF(Logs!$K161, C$72)+COUNTIF(Logs!$K179, C$72)+COUNTIF(Logs!$K200, C$72)+COUNTIF(Logs!$K217, C$72)+COUNTIF(Logs!$K235, C$72)+COUNTIF(Logs!$K252, C$72)+COUNTIF(Logs!$K269, C$72)+COUNTIF(Logs!$K287, C$72)+COUNTIF(Logs!$K304, C$72)+COUNTIF(Logs!$K322, C$72)+COUNTIF(Logs!$K340, C$72)+COUNTIF(Logs!$K358, C$72)+COUNTIF(Logs!$K376, C$72)+COUNTIF(Logs!$K395, C$72)+COUNTIF(Logs!$K413, C$72)+COUNTIF(Logs!$K431, C$72)+COUNTIF(Logs!$K449, C$72)+COUNTIF(Logs!$K467, C$72)+COUNTIF(Logs!$K485, C$72)+COUNTIF(Logs!$K503, C$72)+COUNTIF(Logs!$K521, C$72)+COUNTIF(Logs!$K539, C$72)+COUNTIF(Logs!$K557, C$72)+COUNTIF(Logs!$K574, C$72)+COUNTIF(Logs!$K593, C$72)+COUNTIF(Logs!$K609, C$72)+COUNTIF(Logs!$K625, C$72)+COUNTIF(Logs!$K642, C$72)+COUNTIF(Logs!$K657, C$72)+COUNTIF(Logs!$K673, C$72)</f>
        <v>25</v>
      </c>
      <c r="D76" s="1448">
        <f t="shared" si="40"/>
        <v>0.65789473684210531</v>
      </c>
      <c r="E76" s="342">
        <f>COUNTIF(Logs!$K11, E$72)+COUNTIF(Logs!$K29, E$72)+COUNTIF(Logs!$K47, E$72)+COUNTIF(Logs!$K65, E$72)+COUNTIF(Logs!$K83, E$72)+COUNTIF(Logs!$K102, E$72)+COUNTIF(Logs!$K122, E$72)+COUNTIF(Logs!$K141, E$72)+COUNTIF(Logs!$K161, E$72)+COUNTIF(Logs!$K179, E$72)+COUNTIF(Logs!$K200, E$72)+COUNTIF(Logs!$K217, E$72)+COUNTIF(Logs!$K235, E$72)+COUNTIF(Logs!$K252, E$72)+COUNTIF(Logs!$K269, E$72)+COUNTIF(Logs!$K287, E$72)+COUNTIF(Logs!$K304, E$72)+COUNTIF(Logs!$K322, E$72)+COUNTIF(Logs!$K340, E$72)+COUNTIF(Logs!$K358, E$72)+COUNTIF(Logs!$K376, E$72)+COUNTIF(Logs!$K395, E$72)+COUNTIF(Logs!$K413, E$72)+COUNTIF(Logs!$K431, E$72)+COUNTIF(Logs!$K449, E$72)+COUNTIF(Logs!$K467, E$72)+COUNTIF(Logs!$K485, E$72)+COUNTIF(Logs!$K503, E$72)+COUNTIF(Logs!$K521, E$72)+COUNTIF(Logs!$K539, E$72)+COUNTIF(Logs!$K557, E$72)+COUNTIF(Logs!$K574, E$72)+COUNTIF(Logs!$K593, E$72)+COUNTIF(Logs!$K609, E$72)+COUNTIF(Logs!$K625, E$72)+COUNTIF(Logs!$K642, E$72)+COUNTIF(Logs!$K657, E$72)+COUNTIF(Logs!$K673, E$72)</f>
        <v>5</v>
      </c>
      <c r="F76" s="1437">
        <f t="shared" si="41"/>
        <v>0.13157894736842105</v>
      </c>
      <c r="G76" s="1439">
        <f>COUNTIF(Logs!$K11, G$72)+COUNTIF(Logs!$K29, G$72)+COUNTIF(Logs!$K47, G$72)+COUNTIF(Logs!$K65, G$72)+COUNTIF(Logs!$K83, G$72)+COUNTIF(Logs!$K102, G$72)+COUNTIF(Logs!$K122, G$72)+COUNTIF(Logs!$K141, G$72)+COUNTIF(Logs!$K161, G$72)+COUNTIF(Logs!$K179, G$72)+COUNTIF(Logs!$K200, G$72)+COUNTIF(Logs!$K217, G$72)+COUNTIF(Logs!$K235, G$72)+COUNTIF(Logs!$K252, G$72)+COUNTIF(Logs!$K269, G$72)+COUNTIF(Logs!$K287, G$72)+COUNTIF(Logs!$K304, G$72)+COUNTIF(Logs!$K322, G$72)+COUNTIF(Logs!$K340, G$72)+COUNTIF(Logs!$K358, G$72)+COUNTIF(Logs!$K376, G$72)+COUNTIF(Logs!$K395, G$72)+COUNTIF(Logs!$K413, G$72)+COUNTIF(Logs!$K431, G$72)+COUNTIF(Logs!$K449, G$72)+COUNTIF(Logs!$K467, G$72)+COUNTIF(Logs!$K485, G$72)+COUNTIF(Logs!$K503, G$72)+COUNTIF(Logs!$K521, G$72)+COUNTIF(Logs!$K539, G$72)+COUNTIF(Logs!$K557, G$72)+COUNTIF(Logs!$K574, G$72)+COUNTIF(Logs!$K593, G$72)+COUNTIF(Logs!$K609, G$72)+COUNTIF(Logs!$K625, G$72)+COUNTIF(Logs!$K642, G$72)+COUNTIF(Logs!$K657, G$72)+COUNTIF(Logs!$K673, G$72)</f>
        <v>8</v>
      </c>
      <c r="H76" s="1440">
        <f t="shared" si="42"/>
        <v>0.21052631578947367</v>
      </c>
      <c r="I76" s="1443">
        <f>COUNTIF(Logs!$K11, I$72)+COUNTIF(Logs!$K29, I$72)+COUNTIF(Logs!$K47, I$72)+COUNTIF(Logs!$K65, I$72)+COUNTIF(Logs!$K83, I$72)+COUNTIF(Logs!$K102, I$72)+COUNTIF(Logs!$K122, I$72)+COUNTIF(Logs!$K141, I$72)+COUNTIF(Logs!$K161, I$72)+COUNTIF(Logs!$K179, I$72)+COUNTIF(Logs!$K200, I$72)+COUNTIF(Logs!$K217, I$72)+COUNTIF(Logs!$K235, I$72)+COUNTIF(Logs!$K252, I$72)+COUNTIF(Logs!$K269, I$72)+COUNTIF(Logs!$K287, I$72)+COUNTIF(Logs!$K304, I$72)+COUNTIF(Logs!$K322, I$72)+COUNTIF(Logs!$K340, I$72)+COUNTIF(Logs!$K358, I$72)+COUNTIF(Logs!$K376, I$72)+COUNTIF(Logs!$K395, I$72)+COUNTIF(Logs!$K413, I$72)+COUNTIF(Logs!$K431, I$72)+COUNTIF(Logs!$K449, I$72)+COUNTIF(Logs!$K467, I$72)+COUNTIF(Logs!$K485, I$72)+COUNTIF(Logs!$K503, I$72)+COUNTIF(Logs!$K521, I$72)+COUNTIF(Logs!$K539, I$72)+COUNTIF(Logs!$K557, I$72)+COUNTIF(Logs!$K574, I$72)+COUNTIF(Logs!$K593, I$72)+COUNTIF(Logs!$K609, I$72)+COUNTIF(Logs!$K625, I$72)+COUNTIF(Logs!$K642, I$72)+COUNTIF(Logs!$K657, I$72)+COUNTIF(Logs!$K673, I$72)</f>
        <v>0</v>
      </c>
      <c r="J76" s="1444" t="str">
        <f t="shared" si="43"/>
        <v/>
      </c>
      <c r="K76" s="1101">
        <f>COUNTIF(Logs!$K11, K$72)+COUNTIF(Logs!$K29, K$72)+COUNTIF(Logs!$K47, K$72)+COUNTIF(Logs!$K65, K$72)+COUNTIF(Logs!$K83, K$72)+COUNTIF(Logs!$K102, K$72)+COUNTIF(Logs!$K122, K$72)+COUNTIF(Logs!$K141, K$72)+COUNTIF(Logs!$K161, K$72)+COUNTIF(Logs!$K179, K$72)+COUNTIF(Logs!$K200, K$72)+COUNTIF(Logs!$K217, K$72)+COUNTIF(Logs!$K235, K$72)+COUNTIF(Logs!$K252, K$72)+COUNTIF(Logs!$K269, K$72)+COUNTIF(Logs!$K287, K$72)+COUNTIF(Logs!$K304, K$72)+COUNTIF(Logs!$K322, K$72)+COUNTIF(Logs!$K340, K$72)+COUNTIF(Logs!$K358, K$72)+COUNTIF(Logs!$K376, K$72)+COUNTIF(Logs!$K395, K$72)+COUNTIF(Logs!$K413, K$72)+COUNTIF(Logs!$K431, K$72)+COUNTIF(Logs!$K449, K$72)+COUNTIF(Logs!$K467, K$72)+COUNTIF(Logs!$K485, K$72)+COUNTIF(Logs!$K503, K$72)+COUNTIF(Logs!$K521, K$72)+COUNTIF(Logs!$K539, K$72)+COUNTIF(Logs!$K557, K$72)+COUNTIF(Logs!$K574, K$72)+COUNTIF(Logs!$K593, K$72)+COUNTIF(Logs!$K609, K$72)+COUNTIF(Logs!$K625, K$72)+COUNTIF(Logs!$K642, K$72)+COUNTIF(Logs!$K657, K$72)+COUNTIF(Logs!$K673, K$72)</f>
        <v>0</v>
      </c>
      <c r="L76" s="1432" t="str">
        <f t="shared" si="44"/>
        <v/>
      </c>
      <c r="N76" s="1378" t="s">
        <v>187</v>
      </c>
      <c r="O76" s="319">
        <f>COUNTIF(Logs!$L11, O$72)+COUNTIF(Logs!$L29, O$72)+COUNTIF(Logs!$L47, O$72)+COUNTIF(Logs!$L65, O$72)+COUNTIF(Logs!$L83, O$72)+COUNTIF(Logs!$L102, O$72)+COUNTIF(Logs!$L122, O$72)+COUNTIF(Logs!$L141, O$72)+COUNTIF(Logs!$L161, O$72)+COUNTIF(Logs!$L179, O$72)+COUNTIF(Logs!$L200, O$72)+COUNTIF(Logs!$L217, O$72)+COUNTIF(Logs!$L235, O$72)+COUNTIF(Logs!$L252, O$72)+COUNTIF(Logs!$L269, O$72)+COUNTIF(Logs!$L287, O$72)+COUNTIF(Logs!$L304, O$72)+COUNTIF(Logs!$L322, O$72)+COUNTIF(Logs!$L340, O$72)+COUNTIF(Logs!$L358, O$72)+COUNTIF(Logs!$L376, O$72)+COUNTIF(Logs!$L395, O$72)+COUNTIF(Logs!$L413, O$72)+COUNTIF(Logs!$L431, O$72)+COUNTIF(Logs!$L449, O$72)+COUNTIF(Logs!$L467, O$72)+COUNTIF(Logs!$L485, O$72)+COUNTIF(Logs!$L503, O$72)+COUNTIF(Logs!$L521, O$72)+COUNTIF(Logs!$L539, O$72)+COUNTIF(Logs!$L557, O$72)+COUNTIF(Logs!$L574, O$72)+COUNTIF(Logs!$L593, O$72)+COUNTIF(Logs!$L625, O$72)+COUNTIF(Logs!$L642, O$72)+COUNTIF(Logs!$L657, O$72)+COUNTIF(Logs!$L673, O$72)</f>
        <v>16</v>
      </c>
      <c r="P76" s="1448">
        <f t="shared" si="45"/>
        <v>0.44444444444444442</v>
      </c>
      <c r="Q76" s="342">
        <f>COUNTIF(Logs!$L11, Q$72)+COUNTIF(Logs!$L29, Q$72)+COUNTIF(Logs!$L47, Q$72)+COUNTIF(Logs!$L65, Q$72)+COUNTIF(Logs!$L83, Q$72)+COUNTIF(Logs!$L102, Q$72)+COUNTIF(Logs!$L122, Q$72)+COUNTIF(Logs!$L141, Q$72)+COUNTIF(Logs!$L161, Q$72)+COUNTIF(Logs!$L179, Q$72)+COUNTIF(Logs!$L200, Q$72)+COUNTIF(Logs!$L217, Q$72)+COUNTIF(Logs!$L235, Q$72)+COUNTIF(Logs!$L252, Q$72)+COUNTIF(Logs!$L269, Q$72)+COUNTIF(Logs!$L287, Q$72)+COUNTIF(Logs!$L304, Q$72)+COUNTIF(Logs!$L322, Q$72)+COUNTIF(Logs!$L340, Q$72)+COUNTIF(Logs!$L358, Q$72)+COUNTIF(Logs!$L376, Q$72)+COUNTIF(Logs!$L395, Q$72)+COUNTIF(Logs!$L413, Q$72)+COUNTIF(Logs!$L431, Q$72)+COUNTIF(Logs!$L449, Q$72)+COUNTIF(Logs!$L467, Q$72)+COUNTIF(Logs!$L485, Q$72)+COUNTIF(Logs!$L503, Q$72)+COUNTIF(Logs!$L521, Q$72)+COUNTIF(Logs!$L539, Q$72)+COUNTIF(Logs!$L557, Q$72)+COUNTIF(Logs!$L574, Q$72)+COUNTIF(Logs!$L593, Q$72)+COUNTIF(Logs!$L625, Q$72)+COUNTIF(Logs!$L642, Q$72)+COUNTIF(Logs!$L657, Q$72)+COUNTIF(Logs!$L673, Q$72)</f>
        <v>9</v>
      </c>
      <c r="R76" s="1437">
        <f t="shared" si="46"/>
        <v>0.25</v>
      </c>
      <c r="S76" s="1439">
        <f>COUNTIF(Logs!$L11, S$72)+COUNTIF(Logs!$L29, S$72)+COUNTIF(Logs!$L47, S$72)+COUNTIF(Logs!$L65, S$72)+COUNTIF(Logs!$L83, S$72)+COUNTIF(Logs!$L102, S$72)+COUNTIF(Logs!$L122, S$72)+COUNTIF(Logs!$L141, S$72)+COUNTIF(Logs!$L161, S$72)+COUNTIF(Logs!$L179, S$72)+COUNTIF(Logs!$L200, S$72)+COUNTIF(Logs!$L217, S$72)+COUNTIF(Logs!$L235, S$72)+COUNTIF(Logs!$L252, S$72)+COUNTIF(Logs!$L269, S$72)+COUNTIF(Logs!$L287, S$72)+COUNTIF(Logs!$L304, S$72)+COUNTIF(Logs!$L322, S$72)+COUNTIF(Logs!$L340, S$72)+COUNTIF(Logs!$L358, S$72)+COUNTIF(Logs!$L376, S$72)+COUNTIF(Logs!$L395, S$72)+COUNTIF(Logs!$L413, S$72)+COUNTIF(Logs!$L431, S$72)+COUNTIF(Logs!$L449, S$72)+COUNTIF(Logs!$L467, S$72)+COUNTIF(Logs!$L485, S$72)+COUNTIF(Logs!$L503, S$72)+COUNTIF(Logs!$L521, S$72)+COUNTIF(Logs!$L539, S$72)+COUNTIF(Logs!$L557, S$72)+COUNTIF(Logs!$L574, S$72)+COUNTIF(Logs!$L593, S$72)+COUNTIF(Logs!$L625, S$72)+COUNTIF(Logs!$L642, S$72)+COUNTIF(Logs!$L657, S$72)+COUNTIF(Logs!$L673, S$72)</f>
        <v>7</v>
      </c>
      <c r="T76" s="1440">
        <f t="shared" si="47"/>
        <v>0.19444444444444445</v>
      </c>
      <c r="U76" s="1443">
        <f>COUNTIF(Logs!$L11, U$72)+COUNTIF(Logs!$L29, U$72)+COUNTIF(Logs!$L47, U$72)+COUNTIF(Logs!$L65, U$72)+COUNTIF(Logs!$L83, U$72)+COUNTIF(Logs!$L102, U$72)+COUNTIF(Logs!$L122, U$72)+COUNTIF(Logs!$L141, U$72)+COUNTIF(Logs!$L161, U$72)+COUNTIF(Logs!$L179, U$72)+COUNTIF(Logs!$L200, U$72)+COUNTIF(Logs!$L217, U$72)+COUNTIF(Logs!$L235, U$72)+COUNTIF(Logs!$L252, U$72)+COUNTIF(Logs!$L269, U$72)+COUNTIF(Logs!$L287, U$72)+COUNTIF(Logs!$L304, U$72)+COUNTIF(Logs!$L322, U$72)+COUNTIF(Logs!$L340, U$72)+COUNTIF(Logs!$L358, U$72)+COUNTIF(Logs!$L376, U$72)+COUNTIF(Logs!$L395, U$72)+COUNTIF(Logs!$L413, U$72)+COUNTIF(Logs!$L431, U$72)+COUNTIF(Logs!$L449, U$72)+COUNTIF(Logs!$L467, U$72)+COUNTIF(Logs!$L485, U$72)+COUNTIF(Logs!$L503, U$72)+COUNTIF(Logs!$L521, U$72)+COUNTIF(Logs!$L539, U$72)+COUNTIF(Logs!$L557, U$72)+COUNTIF(Logs!$L574, U$72)+COUNTIF(Logs!$L593, U$72)+COUNTIF(Logs!$L625, U$72)+COUNTIF(Logs!$L642, U$72)+COUNTIF(Logs!$L657, U$72)+COUNTIF(Logs!$L673, U$72)</f>
        <v>2</v>
      </c>
      <c r="V76" s="1444">
        <f t="shared" si="48"/>
        <v>5.5555555555555552E-2</v>
      </c>
      <c r="W76" s="1101">
        <f>COUNTIF(Logs!$L11, W$72)+COUNTIF(Logs!$L29, W$72)+COUNTIF(Logs!$L47, W$72)+COUNTIF(Logs!$L65, W$72)+COUNTIF(Logs!$L83, W$72)+COUNTIF(Logs!$L102, W$72)+COUNTIF(Logs!$L122, W$72)+COUNTIF(Logs!$L141, W$72)+COUNTIF(Logs!$L161, W$72)+COUNTIF(Logs!$L179, W$72)+COUNTIF(Logs!$L200, W$72)+COUNTIF(Logs!$L217, W$72)+COUNTIF(Logs!$L235, W$72)+COUNTIF(Logs!$L252, W$72)+COUNTIF(Logs!$L269, W$72)+COUNTIF(Logs!$L287, W$72)+COUNTIF(Logs!$L304, W$72)+COUNTIF(Logs!$L322, W$72)+COUNTIF(Logs!$L340, W$72)+COUNTIF(Logs!$L358, W$72)+COUNTIF(Logs!$L376, W$72)+COUNTIF(Logs!$L395, W$72)+COUNTIF(Logs!$L413, W$72)+COUNTIF(Logs!$L431, W$72)+COUNTIF(Logs!$L449, W$72)+COUNTIF(Logs!$L467, W$72)+COUNTIF(Logs!$L485, W$72)+COUNTIF(Logs!$L503, W$72)+COUNTIF(Logs!$L521, W$72)+COUNTIF(Logs!$L539, W$72)+COUNTIF(Logs!$L557, W$72)+COUNTIF(Logs!$L574, W$72)+COUNTIF(Logs!$L593, W$72)+COUNTIF(Logs!$L625, W$72)+COUNTIF(Logs!$L642, W$72)+COUNTIF(Logs!$L657, W$72)+COUNTIF(Logs!$L673, W$72)</f>
        <v>2</v>
      </c>
      <c r="X76" s="1432">
        <f t="shared" si="49"/>
        <v>5.5555555555555552E-2</v>
      </c>
    </row>
    <row r="77" spans="2:24">
      <c r="B77" s="1378" t="s">
        <v>188</v>
      </c>
      <c r="C77" s="319">
        <f>COUNTIF(Logs!$K12, C$72)+COUNTIF(Logs!$K30, C$72)+COUNTIF(Logs!$K48, C$72)+COUNTIF(Logs!$K66, C$72)+COUNTIF(Logs!$K84, C$72)+COUNTIF(Logs!$K103, C$72)+COUNTIF(Logs!$K123, C$72)+COUNTIF(Logs!$K142, C$72)+COUNTIF(Logs!$K162, C$72)+COUNTIF(Logs!$K180, C$72)+COUNTIF(Logs!$K201, C$72)+COUNTIF(Logs!$K218, C$72)+COUNTIF(Logs!$K236, C$72)+COUNTIF(Logs!$K253, C$72)+COUNTIF(Logs!$K270, C$72)+COUNTIF(Logs!$K288, C$72)+COUNTIF(Logs!$K305, C$72)+COUNTIF(Logs!$K323, C$72)+COUNTIF(Logs!$K341, C$72)+COUNTIF(Logs!$K359, C$72)+COUNTIF(Logs!$K377, C$72)+COUNTIF(Logs!$K396, C$72)+COUNTIF(Logs!$K414, C$72)+COUNTIF(Logs!$K432, C$72)+COUNTIF(Logs!$K450, C$72)+COUNTIF(Logs!$K468, C$72)+COUNTIF(Logs!$K486, C$72)+COUNTIF(Logs!$K504, C$72)+COUNTIF(Logs!$K522, C$72)+COUNTIF(Logs!$K540, C$72)+COUNTIF(Logs!$K558, C$72)+COUNTIF(Logs!$K575, C$72)+COUNTIF(Logs!$K594, C$72)+COUNTIF(Logs!$K610, C$72)+COUNTIF(Logs!$K626, C$72)+COUNTIF(Logs!$K643, C$72)+COUNTIF(Logs!$K658, C$72)+COUNTIF(Logs!$K674, C$72)</f>
        <v>20</v>
      </c>
      <c r="D77" s="1448">
        <f t="shared" si="40"/>
        <v>0.52631578947368418</v>
      </c>
      <c r="E77" s="342">
        <f>COUNTIF(Logs!$K12, E$72)+COUNTIF(Logs!$K30, E$72)+COUNTIF(Logs!$K48, E$72)+COUNTIF(Logs!$K66, E$72)+COUNTIF(Logs!$K84, E$72)+COUNTIF(Logs!$K103, E$72)+COUNTIF(Logs!$K123, E$72)+COUNTIF(Logs!$K142, E$72)+COUNTIF(Logs!$K162, E$72)+COUNTIF(Logs!$K180, E$72)+COUNTIF(Logs!$K201, E$72)+COUNTIF(Logs!$K218, E$72)+COUNTIF(Logs!$K236, E$72)+COUNTIF(Logs!$K253, E$72)+COUNTIF(Logs!$K270, E$72)+COUNTIF(Logs!$K288, E$72)+COUNTIF(Logs!$K305, E$72)+COUNTIF(Logs!$K323, E$72)+COUNTIF(Logs!$K341, E$72)+COUNTIF(Logs!$K359, E$72)+COUNTIF(Logs!$K377, E$72)+COUNTIF(Logs!$K396, E$72)+COUNTIF(Logs!$K414, E$72)+COUNTIF(Logs!$K432, E$72)+COUNTIF(Logs!$K450, E$72)+COUNTIF(Logs!$K468, E$72)+COUNTIF(Logs!$K486, E$72)+COUNTIF(Logs!$K504, E$72)+COUNTIF(Logs!$K522, E$72)+COUNTIF(Logs!$K540, E$72)+COUNTIF(Logs!$K558, E$72)+COUNTIF(Logs!$K575, E$72)+COUNTIF(Logs!$K594, E$72)+COUNTIF(Logs!$K610, E$72)+COUNTIF(Logs!$K626, E$72)+COUNTIF(Logs!$K643, E$72)+COUNTIF(Logs!$K658, E$72)+COUNTIF(Logs!$K674, E$72)</f>
        <v>3</v>
      </c>
      <c r="F77" s="1437">
        <f t="shared" si="41"/>
        <v>7.8947368421052627E-2</v>
      </c>
      <c r="G77" s="1439">
        <f>COUNTIF(Logs!$K12, G$72)+COUNTIF(Logs!$K30, G$72)+COUNTIF(Logs!$K48, G$72)+COUNTIF(Logs!$K66, G$72)+COUNTIF(Logs!$K84, G$72)+COUNTIF(Logs!$K103, G$72)+COUNTIF(Logs!$K123, G$72)+COUNTIF(Logs!$K142, G$72)+COUNTIF(Logs!$K162, G$72)+COUNTIF(Logs!$K180, G$72)+COUNTIF(Logs!$K201, G$72)+COUNTIF(Logs!$K218, G$72)+COUNTIF(Logs!$K236, G$72)+COUNTIF(Logs!$K253, G$72)+COUNTIF(Logs!$K270, G$72)+COUNTIF(Logs!$K288, G$72)+COUNTIF(Logs!$K305, G$72)+COUNTIF(Logs!$K323, G$72)+COUNTIF(Logs!$K341, G$72)+COUNTIF(Logs!$K359, G$72)+COUNTIF(Logs!$K377, G$72)+COUNTIF(Logs!$K396, G$72)+COUNTIF(Logs!$K414, G$72)+COUNTIF(Logs!$K432, G$72)+COUNTIF(Logs!$K450, G$72)+COUNTIF(Logs!$K468, G$72)+COUNTIF(Logs!$K486, G$72)+COUNTIF(Logs!$K504, G$72)+COUNTIF(Logs!$K522, G$72)+COUNTIF(Logs!$K540, G$72)+COUNTIF(Logs!$K558, G$72)+COUNTIF(Logs!$K575, G$72)+COUNTIF(Logs!$K594, G$72)+COUNTIF(Logs!$K610, G$72)+COUNTIF(Logs!$K626, G$72)+COUNTIF(Logs!$K643, G$72)+COUNTIF(Logs!$K658, G$72)+COUNTIF(Logs!$K674, G$72)</f>
        <v>13</v>
      </c>
      <c r="H77" s="1440">
        <f t="shared" si="42"/>
        <v>0.34210526315789475</v>
      </c>
      <c r="I77" s="1443">
        <f>COUNTIF(Logs!$K12, I$72)+COUNTIF(Logs!$K30, I$72)+COUNTIF(Logs!$K48, I$72)+COUNTIF(Logs!$K66, I$72)+COUNTIF(Logs!$K84, I$72)+COUNTIF(Logs!$K103, I$72)+COUNTIF(Logs!$K123, I$72)+COUNTIF(Logs!$K142, I$72)+COUNTIF(Logs!$K162, I$72)+COUNTIF(Logs!$K180, I$72)+COUNTIF(Logs!$K201, I$72)+COUNTIF(Logs!$K218, I$72)+COUNTIF(Logs!$K236, I$72)+COUNTIF(Logs!$K253, I$72)+COUNTIF(Logs!$K270, I$72)+COUNTIF(Logs!$K288, I$72)+COUNTIF(Logs!$K305, I$72)+COUNTIF(Logs!$K323, I$72)+COUNTIF(Logs!$K341, I$72)+COUNTIF(Logs!$K359, I$72)+COUNTIF(Logs!$K377, I$72)+COUNTIF(Logs!$K396, I$72)+COUNTIF(Logs!$K414, I$72)+COUNTIF(Logs!$K432, I$72)+COUNTIF(Logs!$K450, I$72)+COUNTIF(Logs!$K468, I$72)+COUNTIF(Logs!$K486, I$72)+COUNTIF(Logs!$K504, I$72)+COUNTIF(Logs!$K522, I$72)+COUNTIF(Logs!$K540, I$72)+COUNTIF(Logs!$K558, I$72)+COUNTIF(Logs!$K575, I$72)+COUNTIF(Logs!$K594, I$72)+COUNTIF(Logs!$K610, I$72)+COUNTIF(Logs!$K626, I$72)+COUNTIF(Logs!$K643, I$72)+COUNTIF(Logs!$K658, I$72)+COUNTIF(Logs!$K674, I$72)</f>
        <v>0</v>
      </c>
      <c r="J77" s="1444" t="str">
        <f t="shared" si="43"/>
        <v/>
      </c>
      <c r="K77" s="1101">
        <f>COUNTIF(Logs!$K12, K$72)+COUNTIF(Logs!$K30, K$72)+COUNTIF(Logs!$K48, K$72)+COUNTIF(Logs!$K66, K$72)+COUNTIF(Logs!$K84, K$72)+COUNTIF(Logs!$K103, K$72)+COUNTIF(Logs!$K123, K$72)+COUNTIF(Logs!$K142, K$72)+COUNTIF(Logs!$K162, K$72)+COUNTIF(Logs!$K180, K$72)+COUNTIF(Logs!$K201, K$72)+COUNTIF(Logs!$K218, K$72)+COUNTIF(Logs!$K236, K$72)+COUNTIF(Logs!$K253, K$72)+COUNTIF(Logs!$K270, K$72)+COUNTIF(Logs!$K288, K$72)+COUNTIF(Logs!$K305, K$72)+COUNTIF(Logs!$K323, K$72)+COUNTIF(Logs!$K341, K$72)+COUNTIF(Logs!$K359, K$72)+COUNTIF(Logs!$K377, K$72)+COUNTIF(Logs!$K396, K$72)+COUNTIF(Logs!$K414, K$72)+COUNTIF(Logs!$K432, K$72)+COUNTIF(Logs!$K450, K$72)+COUNTIF(Logs!$K468, K$72)+COUNTIF(Logs!$K486, K$72)+COUNTIF(Logs!$K504, K$72)+COUNTIF(Logs!$K522, K$72)+COUNTIF(Logs!$K540, K$72)+COUNTIF(Logs!$K558, K$72)+COUNTIF(Logs!$K575, K$72)+COUNTIF(Logs!$K594, K$72)+COUNTIF(Logs!$K610, K$72)+COUNTIF(Logs!$K626, K$72)+COUNTIF(Logs!$K643, K$72)+COUNTIF(Logs!$K658, K$72)+COUNTIF(Logs!$K674, K$72)</f>
        <v>2</v>
      </c>
      <c r="L77" s="1432">
        <f t="shared" si="44"/>
        <v>5.2631578947368418E-2</v>
      </c>
      <c r="N77" s="1378" t="s">
        <v>188</v>
      </c>
      <c r="O77" s="319">
        <f>COUNTIF(Logs!$L12, O$72)+COUNTIF(Logs!$L30, O$72)+COUNTIF(Logs!$L48, O$72)+COUNTIF(Logs!$L66, O$72)+COUNTIF(Logs!$L84, O$72)+COUNTIF(Logs!$L103, O$72)+COUNTIF(Logs!$L123, O$72)+COUNTIF(Logs!$L142, O$72)+COUNTIF(Logs!$L162, O$72)+COUNTIF(Logs!$L180, O$72)+COUNTIF(Logs!$L201, O$72)+COUNTIF(Logs!$L218, O$72)+COUNTIF(Logs!$L236, O$72)+COUNTIF(Logs!$L253, O$72)+COUNTIF(Logs!$L270, O$72)+COUNTIF(Logs!$L288, O$72)+COUNTIF(Logs!$L305, O$72)+COUNTIF(Logs!$L323, O$72)+COUNTIF(Logs!$L341, O$72)+COUNTIF(Logs!$L359, O$72)+COUNTIF(Logs!$L377, O$72)+COUNTIF(Logs!$L396, O$72)+COUNTIF(Logs!$L414, O$72)+COUNTIF(Logs!$L432, O$72)+COUNTIF(Logs!$L450, O$72)+COUNTIF(Logs!$L468, O$72)+COUNTIF(Logs!$L486, O$72)+COUNTIF(Logs!$L504, O$72)+COUNTIF(Logs!$L522, O$72)+COUNTIF(Logs!$L540, O$72)+COUNTIF(Logs!$L558, O$72)+COUNTIF(Logs!$L575, O$72)+COUNTIF(Logs!$L594, O$72)+COUNTIF(Logs!$L626, O$72)+COUNTIF(Logs!$L643, O$72)+COUNTIF(Logs!$L658, O$72)+COUNTIF(Logs!$L674, O$72)</f>
        <v>22</v>
      </c>
      <c r="P77" s="1448">
        <f t="shared" si="45"/>
        <v>0.61111111111111116</v>
      </c>
      <c r="Q77" s="342">
        <f>COUNTIF(Logs!$L12, Q$72)+COUNTIF(Logs!$L30, Q$72)+COUNTIF(Logs!$L48, Q$72)+COUNTIF(Logs!$L66, Q$72)+COUNTIF(Logs!$L84, Q$72)+COUNTIF(Logs!$L103, Q$72)+COUNTIF(Logs!$L123, Q$72)+COUNTIF(Logs!$L142, Q$72)+COUNTIF(Logs!$L162, Q$72)+COUNTIF(Logs!$L180, Q$72)+COUNTIF(Logs!$L201, Q$72)+COUNTIF(Logs!$L218, Q$72)+COUNTIF(Logs!$L236, Q$72)+COUNTIF(Logs!$L253, Q$72)+COUNTIF(Logs!$L270, Q$72)+COUNTIF(Logs!$L288, Q$72)+COUNTIF(Logs!$L305, Q$72)+COUNTIF(Logs!$L323, Q$72)+COUNTIF(Logs!$L341, Q$72)+COUNTIF(Logs!$L359, Q$72)+COUNTIF(Logs!$L377, Q$72)+COUNTIF(Logs!$L396, Q$72)+COUNTIF(Logs!$L414, Q$72)+COUNTIF(Logs!$L432, Q$72)+COUNTIF(Logs!$L450, Q$72)+COUNTIF(Logs!$L468, Q$72)+COUNTIF(Logs!$L486, Q$72)+COUNTIF(Logs!$L504, Q$72)+COUNTIF(Logs!$L522, Q$72)+COUNTIF(Logs!$L540, Q$72)+COUNTIF(Logs!$L558, Q$72)+COUNTIF(Logs!$L575, Q$72)+COUNTIF(Logs!$L594, Q$72)+COUNTIF(Logs!$L626, Q$72)+COUNTIF(Logs!$L643, Q$72)+COUNTIF(Logs!$L658, Q$72)+COUNTIF(Logs!$L674, Q$72)</f>
        <v>7</v>
      </c>
      <c r="R77" s="1437">
        <f t="shared" si="46"/>
        <v>0.19444444444444445</v>
      </c>
      <c r="S77" s="1439">
        <f>COUNTIF(Logs!$L12, S$72)+COUNTIF(Logs!$L30, S$72)+COUNTIF(Logs!$L48, S$72)+COUNTIF(Logs!$L66, S$72)+COUNTIF(Logs!$L84, S$72)+COUNTIF(Logs!$L103, S$72)+COUNTIF(Logs!$L123, S$72)+COUNTIF(Logs!$L142, S$72)+COUNTIF(Logs!$L162, S$72)+COUNTIF(Logs!$L180, S$72)+COUNTIF(Logs!$L201, S$72)+COUNTIF(Logs!$L218, S$72)+COUNTIF(Logs!$L236, S$72)+COUNTIF(Logs!$L253, S$72)+COUNTIF(Logs!$L270, S$72)+COUNTIF(Logs!$L288, S$72)+COUNTIF(Logs!$L305, S$72)+COUNTIF(Logs!$L323, S$72)+COUNTIF(Logs!$L341, S$72)+COUNTIF(Logs!$L359, S$72)+COUNTIF(Logs!$L377, S$72)+COUNTIF(Logs!$L396, S$72)+COUNTIF(Logs!$L414, S$72)+COUNTIF(Logs!$L432, S$72)+COUNTIF(Logs!$L450, S$72)+COUNTIF(Logs!$L468, S$72)+COUNTIF(Logs!$L486, S$72)+COUNTIF(Logs!$L504, S$72)+COUNTIF(Logs!$L522, S$72)+COUNTIF(Logs!$L540, S$72)+COUNTIF(Logs!$L558, S$72)+COUNTIF(Logs!$L575, S$72)+COUNTIF(Logs!$L594, S$72)+COUNTIF(Logs!$L626, S$72)+COUNTIF(Logs!$L643, S$72)+COUNTIF(Logs!$L658, S$72)+COUNTIF(Logs!$L674, S$72)</f>
        <v>6</v>
      </c>
      <c r="T77" s="1440">
        <f t="shared" si="47"/>
        <v>0.16666666666666666</v>
      </c>
      <c r="U77" s="1443">
        <f>COUNTIF(Logs!$L12, U$72)+COUNTIF(Logs!$L30, U$72)+COUNTIF(Logs!$L48, U$72)+COUNTIF(Logs!$L66, U$72)+COUNTIF(Logs!$L84, U$72)+COUNTIF(Logs!$L103, U$72)+COUNTIF(Logs!$L123, U$72)+COUNTIF(Logs!$L142, U$72)+COUNTIF(Logs!$L162, U$72)+COUNTIF(Logs!$L180, U$72)+COUNTIF(Logs!$L201, U$72)+COUNTIF(Logs!$L218, U$72)+COUNTIF(Logs!$L236, U$72)+COUNTIF(Logs!$L253, U$72)+COUNTIF(Logs!$L270, U$72)+COUNTIF(Logs!$L288, U$72)+COUNTIF(Logs!$L305, U$72)+COUNTIF(Logs!$L323, U$72)+COUNTIF(Logs!$L341, U$72)+COUNTIF(Logs!$L359, U$72)+COUNTIF(Logs!$L377, U$72)+COUNTIF(Logs!$L396, U$72)+COUNTIF(Logs!$L414, U$72)+COUNTIF(Logs!$L432, U$72)+COUNTIF(Logs!$L450, U$72)+COUNTIF(Logs!$L468, U$72)+COUNTIF(Logs!$L486, U$72)+COUNTIF(Logs!$L504, U$72)+COUNTIF(Logs!$L522, U$72)+COUNTIF(Logs!$L540, U$72)+COUNTIF(Logs!$L558, U$72)+COUNTIF(Logs!$L575, U$72)+COUNTIF(Logs!$L594, U$72)+COUNTIF(Logs!$L626, U$72)+COUNTIF(Logs!$L643, U$72)+COUNTIF(Logs!$L658, U$72)+COUNTIF(Logs!$L674, U$72)</f>
        <v>1</v>
      </c>
      <c r="V77" s="1444">
        <f t="shared" si="48"/>
        <v>2.7777777777777776E-2</v>
      </c>
      <c r="W77" s="1101">
        <f>COUNTIF(Logs!$L12, W$72)+COUNTIF(Logs!$L30, W$72)+COUNTIF(Logs!$L48, W$72)+COUNTIF(Logs!$L66, W$72)+COUNTIF(Logs!$L84, W$72)+COUNTIF(Logs!$L103, W$72)+COUNTIF(Logs!$L123, W$72)+COUNTIF(Logs!$L142, W$72)+COUNTIF(Logs!$L162, W$72)+COUNTIF(Logs!$L180, W$72)+COUNTIF(Logs!$L201, W$72)+COUNTIF(Logs!$L218, W$72)+COUNTIF(Logs!$L236, W$72)+COUNTIF(Logs!$L253, W$72)+COUNTIF(Logs!$L270, W$72)+COUNTIF(Logs!$L288, W$72)+COUNTIF(Logs!$L305, W$72)+COUNTIF(Logs!$L323, W$72)+COUNTIF(Logs!$L341, W$72)+COUNTIF(Logs!$L359, W$72)+COUNTIF(Logs!$L377, W$72)+COUNTIF(Logs!$L396, W$72)+COUNTIF(Logs!$L414, W$72)+COUNTIF(Logs!$L432, W$72)+COUNTIF(Logs!$L450, W$72)+COUNTIF(Logs!$L468, W$72)+COUNTIF(Logs!$L486, W$72)+COUNTIF(Logs!$L504, W$72)+COUNTIF(Logs!$L522, W$72)+COUNTIF(Logs!$L540, W$72)+COUNTIF(Logs!$L558, W$72)+COUNTIF(Logs!$L575, W$72)+COUNTIF(Logs!$L594, W$72)+COUNTIF(Logs!$L626, W$72)+COUNTIF(Logs!$L643, W$72)+COUNTIF(Logs!$L658, W$72)+COUNTIF(Logs!$L674, W$72)</f>
        <v>0</v>
      </c>
      <c r="X77" s="1432" t="str">
        <f t="shared" si="49"/>
        <v/>
      </c>
    </row>
    <row r="78" spans="2:24">
      <c r="B78" s="1378" t="s">
        <v>189</v>
      </c>
      <c r="C78" s="319">
        <f>COUNTIF(Logs!$K13, C$72)+COUNTIF(Logs!$K31, C$72)+COUNTIF(Logs!$K49, C$72)+COUNTIF(Logs!$K67, C$72)+COUNTIF(Logs!$K85, C$72)+COUNTIF(Logs!$K104, C$72)+COUNTIF(Logs!$K124, C$72)+COUNTIF(Logs!$K143, C$72)+COUNTIF(Logs!$K163, C$72)+COUNTIF(Logs!$K181, C$72)+COUNTIF(Logs!$K202, C$72)+COUNTIF(Logs!$K219, C$72)+COUNTIF(Logs!$K237, C$72)+COUNTIF(Logs!$K254, C$72)+COUNTIF(Logs!$K271, C$72)+COUNTIF(Logs!$K289, C$72)+COUNTIF(Logs!$K306, C$72)+COUNTIF(Logs!$K324, C$72)+COUNTIF(Logs!$K342, C$72)+COUNTIF(Logs!$K360, C$72)+COUNTIF(Logs!$K378, C$72)+COUNTIF(Logs!$K397, C$72)+COUNTIF(Logs!$K415, C$72)+COUNTIF(Logs!$K433, C$72)+COUNTIF(Logs!$K451, C$72)+COUNTIF(Logs!$K469, C$72)+COUNTIF(Logs!$K487, C$72)+COUNTIF(Logs!$K505, C$72)+COUNTIF(Logs!$K523, C$72)+COUNTIF(Logs!$K541, C$72)+COUNTIF(Logs!$K559, C$72)+COUNTIF(Logs!$K576, C$72)+COUNTIF(Logs!$K595, C$72)+COUNTIF(Logs!$K611, C$72)+COUNTIF(Logs!$K627, C$72)+COUNTIF(Logs!$K644, C$72)+COUNTIF(Logs!$K659, C$72)+COUNTIF(Logs!$K675, C$72)</f>
        <v>25</v>
      </c>
      <c r="D78" s="1448">
        <f t="shared" si="40"/>
        <v>0.65789473684210531</v>
      </c>
      <c r="E78" s="342">
        <f>COUNTIF(Logs!$K13, E$72)+COUNTIF(Logs!$K31, E$72)+COUNTIF(Logs!$K49, E$72)+COUNTIF(Logs!$K67, E$72)+COUNTIF(Logs!$K85, E$72)+COUNTIF(Logs!$K104, E$72)+COUNTIF(Logs!$K124, E$72)+COUNTIF(Logs!$K143, E$72)+COUNTIF(Logs!$K163, E$72)+COUNTIF(Logs!$K181, E$72)+COUNTIF(Logs!$K202, E$72)+COUNTIF(Logs!$K219, E$72)+COUNTIF(Logs!$K237, E$72)+COUNTIF(Logs!$K254, E$72)+COUNTIF(Logs!$K271, E$72)+COUNTIF(Logs!$K289, E$72)+COUNTIF(Logs!$K306, E$72)+COUNTIF(Logs!$K324, E$72)+COUNTIF(Logs!$K342, E$72)+COUNTIF(Logs!$K360, E$72)+COUNTIF(Logs!$K378, E$72)+COUNTIF(Logs!$K397, E$72)+COUNTIF(Logs!$K415, E$72)+COUNTIF(Logs!$K433, E$72)+COUNTIF(Logs!$K451, E$72)+COUNTIF(Logs!$K469, E$72)+COUNTIF(Logs!$K487, E$72)+COUNTIF(Logs!$K505, E$72)+COUNTIF(Logs!$K523, E$72)+COUNTIF(Logs!$K541, E$72)+COUNTIF(Logs!$K559, E$72)+COUNTIF(Logs!$K576, E$72)+COUNTIF(Logs!$K595, E$72)+COUNTIF(Logs!$K611, E$72)+COUNTIF(Logs!$K627, E$72)+COUNTIF(Logs!$K644, E$72)+COUNTIF(Logs!$K659, E$72)+COUNTIF(Logs!$K675, E$72)</f>
        <v>6</v>
      </c>
      <c r="F78" s="1437">
        <f t="shared" si="41"/>
        <v>0.15789473684210525</v>
      </c>
      <c r="G78" s="1439">
        <f>COUNTIF(Logs!$K13, G$72)+COUNTIF(Logs!$K31, G$72)+COUNTIF(Logs!$K49, G$72)+COUNTIF(Logs!$K67, G$72)+COUNTIF(Logs!$K85, G$72)+COUNTIF(Logs!$K104, G$72)+COUNTIF(Logs!$K124, G$72)+COUNTIF(Logs!$K143, G$72)+COUNTIF(Logs!$K163, G$72)+COUNTIF(Logs!$K181, G$72)+COUNTIF(Logs!$K202, G$72)+COUNTIF(Logs!$K219, G$72)+COUNTIF(Logs!$K237, G$72)+COUNTIF(Logs!$K254, G$72)+COUNTIF(Logs!$K271, G$72)+COUNTIF(Logs!$K289, G$72)+COUNTIF(Logs!$K306, G$72)+COUNTIF(Logs!$K324, G$72)+COUNTIF(Logs!$K342, G$72)+COUNTIF(Logs!$K360, G$72)+COUNTIF(Logs!$K378, G$72)+COUNTIF(Logs!$K397, G$72)+COUNTIF(Logs!$K415, G$72)+COUNTIF(Logs!$K433, G$72)+COUNTIF(Logs!$K451, G$72)+COUNTIF(Logs!$K469, G$72)+COUNTIF(Logs!$K487, G$72)+COUNTIF(Logs!$K505, G$72)+COUNTIF(Logs!$K523, G$72)+COUNTIF(Logs!$K541, G$72)+COUNTIF(Logs!$K559, G$72)+COUNTIF(Logs!$K576, G$72)+COUNTIF(Logs!$K595, G$72)+COUNTIF(Logs!$K611, G$72)+COUNTIF(Logs!$K627, G$72)+COUNTIF(Logs!$K644, G$72)+COUNTIF(Logs!$K659, G$72)+COUNTIF(Logs!$K675, G$72)</f>
        <v>7</v>
      </c>
      <c r="H78" s="1440">
        <f t="shared" si="42"/>
        <v>0.18421052631578946</v>
      </c>
      <c r="I78" s="1443">
        <f>COUNTIF(Logs!$K13, I$72)+COUNTIF(Logs!$K31, I$72)+COUNTIF(Logs!$K49, I$72)+COUNTIF(Logs!$K67, I$72)+COUNTIF(Logs!$K85, I$72)+COUNTIF(Logs!$K104, I$72)+COUNTIF(Logs!$K124, I$72)+COUNTIF(Logs!$K143, I$72)+COUNTIF(Logs!$K163, I$72)+COUNTIF(Logs!$K181, I$72)+COUNTIF(Logs!$K202, I$72)+COUNTIF(Logs!$K219, I$72)+COUNTIF(Logs!$K237, I$72)+COUNTIF(Logs!$K254, I$72)+COUNTIF(Logs!$K271, I$72)+COUNTIF(Logs!$K289, I$72)+COUNTIF(Logs!$K306, I$72)+COUNTIF(Logs!$K324, I$72)+COUNTIF(Logs!$K342, I$72)+COUNTIF(Logs!$K360, I$72)+COUNTIF(Logs!$K378, I$72)+COUNTIF(Logs!$K397, I$72)+COUNTIF(Logs!$K415, I$72)+COUNTIF(Logs!$K433, I$72)+COUNTIF(Logs!$K451, I$72)+COUNTIF(Logs!$K469, I$72)+COUNTIF(Logs!$K487, I$72)+COUNTIF(Logs!$K505, I$72)+COUNTIF(Logs!$K523, I$72)+COUNTIF(Logs!$K541, I$72)+COUNTIF(Logs!$K559, I$72)+COUNTIF(Logs!$K576, I$72)+COUNTIF(Logs!$K595, I$72)+COUNTIF(Logs!$K611, I$72)+COUNTIF(Logs!$K627, I$72)+COUNTIF(Logs!$K644, I$72)+COUNTIF(Logs!$K659, I$72)+COUNTIF(Logs!$K675, I$72)</f>
        <v>0</v>
      </c>
      <c r="J78" s="1444" t="str">
        <f t="shared" si="43"/>
        <v/>
      </c>
      <c r="K78" s="1101">
        <f>COUNTIF(Logs!$K13, K$72)+COUNTIF(Logs!$K31, K$72)+COUNTIF(Logs!$K49, K$72)+COUNTIF(Logs!$K67, K$72)+COUNTIF(Logs!$K85, K$72)+COUNTIF(Logs!$K104, K$72)+COUNTIF(Logs!$K124, K$72)+COUNTIF(Logs!$K143, K$72)+COUNTIF(Logs!$K163, K$72)+COUNTIF(Logs!$K181, K$72)+COUNTIF(Logs!$K202, K$72)+COUNTIF(Logs!$K219, K$72)+COUNTIF(Logs!$K237, K$72)+COUNTIF(Logs!$K254, K$72)+COUNTIF(Logs!$K271, K$72)+COUNTIF(Logs!$K289, K$72)+COUNTIF(Logs!$K306, K$72)+COUNTIF(Logs!$K324, K$72)+COUNTIF(Logs!$K342, K$72)+COUNTIF(Logs!$K360, K$72)+COUNTIF(Logs!$K378, K$72)+COUNTIF(Logs!$K397, K$72)+COUNTIF(Logs!$K415, K$72)+COUNTIF(Logs!$K433, K$72)+COUNTIF(Logs!$K451, K$72)+COUNTIF(Logs!$K469, K$72)+COUNTIF(Logs!$K487, K$72)+COUNTIF(Logs!$K505, K$72)+COUNTIF(Logs!$K523, K$72)+COUNTIF(Logs!$K541, K$72)+COUNTIF(Logs!$K559, K$72)+COUNTIF(Logs!$K576, K$72)+COUNTIF(Logs!$K595, K$72)+COUNTIF(Logs!$K611, K$72)+COUNTIF(Logs!$K627, K$72)+COUNTIF(Logs!$K644, K$72)+COUNTIF(Logs!$K659, K$72)+COUNTIF(Logs!$K675, K$72)</f>
        <v>0</v>
      </c>
      <c r="L78" s="1432" t="str">
        <f t="shared" si="44"/>
        <v/>
      </c>
      <c r="N78" s="1378" t="s">
        <v>189</v>
      </c>
      <c r="O78" s="319">
        <f>COUNTIF(Logs!$L13, O$72)+COUNTIF(Logs!$L31, O$72)+COUNTIF(Logs!$L49, O$72)+COUNTIF(Logs!$L67, O$72)+COUNTIF(Logs!$L85, O$72)+COUNTIF(Logs!$L104, O$72)+COUNTIF(Logs!$L124, O$72)+COUNTIF(Logs!$L143, O$72)+COUNTIF(Logs!$L163, O$72)+COUNTIF(Logs!$L181, O$72)+COUNTIF(Logs!$L202, O$72)+COUNTIF(Logs!$L219, O$72)+COUNTIF(Logs!$L237, O$72)+COUNTIF(Logs!$L254, O$72)+COUNTIF(Logs!$L271, O$72)+COUNTIF(Logs!$L289, O$72)+COUNTIF(Logs!$L306, O$72)+COUNTIF(Logs!$L324, O$72)+COUNTIF(Logs!$L342, O$72)+COUNTIF(Logs!$L360, O$72)+COUNTIF(Logs!$L378, O$72)+COUNTIF(Logs!$L397, O$72)+COUNTIF(Logs!$L415, O$72)+COUNTIF(Logs!$L433, O$72)+COUNTIF(Logs!$L451, O$72)+COUNTIF(Logs!$L469, O$72)+COUNTIF(Logs!$L487, O$72)+COUNTIF(Logs!$L505, O$72)+COUNTIF(Logs!$L523, O$72)+COUNTIF(Logs!$L541, O$72)+COUNTIF(Logs!$L559, O$72)+COUNTIF(Logs!$L576, O$72)+COUNTIF(Logs!$L595, O$72)+COUNTIF(Logs!$L627, O$72)+COUNTIF(Logs!$L644, O$72)+COUNTIF(Logs!$L659, O$72)+COUNTIF(Logs!$L675, O$72)</f>
        <v>18</v>
      </c>
      <c r="P78" s="1448">
        <f t="shared" si="45"/>
        <v>0.51428571428571423</v>
      </c>
      <c r="Q78" s="342">
        <f>COUNTIF(Logs!$L13, Q$72)+COUNTIF(Logs!$L31, Q$72)+COUNTIF(Logs!$L49, Q$72)+COUNTIF(Logs!$L67, Q$72)+COUNTIF(Logs!$L85, Q$72)+COUNTIF(Logs!$L104, Q$72)+COUNTIF(Logs!$L124, Q$72)+COUNTIF(Logs!$L143, Q$72)+COUNTIF(Logs!$L163, Q$72)+COUNTIF(Logs!$L181, Q$72)+COUNTIF(Logs!$L202, Q$72)+COUNTIF(Logs!$L219, Q$72)+COUNTIF(Logs!$L237, Q$72)+COUNTIF(Logs!$L254, Q$72)+COUNTIF(Logs!$L271, Q$72)+COUNTIF(Logs!$L289, Q$72)+COUNTIF(Logs!$L306, Q$72)+COUNTIF(Logs!$L324, Q$72)+COUNTIF(Logs!$L342, Q$72)+COUNTIF(Logs!$L360, Q$72)+COUNTIF(Logs!$L378, Q$72)+COUNTIF(Logs!$L397, Q$72)+COUNTIF(Logs!$L415, Q$72)+COUNTIF(Logs!$L433, Q$72)+COUNTIF(Logs!$L451, Q$72)+COUNTIF(Logs!$L469, Q$72)+COUNTIF(Logs!$L487, Q$72)+COUNTIF(Logs!$L505, Q$72)+COUNTIF(Logs!$L523, Q$72)+COUNTIF(Logs!$L541, Q$72)+COUNTIF(Logs!$L559, Q$72)+COUNTIF(Logs!$L576, Q$72)+COUNTIF(Logs!$L595, Q$72)+COUNTIF(Logs!$L627, Q$72)+COUNTIF(Logs!$L644, Q$72)+COUNTIF(Logs!$L659, Q$72)+COUNTIF(Logs!$L675, Q$72)</f>
        <v>9</v>
      </c>
      <c r="R78" s="1437">
        <f t="shared" si="46"/>
        <v>0.25714285714285712</v>
      </c>
      <c r="S78" s="1439">
        <f>COUNTIF(Logs!$L13, S$72)+COUNTIF(Logs!$L31, S$72)+COUNTIF(Logs!$L49, S$72)+COUNTIF(Logs!$L67, S$72)+COUNTIF(Logs!$L85, S$72)+COUNTIF(Logs!$L104, S$72)+COUNTIF(Logs!$L124, S$72)+COUNTIF(Logs!$L143, S$72)+COUNTIF(Logs!$L163, S$72)+COUNTIF(Logs!$L181, S$72)+COUNTIF(Logs!$L202, S$72)+COUNTIF(Logs!$L219, S$72)+COUNTIF(Logs!$L237, S$72)+COUNTIF(Logs!$L254, S$72)+COUNTIF(Logs!$L271, S$72)+COUNTIF(Logs!$L289, S$72)+COUNTIF(Logs!$L306, S$72)+COUNTIF(Logs!$L324, S$72)+COUNTIF(Logs!$L342, S$72)+COUNTIF(Logs!$L360, S$72)+COUNTIF(Logs!$L378, S$72)+COUNTIF(Logs!$L397, S$72)+COUNTIF(Logs!$L415, S$72)+COUNTIF(Logs!$L433, S$72)+COUNTIF(Logs!$L451, S$72)+COUNTIF(Logs!$L469, S$72)+COUNTIF(Logs!$L487, S$72)+COUNTIF(Logs!$L505, S$72)+COUNTIF(Logs!$L523, S$72)+COUNTIF(Logs!$L541, S$72)+COUNTIF(Logs!$L559, S$72)+COUNTIF(Logs!$L576, S$72)+COUNTIF(Logs!$L595, S$72)+COUNTIF(Logs!$L627, S$72)+COUNTIF(Logs!$L644, S$72)+COUNTIF(Logs!$L659, S$72)+COUNTIF(Logs!$L675, S$72)</f>
        <v>5</v>
      </c>
      <c r="T78" s="1440">
        <f t="shared" si="47"/>
        <v>0.14285714285714285</v>
      </c>
      <c r="U78" s="1443">
        <f>COUNTIF(Logs!$L13, U$72)+COUNTIF(Logs!$L31, U$72)+COUNTIF(Logs!$L49, U$72)+COUNTIF(Logs!$L67, U$72)+COUNTIF(Logs!$L85, U$72)+COUNTIF(Logs!$L104, U$72)+COUNTIF(Logs!$L124, U$72)+COUNTIF(Logs!$L143, U$72)+COUNTIF(Logs!$L163, U$72)+COUNTIF(Logs!$L181, U$72)+COUNTIF(Logs!$L202, U$72)+COUNTIF(Logs!$L219, U$72)+COUNTIF(Logs!$L237, U$72)+COUNTIF(Logs!$L254, U$72)+COUNTIF(Logs!$L271, U$72)+COUNTIF(Logs!$L289, U$72)+COUNTIF(Logs!$L306, U$72)+COUNTIF(Logs!$L324, U$72)+COUNTIF(Logs!$L342, U$72)+COUNTIF(Logs!$L360, U$72)+COUNTIF(Logs!$L378, U$72)+COUNTIF(Logs!$L397, U$72)+COUNTIF(Logs!$L415, U$72)+COUNTIF(Logs!$L433, U$72)+COUNTIF(Logs!$L451, U$72)+COUNTIF(Logs!$L469, U$72)+COUNTIF(Logs!$L487, U$72)+COUNTIF(Logs!$L505, U$72)+COUNTIF(Logs!$L523, U$72)+COUNTIF(Logs!$L541, U$72)+COUNTIF(Logs!$L559, U$72)+COUNTIF(Logs!$L576, U$72)+COUNTIF(Logs!$L595, U$72)+COUNTIF(Logs!$L627, U$72)+COUNTIF(Logs!$L644, U$72)+COUNTIF(Logs!$L659, U$72)+COUNTIF(Logs!$L675, U$72)</f>
        <v>3</v>
      </c>
      <c r="V78" s="1444">
        <f t="shared" si="48"/>
        <v>8.5714285714285715E-2</v>
      </c>
      <c r="W78" s="1101">
        <f>COUNTIF(Logs!$L13, W$72)+COUNTIF(Logs!$L31, W$72)+COUNTIF(Logs!$L49, W$72)+COUNTIF(Logs!$L67, W$72)+COUNTIF(Logs!$L85, W$72)+COUNTIF(Logs!$L104, W$72)+COUNTIF(Logs!$L124, W$72)+COUNTIF(Logs!$L143, W$72)+COUNTIF(Logs!$L163, W$72)+COUNTIF(Logs!$L181, W$72)+COUNTIF(Logs!$L202, W$72)+COUNTIF(Logs!$L219, W$72)+COUNTIF(Logs!$L237, W$72)+COUNTIF(Logs!$L254, W$72)+COUNTIF(Logs!$L271, W$72)+COUNTIF(Logs!$L289, W$72)+COUNTIF(Logs!$L306, W$72)+COUNTIF(Logs!$L324, W$72)+COUNTIF(Logs!$L342, W$72)+COUNTIF(Logs!$L360, W$72)+COUNTIF(Logs!$L378, W$72)+COUNTIF(Logs!$L397, W$72)+COUNTIF(Logs!$L415, W$72)+COUNTIF(Logs!$L433, W$72)+COUNTIF(Logs!$L451, W$72)+COUNTIF(Logs!$L469, W$72)+COUNTIF(Logs!$L487, W$72)+COUNTIF(Logs!$L505, W$72)+COUNTIF(Logs!$L523, W$72)+COUNTIF(Logs!$L541, W$72)+COUNTIF(Logs!$L559, W$72)+COUNTIF(Logs!$L576, W$72)+COUNTIF(Logs!$L595, W$72)+COUNTIF(Logs!$L627, W$72)+COUNTIF(Logs!$L644, W$72)+COUNTIF(Logs!$L659, W$72)+COUNTIF(Logs!$L675, W$72)</f>
        <v>0</v>
      </c>
      <c r="X78" s="1432" t="str">
        <f t="shared" si="49"/>
        <v/>
      </c>
    </row>
    <row r="79" spans="2:24">
      <c r="B79" s="1378" t="s">
        <v>190</v>
      </c>
      <c r="C79" s="319">
        <f>COUNTIF(Logs!$K14, C$72)+COUNTIF(Logs!$K32, C$72)+COUNTIF(Logs!$K50, C$72)+COUNTIF(Logs!$K68, C$72)+COUNTIF(Logs!$K86, C$72)+COUNTIF(Logs!$K105, C$72)+COUNTIF(Logs!$K125, C$72)+COUNTIF(Logs!$K144, C$72)+COUNTIF(Logs!$K164, C$72)+COUNTIF(Logs!$K182, C$72)+COUNTIF(Logs!$K203, C$72)+COUNTIF(Logs!$K220, C$72)+COUNTIF(Logs!$K238, C$72)+COUNTIF(Logs!$K255, C$72)+COUNTIF(Logs!$K272, C$72)+COUNTIF(Logs!$K290, C$72)+COUNTIF(Logs!$K307, C$72)+COUNTIF(Logs!$K325, C$72)+COUNTIF(Logs!$K343, C$72)+COUNTIF(Logs!$K361, C$72)+COUNTIF(Logs!$K379, C$72)+COUNTIF(Logs!$K398, C$72)+COUNTIF(Logs!$K416, C$72)+COUNTIF(Logs!$K434, C$72)+COUNTIF(Logs!$K452, C$72)+COUNTIF(Logs!$K470, C$72)+COUNTIF(Logs!$K488, C$72)+COUNTIF(Logs!$K506, C$72)+COUNTIF(Logs!$K524, C$72)+COUNTIF(Logs!$K542, C$72)+COUNTIF(Logs!$K560, C$72)+COUNTIF(Logs!$K577, C$72)+COUNTIF(Logs!$K596, C$72)+COUNTIF(Logs!$K612, C$72)+COUNTIF(Logs!$K628, C$72)+COUNTIF(Logs!$K645, C$72)+COUNTIF(Logs!$K660, C$72)+COUNTIF(Logs!$K676, C$72)</f>
        <v>21</v>
      </c>
      <c r="D79" s="1448">
        <f t="shared" si="40"/>
        <v>0.61764705882352944</v>
      </c>
      <c r="E79" s="342">
        <f>COUNTIF(Logs!$K14, E$72)+COUNTIF(Logs!$K32, E$72)+COUNTIF(Logs!$K50, E$72)+COUNTIF(Logs!$K68, E$72)+COUNTIF(Logs!$K86, E$72)+COUNTIF(Logs!$K105, E$72)+COUNTIF(Logs!$K125, E$72)+COUNTIF(Logs!$K144, E$72)+COUNTIF(Logs!$K164, E$72)+COUNTIF(Logs!$K182, E$72)+COUNTIF(Logs!$K203, E$72)+COUNTIF(Logs!$K220, E$72)+COUNTIF(Logs!$K238, E$72)+COUNTIF(Logs!$K255, E$72)+COUNTIF(Logs!$K272, E$72)+COUNTIF(Logs!$K290, E$72)+COUNTIF(Logs!$K307, E$72)+COUNTIF(Logs!$K325, E$72)+COUNTIF(Logs!$K343, E$72)+COUNTIF(Logs!$K361, E$72)+COUNTIF(Logs!$K379, E$72)+COUNTIF(Logs!$K398, E$72)+COUNTIF(Logs!$K416, E$72)+COUNTIF(Logs!$K434, E$72)+COUNTIF(Logs!$K452, E$72)+COUNTIF(Logs!$K470, E$72)+COUNTIF(Logs!$K488, E$72)+COUNTIF(Logs!$K506, E$72)+COUNTIF(Logs!$K524, E$72)+COUNTIF(Logs!$K542, E$72)+COUNTIF(Logs!$K560, E$72)+COUNTIF(Logs!$K577, E$72)+COUNTIF(Logs!$K596, E$72)+COUNTIF(Logs!$K612, E$72)+COUNTIF(Logs!$K628, E$72)+COUNTIF(Logs!$K645, E$72)+COUNTIF(Logs!$K660, E$72)+COUNTIF(Logs!$K676, E$72)</f>
        <v>10</v>
      </c>
      <c r="F79" s="1437">
        <f t="shared" si="41"/>
        <v>0.29411764705882354</v>
      </c>
      <c r="G79" s="1439">
        <f>COUNTIF(Logs!$K14, G$72)+COUNTIF(Logs!$K32, G$72)+COUNTIF(Logs!$K50, G$72)+COUNTIF(Logs!$K68, G$72)+COUNTIF(Logs!$K86, G$72)+COUNTIF(Logs!$K105, G$72)+COUNTIF(Logs!$K125, G$72)+COUNTIF(Logs!$K144, G$72)+COUNTIF(Logs!$K164, G$72)+COUNTIF(Logs!$K182, G$72)+COUNTIF(Logs!$K203, G$72)+COUNTIF(Logs!$K220, G$72)+COUNTIF(Logs!$K238, G$72)+COUNTIF(Logs!$K255, G$72)+COUNTIF(Logs!$K272, G$72)+COUNTIF(Logs!$K290, G$72)+COUNTIF(Logs!$K307, G$72)+COUNTIF(Logs!$K325, G$72)+COUNTIF(Logs!$K343, G$72)+COUNTIF(Logs!$K361, G$72)+COUNTIF(Logs!$K379, G$72)+COUNTIF(Logs!$K398, G$72)+COUNTIF(Logs!$K416, G$72)+COUNTIF(Logs!$K434, G$72)+COUNTIF(Logs!$K452, G$72)+COUNTIF(Logs!$K470, G$72)+COUNTIF(Logs!$K488, G$72)+COUNTIF(Logs!$K506, G$72)+COUNTIF(Logs!$K524, G$72)+COUNTIF(Logs!$K542, G$72)+COUNTIF(Logs!$K560, G$72)+COUNTIF(Logs!$K577, G$72)+COUNTIF(Logs!$K596, G$72)+COUNTIF(Logs!$K612, G$72)+COUNTIF(Logs!$K628, G$72)+COUNTIF(Logs!$K645, G$72)+COUNTIF(Logs!$K660, G$72)+COUNTIF(Logs!$K676, G$72)</f>
        <v>2</v>
      </c>
      <c r="H79" s="1440">
        <f t="shared" si="42"/>
        <v>5.8823529411764705E-2</v>
      </c>
      <c r="I79" s="1443">
        <f>COUNTIF(Logs!$K14, I$72)+COUNTIF(Logs!$K32, I$72)+COUNTIF(Logs!$K50, I$72)+COUNTIF(Logs!$K68, I$72)+COUNTIF(Logs!$K86, I$72)+COUNTIF(Logs!$K105, I$72)+COUNTIF(Logs!$K125, I$72)+COUNTIF(Logs!$K144, I$72)+COUNTIF(Logs!$K164, I$72)+COUNTIF(Logs!$K182, I$72)+COUNTIF(Logs!$K203, I$72)+COUNTIF(Logs!$K220, I$72)+COUNTIF(Logs!$K238, I$72)+COUNTIF(Logs!$K255, I$72)+COUNTIF(Logs!$K272, I$72)+COUNTIF(Logs!$K290, I$72)+COUNTIF(Logs!$K307, I$72)+COUNTIF(Logs!$K325, I$72)+COUNTIF(Logs!$K343, I$72)+COUNTIF(Logs!$K361, I$72)+COUNTIF(Logs!$K379, I$72)+COUNTIF(Logs!$K398, I$72)+COUNTIF(Logs!$K416, I$72)+COUNTIF(Logs!$K434, I$72)+COUNTIF(Logs!$K452, I$72)+COUNTIF(Logs!$K470, I$72)+COUNTIF(Logs!$K488, I$72)+COUNTIF(Logs!$K506, I$72)+COUNTIF(Logs!$K524, I$72)+COUNTIF(Logs!$K542, I$72)+COUNTIF(Logs!$K560, I$72)+COUNTIF(Logs!$K577, I$72)+COUNTIF(Logs!$K596, I$72)+COUNTIF(Logs!$K612, I$72)+COUNTIF(Logs!$K628, I$72)+COUNTIF(Logs!$K645, I$72)+COUNTIF(Logs!$K660, I$72)+COUNTIF(Logs!$K676, I$72)</f>
        <v>1</v>
      </c>
      <c r="J79" s="1444">
        <f t="shared" si="43"/>
        <v>2.9411764705882353E-2</v>
      </c>
      <c r="K79" s="1101">
        <f>COUNTIF(Logs!$K14, K$72)+COUNTIF(Logs!$K32, K$72)+COUNTIF(Logs!$K50, K$72)+COUNTIF(Logs!$K68, K$72)+COUNTIF(Logs!$K86, K$72)+COUNTIF(Logs!$K105, K$72)+COUNTIF(Logs!$K125, K$72)+COUNTIF(Logs!$K144, K$72)+COUNTIF(Logs!$K164, K$72)+COUNTIF(Logs!$K182, K$72)+COUNTIF(Logs!$K203, K$72)+COUNTIF(Logs!$K220, K$72)+COUNTIF(Logs!$K238, K$72)+COUNTIF(Logs!$K255, K$72)+COUNTIF(Logs!$K272, K$72)+COUNTIF(Logs!$K290, K$72)+COUNTIF(Logs!$K307, K$72)+COUNTIF(Logs!$K325, K$72)+COUNTIF(Logs!$K343, K$72)+COUNTIF(Logs!$K361, K$72)+COUNTIF(Logs!$K379, K$72)+COUNTIF(Logs!$K398, K$72)+COUNTIF(Logs!$K416, K$72)+COUNTIF(Logs!$K434, K$72)+COUNTIF(Logs!$K452, K$72)+COUNTIF(Logs!$K470, K$72)+COUNTIF(Logs!$K488, K$72)+COUNTIF(Logs!$K506, K$72)+COUNTIF(Logs!$K524, K$72)+COUNTIF(Logs!$K542, K$72)+COUNTIF(Logs!$K560, K$72)+COUNTIF(Logs!$K577, K$72)+COUNTIF(Logs!$K596, K$72)+COUNTIF(Logs!$K612, K$72)+COUNTIF(Logs!$K628, K$72)+COUNTIF(Logs!$K645, K$72)+COUNTIF(Logs!$K660, K$72)+COUNTIF(Logs!$K676, K$72)</f>
        <v>0</v>
      </c>
      <c r="L79" s="1432" t="str">
        <f t="shared" si="44"/>
        <v/>
      </c>
      <c r="N79" s="1378" t="s">
        <v>190</v>
      </c>
      <c r="O79" s="319">
        <f>COUNTIF(Logs!$L14, O$72)+COUNTIF(Logs!$L32, O$72)+COUNTIF(Logs!$L50, O$72)+COUNTIF(Logs!$L68, O$72)+COUNTIF(Logs!$L86, O$72)+COUNTIF(Logs!$L105, O$72)+COUNTIF(Logs!$L125, O$72)+COUNTIF(Logs!$L144, O$72)+COUNTIF(Logs!$L164, O$72)+COUNTIF(Logs!$L182, O$72)+COUNTIF(Logs!$L203, O$72)+COUNTIF(Logs!$L220, O$72)+COUNTIF(Logs!$L238, O$72)+COUNTIF(Logs!$L255, O$72)+COUNTIF(Logs!$L272, O$72)+COUNTIF(Logs!$L290, O$72)+COUNTIF(Logs!$L307, O$72)+COUNTIF(Logs!$L325, O$72)+COUNTIF(Logs!$L343, O$72)+COUNTIF(Logs!$L361, O$72)+COUNTIF(Logs!$L379, O$72)+COUNTIF(Logs!$L398, O$72)+COUNTIF(Logs!$L416, O$72)+COUNTIF(Logs!$L434, O$72)+COUNTIF(Logs!$L452, O$72)+COUNTIF(Logs!$L470, O$72)+COUNTIF(Logs!$L488, O$72)+COUNTIF(Logs!$L506, O$72)+COUNTIF(Logs!$L524, O$72)+COUNTIF(Logs!$L542, O$72)+COUNTIF(Logs!$L560, O$72)+COUNTIF(Logs!$L577, O$72)+COUNTIF(Logs!$L596, O$72)+COUNTIF(Logs!$L628, O$72)+COUNTIF(Logs!$L645, O$72)+COUNTIF(Logs!$L660, O$72)+COUNTIF(Logs!$L676, O$72)</f>
        <v>20</v>
      </c>
      <c r="P79" s="1448">
        <f t="shared" si="45"/>
        <v>0.68965517241379315</v>
      </c>
      <c r="Q79" s="342">
        <f>COUNTIF(Logs!$L14, Q$72)+COUNTIF(Logs!$L32, Q$72)+COUNTIF(Logs!$L50, Q$72)+COUNTIF(Logs!$L68, Q$72)+COUNTIF(Logs!$L86, Q$72)+COUNTIF(Logs!$L105, Q$72)+COUNTIF(Logs!$L125, Q$72)+COUNTIF(Logs!$L144, Q$72)+COUNTIF(Logs!$L164, Q$72)+COUNTIF(Logs!$L182, Q$72)+COUNTIF(Logs!$L203, Q$72)+COUNTIF(Logs!$L220, Q$72)+COUNTIF(Logs!$L238, Q$72)+COUNTIF(Logs!$L255, Q$72)+COUNTIF(Logs!$L272, Q$72)+COUNTIF(Logs!$L290, Q$72)+COUNTIF(Logs!$L307, Q$72)+COUNTIF(Logs!$L325, Q$72)+COUNTIF(Logs!$L343, Q$72)+COUNTIF(Logs!$L361, Q$72)+COUNTIF(Logs!$L379, Q$72)+COUNTIF(Logs!$L398, Q$72)+COUNTIF(Logs!$L416, Q$72)+COUNTIF(Logs!$L434, Q$72)+COUNTIF(Logs!$L452, Q$72)+COUNTIF(Logs!$L470, Q$72)+COUNTIF(Logs!$L488, Q$72)+COUNTIF(Logs!$L506, Q$72)+COUNTIF(Logs!$L524, Q$72)+COUNTIF(Logs!$L542, Q$72)+COUNTIF(Logs!$L560, Q$72)+COUNTIF(Logs!$L577, Q$72)+COUNTIF(Logs!$L596, Q$72)+COUNTIF(Logs!$L628, Q$72)+COUNTIF(Logs!$L645, Q$72)+COUNTIF(Logs!$L660, Q$72)+COUNTIF(Logs!$L676, Q$72)</f>
        <v>4</v>
      </c>
      <c r="R79" s="1437">
        <f t="shared" si="46"/>
        <v>0.13793103448275862</v>
      </c>
      <c r="S79" s="1439">
        <f>COUNTIF(Logs!$L14, S$72)+COUNTIF(Logs!$L32, S$72)+COUNTIF(Logs!$L50, S$72)+COUNTIF(Logs!$L68, S$72)+COUNTIF(Logs!$L86, S$72)+COUNTIF(Logs!$L105, S$72)+COUNTIF(Logs!$L125, S$72)+COUNTIF(Logs!$L144, S$72)+COUNTIF(Logs!$L164, S$72)+COUNTIF(Logs!$L182, S$72)+COUNTIF(Logs!$L203, S$72)+COUNTIF(Logs!$L220, S$72)+COUNTIF(Logs!$L238, S$72)+COUNTIF(Logs!$L255, S$72)+COUNTIF(Logs!$L272, S$72)+COUNTIF(Logs!$L290, S$72)+COUNTIF(Logs!$L307, S$72)+COUNTIF(Logs!$L325, S$72)+COUNTIF(Logs!$L343, S$72)+COUNTIF(Logs!$L361, S$72)+COUNTIF(Logs!$L379, S$72)+COUNTIF(Logs!$L398, S$72)+COUNTIF(Logs!$L416, S$72)+COUNTIF(Logs!$L434, S$72)+COUNTIF(Logs!$L452, S$72)+COUNTIF(Logs!$L470, S$72)+COUNTIF(Logs!$L488, S$72)+COUNTIF(Logs!$L506, S$72)+COUNTIF(Logs!$L524, S$72)+COUNTIF(Logs!$L542, S$72)+COUNTIF(Logs!$L560, S$72)+COUNTIF(Logs!$L577, S$72)+COUNTIF(Logs!$L596, S$72)+COUNTIF(Logs!$L628, S$72)+COUNTIF(Logs!$L645, S$72)+COUNTIF(Logs!$L660, S$72)+COUNTIF(Logs!$L676, S$72)</f>
        <v>4</v>
      </c>
      <c r="T79" s="1440">
        <f t="shared" si="47"/>
        <v>0.13793103448275862</v>
      </c>
      <c r="U79" s="1443">
        <f>COUNTIF(Logs!$L14, U$72)+COUNTIF(Logs!$L32, U$72)+COUNTIF(Logs!$L50, U$72)+COUNTIF(Logs!$L68, U$72)+COUNTIF(Logs!$L86, U$72)+COUNTIF(Logs!$L105, U$72)+COUNTIF(Logs!$L125, U$72)+COUNTIF(Logs!$L144, U$72)+COUNTIF(Logs!$L164, U$72)+COUNTIF(Logs!$L182, U$72)+COUNTIF(Logs!$L203, U$72)+COUNTIF(Logs!$L220, U$72)+COUNTIF(Logs!$L238, U$72)+COUNTIF(Logs!$L255, U$72)+COUNTIF(Logs!$L272, U$72)+COUNTIF(Logs!$L290, U$72)+COUNTIF(Logs!$L307, U$72)+COUNTIF(Logs!$L325, U$72)+COUNTIF(Logs!$L343, U$72)+COUNTIF(Logs!$L361, U$72)+COUNTIF(Logs!$L379, U$72)+COUNTIF(Logs!$L398, U$72)+COUNTIF(Logs!$L416, U$72)+COUNTIF(Logs!$L434, U$72)+COUNTIF(Logs!$L452, U$72)+COUNTIF(Logs!$L470, U$72)+COUNTIF(Logs!$L488, U$72)+COUNTIF(Logs!$L506, U$72)+COUNTIF(Logs!$L524, U$72)+COUNTIF(Logs!$L542, U$72)+COUNTIF(Logs!$L560, U$72)+COUNTIF(Logs!$L577, U$72)+COUNTIF(Logs!$L596, U$72)+COUNTIF(Logs!$L628, U$72)+COUNTIF(Logs!$L645, U$72)+COUNTIF(Logs!$L660, U$72)+COUNTIF(Logs!$L676, U$72)</f>
        <v>0</v>
      </c>
      <c r="V79" s="1444" t="str">
        <f t="shared" si="48"/>
        <v/>
      </c>
      <c r="W79" s="1101">
        <f>COUNTIF(Logs!$L14, W$72)+COUNTIF(Logs!$L32, W$72)+COUNTIF(Logs!$L50, W$72)+COUNTIF(Logs!$L68, W$72)+COUNTIF(Logs!$L86, W$72)+COUNTIF(Logs!$L105, W$72)+COUNTIF(Logs!$L125, W$72)+COUNTIF(Logs!$L144, W$72)+COUNTIF(Logs!$L164, W$72)+COUNTIF(Logs!$L182, W$72)+COUNTIF(Logs!$L203, W$72)+COUNTIF(Logs!$L220, W$72)+COUNTIF(Logs!$L238, W$72)+COUNTIF(Logs!$L255, W$72)+COUNTIF(Logs!$L272, W$72)+COUNTIF(Logs!$L290, W$72)+COUNTIF(Logs!$L307, W$72)+COUNTIF(Logs!$L325, W$72)+COUNTIF(Logs!$L343, W$72)+COUNTIF(Logs!$L361, W$72)+COUNTIF(Logs!$L379, W$72)+COUNTIF(Logs!$L398, W$72)+COUNTIF(Logs!$L416, W$72)+COUNTIF(Logs!$L434, W$72)+COUNTIF(Logs!$L452, W$72)+COUNTIF(Logs!$L470, W$72)+COUNTIF(Logs!$L488, W$72)+COUNTIF(Logs!$L506, W$72)+COUNTIF(Logs!$L524, W$72)+COUNTIF(Logs!$L542, W$72)+COUNTIF(Logs!$L560, W$72)+COUNTIF(Logs!$L577, W$72)+COUNTIF(Logs!$L596, W$72)+COUNTIF(Logs!$L628, W$72)+COUNTIF(Logs!$L645, W$72)+COUNTIF(Logs!$L660, W$72)+COUNTIF(Logs!$L676, W$72)</f>
        <v>1</v>
      </c>
      <c r="X79" s="1432">
        <f t="shared" si="49"/>
        <v>3.4482758620689655E-2</v>
      </c>
    </row>
    <row r="80" spans="2:24">
      <c r="B80" s="1378" t="s">
        <v>191</v>
      </c>
      <c r="C80" s="319">
        <f>COUNTIF(Logs!$K15, C$72)+COUNTIF(Logs!$K33, C$72)+COUNTIF(Logs!$K51, C$72)+COUNTIF(Logs!$K69, C$72)+COUNTIF(Logs!$K87, C$72)+COUNTIF(Logs!$K106, C$72)+COUNTIF(Logs!$K126, C$72)+COUNTIF(Logs!$K145, C$72)+COUNTIF(Logs!$K165, C$72)+COUNTIF(Logs!$K183, C$72)+COUNTIF(Logs!$K204, C$72)+COUNTIF(Logs!$K221, C$72)+COUNTIF(Logs!$K239, C$72)+COUNTIF(Logs!$K256, C$72)+COUNTIF(Logs!$K273, C$72)+COUNTIF(Logs!$K291, C$72)+COUNTIF(Logs!$K308, C$72)+COUNTIF(Logs!$K326, C$72)+COUNTIF(Logs!$K344, C$72)+COUNTIF(Logs!$K362, C$72)+COUNTIF(Logs!$K380, C$72)+COUNTIF(Logs!$K399, C$72)+COUNTIF(Logs!$K417, C$72)+COUNTIF(Logs!$K435, C$72)+COUNTIF(Logs!$K453, C$72)+COUNTIF(Logs!$K471, C$72)+COUNTIF(Logs!$K489, C$72)+COUNTIF(Logs!$K507, C$72)+COUNTIF(Logs!$K525, C$72)+COUNTIF(Logs!$K543, C$72)+COUNTIF(Logs!$K561, C$72)+COUNTIF(Logs!$K578, C$72)+COUNTIF(Logs!$K597, C$72)+COUNTIF(Logs!$K613, C$72)+COUNTIF(Logs!$K629, C$72)+COUNTIF(Logs!$K646, C$72)+COUNTIF(Logs!$K661, C$72)+COUNTIF(Logs!$K677, C$72)</f>
        <v>19</v>
      </c>
      <c r="D80" s="1448">
        <f t="shared" si="40"/>
        <v>0.76</v>
      </c>
      <c r="E80" s="342">
        <f>COUNTIF(Logs!$K15, E$72)+COUNTIF(Logs!$K33, E$72)+COUNTIF(Logs!$K51, E$72)+COUNTIF(Logs!$K69, E$72)+COUNTIF(Logs!$K87, E$72)+COUNTIF(Logs!$K106, E$72)+COUNTIF(Logs!$K126, E$72)+COUNTIF(Logs!$K145, E$72)+COUNTIF(Logs!$K165, E$72)+COUNTIF(Logs!$K183, E$72)+COUNTIF(Logs!$K204, E$72)+COUNTIF(Logs!$K221, E$72)+COUNTIF(Logs!$K239, E$72)+COUNTIF(Logs!$K256, E$72)+COUNTIF(Logs!$K273, E$72)+COUNTIF(Logs!$K291, E$72)+COUNTIF(Logs!$K308, E$72)+COUNTIF(Logs!$K326, E$72)+COUNTIF(Logs!$K344, E$72)+COUNTIF(Logs!$K362, E$72)+COUNTIF(Logs!$K380, E$72)+COUNTIF(Logs!$K399, E$72)+COUNTIF(Logs!$K417, E$72)+COUNTIF(Logs!$K435, E$72)+COUNTIF(Logs!$K453, E$72)+COUNTIF(Logs!$K471, E$72)+COUNTIF(Logs!$K489, E$72)+COUNTIF(Logs!$K507, E$72)+COUNTIF(Logs!$K525, E$72)+COUNTIF(Logs!$K543, E$72)+COUNTIF(Logs!$K561, E$72)+COUNTIF(Logs!$K578, E$72)+COUNTIF(Logs!$K597, E$72)+COUNTIF(Logs!$K613, E$72)+COUNTIF(Logs!$K629, E$72)+COUNTIF(Logs!$K646, E$72)+COUNTIF(Logs!$K661, E$72)+COUNTIF(Logs!$K677, E$72)</f>
        <v>6</v>
      </c>
      <c r="F80" s="1437">
        <f t="shared" si="41"/>
        <v>0.24</v>
      </c>
      <c r="G80" s="1439">
        <f>COUNTIF(Logs!$K15, G$72)+COUNTIF(Logs!$K33, G$72)+COUNTIF(Logs!$K51, G$72)+COUNTIF(Logs!$K69, G$72)+COUNTIF(Logs!$K87, G$72)+COUNTIF(Logs!$K106, G$72)+COUNTIF(Logs!$K126, G$72)+COUNTIF(Logs!$K145, G$72)+COUNTIF(Logs!$K165, G$72)+COUNTIF(Logs!$K183, G$72)+COUNTIF(Logs!$K204, G$72)+COUNTIF(Logs!$K221, G$72)+COUNTIF(Logs!$K239, G$72)+COUNTIF(Logs!$K256, G$72)+COUNTIF(Logs!$K273, G$72)+COUNTIF(Logs!$K291, G$72)+COUNTIF(Logs!$K308, G$72)+COUNTIF(Logs!$K326, G$72)+COUNTIF(Logs!$K344, G$72)+COUNTIF(Logs!$K362, G$72)+COUNTIF(Logs!$K380, G$72)+COUNTIF(Logs!$K399, G$72)+COUNTIF(Logs!$K417, G$72)+COUNTIF(Logs!$K435, G$72)+COUNTIF(Logs!$K453, G$72)+COUNTIF(Logs!$K471, G$72)+COUNTIF(Logs!$K489, G$72)+COUNTIF(Logs!$K507, G$72)+COUNTIF(Logs!$K525, G$72)+COUNTIF(Logs!$K543, G$72)+COUNTIF(Logs!$K561, G$72)+COUNTIF(Logs!$K578, G$72)+COUNTIF(Logs!$K597, G$72)+COUNTIF(Logs!$K613, G$72)+COUNTIF(Logs!$K629, G$72)+COUNTIF(Logs!$K646, G$72)+COUNTIF(Logs!$K661, G$72)+COUNTIF(Logs!$K677, G$72)</f>
        <v>0</v>
      </c>
      <c r="H80" s="1440" t="str">
        <f t="shared" si="42"/>
        <v/>
      </c>
      <c r="I80" s="1443">
        <f>COUNTIF(Logs!$K15, I$72)+COUNTIF(Logs!$K33, I$72)+COUNTIF(Logs!$K51, I$72)+COUNTIF(Logs!$K69, I$72)+COUNTIF(Logs!$K87, I$72)+COUNTIF(Logs!$K106, I$72)+COUNTIF(Logs!$K126, I$72)+COUNTIF(Logs!$K145, I$72)+COUNTIF(Logs!$K165, I$72)+COUNTIF(Logs!$K183, I$72)+COUNTIF(Logs!$K204, I$72)+COUNTIF(Logs!$K221, I$72)+COUNTIF(Logs!$K239, I$72)+COUNTIF(Logs!$K256, I$72)+COUNTIF(Logs!$K273, I$72)+COUNTIF(Logs!$K291, I$72)+COUNTIF(Logs!$K308, I$72)+COUNTIF(Logs!$K326, I$72)+COUNTIF(Logs!$K344, I$72)+COUNTIF(Logs!$K362, I$72)+COUNTIF(Logs!$K380, I$72)+COUNTIF(Logs!$K399, I$72)+COUNTIF(Logs!$K417, I$72)+COUNTIF(Logs!$K435, I$72)+COUNTIF(Logs!$K453, I$72)+COUNTIF(Logs!$K471, I$72)+COUNTIF(Logs!$K489, I$72)+COUNTIF(Logs!$K507, I$72)+COUNTIF(Logs!$K525, I$72)+COUNTIF(Logs!$K543, I$72)+COUNTIF(Logs!$K561, I$72)+COUNTIF(Logs!$K578, I$72)+COUNTIF(Logs!$K597, I$72)+COUNTIF(Logs!$K613, I$72)+COUNTIF(Logs!$K629, I$72)+COUNTIF(Logs!$K646, I$72)+COUNTIF(Logs!$K661, I$72)+COUNTIF(Logs!$K677, I$72)</f>
        <v>0</v>
      </c>
      <c r="J80" s="1444" t="str">
        <f t="shared" si="43"/>
        <v/>
      </c>
      <c r="K80" s="1101">
        <f>COUNTIF(Logs!$K15, K$72)+COUNTIF(Logs!$K33, K$72)+COUNTIF(Logs!$K51, K$72)+COUNTIF(Logs!$K69, K$72)+COUNTIF(Logs!$K87, K$72)+COUNTIF(Logs!$K106, K$72)+COUNTIF(Logs!$K126, K$72)+COUNTIF(Logs!$K145, K$72)+COUNTIF(Logs!$K165, K$72)+COUNTIF(Logs!$K183, K$72)+COUNTIF(Logs!$K204, K$72)+COUNTIF(Logs!$K221, K$72)+COUNTIF(Logs!$K239, K$72)+COUNTIF(Logs!$K256, K$72)+COUNTIF(Logs!$K273, K$72)+COUNTIF(Logs!$K291, K$72)+COUNTIF(Logs!$K308, K$72)+COUNTIF(Logs!$K326, K$72)+COUNTIF(Logs!$K344, K$72)+COUNTIF(Logs!$K362, K$72)+COUNTIF(Logs!$K380, K$72)+COUNTIF(Logs!$K399, K$72)+COUNTIF(Logs!$K417, K$72)+COUNTIF(Logs!$K435, K$72)+COUNTIF(Logs!$K453, K$72)+COUNTIF(Logs!$K471, K$72)+COUNTIF(Logs!$K489, K$72)+COUNTIF(Logs!$K507, K$72)+COUNTIF(Logs!$K525, K$72)+COUNTIF(Logs!$K543, K$72)+COUNTIF(Logs!$K561, K$72)+COUNTIF(Logs!$K578, K$72)+COUNTIF(Logs!$K597, K$72)+COUNTIF(Logs!$K613, K$72)+COUNTIF(Logs!$K629, K$72)+COUNTIF(Logs!$K646, K$72)+COUNTIF(Logs!$K661, K$72)+COUNTIF(Logs!$K677, K$72)</f>
        <v>0</v>
      </c>
      <c r="L80" s="1432" t="str">
        <f t="shared" si="44"/>
        <v/>
      </c>
      <c r="N80" s="1378" t="s">
        <v>191</v>
      </c>
      <c r="O80" s="319">
        <f>COUNTIF(Logs!$L15, O$72)+COUNTIF(Logs!$L33, O$72)+COUNTIF(Logs!$L51, O$72)+COUNTIF(Logs!$L69, O$72)+COUNTIF(Logs!$L87, O$72)+COUNTIF(Logs!$L106, O$72)+COUNTIF(Logs!$L126, O$72)+COUNTIF(Logs!$L145, O$72)+COUNTIF(Logs!$L165, O$72)+COUNTIF(Logs!$L183, O$72)+COUNTIF(Logs!$L204, O$72)+COUNTIF(Logs!$L221, O$72)+COUNTIF(Logs!$L239, O$72)+COUNTIF(Logs!$L256, O$72)+COUNTIF(Logs!$L273, O$72)+COUNTIF(Logs!$L291, O$72)+COUNTIF(Logs!$L308, O$72)+COUNTIF(Logs!$L326, O$72)+COUNTIF(Logs!$L344, O$72)+COUNTIF(Logs!$L362, O$72)+COUNTIF(Logs!$L380, O$72)+COUNTIF(Logs!$L399, O$72)+COUNTIF(Logs!$L417, O$72)+COUNTIF(Logs!$L435, O$72)+COUNTIF(Logs!$L453, O$72)+COUNTIF(Logs!$L471, O$72)+COUNTIF(Logs!$L489, O$72)+COUNTIF(Logs!$L507, O$72)+COUNTIF(Logs!$L525, O$72)+COUNTIF(Logs!$L543, O$72)+COUNTIF(Logs!$L561, O$72)+COUNTIF(Logs!$L578, O$72)+COUNTIF(Logs!$L597, O$72)+COUNTIF(Logs!$L629, O$72)+COUNTIF(Logs!$L646, O$72)+COUNTIF(Logs!$L661, O$72)+COUNTIF(Logs!$L677, O$72)</f>
        <v>17</v>
      </c>
      <c r="P80" s="1448">
        <f t="shared" si="45"/>
        <v>0.80952380952380953</v>
      </c>
      <c r="Q80" s="342">
        <f>COUNTIF(Logs!$L15, Q$72)+COUNTIF(Logs!$L33, Q$72)+COUNTIF(Logs!$L51, Q$72)+COUNTIF(Logs!$L69, Q$72)+COUNTIF(Logs!$L87, Q$72)+COUNTIF(Logs!$L106, Q$72)+COUNTIF(Logs!$L126, Q$72)+COUNTIF(Logs!$L145, Q$72)+COUNTIF(Logs!$L165, Q$72)+COUNTIF(Logs!$L183, Q$72)+COUNTIF(Logs!$L204, Q$72)+COUNTIF(Logs!$L221, Q$72)+COUNTIF(Logs!$L239, Q$72)+COUNTIF(Logs!$L256, Q$72)+COUNTIF(Logs!$L273, Q$72)+COUNTIF(Logs!$L291, Q$72)+COUNTIF(Logs!$L308, Q$72)+COUNTIF(Logs!$L326, Q$72)+COUNTIF(Logs!$L344, Q$72)+COUNTIF(Logs!$L362, Q$72)+COUNTIF(Logs!$L380, Q$72)+COUNTIF(Logs!$L399, Q$72)+COUNTIF(Logs!$L417, Q$72)+COUNTIF(Logs!$L435, Q$72)+COUNTIF(Logs!$L453, Q$72)+COUNTIF(Logs!$L471, Q$72)+COUNTIF(Logs!$L489, Q$72)+COUNTIF(Logs!$L507, Q$72)+COUNTIF(Logs!$L525, Q$72)+COUNTIF(Logs!$L543, Q$72)+COUNTIF(Logs!$L561, Q$72)+COUNTIF(Logs!$L578, Q$72)+COUNTIF(Logs!$L597, Q$72)+COUNTIF(Logs!$L629, Q$72)+COUNTIF(Logs!$L646, Q$72)+COUNTIF(Logs!$L661, Q$72)+COUNTIF(Logs!$L677, Q$72)</f>
        <v>0</v>
      </c>
      <c r="R80" s="1437" t="str">
        <f t="shared" si="46"/>
        <v/>
      </c>
      <c r="S80" s="1439">
        <f>COUNTIF(Logs!$L15, S$72)+COUNTIF(Logs!$L33, S$72)+COUNTIF(Logs!$L51, S$72)+COUNTIF(Logs!$L69, S$72)+COUNTIF(Logs!$L87, S$72)+COUNTIF(Logs!$L106, S$72)+COUNTIF(Logs!$L126, S$72)+COUNTIF(Logs!$L145, S$72)+COUNTIF(Logs!$L165, S$72)+COUNTIF(Logs!$L183, S$72)+COUNTIF(Logs!$L204, S$72)+COUNTIF(Logs!$L221, S$72)+COUNTIF(Logs!$L239, S$72)+COUNTIF(Logs!$L256, S$72)+COUNTIF(Logs!$L273, S$72)+COUNTIF(Logs!$L291, S$72)+COUNTIF(Logs!$L308, S$72)+COUNTIF(Logs!$L326, S$72)+COUNTIF(Logs!$L344, S$72)+COUNTIF(Logs!$L362, S$72)+COUNTIF(Logs!$L380, S$72)+COUNTIF(Logs!$L399, S$72)+COUNTIF(Logs!$L417, S$72)+COUNTIF(Logs!$L435, S$72)+COUNTIF(Logs!$L453, S$72)+COUNTIF(Logs!$L471, S$72)+COUNTIF(Logs!$L489, S$72)+COUNTIF(Logs!$L507, S$72)+COUNTIF(Logs!$L525, S$72)+COUNTIF(Logs!$L543, S$72)+COUNTIF(Logs!$L561, S$72)+COUNTIF(Logs!$L578, S$72)+COUNTIF(Logs!$L597, S$72)+COUNTIF(Logs!$L629, S$72)+COUNTIF(Logs!$L646, S$72)+COUNTIF(Logs!$L661, S$72)+COUNTIF(Logs!$L677, S$72)</f>
        <v>4</v>
      </c>
      <c r="T80" s="1440">
        <f t="shared" si="47"/>
        <v>0.19047619047619047</v>
      </c>
      <c r="U80" s="1443">
        <f>COUNTIF(Logs!$L15, U$72)+COUNTIF(Logs!$L33, U$72)+COUNTIF(Logs!$L51, U$72)+COUNTIF(Logs!$L69, U$72)+COUNTIF(Logs!$L87, U$72)+COUNTIF(Logs!$L106, U$72)+COUNTIF(Logs!$L126, U$72)+COUNTIF(Logs!$L145, U$72)+COUNTIF(Logs!$L165, U$72)+COUNTIF(Logs!$L183, U$72)+COUNTIF(Logs!$L204, U$72)+COUNTIF(Logs!$L221, U$72)+COUNTIF(Logs!$L239, U$72)+COUNTIF(Logs!$L256, U$72)+COUNTIF(Logs!$L273, U$72)+COUNTIF(Logs!$L291, U$72)+COUNTIF(Logs!$L308, U$72)+COUNTIF(Logs!$L326, U$72)+COUNTIF(Logs!$L344, U$72)+COUNTIF(Logs!$L362, U$72)+COUNTIF(Logs!$L380, U$72)+COUNTIF(Logs!$L399, U$72)+COUNTIF(Logs!$L417, U$72)+COUNTIF(Logs!$L435, U$72)+COUNTIF(Logs!$L453, U$72)+COUNTIF(Logs!$L471, U$72)+COUNTIF(Logs!$L489, U$72)+COUNTIF(Logs!$L507, U$72)+COUNTIF(Logs!$L525, U$72)+COUNTIF(Logs!$L543, U$72)+COUNTIF(Logs!$L561, U$72)+COUNTIF(Logs!$L578, U$72)+COUNTIF(Logs!$L597, U$72)+COUNTIF(Logs!$L629, U$72)+COUNTIF(Logs!$L646, U$72)+COUNTIF(Logs!$L661, U$72)+COUNTIF(Logs!$L677, U$72)</f>
        <v>0</v>
      </c>
      <c r="V80" s="1444" t="str">
        <f t="shared" si="48"/>
        <v/>
      </c>
      <c r="W80" s="1101">
        <f>COUNTIF(Logs!$L15, W$72)+COUNTIF(Logs!$L33, W$72)+COUNTIF(Logs!$L51, W$72)+COUNTIF(Logs!$L69, W$72)+COUNTIF(Logs!$L87, W$72)+COUNTIF(Logs!$L106, W$72)+COUNTIF(Logs!$L126, W$72)+COUNTIF(Logs!$L145, W$72)+COUNTIF(Logs!$L165, W$72)+COUNTIF(Logs!$L183, W$72)+COUNTIF(Logs!$L204, W$72)+COUNTIF(Logs!$L221, W$72)+COUNTIF(Logs!$L239, W$72)+COUNTIF(Logs!$L256, W$72)+COUNTIF(Logs!$L273, W$72)+COUNTIF(Logs!$L291, W$72)+COUNTIF(Logs!$L308, W$72)+COUNTIF(Logs!$L326, W$72)+COUNTIF(Logs!$L344, W$72)+COUNTIF(Logs!$L362, W$72)+COUNTIF(Logs!$L380, W$72)+COUNTIF(Logs!$L399, W$72)+COUNTIF(Logs!$L417, W$72)+COUNTIF(Logs!$L435, W$72)+COUNTIF(Logs!$L453, W$72)+COUNTIF(Logs!$L471, W$72)+COUNTIF(Logs!$L489, W$72)+COUNTIF(Logs!$L507, W$72)+COUNTIF(Logs!$L525, W$72)+COUNTIF(Logs!$L543, W$72)+COUNTIF(Logs!$L561, W$72)+COUNTIF(Logs!$L578, W$72)+COUNTIF(Logs!$L597, W$72)+COUNTIF(Logs!$L629, W$72)+COUNTIF(Logs!$L646, W$72)+COUNTIF(Logs!$L661, W$72)+COUNTIF(Logs!$L677, W$72)</f>
        <v>0</v>
      </c>
      <c r="X80" s="1432" t="str">
        <f t="shared" si="49"/>
        <v/>
      </c>
    </row>
    <row r="81" spans="2:24">
      <c r="B81" s="1378" t="s">
        <v>192</v>
      </c>
      <c r="C81" s="319">
        <f>COUNTIF(Logs!$K16, C$72)+COUNTIF(Logs!$K34, C$72)+COUNTIF(Logs!$K52, C$72)+COUNTIF(Logs!$K70, C$72)+COUNTIF(Logs!$K88, C$72)+COUNTIF(Logs!$K107, C$72)+COUNTIF(Logs!$K127, C$72)+COUNTIF(Logs!$K146, C$72)+COUNTIF(Logs!$K166, C$72)+COUNTIF(Logs!$K184, C$72)+COUNTIF(Logs!$K205, C$72)+COUNTIF(Logs!$K222, C$72)+COUNTIF(Logs!$K240, C$72)+COUNTIF(Logs!$K257, C$72)+COUNTIF(Logs!$K274, C$72)+COUNTIF(Logs!$K292, C$72)+COUNTIF(Logs!$K309, C$72)+COUNTIF(Logs!$K327, C$72)+COUNTIF(Logs!$K345, C$72)+COUNTIF(Logs!$K363, C$72)+COUNTIF(Logs!$K381, C$72)+COUNTIF(Logs!$K400, C$72)+COUNTIF(Logs!$K418, C$72)+COUNTIF(Logs!$K436, C$72)+COUNTIF(Logs!$K454, C$72)+COUNTIF(Logs!$K472, C$72)+COUNTIF(Logs!$K490, C$72)+COUNTIF(Logs!$K508, C$72)+COUNTIF(Logs!$K526, C$72)+COUNTIF(Logs!$K544, C$72)+COUNTIF(Logs!$K562, C$72)+COUNTIF(Logs!$K579, C$72)+COUNTIF(Logs!$K598, C$72)+COUNTIF(Logs!$K614, C$72)+COUNTIF(Logs!$K630, C$72)+COUNTIF(Logs!$K647, C$72)+COUNTIF(Logs!$K662, C$72)+COUNTIF(Logs!$K678, C$72)</f>
        <v>11</v>
      </c>
      <c r="D81" s="1448">
        <f t="shared" si="40"/>
        <v>0.7857142857142857</v>
      </c>
      <c r="E81" s="342">
        <f>COUNTIF(Logs!$K16, E$72)+COUNTIF(Logs!$K34, E$72)+COUNTIF(Logs!$K52, E$72)+COUNTIF(Logs!$K70, E$72)+COUNTIF(Logs!$K88, E$72)+COUNTIF(Logs!$K107, E$72)+COUNTIF(Logs!$K127, E$72)+COUNTIF(Logs!$K146, E$72)+COUNTIF(Logs!$K166, E$72)+COUNTIF(Logs!$K184, E$72)+COUNTIF(Logs!$K205, E$72)+COUNTIF(Logs!$K222, E$72)+COUNTIF(Logs!$K240, E$72)+COUNTIF(Logs!$K257, E$72)+COUNTIF(Logs!$K274, E$72)+COUNTIF(Logs!$K292, E$72)+COUNTIF(Logs!$K309, E$72)+COUNTIF(Logs!$K327, E$72)+COUNTIF(Logs!$K345, E$72)+COUNTIF(Logs!$K363, E$72)+COUNTIF(Logs!$K381, E$72)+COUNTIF(Logs!$K400, E$72)+COUNTIF(Logs!$K418, E$72)+COUNTIF(Logs!$K436, E$72)+COUNTIF(Logs!$K454, E$72)+COUNTIF(Logs!$K472, E$72)+COUNTIF(Logs!$K490, E$72)+COUNTIF(Logs!$K508, E$72)+COUNTIF(Logs!$K526, E$72)+COUNTIF(Logs!$K544, E$72)+COUNTIF(Logs!$K562, E$72)+COUNTIF(Logs!$K579, E$72)+COUNTIF(Logs!$K598, E$72)+COUNTIF(Logs!$K614, E$72)+COUNTIF(Logs!$K630, E$72)+COUNTIF(Logs!$K647, E$72)+COUNTIF(Logs!$K662, E$72)+COUNTIF(Logs!$K678, E$72)</f>
        <v>2</v>
      </c>
      <c r="F81" s="1437">
        <f t="shared" si="41"/>
        <v>0.14285714285714285</v>
      </c>
      <c r="G81" s="1439">
        <f>COUNTIF(Logs!$K16, G$72)+COUNTIF(Logs!$K34, G$72)+COUNTIF(Logs!$K52, G$72)+COUNTIF(Logs!$K70, G$72)+COUNTIF(Logs!$K88, G$72)+COUNTIF(Logs!$K107, G$72)+COUNTIF(Logs!$K127, G$72)+COUNTIF(Logs!$K146, G$72)+COUNTIF(Logs!$K166, G$72)+COUNTIF(Logs!$K184, G$72)+COUNTIF(Logs!$K205, G$72)+COUNTIF(Logs!$K222, G$72)+COUNTIF(Logs!$K240, G$72)+COUNTIF(Logs!$K257, G$72)+COUNTIF(Logs!$K274, G$72)+COUNTIF(Logs!$K292, G$72)+COUNTIF(Logs!$K309, G$72)+COUNTIF(Logs!$K327, G$72)+COUNTIF(Logs!$K345, G$72)+COUNTIF(Logs!$K363, G$72)+COUNTIF(Logs!$K381, G$72)+COUNTIF(Logs!$K400, G$72)+COUNTIF(Logs!$K418, G$72)+COUNTIF(Logs!$K436, G$72)+COUNTIF(Logs!$K454, G$72)+COUNTIF(Logs!$K472, G$72)+COUNTIF(Logs!$K490, G$72)+COUNTIF(Logs!$K508, G$72)+COUNTIF(Logs!$K526, G$72)+COUNTIF(Logs!$K544, G$72)+COUNTIF(Logs!$K562, G$72)+COUNTIF(Logs!$K579, G$72)+COUNTIF(Logs!$K598, G$72)+COUNTIF(Logs!$K614, G$72)+COUNTIF(Logs!$K630, G$72)+COUNTIF(Logs!$K647, G$72)+COUNTIF(Logs!$K662, G$72)+COUNTIF(Logs!$K678, G$72)</f>
        <v>1</v>
      </c>
      <c r="H81" s="1440">
        <f t="shared" si="42"/>
        <v>7.1428571428571425E-2</v>
      </c>
      <c r="I81" s="1443">
        <f>COUNTIF(Logs!$K16, I$72)+COUNTIF(Logs!$K34, I$72)+COUNTIF(Logs!$K52, I$72)+COUNTIF(Logs!$K70, I$72)+COUNTIF(Logs!$K88, I$72)+COUNTIF(Logs!$K107, I$72)+COUNTIF(Logs!$K127, I$72)+COUNTIF(Logs!$K146, I$72)+COUNTIF(Logs!$K166, I$72)+COUNTIF(Logs!$K184, I$72)+COUNTIF(Logs!$K205, I$72)+COUNTIF(Logs!$K222, I$72)+COUNTIF(Logs!$K240, I$72)+COUNTIF(Logs!$K257, I$72)+COUNTIF(Logs!$K274, I$72)+COUNTIF(Logs!$K292, I$72)+COUNTIF(Logs!$K309, I$72)+COUNTIF(Logs!$K327, I$72)+COUNTIF(Logs!$K345, I$72)+COUNTIF(Logs!$K363, I$72)+COUNTIF(Logs!$K381, I$72)+COUNTIF(Logs!$K400, I$72)+COUNTIF(Logs!$K418, I$72)+COUNTIF(Logs!$K436, I$72)+COUNTIF(Logs!$K454, I$72)+COUNTIF(Logs!$K472, I$72)+COUNTIF(Logs!$K490, I$72)+COUNTIF(Logs!$K508, I$72)+COUNTIF(Logs!$K526, I$72)+COUNTIF(Logs!$K544, I$72)+COUNTIF(Logs!$K562, I$72)+COUNTIF(Logs!$K579, I$72)+COUNTIF(Logs!$K598, I$72)+COUNTIF(Logs!$K614, I$72)+COUNTIF(Logs!$K630, I$72)+COUNTIF(Logs!$K647, I$72)+COUNTIF(Logs!$K662, I$72)+COUNTIF(Logs!$K678, I$72)</f>
        <v>0</v>
      </c>
      <c r="J81" s="1444" t="str">
        <f t="shared" si="43"/>
        <v/>
      </c>
      <c r="K81" s="1101">
        <f>COUNTIF(Logs!$K16, K$72)+COUNTIF(Logs!$K34, K$72)+COUNTIF(Logs!$K52, K$72)+COUNTIF(Logs!$K70, K$72)+COUNTIF(Logs!$K88, K$72)+COUNTIF(Logs!$K107, K$72)+COUNTIF(Logs!$K127, K$72)+COUNTIF(Logs!$K146, K$72)+COUNTIF(Logs!$K166, K$72)+COUNTIF(Logs!$K184, K$72)+COUNTIF(Logs!$K205, K$72)+COUNTIF(Logs!$K222, K$72)+COUNTIF(Logs!$K240, K$72)+COUNTIF(Logs!$K257, K$72)+COUNTIF(Logs!$K274, K$72)+COUNTIF(Logs!$K292, K$72)+COUNTIF(Logs!$K309, K$72)+COUNTIF(Logs!$K327, K$72)+COUNTIF(Logs!$K345, K$72)+COUNTIF(Logs!$K363, K$72)+COUNTIF(Logs!$K381, K$72)+COUNTIF(Logs!$K400, K$72)+COUNTIF(Logs!$K418, K$72)+COUNTIF(Logs!$K436, K$72)+COUNTIF(Logs!$K454, K$72)+COUNTIF(Logs!$K472, K$72)+COUNTIF(Logs!$K490, K$72)+COUNTIF(Logs!$K508, K$72)+COUNTIF(Logs!$K526, K$72)+COUNTIF(Logs!$K544, K$72)+COUNTIF(Logs!$K562, K$72)+COUNTIF(Logs!$K579, K$72)+COUNTIF(Logs!$K598, K$72)+COUNTIF(Logs!$K614, K$72)+COUNTIF(Logs!$K630, K$72)+COUNTIF(Logs!$K647, K$72)+COUNTIF(Logs!$K662, K$72)+COUNTIF(Logs!$K678, K$72)</f>
        <v>0</v>
      </c>
      <c r="L81" s="1432" t="str">
        <f t="shared" si="44"/>
        <v/>
      </c>
      <c r="N81" s="1378" t="s">
        <v>192</v>
      </c>
      <c r="O81" s="319">
        <f>COUNTIF(Logs!$L16, O$72)+COUNTIF(Logs!$L34, O$72)+COUNTIF(Logs!$L52, O$72)+COUNTIF(Logs!$L70, O$72)+COUNTIF(Logs!$L88, O$72)+COUNTIF(Logs!$L107, O$72)+COUNTIF(Logs!$L127, O$72)+COUNTIF(Logs!$L146, O$72)+COUNTIF(Logs!$L166, O$72)+COUNTIF(Logs!$L184, O$72)+COUNTIF(Logs!$L205, O$72)+COUNTIF(Logs!$L222, O$72)+COUNTIF(Logs!$L240, O$72)+COUNTIF(Logs!$L257, O$72)+COUNTIF(Logs!$L274, O$72)+COUNTIF(Logs!$L292, O$72)+COUNTIF(Logs!$L309, O$72)+COUNTIF(Logs!$L327, O$72)+COUNTIF(Logs!$L345, O$72)+COUNTIF(Logs!$L363, O$72)+COUNTIF(Logs!$L381, O$72)+COUNTIF(Logs!$L400, O$72)+COUNTIF(Logs!$L418, O$72)+COUNTIF(Logs!$L436, O$72)+COUNTIF(Logs!$L454, O$72)+COUNTIF(Logs!$L472, O$72)+COUNTIF(Logs!$L490, O$72)+COUNTIF(Logs!$L508, O$72)+COUNTIF(Logs!$L526, O$72)+COUNTIF(Logs!$L544, O$72)+COUNTIF(Logs!$L562, O$72)+COUNTIF(Logs!$L579, O$72)+COUNTIF(Logs!$L598, O$72)+COUNTIF(Logs!$L630, O$72)+COUNTIF(Logs!$L647, O$72)+COUNTIF(Logs!$L662, O$72)+COUNTIF(Logs!$L678, O$72)</f>
        <v>7</v>
      </c>
      <c r="P81" s="1448">
        <f t="shared" si="45"/>
        <v>0.63636363636363635</v>
      </c>
      <c r="Q81" s="342">
        <f>COUNTIF(Logs!$L16, Q$72)+COUNTIF(Logs!$L34, Q$72)+COUNTIF(Logs!$L52, Q$72)+COUNTIF(Logs!$L70, Q$72)+COUNTIF(Logs!$L88, Q$72)+COUNTIF(Logs!$L107, Q$72)+COUNTIF(Logs!$L127, Q$72)+COUNTIF(Logs!$L146, Q$72)+COUNTIF(Logs!$L166, Q$72)+COUNTIF(Logs!$L184, Q$72)+COUNTIF(Logs!$L205, Q$72)+COUNTIF(Logs!$L222, Q$72)+COUNTIF(Logs!$L240, Q$72)+COUNTIF(Logs!$L257, Q$72)+COUNTIF(Logs!$L274, Q$72)+COUNTIF(Logs!$L292, Q$72)+COUNTIF(Logs!$L309, Q$72)+COUNTIF(Logs!$L327, Q$72)+COUNTIF(Logs!$L345, Q$72)+COUNTIF(Logs!$L363, Q$72)+COUNTIF(Logs!$L381, Q$72)+COUNTIF(Logs!$L400, Q$72)+COUNTIF(Logs!$L418, Q$72)+COUNTIF(Logs!$L436, Q$72)+COUNTIF(Logs!$L454, Q$72)+COUNTIF(Logs!$L472, Q$72)+COUNTIF(Logs!$L490, Q$72)+COUNTIF(Logs!$L508, Q$72)+COUNTIF(Logs!$L526, Q$72)+COUNTIF(Logs!$L544, Q$72)+COUNTIF(Logs!$L562, Q$72)+COUNTIF(Logs!$L579, Q$72)+COUNTIF(Logs!$L598, Q$72)+COUNTIF(Logs!$L630, Q$72)+COUNTIF(Logs!$L647, Q$72)+COUNTIF(Logs!$L662, Q$72)+COUNTIF(Logs!$L678, Q$72)</f>
        <v>2</v>
      </c>
      <c r="R81" s="1437">
        <f t="shared" si="46"/>
        <v>0.18181818181818182</v>
      </c>
      <c r="S81" s="1439">
        <f>COUNTIF(Logs!$L16, S$72)+COUNTIF(Logs!$L34, S$72)+COUNTIF(Logs!$L52, S$72)+COUNTIF(Logs!$L70, S$72)+COUNTIF(Logs!$L88, S$72)+COUNTIF(Logs!$L107, S$72)+COUNTIF(Logs!$L127, S$72)+COUNTIF(Logs!$L146, S$72)+COUNTIF(Logs!$L166, S$72)+COUNTIF(Logs!$L184, S$72)+COUNTIF(Logs!$L205, S$72)+COUNTIF(Logs!$L222, S$72)+COUNTIF(Logs!$L240, S$72)+COUNTIF(Logs!$L257, S$72)+COUNTIF(Logs!$L274, S$72)+COUNTIF(Logs!$L292, S$72)+COUNTIF(Logs!$L309, S$72)+COUNTIF(Logs!$L327, S$72)+COUNTIF(Logs!$L345, S$72)+COUNTIF(Logs!$L363, S$72)+COUNTIF(Logs!$L381, S$72)+COUNTIF(Logs!$L400, S$72)+COUNTIF(Logs!$L418, S$72)+COUNTIF(Logs!$L436, S$72)+COUNTIF(Logs!$L454, S$72)+COUNTIF(Logs!$L472, S$72)+COUNTIF(Logs!$L490, S$72)+COUNTIF(Logs!$L508, S$72)+COUNTIF(Logs!$L526, S$72)+COUNTIF(Logs!$L544, S$72)+COUNTIF(Logs!$L562, S$72)+COUNTIF(Logs!$L579, S$72)+COUNTIF(Logs!$L598, S$72)+COUNTIF(Logs!$L630, S$72)+COUNTIF(Logs!$L647, S$72)+COUNTIF(Logs!$L662, S$72)+COUNTIF(Logs!$L678, S$72)</f>
        <v>2</v>
      </c>
      <c r="T81" s="1440">
        <f t="shared" si="47"/>
        <v>0.18181818181818182</v>
      </c>
      <c r="U81" s="1443">
        <f>COUNTIF(Logs!$L16, U$72)+COUNTIF(Logs!$L34, U$72)+COUNTIF(Logs!$L52, U$72)+COUNTIF(Logs!$L70, U$72)+COUNTIF(Logs!$L88, U$72)+COUNTIF(Logs!$L107, U$72)+COUNTIF(Logs!$L127, U$72)+COUNTIF(Logs!$L146, U$72)+COUNTIF(Logs!$L166, U$72)+COUNTIF(Logs!$L184, U$72)+COUNTIF(Logs!$L205, U$72)+COUNTIF(Logs!$L222, U$72)+COUNTIF(Logs!$L240, U$72)+COUNTIF(Logs!$L257, U$72)+COUNTIF(Logs!$L274, U$72)+COUNTIF(Logs!$L292, U$72)+COUNTIF(Logs!$L309, U$72)+COUNTIF(Logs!$L327, U$72)+COUNTIF(Logs!$L345, U$72)+COUNTIF(Logs!$L363, U$72)+COUNTIF(Logs!$L381, U$72)+COUNTIF(Logs!$L400, U$72)+COUNTIF(Logs!$L418, U$72)+COUNTIF(Logs!$L436, U$72)+COUNTIF(Logs!$L454, U$72)+COUNTIF(Logs!$L472, U$72)+COUNTIF(Logs!$L490, U$72)+COUNTIF(Logs!$L508, U$72)+COUNTIF(Logs!$L526, U$72)+COUNTIF(Logs!$L544, U$72)+COUNTIF(Logs!$L562, U$72)+COUNTIF(Logs!$L579, U$72)+COUNTIF(Logs!$L598, U$72)+COUNTIF(Logs!$L630, U$72)+COUNTIF(Logs!$L647, U$72)+COUNTIF(Logs!$L662, U$72)+COUNTIF(Logs!$L678, U$72)</f>
        <v>0</v>
      </c>
      <c r="V81" s="1444" t="str">
        <f t="shared" si="48"/>
        <v/>
      </c>
      <c r="W81" s="1101">
        <f>COUNTIF(Logs!$L16, W$72)+COUNTIF(Logs!$L34, W$72)+COUNTIF(Logs!$L52, W$72)+COUNTIF(Logs!$L70, W$72)+COUNTIF(Logs!$L88, W$72)+COUNTIF(Logs!$L107, W$72)+COUNTIF(Logs!$L127, W$72)+COUNTIF(Logs!$L146, W$72)+COUNTIF(Logs!$L166, W$72)+COUNTIF(Logs!$L184, W$72)+COUNTIF(Logs!$L205, W$72)+COUNTIF(Logs!$L222, W$72)+COUNTIF(Logs!$L240, W$72)+COUNTIF(Logs!$L257, W$72)+COUNTIF(Logs!$L274, W$72)+COUNTIF(Logs!$L292, W$72)+COUNTIF(Logs!$L309, W$72)+COUNTIF(Logs!$L327, W$72)+COUNTIF(Logs!$L345, W$72)+COUNTIF(Logs!$L363, W$72)+COUNTIF(Logs!$L381, W$72)+COUNTIF(Logs!$L400, W$72)+COUNTIF(Logs!$L418, W$72)+COUNTIF(Logs!$L436, W$72)+COUNTIF(Logs!$L454, W$72)+COUNTIF(Logs!$L472, W$72)+COUNTIF(Logs!$L490, W$72)+COUNTIF(Logs!$L508, W$72)+COUNTIF(Logs!$L526, W$72)+COUNTIF(Logs!$L544, W$72)+COUNTIF(Logs!$L562, W$72)+COUNTIF(Logs!$L579, W$72)+COUNTIF(Logs!$L598, W$72)+COUNTIF(Logs!$L630, W$72)+COUNTIF(Logs!$L647, W$72)+COUNTIF(Logs!$L662, W$72)+COUNTIF(Logs!$L678, W$72)</f>
        <v>0</v>
      </c>
      <c r="X81" s="1432" t="str">
        <f t="shared" si="49"/>
        <v/>
      </c>
    </row>
    <row r="82" spans="2:24">
      <c r="B82" s="1378" t="s">
        <v>193</v>
      </c>
      <c r="C82" s="319">
        <f>COUNTIF(Logs!$K17, C$72)+COUNTIF(Logs!$K35, C$72)+COUNTIF(Logs!$K53, C$72)+COUNTIF(Logs!$K71, C$72)+COUNTIF(Logs!$K89, C$72)+COUNTIF(Logs!$K108, C$72)+COUNTIF(Logs!$K128, C$72)+COUNTIF(Logs!$K147, C$72)+COUNTIF(Logs!$K167, C$72)+COUNTIF(Logs!$K185, C$72)+COUNTIF(Logs!$K206, C$72)+COUNTIF(Logs!$K223, C$72)+COUNTIF(Logs!$K241, C$72)+COUNTIF(Logs!$K258, C$72)+COUNTIF(Logs!$K275, C$72)+COUNTIF(Logs!$K293, C$72)+COUNTIF(Logs!$K310, C$72)+COUNTIF(Logs!$K328, C$72)+COUNTIF(Logs!$K346, C$72)+COUNTIF(Logs!$K364, C$72)+COUNTIF(Logs!$K382, C$72)+COUNTIF(Logs!$K401, C$72)+COUNTIF(Logs!$K419, C$72)+COUNTIF(Logs!$K437, C$72)+COUNTIF(Logs!$K455, C$72)+COUNTIF(Logs!$K473, C$72)+COUNTIF(Logs!$K491, C$72)+COUNTIF(Logs!$K509, C$72)+COUNTIF(Logs!$K527, C$72)+COUNTIF(Logs!$K545, C$72)+COUNTIF(Logs!$K563, C$72)+COUNTIF(Logs!$K580, C$72)+COUNTIF(Logs!$K599, C$72)+COUNTIF(Logs!$K615, C$72)+COUNTIF(Logs!$K631, C$72)+COUNTIF(Logs!$K648, C$72)+COUNTIF(Logs!$K663, C$72)+COUNTIF(Logs!$K679, C$72)</f>
        <v>6</v>
      </c>
      <c r="D82" s="1448">
        <f t="shared" si="40"/>
        <v>1</v>
      </c>
      <c r="E82" s="342">
        <f>COUNTIF(Logs!$K17, E$72)+COUNTIF(Logs!$K35, E$72)+COUNTIF(Logs!$K53, E$72)+COUNTIF(Logs!$K71, E$72)+COUNTIF(Logs!$K89, E$72)+COUNTIF(Logs!$K108, E$72)+COUNTIF(Logs!$K128, E$72)+COUNTIF(Logs!$K147, E$72)+COUNTIF(Logs!$K167, E$72)+COUNTIF(Logs!$K185, E$72)+COUNTIF(Logs!$K206, E$72)+COUNTIF(Logs!$K223, E$72)+COUNTIF(Logs!$K241, E$72)+COUNTIF(Logs!$K258, E$72)+COUNTIF(Logs!$K275, E$72)+COUNTIF(Logs!$K293, E$72)+COUNTIF(Logs!$K310, E$72)+COUNTIF(Logs!$K328, E$72)+COUNTIF(Logs!$K346, E$72)+COUNTIF(Logs!$K364, E$72)+COUNTIF(Logs!$K382, E$72)+COUNTIF(Logs!$K401, E$72)+COUNTIF(Logs!$K419, E$72)+COUNTIF(Logs!$K437, E$72)+COUNTIF(Logs!$K455, E$72)+COUNTIF(Logs!$K473, E$72)+COUNTIF(Logs!$K491, E$72)+COUNTIF(Logs!$K509, E$72)+COUNTIF(Logs!$K527, E$72)+COUNTIF(Logs!$K545, E$72)+COUNTIF(Logs!$K563, E$72)+COUNTIF(Logs!$K580, E$72)+COUNTIF(Logs!$K599, E$72)+COUNTIF(Logs!$K615, E$72)+COUNTIF(Logs!$K631, E$72)+COUNTIF(Logs!$K648, E$72)+COUNTIF(Logs!$K663, E$72)+COUNTIF(Logs!$K679, E$72)</f>
        <v>0</v>
      </c>
      <c r="F82" s="1437" t="str">
        <f t="shared" si="41"/>
        <v/>
      </c>
      <c r="G82" s="1439">
        <f>COUNTIF(Logs!$K17, G$72)+COUNTIF(Logs!$K35, G$72)+COUNTIF(Logs!$K53, G$72)+COUNTIF(Logs!$K71, G$72)+COUNTIF(Logs!$K89, G$72)+COUNTIF(Logs!$K108, G$72)+COUNTIF(Logs!$K128, G$72)+COUNTIF(Logs!$K147, G$72)+COUNTIF(Logs!$K167, G$72)+COUNTIF(Logs!$K185, G$72)+COUNTIF(Logs!$K206, G$72)+COUNTIF(Logs!$K223, G$72)+COUNTIF(Logs!$K241, G$72)+COUNTIF(Logs!$K258, G$72)+COUNTIF(Logs!$K275, G$72)+COUNTIF(Logs!$K293, G$72)+COUNTIF(Logs!$K310, G$72)+COUNTIF(Logs!$K328, G$72)+COUNTIF(Logs!$K346, G$72)+COUNTIF(Logs!$K364, G$72)+COUNTIF(Logs!$K382, G$72)+COUNTIF(Logs!$K401, G$72)+COUNTIF(Logs!$K419, G$72)+COUNTIF(Logs!$K437, G$72)+COUNTIF(Logs!$K455, G$72)+COUNTIF(Logs!$K473, G$72)+COUNTIF(Logs!$K491, G$72)+COUNTIF(Logs!$K509, G$72)+COUNTIF(Logs!$K527, G$72)+COUNTIF(Logs!$K545, G$72)+COUNTIF(Logs!$K563, G$72)+COUNTIF(Logs!$K580, G$72)+COUNTIF(Logs!$K599, G$72)+COUNTIF(Logs!$K615, G$72)+COUNTIF(Logs!$K631, G$72)+COUNTIF(Logs!$K648, G$72)+COUNTIF(Logs!$K663, G$72)+COUNTIF(Logs!$K679, G$72)</f>
        <v>0</v>
      </c>
      <c r="H82" s="1440" t="str">
        <f t="shared" si="42"/>
        <v/>
      </c>
      <c r="I82" s="1443">
        <f>COUNTIF(Logs!$K17, I$72)+COUNTIF(Logs!$K35, I$72)+COUNTIF(Logs!$K53, I$72)+COUNTIF(Logs!$K71, I$72)+COUNTIF(Logs!$K89, I$72)+COUNTIF(Logs!$K108, I$72)+COUNTIF(Logs!$K128, I$72)+COUNTIF(Logs!$K147, I$72)+COUNTIF(Logs!$K167, I$72)+COUNTIF(Logs!$K185, I$72)+COUNTIF(Logs!$K206, I$72)+COUNTIF(Logs!$K223, I$72)+COUNTIF(Logs!$K241, I$72)+COUNTIF(Logs!$K258, I$72)+COUNTIF(Logs!$K275, I$72)+COUNTIF(Logs!$K293, I$72)+COUNTIF(Logs!$K310, I$72)+COUNTIF(Logs!$K328, I$72)+COUNTIF(Logs!$K346, I$72)+COUNTIF(Logs!$K364, I$72)+COUNTIF(Logs!$K382, I$72)+COUNTIF(Logs!$K401, I$72)+COUNTIF(Logs!$K419, I$72)+COUNTIF(Logs!$K437, I$72)+COUNTIF(Logs!$K455, I$72)+COUNTIF(Logs!$K473, I$72)+COUNTIF(Logs!$K491, I$72)+COUNTIF(Logs!$K509, I$72)+COUNTIF(Logs!$K527, I$72)+COUNTIF(Logs!$K545, I$72)+COUNTIF(Logs!$K563, I$72)+COUNTIF(Logs!$K580, I$72)+COUNTIF(Logs!$K599, I$72)+COUNTIF(Logs!$K615, I$72)+COUNTIF(Logs!$K631, I$72)+COUNTIF(Logs!$K648, I$72)+COUNTIF(Logs!$K663, I$72)+COUNTIF(Logs!$K679, I$72)</f>
        <v>0</v>
      </c>
      <c r="J82" s="1444" t="str">
        <f t="shared" si="43"/>
        <v/>
      </c>
      <c r="K82" s="1101">
        <f>COUNTIF(Logs!$K17, K$72)+COUNTIF(Logs!$K35, K$72)+COUNTIF(Logs!$K53, K$72)+COUNTIF(Logs!$K71, K$72)+COUNTIF(Logs!$K89, K$72)+COUNTIF(Logs!$K108, K$72)+COUNTIF(Logs!$K128, K$72)+COUNTIF(Logs!$K147, K$72)+COUNTIF(Logs!$K167, K$72)+COUNTIF(Logs!$K185, K$72)+COUNTIF(Logs!$K206, K$72)+COUNTIF(Logs!$K223, K$72)+COUNTIF(Logs!$K241, K$72)+COUNTIF(Logs!$K258, K$72)+COUNTIF(Logs!$K275, K$72)+COUNTIF(Logs!$K293, K$72)+COUNTIF(Logs!$K310, K$72)+COUNTIF(Logs!$K328, K$72)+COUNTIF(Logs!$K346, K$72)+COUNTIF(Logs!$K364, K$72)+COUNTIF(Logs!$K382, K$72)+COUNTIF(Logs!$K401, K$72)+COUNTIF(Logs!$K419, K$72)+COUNTIF(Logs!$K437, K$72)+COUNTIF(Logs!$K455, K$72)+COUNTIF(Logs!$K473, K$72)+COUNTIF(Logs!$K491, K$72)+COUNTIF(Logs!$K509, K$72)+COUNTIF(Logs!$K527, K$72)+COUNTIF(Logs!$K545, K$72)+COUNTIF(Logs!$K563, K$72)+COUNTIF(Logs!$K580, K$72)+COUNTIF(Logs!$K599, K$72)+COUNTIF(Logs!$K615, K$72)+COUNTIF(Logs!$K631, K$72)+COUNTIF(Logs!$K648, K$72)+COUNTIF(Logs!$K663, K$72)+COUNTIF(Logs!$K679, K$72)</f>
        <v>0</v>
      </c>
      <c r="L82" s="1432" t="str">
        <f t="shared" si="44"/>
        <v/>
      </c>
      <c r="N82" s="1378" t="s">
        <v>193</v>
      </c>
      <c r="O82" s="319">
        <f>COUNTIF(Logs!$L17, O$72)+COUNTIF(Logs!$L35, O$72)+COUNTIF(Logs!$L53, O$72)+COUNTIF(Logs!$L71, O$72)+COUNTIF(Logs!$L89, O$72)+COUNTIF(Logs!$L108, O$72)+COUNTIF(Logs!$L128, O$72)+COUNTIF(Logs!$L147, O$72)+COUNTIF(Logs!$L167, O$72)+COUNTIF(Logs!$L185, O$72)+COUNTIF(Logs!$L206, O$72)+COUNTIF(Logs!$L223, O$72)+COUNTIF(Logs!$L241, O$72)+COUNTIF(Logs!$L258, O$72)+COUNTIF(Logs!$L275, O$72)+COUNTIF(Logs!$L293, O$72)+COUNTIF(Logs!$L310, O$72)+COUNTIF(Logs!$L328, O$72)+COUNTIF(Logs!$L346, O$72)+COUNTIF(Logs!$L364, O$72)+COUNTIF(Logs!$L382, O$72)+COUNTIF(Logs!$L401, O$72)+COUNTIF(Logs!$L419, O$72)+COUNTIF(Logs!$L437, O$72)+COUNTIF(Logs!$L455, O$72)+COUNTIF(Logs!$L473, O$72)+COUNTIF(Logs!$L491, O$72)+COUNTIF(Logs!$L509, O$72)+COUNTIF(Logs!$L527, O$72)+COUNTIF(Logs!$L545, O$72)+COUNTIF(Logs!$L563, O$72)+COUNTIF(Logs!$L580, O$72)+COUNTIF(Logs!$L599, O$72)+COUNTIF(Logs!$L631, O$72)+COUNTIF(Logs!$L648, O$72)+COUNTIF(Logs!$L663, O$72)+COUNTIF(Logs!$L679, O$72)</f>
        <v>5</v>
      </c>
      <c r="P82" s="1448">
        <f t="shared" si="45"/>
        <v>1</v>
      </c>
      <c r="Q82" s="342">
        <f>COUNTIF(Logs!$L17, Q$72)+COUNTIF(Logs!$L35, Q$72)+COUNTIF(Logs!$L53, Q$72)+COUNTIF(Logs!$L71, Q$72)+COUNTIF(Logs!$L89, Q$72)+COUNTIF(Logs!$L108, Q$72)+COUNTIF(Logs!$L128, Q$72)+COUNTIF(Logs!$L147, Q$72)+COUNTIF(Logs!$L167, Q$72)+COUNTIF(Logs!$L185, Q$72)+COUNTIF(Logs!$L206, Q$72)+COUNTIF(Logs!$L223, Q$72)+COUNTIF(Logs!$L241, Q$72)+COUNTIF(Logs!$L258, Q$72)+COUNTIF(Logs!$L275, Q$72)+COUNTIF(Logs!$L293, Q$72)+COUNTIF(Logs!$L310, Q$72)+COUNTIF(Logs!$L328, Q$72)+COUNTIF(Logs!$L346, Q$72)+COUNTIF(Logs!$L364, Q$72)+COUNTIF(Logs!$L382, Q$72)+COUNTIF(Logs!$L401, Q$72)+COUNTIF(Logs!$L419, Q$72)+COUNTIF(Logs!$L437, Q$72)+COUNTIF(Logs!$L455, Q$72)+COUNTIF(Logs!$L473, Q$72)+COUNTIF(Logs!$L491, Q$72)+COUNTIF(Logs!$L509, Q$72)+COUNTIF(Logs!$L527, Q$72)+COUNTIF(Logs!$L545, Q$72)+COUNTIF(Logs!$L563, Q$72)+COUNTIF(Logs!$L580, Q$72)+COUNTIF(Logs!$L599, Q$72)+COUNTIF(Logs!$L631, Q$72)+COUNTIF(Logs!$L648, Q$72)+COUNTIF(Logs!$L663, Q$72)+COUNTIF(Logs!$L679, Q$72)</f>
        <v>0</v>
      </c>
      <c r="R82" s="1437" t="str">
        <f t="shared" si="46"/>
        <v/>
      </c>
      <c r="S82" s="1439">
        <f>COUNTIF(Logs!$L17, S$72)+COUNTIF(Logs!$L35, S$72)+COUNTIF(Logs!$L53, S$72)+COUNTIF(Logs!$L71, S$72)+COUNTIF(Logs!$L89, S$72)+COUNTIF(Logs!$L108, S$72)+COUNTIF(Logs!$L128, S$72)+COUNTIF(Logs!$L147, S$72)+COUNTIF(Logs!$L167, S$72)+COUNTIF(Logs!$L185, S$72)+COUNTIF(Logs!$L206, S$72)+COUNTIF(Logs!$L223, S$72)+COUNTIF(Logs!$L241, S$72)+COUNTIF(Logs!$L258, S$72)+COUNTIF(Logs!$L275, S$72)+COUNTIF(Logs!$L293, S$72)+COUNTIF(Logs!$L310, S$72)+COUNTIF(Logs!$L328, S$72)+COUNTIF(Logs!$L346, S$72)+COUNTIF(Logs!$L364, S$72)+COUNTIF(Logs!$L382, S$72)+COUNTIF(Logs!$L401, S$72)+COUNTIF(Logs!$L419, S$72)+COUNTIF(Logs!$L437, S$72)+COUNTIF(Logs!$L455, S$72)+COUNTIF(Logs!$L473, S$72)+COUNTIF(Logs!$L491, S$72)+COUNTIF(Logs!$L509, S$72)+COUNTIF(Logs!$L527, S$72)+COUNTIF(Logs!$L545, S$72)+COUNTIF(Logs!$L563, S$72)+COUNTIF(Logs!$L580, S$72)+COUNTIF(Logs!$L599, S$72)+COUNTIF(Logs!$L631, S$72)+COUNTIF(Logs!$L648, S$72)+COUNTIF(Logs!$L663, S$72)+COUNTIF(Logs!$L679, S$72)</f>
        <v>0</v>
      </c>
      <c r="T82" s="1440" t="str">
        <f t="shared" si="47"/>
        <v/>
      </c>
      <c r="U82" s="1443">
        <f>COUNTIF(Logs!$L17, U$72)+COUNTIF(Logs!$L35, U$72)+COUNTIF(Logs!$L53, U$72)+COUNTIF(Logs!$L71, U$72)+COUNTIF(Logs!$L89, U$72)+COUNTIF(Logs!$L108, U$72)+COUNTIF(Logs!$L128, U$72)+COUNTIF(Logs!$L147, U$72)+COUNTIF(Logs!$L167, U$72)+COUNTIF(Logs!$L185, U$72)+COUNTIF(Logs!$L206, U$72)+COUNTIF(Logs!$L223, U$72)+COUNTIF(Logs!$L241, U$72)+COUNTIF(Logs!$L258, U$72)+COUNTIF(Logs!$L275, U$72)+COUNTIF(Logs!$L293, U$72)+COUNTIF(Logs!$L310, U$72)+COUNTIF(Logs!$L328, U$72)+COUNTIF(Logs!$L346, U$72)+COUNTIF(Logs!$L364, U$72)+COUNTIF(Logs!$L382, U$72)+COUNTIF(Logs!$L401, U$72)+COUNTIF(Logs!$L419, U$72)+COUNTIF(Logs!$L437, U$72)+COUNTIF(Logs!$L455, U$72)+COUNTIF(Logs!$L473, U$72)+COUNTIF(Logs!$L491, U$72)+COUNTIF(Logs!$L509, U$72)+COUNTIF(Logs!$L527, U$72)+COUNTIF(Logs!$L545, U$72)+COUNTIF(Logs!$L563, U$72)+COUNTIF(Logs!$L580, U$72)+COUNTIF(Logs!$L599, U$72)+COUNTIF(Logs!$L631, U$72)+COUNTIF(Logs!$L648, U$72)+COUNTIF(Logs!$L663, U$72)+COUNTIF(Logs!$L679, U$72)</f>
        <v>0</v>
      </c>
      <c r="V82" s="1444" t="str">
        <f t="shared" si="48"/>
        <v/>
      </c>
      <c r="W82" s="1101">
        <f>COUNTIF(Logs!$L17, W$72)+COUNTIF(Logs!$L35, W$72)+COUNTIF(Logs!$L53, W$72)+COUNTIF(Logs!$L71, W$72)+COUNTIF(Logs!$L89, W$72)+COUNTIF(Logs!$L108, W$72)+COUNTIF(Logs!$L128, W$72)+COUNTIF(Logs!$L147, W$72)+COUNTIF(Logs!$L167, W$72)+COUNTIF(Logs!$L185, W$72)+COUNTIF(Logs!$L206, W$72)+COUNTIF(Logs!$L223, W$72)+COUNTIF(Logs!$L241, W$72)+COUNTIF(Logs!$L258, W$72)+COUNTIF(Logs!$L275, W$72)+COUNTIF(Logs!$L293, W$72)+COUNTIF(Logs!$L310, W$72)+COUNTIF(Logs!$L328, W$72)+COUNTIF(Logs!$L346, W$72)+COUNTIF(Logs!$L364, W$72)+COUNTIF(Logs!$L382, W$72)+COUNTIF(Logs!$L401, W$72)+COUNTIF(Logs!$L419, W$72)+COUNTIF(Logs!$L437, W$72)+COUNTIF(Logs!$L455, W$72)+COUNTIF(Logs!$L473, W$72)+COUNTIF(Logs!$L491, W$72)+COUNTIF(Logs!$L509, W$72)+COUNTIF(Logs!$L527, W$72)+COUNTIF(Logs!$L545, W$72)+COUNTIF(Logs!$L563, W$72)+COUNTIF(Logs!$L580, W$72)+COUNTIF(Logs!$L599, W$72)+COUNTIF(Logs!$L631, W$72)+COUNTIF(Logs!$L648, W$72)+COUNTIF(Logs!$L663, W$72)+COUNTIF(Logs!$L679, W$72)</f>
        <v>0</v>
      </c>
      <c r="X82" s="1432" t="str">
        <f t="shared" si="49"/>
        <v/>
      </c>
    </row>
    <row r="83" spans="2:24">
      <c r="B83" s="1378" t="s">
        <v>194</v>
      </c>
      <c r="C83" s="319">
        <f>COUNTIF(Logs!$K18, C$72)+COUNTIF(Logs!$K36, C$72)+COUNTIF(Logs!$K54, C$72)+COUNTIF(Logs!$K72, C$72)+COUNTIF(Logs!$K90, C$72)+COUNTIF(Logs!$K109, C$72)+COUNTIF(Logs!$K129, C$72)+COUNTIF(Logs!$K148, C$72)+COUNTIF(Logs!$K168, C$72)+COUNTIF(Logs!$K186, C$72)+COUNTIF(Logs!$K207, C$72)+COUNTIF(Logs!$K224, C$72)+COUNTIF(Logs!$K242, C$72)+COUNTIF(Logs!$K259, C$72)+COUNTIF(Logs!$K276, C$72)+COUNTIF(Logs!$K294, C$72)+COUNTIF(Logs!$K311, C$72)+COUNTIF(Logs!$K329, C$72)+COUNTIF(Logs!$K347, C$72)+COUNTIF(Logs!$K365, C$72)+COUNTIF(Logs!$K383, C$72)+COUNTIF(Logs!$K402, C$72)+COUNTIF(Logs!$K420, C$72)+COUNTIF(Logs!$K438, C$72)+COUNTIF(Logs!$K456, C$72)+COUNTIF(Logs!$K474, C$72)+COUNTIF(Logs!$K492, C$72)+COUNTIF(Logs!$K510, C$72)+COUNTIF(Logs!$K528, C$72)+COUNTIF(Logs!$K546, C$72)+COUNTIF(Logs!$K564, C$72)+COUNTIF(Logs!$K581, C$72)+COUNTIF(Logs!$K600, C$72)+COUNTIF(Logs!$K616, C$72)+COUNTIF(Logs!$K632, C$72)+COUNTIF(Logs!$K649, C$72)+COUNTIF(Logs!$K664, C$72)+COUNTIF(Logs!$K680, C$72)</f>
        <v>0</v>
      </c>
      <c r="D83" s="1448" t="str">
        <f t="shared" si="40"/>
        <v/>
      </c>
      <c r="E83" s="342">
        <f>COUNTIF(Logs!$K18, E$72)+COUNTIF(Logs!$K36, E$72)+COUNTIF(Logs!$K54, E$72)+COUNTIF(Logs!$K72, E$72)+COUNTIF(Logs!$K90, E$72)+COUNTIF(Logs!$K109, E$72)+COUNTIF(Logs!$K129, E$72)+COUNTIF(Logs!$K148, E$72)+COUNTIF(Logs!$K168, E$72)+COUNTIF(Logs!$K186, E$72)+COUNTIF(Logs!$K207, E$72)+COUNTIF(Logs!$K224, E$72)+COUNTIF(Logs!$K242, E$72)+COUNTIF(Logs!$K259, E$72)+COUNTIF(Logs!$K276, E$72)+COUNTIF(Logs!$K294, E$72)+COUNTIF(Logs!$K311, E$72)+COUNTIF(Logs!$K329, E$72)+COUNTIF(Logs!$K347, E$72)+COUNTIF(Logs!$K365, E$72)+COUNTIF(Logs!$K383, E$72)+COUNTIF(Logs!$K402, E$72)+COUNTIF(Logs!$K420, E$72)+COUNTIF(Logs!$K438, E$72)+COUNTIF(Logs!$K456, E$72)+COUNTIF(Logs!$K474, E$72)+COUNTIF(Logs!$K492, E$72)+COUNTIF(Logs!$K510, E$72)+COUNTIF(Logs!$K528, E$72)+COUNTIF(Logs!$K546, E$72)+COUNTIF(Logs!$K564, E$72)+COUNTIF(Logs!$K581, E$72)+COUNTIF(Logs!$K600, E$72)+COUNTIF(Logs!$K616, E$72)+COUNTIF(Logs!$K632, E$72)+COUNTIF(Logs!$K649, E$72)+COUNTIF(Logs!$K664, E$72)+COUNTIF(Logs!$K680, E$72)</f>
        <v>1</v>
      </c>
      <c r="F83" s="1437">
        <f t="shared" si="41"/>
        <v>1</v>
      </c>
      <c r="G83" s="1439">
        <f>COUNTIF(Logs!$K18, G$72)+COUNTIF(Logs!$K36, G$72)+COUNTIF(Logs!$K54, G$72)+COUNTIF(Logs!$K72, G$72)+COUNTIF(Logs!$K90, G$72)+COUNTIF(Logs!$K109, G$72)+COUNTIF(Logs!$K129, G$72)+COUNTIF(Logs!$K148, G$72)+COUNTIF(Logs!$K168, G$72)+COUNTIF(Logs!$K186, G$72)+COUNTIF(Logs!$K207, G$72)+COUNTIF(Logs!$K224, G$72)+COUNTIF(Logs!$K242, G$72)+COUNTIF(Logs!$K259, G$72)+COUNTIF(Logs!$K276, G$72)+COUNTIF(Logs!$K294, G$72)+COUNTIF(Logs!$K311, G$72)+COUNTIF(Logs!$K329, G$72)+COUNTIF(Logs!$K347, G$72)+COUNTIF(Logs!$K365, G$72)+COUNTIF(Logs!$K383, G$72)+COUNTIF(Logs!$K402, G$72)+COUNTIF(Logs!$K420, G$72)+COUNTIF(Logs!$K438, G$72)+COUNTIF(Logs!$K456, G$72)+COUNTIF(Logs!$K474, G$72)+COUNTIF(Logs!$K492, G$72)+COUNTIF(Logs!$K510, G$72)+COUNTIF(Logs!$K528, G$72)+COUNTIF(Logs!$K546, G$72)+COUNTIF(Logs!$K564, G$72)+COUNTIF(Logs!$K581, G$72)+COUNTIF(Logs!$K600, G$72)+COUNTIF(Logs!$K616, G$72)+COUNTIF(Logs!$K632, G$72)+COUNTIF(Logs!$K649, G$72)+COUNTIF(Logs!$K664, G$72)+COUNTIF(Logs!$K680, G$72)</f>
        <v>0</v>
      </c>
      <c r="H83" s="1440" t="str">
        <f t="shared" si="42"/>
        <v/>
      </c>
      <c r="I83" s="1443">
        <f>COUNTIF(Logs!$K18, I$72)+COUNTIF(Logs!$K36, I$72)+COUNTIF(Logs!$K54, I$72)+COUNTIF(Logs!$K72, I$72)+COUNTIF(Logs!$K90, I$72)+COUNTIF(Logs!$K109, I$72)+COUNTIF(Logs!$K129, I$72)+COUNTIF(Logs!$K148, I$72)+COUNTIF(Logs!$K168, I$72)+COUNTIF(Logs!$K186, I$72)+COUNTIF(Logs!$K207, I$72)+COUNTIF(Logs!$K224, I$72)+COUNTIF(Logs!$K242, I$72)+COUNTIF(Logs!$K259, I$72)+COUNTIF(Logs!$K276, I$72)+COUNTIF(Logs!$K294, I$72)+COUNTIF(Logs!$K311, I$72)+COUNTIF(Logs!$K329, I$72)+COUNTIF(Logs!$K347, I$72)+COUNTIF(Logs!$K365, I$72)+COUNTIF(Logs!$K383, I$72)+COUNTIF(Logs!$K402, I$72)+COUNTIF(Logs!$K420, I$72)+COUNTIF(Logs!$K438, I$72)+COUNTIF(Logs!$K456, I$72)+COUNTIF(Logs!$K474, I$72)+COUNTIF(Logs!$K492, I$72)+COUNTIF(Logs!$K510, I$72)+COUNTIF(Logs!$K528, I$72)+COUNTIF(Logs!$K546, I$72)+COUNTIF(Logs!$K564, I$72)+COUNTIF(Logs!$K581, I$72)+COUNTIF(Logs!$K600, I$72)+COUNTIF(Logs!$K616, I$72)+COUNTIF(Logs!$K632, I$72)+COUNTIF(Logs!$K649, I$72)+COUNTIF(Logs!$K664, I$72)+COUNTIF(Logs!$K680, I$72)</f>
        <v>0</v>
      </c>
      <c r="J83" s="1444" t="str">
        <f t="shared" si="43"/>
        <v/>
      </c>
      <c r="K83" s="1101">
        <f>COUNTIF(Logs!$K18, K$72)+COUNTIF(Logs!$K36, K$72)+COUNTIF(Logs!$K54, K$72)+COUNTIF(Logs!$K72, K$72)+COUNTIF(Logs!$K90, K$72)+COUNTIF(Logs!$K109, K$72)+COUNTIF(Logs!$K129, K$72)+COUNTIF(Logs!$K148, K$72)+COUNTIF(Logs!$K168, K$72)+COUNTIF(Logs!$K186, K$72)+COUNTIF(Logs!$K207, K$72)+COUNTIF(Logs!$K224, K$72)+COUNTIF(Logs!$K242, K$72)+COUNTIF(Logs!$K259, K$72)+COUNTIF(Logs!$K276, K$72)+COUNTIF(Logs!$K294, K$72)+COUNTIF(Logs!$K311, K$72)+COUNTIF(Logs!$K329, K$72)+COUNTIF(Logs!$K347, K$72)+COUNTIF(Logs!$K365, K$72)+COUNTIF(Logs!$K383, K$72)+COUNTIF(Logs!$K402, K$72)+COUNTIF(Logs!$K420, K$72)+COUNTIF(Logs!$K438, K$72)+COUNTIF(Logs!$K456, K$72)+COUNTIF(Logs!$K474, K$72)+COUNTIF(Logs!$K492, K$72)+COUNTIF(Logs!$K510, K$72)+COUNTIF(Logs!$K528, K$72)+COUNTIF(Logs!$K546, K$72)+COUNTIF(Logs!$K564, K$72)+COUNTIF(Logs!$K581, K$72)+COUNTIF(Logs!$K600, K$72)+COUNTIF(Logs!$K616, K$72)+COUNTIF(Logs!$K632, K$72)+COUNTIF(Logs!$K649, K$72)+COUNTIF(Logs!$K664, K$72)+COUNTIF(Logs!$K680, K$72)</f>
        <v>0</v>
      </c>
      <c r="L83" s="1432" t="str">
        <f t="shared" si="44"/>
        <v/>
      </c>
      <c r="N83" s="1378" t="s">
        <v>194</v>
      </c>
      <c r="O83" s="319">
        <f>COUNTIF(Logs!$L18, O$72)+COUNTIF(Logs!$L36, O$72)+COUNTIF(Logs!$L54, O$72)+COUNTIF(Logs!$L72, O$72)+COUNTIF(Logs!$L90, O$72)+COUNTIF(Logs!$L109, O$72)+COUNTIF(Logs!$L129, O$72)+COUNTIF(Logs!$L148, O$72)+COUNTIF(Logs!$L168, O$72)+COUNTIF(Logs!$L186, O$72)+COUNTIF(Logs!$L207, O$72)+COUNTIF(Logs!$L224, O$72)+COUNTIF(Logs!$L242, O$72)+COUNTIF(Logs!$L259, O$72)+COUNTIF(Logs!$L276, O$72)+COUNTIF(Logs!$L294, O$72)+COUNTIF(Logs!$L311, O$72)+COUNTIF(Logs!$L329, O$72)+COUNTIF(Logs!$L347, O$72)+COUNTIF(Logs!$L365, O$72)+COUNTIF(Logs!$L383, O$72)+COUNTIF(Logs!$L402, O$72)+COUNTIF(Logs!$L420, O$72)+COUNTIF(Logs!$L438, O$72)+COUNTIF(Logs!$L456, O$72)+COUNTIF(Logs!$L474, O$72)+COUNTIF(Logs!$L492, O$72)+COUNTIF(Logs!$L510, O$72)+COUNTIF(Logs!$L528, O$72)+COUNTIF(Logs!$L546, O$72)+COUNTIF(Logs!$L564, O$72)+COUNTIF(Logs!$L581, O$72)+COUNTIF(Logs!$L600, O$72)+COUNTIF(Logs!$L632, O$72)+COUNTIF(Logs!$L649, O$72)+COUNTIF(Logs!$L664, O$72)+COUNTIF(Logs!$L680, O$72)</f>
        <v>1</v>
      </c>
      <c r="P83" s="1448">
        <f t="shared" si="45"/>
        <v>1</v>
      </c>
      <c r="Q83" s="342">
        <f>COUNTIF(Logs!$L18, Q$72)+COUNTIF(Logs!$L36, Q$72)+COUNTIF(Logs!$L54, Q$72)+COUNTIF(Logs!$L72, Q$72)+COUNTIF(Logs!$L90, Q$72)+COUNTIF(Logs!$L109, Q$72)+COUNTIF(Logs!$L129, Q$72)+COUNTIF(Logs!$L148, Q$72)+COUNTIF(Logs!$L168, Q$72)+COUNTIF(Logs!$L186, Q$72)+COUNTIF(Logs!$L207, Q$72)+COUNTIF(Logs!$L224, Q$72)+COUNTIF(Logs!$L242, Q$72)+COUNTIF(Logs!$L259, Q$72)+COUNTIF(Logs!$L276, Q$72)+COUNTIF(Logs!$L294, Q$72)+COUNTIF(Logs!$L311, Q$72)+COUNTIF(Logs!$L329, Q$72)+COUNTIF(Logs!$L347, Q$72)+COUNTIF(Logs!$L365, Q$72)+COUNTIF(Logs!$L383, Q$72)+COUNTIF(Logs!$L402, Q$72)+COUNTIF(Logs!$L420, Q$72)+COUNTIF(Logs!$L438, Q$72)+COUNTIF(Logs!$L456, Q$72)+COUNTIF(Logs!$L474, Q$72)+COUNTIF(Logs!$L492, Q$72)+COUNTIF(Logs!$L510, Q$72)+COUNTIF(Logs!$L528, Q$72)+COUNTIF(Logs!$L546, Q$72)+COUNTIF(Logs!$L564, Q$72)+COUNTIF(Logs!$L581, Q$72)+COUNTIF(Logs!$L600, Q$72)+COUNTIF(Logs!$L632, Q$72)+COUNTIF(Logs!$L649, Q$72)+COUNTIF(Logs!$L664, Q$72)+COUNTIF(Logs!$L680, Q$72)</f>
        <v>0</v>
      </c>
      <c r="R83" s="1437" t="str">
        <f t="shared" si="46"/>
        <v/>
      </c>
      <c r="S83" s="1439">
        <f>COUNTIF(Logs!$L18, S$72)+COUNTIF(Logs!$L36, S$72)+COUNTIF(Logs!$L54, S$72)+COUNTIF(Logs!$L72, S$72)+COUNTIF(Logs!$L90, S$72)+COUNTIF(Logs!$L109, S$72)+COUNTIF(Logs!$L129, S$72)+COUNTIF(Logs!$L148, S$72)+COUNTIF(Logs!$L168, S$72)+COUNTIF(Logs!$L186, S$72)+COUNTIF(Logs!$L207, S$72)+COUNTIF(Logs!$L224, S$72)+COUNTIF(Logs!$L242, S$72)+COUNTIF(Logs!$L259, S$72)+COUNTIF(Logs!$L276, S$72)+COUNTIF(Logs!$L294, S$72)+COUNTIF(Logs!$L311, S$72)+COUNTIF(Logs!$L329, S$72)+COUNTIF(Logs!$L347, S$72)+COUNTIF(Logs!$L365, S$72)+COUNTIF(Logs!$L383, S$72)+COUNTIF(Logs!$L402, S$72)+COUNTIF(Logs!$L420, S$72)+COUNTIF(Logs!$L438, S$72)+COUNTIF(Logs!$L456, S$72)+COUNTIF(Logs!$L474, S$72)+COUNTIF(Logs!$L492, S$72)+COUNTIF(Logs!$L510, S$72)+COUNTIF(Logs!$L528, S$72)+COUNTIF(Logs!$L546, S$72)+COUNTIF(Logs!$L564, S$72)+COUNTIF(Logs!$L581, S$72)+COUNTIF(Logs!$L600, S$72)+COUNTIF(Logs!$L632, S$72)+COUNTIF(Logs!$L649, S$72)+COUNTIF(Logs!$L664, S$72)+COUNTIF(Logs!$L680, S$72)</f>
        <v>0</v>
      </c>
      <c r="T83" s="1440" t="str">
        <f t="shared" si="47"/>
        <v/>
      </c>
      <c r="U83" s="1443">
        <f>COUNTIF(Logs!$L18, U$72)+COUNTIF(Logs!$L36, U$72)+COUNTIF(Logs!$L54, U$72)+COUNTIF(Logs!$L72, U$72)+COUNTIF(Logs!$L90, U$72)+COUNTIF(Logs!$L109, U$72)+COUNTIF(Logs!$L129, U$72)+COUNTIF(Logs!$L148, U$72)+COUNTIF(Logs!$L168, U$72)+COUNTIF(Logs!$L186, U$72)+COUNTIF(Logs!$L207, U$72)+COUNTIF(Logs!$L224, U$72)+COUNTIF(Logs!$L242, U$72)+COUNTIF(Logs!$L259, U$72)+COUNTIF(Logs!$L276, U$72)+COUNTIF(Logs!$L294, U$72)+COUNTIF(Logs!$L311, U$72)+COUNTIF(Logs!$L329, U$72)+COUNTIF(Logs!$L347, U$72)+COUNTIF(Logs!$L365, U$72)+COUNTIF(Logs!$L383, U$72)+COUNTIF(Logs!$L402, U$72)+COUNTIF(Logs!$L420, U$72)+COUNTIF(Logs!$L438, U$72)+COUNTIF(Logs!$L456, U$72)+COUNTIF(Logs!$L474, U$72)+COUNTIF(Logs!$L492, U$72)+COUNTIF(Logs!$L510, U$72)+COUNTIF(Logs!$L528, U$72)+COUNTIF(Logs!$L546, U$72)+COUNTIF(Logs!$L564, U$72)+COUNTIF(Logs!$L581, U$72)+COUNTIF(Logs!$L600, U$72)+COUNTIF(Logs!$L632, U$72)+COUNTIF(Logs!$L649, U$72)+COUNTIF(Logs!$L664, U$72)+COUNTIF(Logs!$L680, U$72)</f>
        <v>0</v>
      </c>
      <c r="V83" s="1444" t="str">
        <f t="shared" si="48"/>
        <v/>
      </c>
      <c r="W83" s="1101">
        <f>COUNTIF(Logs!$L18, W$72)+COUNTIF(Logs!$L36, W$72)+COUNTIF(Logs!$L54, W$72)+COUNTIF(Logs!$L72, W$72)+COUNTIF(Logs!$L90, W$72)+COUNTIF(Logs!$L109, W$72)+COUNTIF(Logs!$L129, W$72)+COUNTIF(Logs!$L148, W$72)+COUNTIF(Logs!$L168, W$72)+COUNTIF(Logs!$L186, W$72)+COUNTIF(Logs!$L207, W$72)+COUNTIF(Logs!$L224, W$72)+COUNTIF(Logs!$L242, W$72)+COUNTIF(Logs!$L259, W$72)+COUNTIF(Logs!$L276, W$72)+COUNTIF(Logs!$L294, W$72)+COUNTIF(Logs!$L311, W$72)+COUNTIF(Logs!$L329, W$72)+COUNTIF(Logs!$L347, W$72)+COUNTIF(Logs!$L365, W$72)+COUNTIF(Logs!$L383, W$72)+COUNTIF(Logs!$L402, W$72)+COUNTIF(Logs!$L420, W$72)+COUNTIF(Logs!$L438, W$72)+COUNTIF(Logs!$L456, W$72)+COUNTIF(Logs!$L474, W$72)+COUNTIF(Logs!$L492, W$72)+COUNTIF(Logs!$L510, W$72)+COUNTIF(Logs!$L528, W$72)+COUNTIF(Logs!$L546, W$72)+COUNTIF(Logs!$L564, W$72)+COUNTIF(Logs!$L581, W$72)+COUNTIF(Logs!$L600, W$72)+COUNTIF(Logs!$L632, W$72)+COUNTIF(Logs!$L649, W$72)+COUNTIF(Logs!$L664, W$72)+COUNTIF(Logs!$L680, W$72)</f>
        <v>0</v>
      </c>
      <c r="X83" s="1432" t="str">
        <f t="shared" si="49"/>
        <v/>
      </c>
    </row>
    <row r="84" spans="2:24">
      <c r="B84" s="1378" t="s">
        <v>1637</v>
      </c>
      <c r="C84" s="319">
        <f>COUNTIF(Logs!$K19, C$72)+COUNTIF(Logs!$K37, C$72)+COUNTIF(Logs!$K55, C$72)+COUNTIF(Logs!$K73, C$72)+COUNTIF(Logs!$K91, C$72)+COUNTIF(Logs!$K110, C$72)+COUNTIF(Logs!$K130, C$72)+COUNTIF(Logs!$K149, C$72)+COUNTIF(Logs!$K169, C$72)+COUNTIF(Logs!$K187, C$72)+COUNTIF(Logs!$K208, C$72)+COUNTIF(Logs!$K225, C$72)+COUNTIF(Logs!$K243, C$72)+COUNTIF(Logs!$K260, C$72)+COUNTIF(Logs!$K277, C$72)+COUNTIF(Logs!$K295, C$72)+COUNTIF(Logs!$K312, C$72)+COUNTIF(Logs!$K330, C$72)+COUNTIF(Logs!$K348, C$72)+COUNTIF(Logs!$K366, C$72)+COUNTIF(Logs!$K384, C$72)+COUNTIF(Logs!$K403, C$72)+COUNTIF(Logs!$K421, C$72)+COUNTIF(Logs!$K439, C$72)+COUNTIF(Logs!$K457, C$72)+COUNTIF(Logs!$K475, C$72)+COUNTIF(Logs!$K493, C$72)+COUNTIF(Logs!$K511, C$72)+COUNTIF(Logs!$K529, C$72)+COUNTIF(Logs!$K547, C$72)+COUNTIF(Logs!$K565, C$72)+COUNTIF(Logs!$K582, C$72)+COUNTIF(Logs!$K601, C$72)+COUNTIF(Logs!$K617, C$72)+COUNTIF(Logs!$K633, C$72)+COUNTIF(Logs!$K650, C$72)+COUNTIF(Logs!$K665, C$72)+COUNTIF(Logs!$K681, C$72)</f>
        <v>1</v>
      </c>
      <c r="D84" s="1448">
        <f t="shared" si="40"/>
        <v>1</v>
      </c>
      <c r="E84" s="342">
        <f>COUNTIF(Logs!$K19, E$72)+COUNTIF(Logs!$K37, E$72)+COUNTIF(Logs!$K55, E$72)+COUNTIF(Logs!$K73, E$72)+COUNTIF(Logs!$K91, E$72)+COUNTIF(Logs!$K110, E$72)+COUNTIF(Logs!$K130, E$72)+COUNTIF(Logs!$K149, E$72)+COUNTIF(Logs!$K169, E$72)+COUNTIF(Logs!$K187, E$72)+COUNTIF(Logs!$K208, E$72)+COUNTIF(Logs!$K225, E$72)+COUNTIF(Logs!$K243, E$72)+COUNTIF(Logs!$K260, E$72)+COUNTIF(Logs!$K277, E$72)+COUNTIF(Logs!$K295, E$72)+COUNTIF(Logs!$K312, E$72)+COUNTIF(Logs!$K330, E$72)+COUNTIF(Logs!$K348, E$72)+COUNTIF(Logs!$K366, E$72)+COUNTIF(Logs!$K384, E$72)+COUNTIF(Logs!$K403, E$72)+COUNTIF(Logs!$K421, E$72)+COUNTIF(Logs!$K439, E$72)+COUNTIF(Logs!$K457, E$72)+COUNTIF(Logs!$K475, E$72)+COUNTIF(Logs!$K493, E$72)+COUNTIF(Logs!$K511, E$72)+COUNTIF(Logs!$K529, E$72)+COUNTIF(Logs!$K547, E$72)+COUNTIF(Logs!$K565, E$72)+COUNTIF(Logs!$K582, E$72)+COUNTIF(Logs!$K601, E$72)+COUNTIF(Logs!$K617, E$72)+COUNTIF(Logs!$K633, E$72)+COUNTIF(Logs!$K650, E$72)+COUNTIF(Logs!$K665, E$72)+COUNTIF(Logs!$K681, E$72)</f>
        <v>0</v>
      </c>
      <c r="F84" s="1437" t="str">
        <f t="shared" si="41"/>
        <v/>
      </c>
      <c r="G84" s="1439">
        <f>COUNTIF(Logs!$K19, G$72)+COUNTIF(Logs!$K37, G$72)+COUNTIF(Logs!$K55, G$72)+COUNTIF(Logs!$K73, G$72)+COUNTIF(Logs!$K91, G$72)+COUNTIF(Logs!$K110, G$72)+COUNTIF(Logs!$K130, G$72)+COUNTIF(Logs!$K149, G$72)+COUNTIF(Logs!$K169, G$72)+COUNTIF(Logs!$K187, G$72)+COUNTIF(Logs!$K208, G$72)+COUNTIF(Logs!$K225, G$72)+COUNTIF(Logs!$K243, G$72)+COUNTIF(Logs!$K260, G$72)+COUNTIF(Logs!$K277, G$72)+COUNTIF(Logs!$K295, G$72)+COUNTIF(Logs!$K312, G$72)+COUNTIF(Logs!$K330, G$72)+COUNTIF(Logs!$K348, G$72)+COUNTIF(Logs!$K366, G$72)+COUNTIF(Logs!$K384, G$72)+COUNTIF(Logs!$K403, G$72)+COUNTIF(Logs!$K421, G$72)+COUNTIF(Logs!$K439, G$72)+COUNTIF(Logs!$K457, G$72)+COUNTIF(Logs!$K475, G$72)+COUNTIF(Logs!$K493, G$72)+COUNTIF(Logs!$K511, G$72)+COUNTIF(Logs!$K529, G$72)+COUNTIF(Logs!$K547, G$72)+COUNTIF(Logs!$K565, G$72)+COUNTIF(Logs!$K582, G$72)+COUNTIF(Logs!$K601, G$72)+COUNTIF(Logs!$K617, G$72)+COUNTIF(Logs!$K633, G$72)+COUNTIF(Logs!$K650, G$72)+COUNTIF(Logs!$K665, G$72)+COUNTIF(Logs!$K681, G$72)</f>
        <v>0</v>
      </c>
      <c r="H84" s="1440" t="str">
        <f t="shared" si="42"/>
        <v/>
      </c>
      <c r="I84" s="1443">
        <f>COUNTIF(Logs!$K19, I$72)+COUNTIF(Logs!$K37, I$72)+COUNTIF(Logs!$K55, I$72)+COUNTIF(Logs!$K73, I$72)+COUNTIF(Logs!$K91, I$72)+COUNTIF(Logs!$K110, I$72)+COUNTIF(Logs!$K130, I$72)+COUNTIF(Logs!$K149, I$72)+COUNTIF(Logs!$K169, I$72)+COUNTIF(Logs!$K187, I$72)+COUNTIF(Logs!$K208, I$72)+COUNTIF(Logs!$K225, I$72)+COUNTIF(Logs!$K243, I$72)+COUNTIF(Logs!$K260, I$72)+COUNTIF(Logs!$K277, I$72)+COUNTIF(Logs!$K295, I$72)+COUNTIF(Logs!$K312, I$72)+COUNTIF(Logs!$K330, I$72)+COUNTIF(Logs!$K348, I$72)+COUNTIF(Logs!$K366, I$72)+COUNTIF(Logs!$K384, I$72)+COUNTIF(Logs!$K403, I$72)+COUNTIF(Logs!$K421, I$72)+COUNTIF(Logs!$K439, I$72)+COUNTIF(Logs!$K457, I$72)+COUNTIF(Logs!$K475, I$72)+COUNTIF(Logs!$K493, I$72)+COUNTIF(Logs!$K511, I$72)+COUNTIF(Logs!$K529, I$72)+COUNTIF(Logs!$K547, I$72)+COUNTIF(Logs!$K565, I$72)+COUNTIF(Logs!$K582, I$72)+COUNTIF(Logs!$K601, I$72)+COUNTIF(Logs!$K617, I$72)+COUNTIF(Logs!$K633, I$72)+COUNTIF(Logs!$K650, I$72)+COUNTIF(Logs!$K665, I$72)+COUNTIF(Logs!$K681, I$72)</f>
        <v>0</v>
      </c>
      <c r="J84" s="1444" t="str">
        <f t="shared" si="43"/>
        <v/>
      </c>
      <c r="K84" s="1101">
        <f>COUNTIF(Logs!$K19, K$72)+COUNTIF(Logs!$K37, K$72)+COUNTIF(Logs!$K55, K$72)+COUNTIF(Logs!$K73, K$72)+COUNTIF(Logs!$K91, K$72)+COUNTIF(Logs!$K110, K$72)+COUNTIF(Logs!$K130, K$72)+COUNTIF(Logs!$K149, K$72)+COUNTIF(Logs!$K169, K$72)+COUNTIF(Logs!$K187, K$72)+COUNTIF(Logs!$K208, K$72)+COUNTIF(Logs!$K225, K$72)+COUNTIF(Logs!$K243, K$72)+COUNTIF(Logs!$K260, K$72)+COUNTIF(Logs!$K277, K$72)+COUNTIF(Logs!$K295, K$72)+COUNTIF(Logs!$K312, K$72)+COUNTIF(Logs!$K330, K$72)+COUNTIF(Logs!$K348, K$72)+COUNTIF(Logs!$K366, K$72)+COUNTIF(Logs!$K384, K$72)+COUNTIF(Logs!$K403, K$72)+COUNTIF(Logs!$K421, K$72)+COUNTIF(Logs!$K439, K$72)+COUNTIF(Logs!$K457, K$72)+COUNTIF(Logs!$K475, K$72)+COUNTIF(Logs!$K493, K$72)+COUNTIF(Logs!$K511, K$72)+COUNTIF(Logs!$K529, K$72)+COUNTIF(Logs!$K547, K$72)+COUNTIF(Logs!$K565, K$72)+COUNTIF(Logs!$K582, K$72)+COUNTIF(Logs!$K601, K$72)+COUNTIF(Logs!$K617, K$72)+COUNTIF(Logs!$K633, K$72)+COUNTIF(Logs!$K650, K$72)+COUNTIF(Logs!$K665, K$72)+COUNTIF(Logs!$K681, K$72)</f>
        <v>0</v>
      </c>
      <c r="L84" s="1432" t="str">
        <f t="shared" si="44"/>
        <v/>
      </c>
      <c r="N84" s="1378" t="s">
        <v>1637</v>
      </c>
      <c r="O84" s="319">
        <f>COUNTIF(Logs!$L19, O$72)+COUNTIF(Logs!$L37, O$72)+COUNTIF(Logs!$L55, O$72)+COUNTIF(Logs!$L73, O$72)+COUNTIF(Logs!$L91, O$72)+COUNTIF(Logs!$L110, O$72)+COUNTIF(Logs!$L130, O$72)+COUNTIF(Logs!$L149, O$72)+COUNTIF(Logs!$L169, O$72)+COUNTIF(Logs!$L187, O$72)+COUNTIF(Logs!$L208, O$72)+COUNTIF(Logs!$L225, O$72)+COUNTIF(Logs!$L243, O$72)+COUNTIF(Logs!$L260, O$72)+COUNTIF(Logs!$L277, O$72)+COUNTIF(Logs!$L295, O$72)+COUNTIF(Logs!$L312, O$72)+COUNTIF(Logs!$L330, O$72)+COUNTIF(Logs!$L348, O$72)+COUNTIF(Logs!$L366, O$72)+COUNTIF(Logs!$L384, O$72)+COUNTIF(Logs!$L403, O$72)+COUNTIF(Logs!$L421, O$72)+COUNTIF(Logs!$L439, O$72)+COUNTIF(Logs!$L457, O$72)+COUNTIF(Logs!$L475, O$72)+COUNTIF(Logs!$L493, O$72)+COUNTIF(Logs!$L511, O$72)+COUNTIF(Logs!$L529, O$72)+COUNTIF(Logs!$L547, O$72)+COUNTIF(Logs!$L565, O$72)+COUNTIF(Logs!$L582, O$72)+COUNTIF(Logs!$L601, O$72)+COUNTIF(Logs!$L633, O$72)+COUNTIF(Logs!$L650, O$72)+COUNTIF(Logs!$L665, O$72)+COUNTIF(Logs!$L681, O$72)</f>
        <v>0</v>
      </c>
      <c r="P84" s="1448" t="str">
        <f t="shared" si="45"/>
        <v/>
      </c>
      <c r="Q84" s="342">
        <f>COUNTIF(Logs!$L19, Q$72)+COUNTIF(Logs!$L37, Q$72)+COUNTIF(Logs!$L55, Q$72)+COUNTIF(Logs!$L73, Q$72)+COUNTIF(Logs!$L91, Q$72)+COUNTIF(Logs!$L110, Q$72)+COUNTIF(Logs!$L130, Q$72)+COUNTIF(Logs!$L149, Q$72)+COUNTIF(Logs!$L169, Q$72)+COUNTIF(Logs!$L187, Q$72)+COUNTIF(Logs!$L208, Q$72)+COUNTIF(Logs!$L225, Q$72)+COUNTIF(Logs!$L243, Q$72)+COUNTIF(Logs!$L260, Q$72)+COUNTIF(Logs!$L277, Q$72)+COUNTIF(Logs!$L295, Q$72)+COUNTIF(Logs!$L312, Q$72)+COUNTIF(Logs!$L330, Q$72)+COUNTIF(Logs!$L348, Q$72)+COUNTIF(Logs!$L366, Q$72)+COUNTIF(Logs!$L384, Q$72)+COUNTIF(Logs!$L403, Q$72)+COUNTIF(Logs!$L421, Q$72)+COUNTIF(Logs!$L439, Q$72)+COUNTIF(Logs!$L457, Q$72)+COUNTIF(Logs!$L475, Q$72)+COUNTIF(Logs!$L493, Q$72)+COUNTIF(Logs!$L511, Q$72)+COUNTIF(Logs!$L529, Q$72)+COUNTIF(Logs!$L547, Q$72)+COUNTIF(Logs!$L565, Q$72)+COUNTIF(Logs!$L582, Q$72)+COUNTIF(Logs!$L601, Q$72)+COUNTIF(Logs!$L633, Q$72)+COUNTIF(Logs!$L650, Q$72)+COUNTIF(Logs!$L665, Q$72)+COUNTIF(Logs!$L681, Q$72)</f>
        <v>0</v>
      </c>
      <c r="R84" s="1437" t="str">
        <f t="shared" si="46"/>
        <v/>
      </c>
      <c r="S84" s="1439">
        <f>COUNTIF(Logs!$L19, S$72)+COUNTIF(Logs!$L37, S$72)+COUNTIF(Logs!$L55, S$72)+COUNTIF(Logs!$L73, S$72)+COUNTIF(Logs!$L91, S$72)+COUNTIF(Logs!$L110, S$72)+COUNTIF(Logs!$L130, S$72)+COUNTIF(Logs!$L149, S$72)+COUNTIF(Logs!$L169, S$72)+COUNTIF(Logs!$L187, S$72)+COUNTIF(Logs!$L208, S$72)+COUNTIF(Logs!$L225, S$72)+COUNTIF(Logs!$L243, S$72)+COUNTIF(Logs!$L260, S$72)+COUNTIF(Logs!$L277, S$72)+COUNTIF(Logs!$L295, S$72)+COUNTIF(Logs!$L312, S$72)+COUNTIF(Logs!$L330, S$72)+COUNTIF(Logs!$L348, S$72)+COUNTIF(Logs!$L366, S$72)+COUNTIF(Logs!$L384, S$72)+COUNTIF(Logs!$L403, S$72)+COUNTIF(Logs!$L421, S$72)+COUNTIF(Logs!$L439, S$72)+COUNTIF(Logs!$L457, S$72)+COUNTIF(Logs!$L475, S$72)+COUNTIF(Logs!$L493, S$72)+COUNTIF(Logs!$L511, S$72)+COUNTIF(Logs!$L529, S$72)+COUNTIF(Logs!$L547, S$72)+COUNTIF(Logs!$L565, S$72)+COUNTIF(Logs!$L582, S$72)+COUNTIF(Logs!$L601, S$72)+COUNTIF(Logs!$L633, S$72)+COUNTIF(Logs!$L650, S$72)+COUNTIF(Logs!$L665, S$72)+COUNTIF(Logs!$L681, S$72)</f>
        <v>0</v>
      </c>
      <c r="T84" s="1440" t="str">
        <f t="shared" si="47"/>
        <v/>
      </c>
      <c r="U84" s="1443">
        <f>COUNTIF(Logs!$L19, U$72)+COUNTIF(Logs!$L37, U$72)+COUNTIF(Logs!$L55, U$72)+COUNTIF(Logs!$L73, U$72)+COUNTIF(Logs!$L91, U$72)+COUNTIF(Logs!$L110, U$72)+COUNTIF(Logs!$L130, U$72)+COUNTIF(Logs!$L149, U$72)+COUNTIF(Logs!$L169, U$72)+COUNTIF(Logs!$L187, U$72)+COUNTIF(Logs!$L208, U$72)+COUNTIF(Logs!$L225, U$72)+COUNTIF(Logs!$L243, U$72)+COUNTIF(Logs!$L260, U$72)+COUNTIF(Logs!$L277, U$72)+COUNTIF(Logs!$L295, U$72)+COUNTIF(Logs!$L312, U$72)+COUNTIF(Logs!$L330, U$72)+COUNTIF(Logs!$L348, U$72)+COUNTIF(Logs!$L366, U$72)+COUNTIF(Logs!$L384, U$72)+COUNTIF(Logs!$L403, U$72)+COUNTIF(Logs!$L421, U$72)+COUNTIF(Logs!$L439, U$72)+COUNTIF(Logs!$L457, U$72)+COUNTIF(Logs!$L475, U$72)+COUNTIF(Logs!$L493, U$72)+COUNTIF(Logs!$L511, U$72)+COUNTIF(Logs!$L529, U$72)+COUNTIF(Logs!$L547, U$72)+COUNTIF(Logs!$L565, U$72)+COUNTIF(Logs!$L582, U$72)+COUNTIF(Logs!$L601, U$72)+COUNTIF(Logs!$L633, U$72)+COUNTIF(Logs!$L650, U$72)+COUNTIF(Logs!$L665, U$72)+COUNTIF(Logs!$L681, U$72)</f>
        <v>0</v>
      </c>
      <c r="V84" s="1444" t="str">
        <f t="shared" si="48"/>
        <v/>
      </c>
      <c r="W84" s="1101">
        <f>COUNTIF(Logs!$L19, W$72)+COUNTIF(Logs!$L37, W$72)+COUNTIF(Logs!$L55, W$72)+COUNTIF(Logs!$L73, W$72)+COUNTIF(Logs!$L91, W$72)+COUNTIF(Logs!$L110, W$72)+COUNTIF(Logs!$L130, W$72)+COUNTIF(Logs!$L149, W$72)+COUNTIF(Logs!$L169, W$72)+COUNTIF(Logs!$L187, W$72)+COUNTIF(Logs!$L208, W$72)+COUNTIF(Logs!$L225, W$72)+COUNTIF(Logs!$L243, W$72)+COUNTIF(Logs!$L260, W$72)+COUNTIF(Logs!$L277, W$72)+COUNTIF(Logs!$L295, W$72)+COUNTIF(Logs!$L312, W$72)+COUNTIF(Logs!$L330, W$72)+COUNTIF(Logs!$L348, W$72)+COUNTIF(Logs!$L366, W$72)+COUNTIF(Logs!$L384, W$72)+COUNTIF(Logs!$L403, W$72)+COUNTIF(Logs!$L421, W$72)+COUNTIF(Logs!$L439, W$72)+COUNTIF(Logs!$L457, W$72)+COUNTIF(Logs!$L475, W$72)+COUNTIF(Logs!$L493, W$72)+COUNTIF(Logs!$L511, W$72)+COUNTIF(Logs!$L529, W$72)+COUNTIF(Logs!$L547, W$72)+COUNTIF(Logs!$L565, W$72)+COUNTIF(Logs!$L582, W$72)+COUNTIF(Logs!$L601, W$72)+COUNTIF(Logs!$L633, W$72)+COUNTIF(Logs!$L650, W$72)+COUNTIF(Logs!$L665, W$72)+COUNTIF(Logs!$L681, W$72)</f>
        <v>0</v>
      </c>
      <c r="X84" s="1432" t="str">
        <f t="shared" si="49"/>
        <v/>
      </c>
    </row>
    <row r="85" spans="2:24">
      <c r="B85" s="1378" t="s">
        <v>1638</v>
      </c>
      <c r="C85" s="319">
        <f>COUNTIF(Logs!$K20, C$72)+COUNTIF(Logs!$K38, C$72)+COUNTIF(Logs!$K56, C$72)+COUNTIF(Logs!$K74, C$72)+COUNTIF(Logs!$K92, C$72)+COUNTIF(Logs!$K111, C$72)+COUNTIF(Logs!$K131, C$72)+COUNTIF(Logs!$K150, C$72)+COUNTIF(Logs!$K170, C$72)+COUNTIF(Logs!$K188, C$72)+COUNTIF(Logs!$K209, C$72)+COUNTIF(Logs!$K226, C$72)+COUNTIF(Logs!$K244, C$72)+COUNTIF(Logs!$K261, C$72)+COUNTIF(Logs!$K278, C$72)+COUNTIF(Logs!$K296, C$72)+COUNTIF(Logs!$K313, C$72)+COUNTIF(Logs!$K331, C$72)+COUNTIF(Logs!$K349, C$72)+COUNTIF(Logs!$K367, C$72)+COUNTIF(Logs!$K385, C$72)+COUNTIF(Logs!$K404, C$72)+COUNTIF(Logs!$K422, C$72)+COUNTIF(Logs!$K440, C$72)+COUNTIF(Logs!$K458, C$72)+COUNTIF(Logs!$K476, C$72)+COUNTIF(Logs!$K494, C$72)+COUNTIF(Logs!$K512, C$72)+COUNTIF(Logs!$K530, C$72)+COUNTIF(Logs!$K548, C$72)+COUNTIF(Logs!$K566, C$72)+COUNTIF(Logs!$K583, C$72)+COUNTIF(Logs!$K602, C$72)+COUNTIF(Logs!$K618, C$72)+COUNTIF(Logs!$K634, C$72)+COUNTIF(Logs!$K651, C$72)+COUNTIF(Logs!$K666, C$72)+COUNTIF(Logs!$K682, C$72)</f>
        <v>0</v>
      </c>
      <c r="D85" s="1448" t="str">
        <f t="shared" si="40"/>
        <v/>
      </c>
      <c r="E85" s="342">
        <f>COUNTIF(Logs!$K20, E$72)+COUNTIF(Logs!$K38, E$72)+COUNTIF(Logs!$K56, E$72)+COUNTIF(Logs!$K74, E$72)+COUNTIF(Logs!$K92, E$72)+COUNTIF(Logs!$K111, E$72)+COUNTIF(Logs!$K131, E$72)+COUNTIF(Logs!$K150, E$72)+COUNTIF(Logs!$K170, E$72)+COUNTIF(Logs!$K188, E$72)+COUNTIF(Logs!$K209, E$72)+COUNTIF(Logs!$K226, E$72)+COUNTIF(Logs!$K244, E$72)+COUNTIF(Logs!$K261, E$72)+COUNTIF(Logs!$K278, E$72)+COUNTIF(Logs!$K296, E$72)+COUNTIF(Logs!$K313, E$72)+COUNTIF(Logs!$K331, E$72)+COUNTIF(Logs!$K349, E$72)+COUNTIF(Logs!$K367, E$72)+COUNTIF(Logs!$K385, E$72)+COUNTIF(Logs!$K404, E$72)+COUNTIF(Logs!$K422, E$72)+COUNTIF(Logs!$K440, E$72)+COUNTIF(Logs!$K458, E$72)+COUNTIF(Logs!$K476, E$72)+COUNTIF(Logs!$K494, E$72)+COUNTIF(Logs!$K512, E$72)+COUNTIF(Logs!$K530, E$72)+COUNTIF(Logs!$K548, E$72)+COUNTIF(Logs!$K566, E$72)+COUNTIF(Logs!$K583, E$72)+COUNTIF(Logs!$K602, E$72)+COUNTIF(Logs!$K618, E$72)+COUNTIF(Logs!$K634, E$72)+COUNTIF(Logs!$K651, E$72)+COUNTIF(Logs!$K666, E$72)+COUNTIF(Logs!$K682, E$72)</f>
        <v>0</v>
      </c>
      <c r="F85" s="1437" t="str">
        <f t="shared" si="41"/>
        <v/>
      </c>
      <c r="G85" s="1439">
        <f>COUNTIF(Logs!$K20, G$72)+COUNTIF(Logs!$K38, G$72)+COUNTIF(Logs!$K56, G$72)+COUNTIF(Logs!$K74, G$72)+COUNTIF(Logs!$K92, G$72)+COUNTIF(Logs!$K111, G$72)+COUNTIF(Logs!$K131, G$72)+COUNTIF(Logs!$K150, G$72)+COUNTIF(Logs!$K170, G$72)+COUNTIF(Logs!$K188, G$72)+COUNTIF(Logs!$K209, G$72)+COUNTIF(Logs!$K226, G$72)+COUNTIF(Logs!$K244, G$72)+COUNTIF(Logs!$K261, G$72)+COUNTIF(Logs!$K278, G$72)+COUNTIF(Logs!$K296, G$72)+COUNTIF(Logs!$K313, G$72)+COUNTIF(Logs!$K331, G$72)+COUNTIF(Logs!$K349, G$72)+COUNTIF(Logs!$K367, G$72)+COUNTIF(Logs!$K385, G$72)+COUNTIF(Logs!$K404, G$72)+COUNTIF(Logs!$K422, G$72)+COUNTIF(Logs!$K440, G$72)+COUNTIF(Logs!$K458, G$72)+COUNTIF(Logs!$K476, G$72)+COUNTIF(Logs!$K494, G$72)+COUNTIF(Logs!$K512, G$72)+COUNTIF(Logs!$K530, G$72)+COUNTIF(Logs!$K548, G$72)+COUNTIF(Logs!$K566, G$72)+COUNTIF(Logs!$K583, G$72)+COUNTIF(Logs!$K602, G$72)+COUNTIF(Logs!$K618, G$72)+COUNTIF(Logs!$K634, G$72)+COUNTIF(Logs!$K651, G$72)+COUNTIF(Logs!$K666, G$72)+COUNTIF(Logs!$K682, G$72)</f>
        <v>1</v>
      </c>
      <c r="H85" s="1440">
        <f t="shared" si="42"/>
        <v>1</v>
      </c>
      <c r="I85" s="1443">
        <f>COUNTIF(Logs!$K20, I$72)+COUNTIF(Logs!$K38, I$72)+COUNTIF(Logs!$K56, I$72)+COUNTIF(Logs!$K74, I$72)+COUNTIF(Logs!$K92, I$72)+COUNTIF(Logs!$K111, I$72)+COUNTIF(Logs!$K131, I$72)+COUNTIF(Logs!$K150, I$72)+COUNTIF(Logs!$K170, I$72)+COUNTIF(Logs!$K188, I$72)+COUNTIF(Logs!$K209, I$72)+COUNTIF(Logs!$K226, I$72)+COUNTIF(Logs!$K244, I$72)+COUNTIF(Logs!$K261, I$72)+COUNTIF(Logs!$K278, I$72)+COUNTIF(Logs!$K296, I$72)+COUNTIF(Logs!$K313, I$72)+COUNTIF(Logs!$K331, I$72)+COUNTIF(Logs!$K349, I$72)+COUNTIF(Logs!$K367, I$72)+COUNTIF(Logs!$K385, I$72)+COUNTIF(Logs!$K404, I$72)+COUNTIF(Logs!$K422, I$72)+COUNTIF(Logs!$K440, I$72)+COUNTIF(Logs!$K458, I$72)+COUNTIF(Logs!$K476, I$72)+COUNTIF(Logs!$K494, I$72)+COUNTIF(Logs!$K512, I$72)+COUNTIF(Logs!$K530, I$72)+COUNTIF(Logs!$K548, I$72)+COUNTIF(Logs!$K566, I$72)+COUNTIF(Logs!$K583, I$72)+COUNTIF(Logs!$K602, I$72)+COUNTIF(Logs!$K618, I$72)+COUNTIF(Logs!$K634, I$72)+COUNTIF(Logs!$K651, I$72)+COUNTIF(Logs!$K666, I$72)+COUNTIF(Logs!$K682, I$72)</f>
        <v>0</v>
      </c>
      <c r="J85" s="1444" t="str">
        <f t="shared" si="43"/>
        <v/>
      </c>
      <c r="K85" s="1101">
        <f>COUNTIF(Logs!$K20, K$72)+COUNTIF(Logs!$K38, K$72)+COUNTIF(Logs!$K56, K$72)+COUNTIF(Logs!$K74, K$72)+COUNTIF(Logs!$K92, K$72)+COUNTIF(Logs!$K111, K$72)+COUNTIF(Logs!$K131, K$72)+COUNTIF(Logs!$K150, K$72)+COUNTIF(Logs!$K170, K$72)+COUNTIF(Logs!$K188, K$72)+COUNTIF(Logs!$K209, K$72)+COUNTIF(Logs!$K226, K$72)+COUNTIF(Logs!$K244, K$72)+COUNTIF(Logs!$K261, K$72)+COUNTIF(Logs!$K278, K$72)+COUNTIF(Logs!$K296, K$72)+COUNTIF(Logs!$K313, K$72)+COUNTIF(Logs!$K331, K$72)+COUNTIF(Logs!$K349, K$72)+COUNTIF(Logs!$K367, K$72)+COUNTIF(Logs!$K385, K$72)+COUNTIF(Logs!$K404, K$72)+COUNTIF(Logs!$K422, K$72)+COUNTIF(Logs!$K440, K$72)+COUNTIF(Logs!$K458, K$72)+COUNTIF(Logs!$K476, K$72)+COUNTIF(Logs!$K494, K$72)+COUNTIF(Logs!$K512, K$72)+COUNTIF(Logs!$K530, K$72)+COUNTIF(Logs!$K548, K$72)+COUNTIF(Logs!$K566, K$72)+COUNTIF(Logs!$K583, K$72)+COUNTIF(Logs!$K602, K$72)+COUNTIF(Logs!$K618, K$72)+COUNTIF(Logs!$K634, K$72)+COUNTIF(Logs!$K651, K$72)+COUNTIF(Logs!$K666, K$72)+COUNTIF(Logs!$K682, K$72)</f>
        <v>0</v>
      </c>
      <c r="L85" s="1432" t="str">
        <f t="shared" si="44"/>
        <v/>
      </c>
      <c r="N85" s="1378" t="s">
        <v>1638</v>
      </c>
      <c r="O85" s="319">
        <f>COUNTIF(Logs!$L20, O$72)+COUNTIF(Logs!$L38, O$72)+COUNTIF(Logs!$L56, O$72)+COUNTIF(Logs!$L74, O$72)+COUNTIF(Logs!$L92, O$72)+COUNTIF(Logs!$L111, O$72)+COUNTIF(Logs!$L131, O$72)+COUNTIF(Logs!$L150, O$72)+COUNTIF(Logs!$L170, O$72)+COUNTIF(Logs!$L188, O$72)+COUNTIF(Logs!$L209, O$72)+COUNTIF(Logs!$L226, O$72)+COUNTIF(Logs!$L244, O$72)+COUNTIF(Logs!$L261, O$72)+COUNTIF(Logs!$L278, O$72)+COUNTIF(Logs!$L296, O$72)+COUNTIF(Logs!$L313, O$72)+COUNTIF(Logs!$L331, O$72)+COUNTIF(Logs!$L349, O$72)+COUNTIF(Logs!$L367, O$72)+COUNTIF(Logs!$L385, O$72)+COUNTIF(Logs!$L404, O$72)+COUNTIF(Logs!$L422, O$72)+COUNTIF(Logs!$L440, O$72)+COUNTIF(Logs!$L458, O$72)+COUNTIF(Logs!$L476, O$72)+COUNTIF(Logs!$L494, O$72)+COUNTIF(Logs!$L512, O$72)+COUNTIF(Logs!$L530, O$72)+COUNTIF(Logs!$L548, O$72)+COUNTIF(Logs!$L566, O$72)+COUNTIF(Logs!$L583, O$72)+COUNTIF(Logs!$L602, O$72)+COUNTIF(Logs!$L634, O$72)+COUNTIF(Logs!$L651, O$72)+COUNTIF(Logs!$L666, O$72)+COUNTIF(Logs!$L682, O$72)</f>
        <v>0</v>
      </c>
      <c r="P85" s="1448" t="str">
        <f t="shared" si="45"/>
        <v/>
      </c>
      <c r="Q85" s="342">
        <f>COUNTIF(Logs!$L20, Q$72)+COUNTIF(Logs!$L38, Q$72)+COUNTIF(Logs!$L56, Q$72)+COUNTIF(Logs!$L74, Q$72)+COUNTIF(Logs!$L92, Q$72)+COUNTIF(Logs!$L111, Q$72)+COUNTIF(Logs!$L131, Q$72)+COUNTIF(Logs!$L150, Q$72)+COUNTIF(Logs!$L170, Q$72)+COUNTIF(Logs!$L188, Q$72)+COUNTIF(Logs!$L209, Q$72)+COUNTIF(Logs!$L226, Q$72)+COUNTIF(Logs!$L244, Q$72)+COUNTIF(Logs!$L261, Q$72)+COUNTIF(Logs!$L278, Q$72)+COUNTIF(Logs!$L296, Q$72)+COUNTIF(Logs!$L313, Q$72)+COUNTIF(Logs!$L331, Q$72)+COUNTIF(Logs!$L349, Q$72)+COUNTIF(Logs!$L367, Q$72)+COUNTIF(Logs!$L385, Q$72)+COUNTIF(Logs!$L404, Q$72)+COUNTIF(Logs!$L422, Q$72)+COUNTIF(Logs!$L440, Q$72)+COUNTIF(Logs!$L458, Q$72)+COUNTIF(Logs!$L476, Q$72)+COUNTIF(Logs!$L494, Q$72)+COUNTIF(Logs!$L512, Q$72)+COUNTIF(Logs!$L530, Q$72)+COUNTIF(Logs!$L548, Q$72)+COUNTIF(Logs!$L566, Q$72)+COUNTIF(Logs!$L583, Q$72)+COUNTIF(Logs!$L602, Q$72)+COUNTIF(Logs!$L634, Q$72)+COUNTIF(Logs!$L651, Q$72)+COUNTIF(Logs!$L666, Q$72)+COUNTIF(Logs!$L682, Q$72)</f>
        <v>0</v>
      </c>
      <c r="R85" s="1437" t="str">
        <f t="shared" si="46"/>
        <v/>
      </c>
      <c r="S85" s="1439">
        <f>COUNTIF(Logs!$L20, S$72)+COUNTIF(Logs!$L38, S$72)+COUNTIF(Logs!$L56, S$72)+COUNTIF(Logs!$L74, S$72)+COUNTIF(Logs!$L92, S$72)+COUNTIF(Logs!$L111, S$72)+COUNTIF(Logs!$L131, S$72)+COUNTIF(Logs!$L150, S$72)+COUNTIF(Logs!$L170, S$72)+COUNTIF(Logs!$L188, S$72)+COUNTIF(Logs!$L209, S$72)+COUNTIF(Logs!$L226, S$72)+COUNTIF(Logs!$L244, S$72)+COUNTIF(Logs!$L261, S$72)+COUNTIF(Logs!$L278, S$72)+COUNTIF(Logs!$L296, S$72)+COUNTIF(Logs!$L313, S$72)+COUNTIF(Logs!$L331, S$72)+COUNTIF(Logs!$L349, S$72)+COUNTIF(Logs!$L367, S$72)+COUNTIF(Logs!$L385, S$72)+COUNTIF(Logs!$L404, S$72)+COUNTIF(Logs!$L422, S$72)+COUNTIF(Logs!$L440, S$72)+COUNTIF(Logs!$L458, S$72)+COUNTIF(Logs!$L476, S$72)+COUNTIF(Logs!$L494, S$72)+COUNTIF(Logs!$L512, S$72)+COUNTIF(Logs!$L530, S$72)+COUNTIF(Logs!$L548, S$72)+COUNTIF(Logs!$L566, S$72)+COUNTIF(Logs!$L583, S$72)+COUNTIF(Logs!$L602, S$72)+COUNTIF(Logs!$L634, S$72)+COUNTIF(Logs!$L651, S$72)+COUNTIF(Logs!$L666, S$72)+COUNTIF(Logs!$L682, S$72)</f>
        <v>0</v>
      </c>
      <c r="T85" s="1440" t="str">
        <f t="shared" si="47"/>
        <v/>
      </c>
      <c r="U85" s="1443">
        <f>COUNTIF(Logs!$L20, U$72)+COUNTIF(Logs!$L38, U$72)+COUNTIF(Logs!$L56, U$72)+COUNTIF(Logs!$L74, U$72)+COUNTIF(Logs!$L92, U$72)+COUNTIF(Logs!$L111, U$72)+COUNTIF(Logs!$L131, U$72)+COUNTIF(Logs!$L150, U$72)+COUNTIF(Logs!$L170, U$72)+COUNTIF(Logs!$L188, U$72)+COUNTIF(Logs!$L209, U$72)+COUNTIF(Logs!$L226, U$72)+COUNTIF(Logs!$L244, U$72)+COUNTIF(Logs!$L261, U$72)+COUNTIF(Logs!$L278, U$72)+COUNTIF(Logs!$L296, U$72)+COUNTIF(Logs!$L313, U$72)+COUNTIF(Logs!$L331, U$72)+COUNTIF(Logs!$L349, U$72)+COUNTIF(Logs!$L367, U$72)+COUNTIF(Logs!$L385, U$72)+COUNTIF(Logs!$L404, U$72)+COUNTIF(Logs!$L422, U$72)+COUNTIF(Logs!$L440, U$72)+COUNTIF(Logs!$L458, U$72)+COUNTIF(Logs!$L476, U$72)+COUNTIF(Logs!$L494, U$72)+COUNTIF(Logs!$L512, U$72)+COUNTIF(Logs!$L530, U$72)+COUNTIF(Logs!$L548, U$72)+COUNTIF(Logs!$L566, U$72)+COUNTIF(Logs!$L583, U$72)+COUNTIF(Logs!$L602, U$72)+COUNTIF(Logs!$L634, U$72)+COUNTIF(Logs!$L651, U$72)+COUNTIF(Logs!$L666, U$72)+COUNTIF(Logs!$L682, U$72)</f>
        <v>0</v>
      </c>
      <c r="V85" s="1444" t="str">
        <f t="shared" si="48"/>
        <v/>
      </c>
      <c r="W85" s="1101">
        <f>COUNTIF(Logs!$L20, W$72)+COUNTIF(Logs!$L38, W$72)+COUNTIF(Logs!$L56, W$72)+COUNTIF(Logs!$L74, W$72)+COUNTIF(Logs!$L92, W$72)+COUNTIF(Logs!$L111, W$72)+COUNTIF(Logs!$L131, W$72)+COUNTIF(Logs!$L150, W$72)+COUNTIF(Logs!$L170, W$72)+COUNTIF(Logs!$L188, W$72)+COUNTIF(Logs!$L209, W$72)+COUNTIF(Logs!$L226, W$72)+COUNTIF(Logs!$L244, W$72)+COUNTIF(Logs!$L261, W$72)+COUNTIF(Logs!$L278, W$72)+COUNTIF(Logs!$L296, W$72)+COUNTIF(Logs!$L313, W$72)+COUNTIF(Logs!$L331, W$72)+COUNTIF(Logs!$L349, W$72)+COUNTIF(Logs!$L367, W$72)+COUNTIF(Logs!$L385, W$72)+COUNTIF(Logs!$L404, W$72)+COUNTIF(Logs!$L422, W$72)+COUNTIF(Logs!$L440, W$72)+COUNTIF(Logs!$L458, W$72)+COUNTIF(Logs!$L476, W$72)+COUNTIF(Logs!$L494, W$72)+COUNTIF(Logs!$L512, W$72)+COUNTIF(Logs!$L530, W$72)+COUNTIF(Logs!$L548, W$72)+COUNTIF(Logs!$L566, W$72)+COUNTIF(Logs!$L583, W$72)+COUNTIF(Logs!$L602, W$72)+COUNTIF(Logs!$L634, W$72)+COUNTIF(Logs!$L651, W$72)+COUNTIF(Logs!$L666, W$72)+COUNTIF(Logs!$L682, W$72)</f>
        <v>0</v>
      </c>
      <c r="X85" s="1432" t="str">
        <f t="shared" si="49"/>
        <v/>
      </c>
    </row>
    <row r="86" spans="2:24" ht="16.5" thickBot="1">
      <c r="B86" s="1379" t="s">
        <v>1639</v>
      </c>
      <c r="C86" s="1447">
        <f>COUNTIF(Logs!$K21, C$72)+COUNTIF(Logs!$K39, C$72)+COUNTIF(Logs!$K57, C$72)+COUNTIF(Logs!$K75, C$72)+COUNTIF(Logs!$K93, C$72)+COUNTIF(Logs!$K112, C$72)+COUNTIF(Logs!$K132, C$72)+COUNTIF(Logs!$K151, C$72)+COUNTIF(Logs!$K171, C$72)+COUNTIF(Logs!$K189, C$72)+COUNTIF(Logs!$K210, C$72)+COUNTIF(Logs!$K227, C$72)+COUNTIF(Logs!$K245, C$72)+COUNTIF(Logs!$K262, C$72)+COUNTIF(Logs!$K279, C$72)+COUNTIF(Logs!$K297, C$72)+COUNTIF(Logs!$K314, C$72)+COUNTIF(Logs!$K332, C$72)+COUNTIF(Logs!$K350, C$72)+COUNTIF(Logs!$K368, C$72)+COUNTIF(Logs!$K386, C$72)+COUNTIF(Logs!$K405, C$72)+COUNTIF(Logs!$K423, C$72)+COUNTIF(Logs!$K441, C$72)+COUNTIF(Logs!$K459, C$72)+COUNTIF(Logs!$K477, C$72)+COUNTIF(Logs!$K495, C$72)+COUNTIF(Logs!$K513, C$72)+COUNTIF(Logs!$K531, C$72)+COUNTIF(Logs!$K549, C$72)+COUNTIF(Logs!$K567, C$72)+COUNTIF(Logs!$K584, C$72)+COUNTIF(Logs!$K603, C$72)+COUNTIF(Logs!$K619, C$72)+COUNTIF(Logs!$K635, C$72)+COUNTIF(Logs!$K652, C$72)+COUNTIF(Logs!$K667, C$72)+COUNTIF(Logs!$K683, C$72)</f>
        <v>1</v>
      </c>
      <c r="D86" s="1449">
        <f t="shared" si="40"/>
        <v>1</v>
      </c>
      <c r="E86" s="1435">
        <f>COUNTIF(Logs!$K21, E$72)+COUNTIF(Logs!$K39, E$72)+COUNTIF(Logs!$K57, E$72)+COUNTIF(Logs!$K75, E$72)+COUNTIF(Logs!$K93, E$72)+COUNTIF(Logs!$K112, E$72)+COUNTIF(Logs!$K132, E$72)+COUNTIF(Logs!$K151, E$72)+COUNTIF(Logs!$K171, E$72)+COUNTIF(Logs!$K189, E$72)+COUNTIF(Logs!$K210, E$72)+COUNTIF(Logs!$K227, E$72)+COUNTIF(Logs!$K245, E$72)+COUNTIF(Logs!$K262, E$72)+COUNTIF(Logs!$K279, E$72)+COUNTIF(Logs!$K297, E$72)+COUNTIF(Logs!$K314, E$72)+COUNTIF(Logs!$K332, E$72)+COUNTIF(Logs!$K350, E$72)+COUNTIF(Logs!$K368, E$72)+COUNTIF(Logs!$K386, E$72)+COUNTIF(Logs!$K405, E$72)+COUNTIF(Logs!$K423, E$72)+COUNTIF(Logs!$K441, E$72)+COUNTIF(Logs!$K459, E$72)+COUNTIF(Logs!$K477, E$72)+COUNTIF(Logs!$K495, E$72)+COUNTIF(Logs!$K513, E$72)+COUNTIF(Logs!$K531, E$72)+COUNTIF(Logs!$K549, E$72)+COUNTIF(Logs!$K567, E$72)+COUNTIF(Logs!$K584, E$72)+COUNTIF(Logs!$K603, E$72)+COUNTIF(Logs!$K619, E$72)+COUNTIF(Logs!$K635, E$72)+COUNTIF(Logs!$K652, E$72)+COUNTIF(Logs!$K667, E$72)+COUNTIF(Logs!$K683, E$72)</f>
        <v>0</v>
      </c>
      <c r="F86" s="1438" t="str">
        <f t="shared" si="41"/>
        <v/>
      </c>
      <c r="G86" s="1441">
        <f>COUNTIF(Logs!$K21, G$72)+COUNTIF(Logs!$K39, G$72)+COUNTIF(Logs!$K57, G$72)+COUNTIF(Logs!$K75, G$72)+COUNTIF(Logs!$K93, G$72)+COUNTIF(Logs!$K112, G$72)+COUNTIF(Logs!$K132, G$72)+COUNTIF(Logs!$K151, G$72)+COUNTIF(Logs!$K171, G$72)+COUNTIF(Logs!$K189, G$72)+COUNTIF(Logs!$K210, G$72)+COUNTIF(Logs!$K227, G$72)+COUNTIF(Logs!$K245, G$72)+COUNTIF(Logs!$K262, G$72)+COUNTIF(Logs!$K279, G$72)+COUNTIF(Logs!$K297, G$72)+COUNTIF(Logs!$K314, G$72)+COUNTIF(Logs!$K332, G$72)+COUNTIF(Logs!$K350, G$72)+COUNTIF(Logs!$K368, G$72)+COUNTIF(Logs!$K386, G$72)+COUNTIF(Logs!$K405, G$72)+COUNTIF(Logs!$K423, G$72)+COUNTIF(Logs!$K441, G$72)+COUNTIF(Logs!$K459, G$72)+COUNTIF(Logs!$K477, G$72)+COUNTIF(Logs!$K495, G$72)+COUNTIF(Logs!$K513, G$72)+COUNTIF(Logs!$K531, G$72)+COUNTIF(Logs!$K549, G$72)+COUNTIF(Logs!$K567, G$72)+COUNTIF(Logs!$K584, G$72)+COUNTIF(Logs!$K603, G$72)+COUNTIF(Logs!$K619, G$72)+COUNTIF(Logs!$K635, G$72)+COUNTIF(Logs!$K652, G$72)+COUNTIF(Logs!$K667, G$72)+COUNTIF(Logs!$K683, G$72)</f>
        <v>0</v>
      </c>
      <c r="H86" s="1442" t="str">
        <f t="shared" si="42"/>
        <v/>
      </c>
      <c r="I86" s="1445">
        <f>COUNTIF(Logs!$K21, I$72)+COUNTIF(Logs!$K39, I$72)+COUNTIF(Logs!$K57, I$72)+COUNTIF(Logs!$K75, I$72)+COUNTIF(Logs!$K93, I$72)+COUNTIF(Logs!$K112, I$72)+COUNTIF(Logs!$K132, I$72)+COUNTIF(Logs!$K151, I$72)+COUNTIF(Logs!$K171, I$72)+COUNTIF(Logs!$K189, I$72)+COUNTIF(Logs!$K210, I$72)+COUNTIF(Logs!$K227, I$72)+COUNTIF(Logs!$K245, I$72)+COUNTIF(Logs!$K262, I$72)+COUNTIF(Logs!$K279, I$72)+COUNTIF(Logs!$K297, I$72)+COUNTIF(Logs!$K314, I$72)+COUNTIF(Logs!$K332, I$72)+COUNTIF(Logs!$K350, I$72)+COUNTIF(Logs!$K368, I$72)+COUNTIF(Logs!$K386, I$72)+COUNTIF(Logs!$K405, I$72)+COUNTIF(Logs!$K423, I$72)+COUNTIF(Logs!$K441, I$72)+COUNTIF(Logs!$K459, I$72)+COUNTIF(Logs!$K477, I$72)+COUNTIF(Logs!$K495, I$72)+COUNTIF(Logs!$K513, I$72)+COUNTIF(Logs!$K531, I$72)+COUNTIF(Logs!$K549, I$72)+COUNTIF(Logs!$K567, I$72)+COUNTIF(Logs!$K584, I$72)+COUNTIF(Logs!$K603, I$72)+COUNTIF(Logs!$K619, I$72)+COUNTIF(Logs!$K635, I$72)+COUNTIF(Logs!$K652, I$72)+COUNTIF(Logs!$K667, I$72)+COUNTIF(Logs!$K683, I$72)</f>
        <v>0</v>
      </c>
      <c r="J86" s="1446" t="str">
        <f t="shared" si="43"/>
        <v/>
      </c>
      <c r="K86" s="1433">
        <f>COUNTIF(Logs!$K21, K$72)+COUNTIF(Logs!$K39, K$72)+COUNTIF(Logs!$K57, K$72)+COUNTIF(Logs!$K75, K$72)+COUNTIF(Logs!$K93, K$72)+COUNTIF(Logs!$K112, K$72)+COUNTIF(Logs!$K132, K$72)+COUNTIF(Logs!$K151, K$72)+COUNTIF(Logs!$K171, K$72)+COUNTIF(Logs!$K189, K$72)+COUNTIF(Logs!$K210, K$72)+COUNTIF(Logs!$K227, K$72)+COUNTIF(Logs!$K245, K$72)+COUNTIF(Logs!$K262, K$72)+COUNTIF(Logs!$K279, K$72)+COUNTIF(Logs!$K297, K$72)+COUNTIF(Logs!$K314, K$72)+COUNTIF(Logs!$K332, K$72)+COUNTIF(Logs!$K350, K$72)+COUNTIF(Logs!$K368, K$72)+COUNTIF(Logs!$K386, K$72)+COUNTIF(Logs!$K405, K$72)+COUNTIF(Logs!$K423, K$72)+COUNTIF(Logs!$K441, K$72)+COUNTIF(Logs!$K459, K$72)+COUNTIF(Logs!$K477, K$72)+COUNTIF(Logs!$K495, K$72)+COUNTIF(Logs!$K513, K$72)+COUNTIF(Logs!$K531, K$72)+COUNTIF(Logs!$K549, K$72)+COUNTIF(Logs!$K567, K$72)+COUNTIF(Logs!$K584, K$72)+COUNTIF(Logs!$K603, K$72)+COUNTIF(Logs!$K619, K$72)+COUNTIF(Logs!$K635, K$72)+COUNTIF(Logs!$K652, K$72)+COUNTIF(Logs!$K667, K$72)+COUNTIF(Logs!$K683, K$72)</f>
        <v>0</v>
      </c>
      <c r="L86" s="1434" t="str">
        <f t="shared" si="44"/>
        <v/>
      </c>
      <c r="N86" s="1379" t="s">
        <v>1639</v>
      </c>
      <c r="O86" s="1447">
        <f>COUNTIF(Logs!$L21, O$72)+COUNTIF(Logs!$L39, O$72)+COUNTIF(Logs!$L57, O$72)+COUNTIF(Logs!$L75, O$72)+COUNTIF(Logs!$L93, O$72)+COUNTIF(Logs!$L112, O$72)+COUNTIF(Logs!$L132, O$72)+COUNTIF(Logs!$L151, O$72)+COUNTIF(Logs!$L171, O$72)+COUNTIF(Logs!$L189, O$72)+COUNTIF(Logs!$L210, O$72)+COUNTIF(Logs!$L227, O$72)+COUNTIF(Logs!$L245, O$72)+COUNTIF(Logs!$L262, O$72)+COUNTIF(Logs!$L279, O$72)+COUNTIF(Logs!$L297, O$72)+COUNTIF(Logs!$L314, O$72)+COUNTIF(Logs!$L332, O$72)+COUNTIF(Logs!$L350, O$72)+COUNTIF(Logs!$L368, O$72)+COUNTIF(Logs!$L386, O$72)+COUNTIF(Logs!$L405, O$72)+COUNTIF(Logs!$L423, O$72)+COUNTIF(Logs!$L441, O$72)+COUNTIF(Logs!$L459, O$72)+COUNTIF(Logs!$L477, O$72)+COUNTIF(Logs!$L495, O$72)+COUNTIF(Logs!$L513, O$72)+COUNTIF(Logs!$L531, O$72)+COUNTIF(Logs!$L549, O$72)+COUNTIF(Logs!$L567, O$72)+COUNTIF(Logs!$L584, O$72)+COUNTIF(Logs!$L603, O$72)+COUNTIF(Logs!$L635, O$72)+COUNTIF(Logs!$L652, O$72)+COUNTIF(Logs!$L667, O$72)+COUNTIF(Logs!$L683, O$72)</f>
        <v>0</v>
      </c>
      <c r="P86" s="1449" t="str">
        <f>IF(O86&gt;0, O86/SUM($O86,$Q86, $S86,$U86,$W86), "")</f>
        <v/>
      </c>
      <c r="Q86" s="1435">
        <f>COUNTIF(Logs!$L21, Q$72)+COUNTIF(Logs!$L39, Q$72)+COUNTIF(Logs!$L57, Q$72)+COUNTIF(Logs!$L75, Q$72)+COUNTIF(Logs!$L93, Q$72)+COUNTIF(Logs!$L112, Q$72)+COUNTIF(Logs!$L132, Q$72)+COUNTIF(Logs!$L151, Q$72)+COUNTIF(Logs!$L171, Q$72)+COUNTIF(Logs!$L189, Q$72)+COUNTIF(Logs!$L210, Q$72)+COUNTIF(Logs!$L227, Q$72)+COUNTIF(Logs!$L245, Q$72)+COUNTIF(Logs!$L262, Q$72)+COUNTIF(Logs!$L279, Q$72)+COUNTIF(Logs!$L297, Q$72)+COUNTIF(Logs!$L314, Q$72)+COUNTIF(Logs!$L332, Q$72)+COUNTIF(Logs!$L350, Q$72)+COUNTIF(Logs!$L368, Q$72)+COUNTIF(Logs!$L386, Q$72)+COUNTIF(Logs!$L405, Q$72)+COUNTIF(Logs!$L423, Q$72)+COUNTIF(Logs!$L441, Q$72)+COUNTIF(Logs!$L459, Q$72)+COUNTIF(Logs!$L477, Q$72)+COUNTIF(Logs!$L495, Q$72)+COUNTIF(Logs!$L513, Q$72)+COUNTIF(Logs!$L531, Q$72)+COUNTIF(Logs!$L549, Q$72)+COUNTIF(Logs!$L567, Q$72)+COUNTIF(Logs!$L584, Q$72)+COUNTIF(Logs!$L603, Q$72)+COUNTIF(Logs!$L635, Q$72)+COUNTIF(Logs!$L652, Q$72)+COUNTIF(Logs!$L667, Q$72)+COUNTIF(Logs!$L683, Q$72)</f>
        <v>0</v>
      </c>
      <c r="R86" s="1438" t="str">
        <f t="shared" si="46"/>
        <v/>
      </c>
      <c r="S86" s="1441">
        <f>COUNTIF(Logs!$L21, S$72)+COUNTIF(Logs!$L39, S$72)+COUNTIF(Logs!$L57, S$72)+COUNTIF(Logs!$L75, S$72)+COUNTIF(Logs!$L93, S$72)+COUNTIF(Logs!$L112, S$72)+COUNTIF(Logs!$L132, S$72)+COUNTIF(Logs!$L151, S$72)+COUNTIF(Logs!$L171, S$72)+COUNTIF(Logs!$L189, S$72)+COUNTIF(Logs!$L210, S$72)+COUNTIF(Logs!$L227, S$72)+COUNTIF(Logs!$L245, S$72)+COUNTIF(Logs!$L262, S$72)+COUNTIF(Logs!$L279, S$72)+COUNTIF(Logs!$L297, S$72)+COUNTIF(Logs!$L314, S$72)+COUNTIF(Logs!$L332, S$72)+COUNTIF(Logs!$L350, S$72)+COUNTIF(Logs!$L368, S$72)+COUNTIF(Logs!$L386, S$72)+COUNTIF(Logs!$L405, S$72)+COUNTIF(Logs!$L423, S$72)+COUNTIF(Logs!$L441, S$72)+COUNTIF(Logs!$L459, S$72)+COUNTIF(Logs!$L477, S$72)+COUNTIF(Logs!$L495, S$72)+COUNTIF(Logs!$L513, S$72)+COUNTIF(Logs!$L531, S$72)+COUNTIF(Logs!$L549, S$72)+COUNTIF(Logs!$L567, S$72)+COUNTIF(Logs!$L584, S$72)+COUNTIF(Logs!$L603, S$72)+COUNTIF(Logs!$L635, S$72)+COUNTIF(Logs!$L652, S$72)+COUNTIF(Logs!$L667, S$72)+COUNTIF(Logs!$L683, S$72)</f>
        <v>0</v>
      </c>
      <c r="T86" s="1442" t="str">
        <f t="shared" si="47"/>
        <v/>
      </c>
      <c r="U86" s="1445">
        <f>COUNTIF(Logs!$L21, U$72)+COUNTIF(Logs!$L39, U$72)+COUNTIF(Logs!$L57, U$72)+COUNTIF(Logs!$L75, U$72)+COUNTIF(Logs!$L93, U$72)+COUNTIF(Logs!$L112, U$72)+COUNTIF(Logs!$L132, U$72)+COUNTIF(Logs!$L151, U$72)+COUNTIF(Logs!$L171, U$72)+COUNTIF(Logs!$L189, U$72)+COUNTIF(Logs!$L210, U$72)+COUNTIF(Logs!$L227, U$72)+COUNTIF(Logs!$L245, U$72)+COUNTIF(Logs!$L262, U$72)+COUNTIF(Logs!$L279, U$72)+COUNTIF(Logs!$L297, U$72)+COUNTIF(Logs!$L314, U$72)+COUNTIF(Logs!$L332, U$72)+COUNTIF(Logs!$L350, U$72)+COUNTIF(Logs!$L368, U$72)+COUNTIF(Logs!$L386, U$72)+COUNTIF(Logs!$L405, U$72)+COUNTIF(Logs!$L423, U$72)+COUNTIF(Logs!$L441, U$72)+COUNTIF(Logs!$L459, U$72)+COUNTIF(Logs!$L477, U$72)+COUNTIF(Logs!$L495, U$72)+COUNTIF(Logs!$L513, U$72)+COUNTIF(Logs!$L531, U$72)+COUNTIF(Logs!$L549, U$72)+COUNTIF(Logs!$L567, U$72)+COUNTIF(Logs!$L584, U$72)+COUNTIF(Logs!$L603, U$72)+COUNTIF(Logs!$L635, U$72)+COUNTIF(Logs!$L652, U$72)+COUNTIF(Logs!$L667, U$72)+COUNTIF(Logs!$L683, U$72)</f>
        <v>0</v>
      </c>
      <c r="V86" s="1446" t="str">
        <f t="shared" si="48"/>
        <v/>
      </c>
      <c r="W86" s="1433">
        <f>COUNTIF(Logs!$L21, W$72)+COUNTIF(Logs!$L39, W$72)+COUNTIF(Logs!$L57, W$72)+COUNTIF(Logs!$L75, W$72)+COUNTIF(Logs!$L93, W$72)+COUNTIF(Logs!$L112, W$72)+COUNTIF(Logs!$L132, W$72)+COUNTIF(Logs!$L151, W$72)+COUNTIF(Logs!$L171, W$72)+COUNTIF(Logs!$L189, W$72)+COUNTIF(Logs!$L210, W$72)+COUNTIF(Logs!$L227, W$72)+COUNTIF(Logs!$L245, W$72)+COUNTIF(Logs!$L262, W$72)+COUNTIF(Logs!$L279, W$72)+COUNTIF(Logs!$L297, W$72)+COUNTIF(Logs!$L314, W$72)+COUNTIF(Logs!$L332, W$72)+COUNTIF(Logs!$L350, W$72)+COUNTIF(Logs!$L368, W$72)+COUNTIF(Logs!$L386, W$72)+COUNTIF(Logs!$L405, W$72)+COUNTIF(Logs!$L423, W$72)+COUNTIF(Logs!$L441, W$72)+COUNTIF(Logs!$L459, W$72)+COUNTIF(Logs!$L477, W$72)+COUNTIF(Logs!$L495, W$72)+COUNTIF(Logs!$L513, W$72)+COUNTIF(Logs!$L531, W$72)+COUNTIF(Logs!$L549, W$72)+COUNTIF(Logs!$L567, W$72)+COUNTIF(Logs!$L584, W$72)+COUNTIF(Logs!$L603, W$72)+COUNTIF(Logs!$L635, W$72)+COUNTIF(Logs!$L652, W$72)+COUNTIF(Logs!$L667, W$72)+COUNTIF(Logs!$L683, W$72)</f>
        <v>0</v>
      </c>
      <c r="X86" s="1434" t="str">
        <f t="shared" si="49"/>
        <v/>
      </c>
    </row>
    <row r="87" spans="2:24" ht="16.5" thickBot="1">
      <c r="N87" s="35"/>
    </row>
    <row r="88" spans="2:24" ht="19.5" thickBot="1">
      <c r="B88" s="1380" t="s">
        <v>36</v>
      </c>
      <c r="C88" s="1744" t="s">
        <v>12</v>
      </c>
      <c r="D88" s="1744"/>
      <c r="E88" s="1739" t="s">
        <v>14</v>
      </c>
      <c r="F88" s="1739"/>
      <c r="G88" s="1740" t="s">
        <v>13</v>
      </c>
      <c r="H88" s="1740"/>
      <c r="I88" s="1741" t="s">
        <v>49</v>
      </c>
      <c r="J88" s="1741"/>
      <c r="K88" s="1742" t="s">
        <v>71</v>
      </c>
      <c r="L88" s="1743"/>
      <c r="N88" s="1380" t="s">
        <v>37</v>
      </c>
      <c r="O88" s="1744" t="s">
        <v>12</v>
      </c>
      <c r="P88" s="1744"/>
      <c r="Q88" s="1739" t="s">
        <v>14</v>
      </c>
      <c r="R88" s="1739"/>
      <c r="S88" s="1740" t="s">
        <v>13</v>
      </c>
      <c r="T88" s="1740"/>
      <c r="U88" s="1741" t="s">
        <v>49</v>
      </c>
      <c r="V88" s="1741"/>
      <c r="W88" s="1742" t="s">
        <v>71</v>
      </c>
      <c r="X88" s="1743"/>
    </row>
    <row r="89" spans="2:24">
      <c r="B89" s="1376" t="s">
        <v>1635</v>
      </c>
      <c r="C89" s="355" t="s">
        <v>150</v>
      </c>
      <c r="D89" s="1436" t="s">
        <v>195</v>
      </c>
      <c r="E89" s="355" t="s">
        <v>150</v>
      </c>
      <c r="F89" s="1436" t="s">
        <v>195</v>
      </c>
      <c r="G89" s="355" t="s">
        <v>150</v>
      </c>
      <c r="H89" s="1436" t="s">
        <v>195</v>
      </c>
      <c r="I89" s="355" t="s">
        <v>150</v>
      </c>
      <c r="J89" s="1436" t="s">
        <v>195</v>
      </c>
      <c r="K89" s="355" t="s">
        <v>150</v>
      </c>
      <c r="L89" s="1377" t="s">
        <v>195</v>
      </c>
      <c r="N89" s="1376" t="s">
        <v>1635</v>
      </c>
      <c r="O89" s="355" t="s">
        <v>150</v>
      </c>
      <c r="P89" s="1436" t="s">
        <v>195</v>
      </c>
      <c r="Q89" s="355" t="s">
        <v>150</v>
      </c>
      <c r="R89" s="1436" t="s">
        <v>195</v>
      </c>
      <c r="S89" s="355" t="s">
        <v>150</v>
      </c>
      <c r="T89" s="1436" t="s">
        <v>195</v>
      </c>
      <c r="U89" s="355" t="s">
        <v>150</v>
      </c>
      <c r="V89" s="1436" t="s">
        <v>195</v>
      </c>
      <c r="W89" s="355" t="s">
        <v>150</v>
      </c>
      <c r="X89" s="1377" t="s">
        <v>195</v>
      </c>
    </row>
    <row r="90" spans="2:24">
      <c r="B90" s="1378" t="s">
        <v>185</v>
      </c>
      <c r="C90" s="319">
        <f>COUNTIF(Logs!$M9, C$88)+COUNTIF(Logs!$M27, C$88)+COUNTIF(Logs!$M45, C$88)+COUNTIF(Logs!$M63, C$88)+COUNTIF(Logs!$M81, C$88)+COUNTIF(Logs!$M100, C$88)+COUNTIF(Logs!$M120, C$88)+COUNTIF(Logs!$M139, C$88)+COUNTIF(Logs!$M159, C$88)+COUNTIF(Logs!$M177, C$88)+COUNTIF(Logs!$M198, C$88)+COUNTIF(Logs!$M250, C$88)+COUNTIF(Logs!$M267, C$88)+COUNTIF(Logs!$M285, C$88)+COUNTIF(Logs!$M302, C$88)+COUNTIF(Logs!$M320, C$88)+COUNTIF(Logs!$M338, C$88)+COUNTIF(Logs!$M356, C$88)+COUNTIF(Logs!$M374, C$88)+COUNTIF(Logs!$M393, C$88)+COUNTIF(Logs!$M411, C$88)+COUNTIF(Logs!$M429, C$88)+COUNTIF(Logs!$M447, C$88)+COUNTIF(Logs!$M465, C$88)+COUNTIF(Logs!$M483, C$88)+COUNTIF(Logs!$M501, C$88)+COUNTIF(Logs!$M519, C$88)+COUNTIF(Logs!$M537, C$88)+COUNTIF(Logs!$M555, C$88)+COUNTIF(Logs!$M623, C$88)+COUNTIF(Logs!$M655, C$88)+COUNTIF(Logs!$M671, C$88)</f>
        <v>31</v>
      </c>
      <c r="D90" s="1448">
        <f>IF(C90&gt;0, C90/SUM($C90,$E90, $G90,$I90,$K90), "")</f>
        <v>0.96875</v>
      </c>
      <c r="E90" s="8">
        <f>COUNTIF(Logs!$M9, E$88)+COUNTIF(Logs!$M27, E$88)+COUNTIF(Logs!$M45, E$88)+COUNTIF(Logs!$M63, E$88)+COUNTIF(Logs!$M81, E$88)+COUNTIF(Logs!$M100, E$88)+COUNTIF(Logs!$M120, E$88)+COUNTIF(Logs!$M139, E$88)+COUNTIF(Logs!$M159, E$88)+COUNTIF(Logs!$M177, E$88)+COUNTIF(Logs!$M198, E$88)+COUNTIF(Logs!$M250, E$88)+COUNTIF(Logs!$M267, E$88)+COUNTIF(Logs!$M285, E$88)+COUNTIF(Logs!$M302, E$88)+COUNTIF(Logs!$M320, E$88)+COUNTIF(Logs!$M338, E$88)+COUNTIF(Logs!$M356, E$88)+COUNTIF(Logs!$M374, E$88)+COUNTIF(Logs!$M393, E$88)+COUNTIF(Logs!$M411, E$88)+COUNTIF(Logs!$M429, E$88)+COUNTIF(Logs!$M447, E$88)+COUNTIF(Logs!$M465, E$88)+COUNTIF(Logs!$M483, E$88)+COUNTIF(Logs!$M501, E$88)+COUNTIF(Logs!$M519, E$88)+COUNTIF(Logs!$M537, E$88)+COUNTIF(Logs!$M555, E$88)+COUNTIF(Logs!$M623, E$88)+COUNTIF(Logs!$M655, E$88)+COUNTIF(Logs!$M671, E$88)</f>
        <v>0</v>
      </c>
      <c r="F90" s="1437" t="str">
        <f>IF(E90&gt;0, E90/SUM($C90,$E90, $G90,$I90,$K90), "")</f>
        <v/>
      </c>
      <c r="G90" s="33">
        <f>COUNTIF(Logs!$M9, G$88)+COUNTIF(Logs!$M27, G$88)+COUNTIF(Logs!$M45, G$88)+COUNTIF(Logs!$M63, G$88)+COUNTIF(Logs!$M81, G$88)+COUNTIF(Logs!$M100, G$88)+COUNTIF(Logs!$M120, G$88)+COUNTIF(Logs!$M139, G$88)+COUNTIF(Logs!$M159, G$88)+COUNTIF(Logs!$M177, G$88)+COUNTIF(Logs!$M198, G$88)+COUNTIF(Logs!$M250, G$88)+COUNTIF(Logs!$M267, G$88)+COUNTIF(Logs!$M285, G$88)+COUNTIF(Logs!$M302, G$88)+COUNTIF(Logs!$M320, G$88)+COUNTIF(Logs!$M338, G$88)+COUNTIF(Logs!$M356, G$88)+COUNTIF(Logs!$M374, G$88)+COUNTIF(Logs!$M393, G$88)+COUNTIF(Logs!$M411, G$88)+COUNTIF(Logs!$M429, G$88)+COUNTIF(Logs!$M447, G$88)+COUNTIF(Logs!$M465, G$88)+COUNTIF(Logs!$M483, G$88)+COUNTIF(Logs!$M501, G$88)+COUNTIF(Logs!$M519, G$88)+COUNTIF(Logs!$M537, G$88)+COUNTIF(Logs!$M555, G$88)+COUNTIF(Logs!$M623, G$88)+COUNTIF(Logs!$M655, G$88)+COUNTIF(Logs!$M671, G$88)</f>
        <v>0</v>
      </c>
      <c r="H90" s="1440" t="str">
        <f>IF(G90&gt;0, G90/SUM($C90,$E90, $G90,$I90,$K90), "")</f>
        <v/>
      </c>
      <c r="I90" s="329">
        <f>COUNTIF(Logs!$M9, I$88)+COUNTIF(Logs!$M27, I$88)+COUNTIF(Logs!$M45, I$88)+COUNTIF(Logs!$M63, I$88)+COUNTIF(Logs!$M81, I$88)+COUNTIF(Logs!$M100, I$88)+COUNTIF(Logs!$M120, I$88)+COUNTIF(Logs!$M139, I$88)+COUNTIF(Logs!$M159, I$88)+COUNTIF(Logs!$M177, I$88)+COUNTIF(Logs!$M198, I$88)+COUNTIF(Logs!$M250, I$88)+COUNTIF(Logs!$M267, I$88)+COUNTIF(Logs!$M285, I$88)+COUNTIF(Logs!$M302, I$88)+COUNTIF(Logs!$M320, I$88)+COUNTIF(Logs!$M338, I$88)+COUNTIF(Logs!$M356, I$88)+COUNTIF(Logs!$M374, I$88)+COUNTIF(Logs!$M393, I$88)+COUNTIF(Logs!$M411, I$88)+COUNTIF(Logs!$M429, I$88)+COUNTIF(Logs!$M447, I$88)+COUNTIF(Logs!$M465, I$88)+COUNTIF(Logs!$M483, I$88)+COUNTIF(Logs!$M501, I$88)+COUNTIF(Logs!$M519, I$88)+COUNTIF(Logs!$M537, I$88)+COUNTIF(Logs!$M555, I$88)+COUNTIF(Logs!$M623, I$88)+COUNTIF(Logs!$M655, I$88)+COUNTIF(Logs!$M671, I$88)</f>
        <v>0</v>
      </c>
      <c r="J90" s="1444" t="str">
        <f>IF(I90&gt;0, I90/SUM($C90,$E90, $G90,$I90,$K90), "")</f>
        <v/>
      </c>
      <c r="K90" s="1101">
        <f>COUNTIF(Logs!$M9, K$88)+COUNTIF(Logs!$M27, K$88)+COUNTIF(Logs!$M45, K$88)+COUNTIF(Logs!$M63, K$88)+COUNTIF(Logs!$M81, K$88)+COUNTIF(Logs!$M100, K$88)+COUNTIF(Logs!$M120, K$88)+COUNTIF(Logs!$M139, K$88)+COUNTIF(Logs!$M159, K$88)+COUNTIF(Logs!$M177, K$88)+COUNTIF(Logs!$M198, K$88)+COUNTIF(Logs!$M250, K$88)+COUNTIF(Logs!$M267, K$88)+COUNTIF(Logs!$M285, K$88)+COUNTIF(Logs!$M302, K$88)+COUNTIF(Logs!$M320, K$88)+COUNTIF(Logs!$M338, K$88)+COUNTIF(Logs!$M356, K$88)+COUNTIF(Logs!$M374, K$88)+COUNTIF(Logs!$M393, K$88)+COUNTIF(Logs!$M411, K$88)+COUNTIF(Logs!$M429, K$88)+COUNTIF(Logs!$M447, K$88)+COUNTIF(Logs!$M465, K$88)+COUNTIF(Logs!$M483, K$88)+COUNTIF(Logs!$M501, K$88)+COUNTIF(Logs!$M519, K$88)+COUNTIF(Logs!$M537, K$88)+COUNTIF(Logs!$M555, K$88)+COUNTIF(Logs!$M623, K$88)+COUNTIF(Logs!$M655, K$88)+COUNTIF(Logs!$M671, K$88)</f>
        <v>1</v>
      </c>
      <c r="L90" s="1432">
        <f>IF(K90&gt;0, K90/SUM($C90,$E90, $G90,$I90,$K90), "")</f>
        <v>3.125E-2</v>
      </c>
      <c r="N90" s="1378" t="s">
        <v>185</v>
      </c>
      <c r="O90">
        <f>COUNTIF(Logs!$N9, O$88)+COUNTIF(Logs!$N27, O$88)+COUNTIF(Logs!$N45, O$88)+COUNTIF(Logs!$N63, O$88)+COUNTIF(Logs!$N81, O$88)+COUNTIF(Logs!$N120, O$88)+COUNTIF(Logs!$N159, O$88)+COUNTIF(Logs!$N198, O$88)</f>
        <v>8</v>
      </c>
      <c r="P90" s="1448">
        <f>IF(O90&gt;0, O90/SUM($O90,$Q90, $S90,$U90,$W90), "")</f>
        <v>1</v>
      </c>
      <c r="Q90">
        <f>COUNTIF(Logs!$N9, Q$88)+COUNTIF(Logs!$N27, Q$88)+COUNTIF(Logs!$N45, Q$88)+COUNTIF(Logs!$N63, Q$88)+COUNTIF(Logs!$N81, Q$88)+COUNTIF(Logs!$N120, Q$88)+COUNTIF(Logs!$N159, Q$88)+COUNTIF(Logs!$N198, Q$88)</f>
        <v>0</v>
      </c>
      <c r="R90" s="1437" t="str">
        <f>IF(Q90&gt;0, Q90/SUM($O90,$Q90, $S90,$U90,$W90), "")</f>
        <v/>
      </c>
      <c r="S90">
        <f>COUNTIF(Logs!$N9, S$88)+COUNTIF(Logs!$N27, S$88)+COUNTIF(Logs!$N45, S$88)+COUNTIF(Logs!$N63, S$88)+COUNTIF(Logs!$N81, S$88)+COUNTIF(Logs!$N120, S$88)+COUNTIF(Logs!$N159, S$88)+COUNTIF(Logs!$N198, S$88)</f>
        <v>0</v>
      </c>
      <c r="T90" s="1440" t="str">
        <f>IF(S90&gt;0, S90/SUM($O90,$Q90, $S90,$U90,$W90), "")</f>
        <v/>
      </c>
      <c r="U90">
        <f>COUNTIF(Logs!$N9, U$88)+COUNTIF(Logs!$N27, U$88)+COUNTIF(Logs!$N45, U$88)+COUNTIF(Logs!$N63, U$88)+COUNTIF(Logs!$N81, U$88)+COUNTIF(Logs!$N120, U$88)+COUNTIF(Logs!$N159, U$88)+COUNTIF(Logs!$N198, U$88)</f>
        <v>0</v>
      </c>
      <c r="V90" s="1444" t="str">
        <f>IF(U90&gt;0, U90/SUM($O90,$Q90, $S90,$U90,$W90), "")</f>
        <v/>
      </c>
      <c r="W90">
        <f>COUNTIF(Logs!$N9, W$88)+COUNTIF(Logs!$N27, W$88)+COUNTIF(Logs!$N45, W$88)+COUNTIF(Logs!$N63, W$88)+COUNTIF(Logs!$N81, W$88)+COUNTIF(Logs!$N120, W$88)+COUNTIF(Logs!$N159, W$88)+COUNTIF(Logs!$N198, W$88)</f>
        <v>0</v>
      </c>
      <c r="X90" s="1432" t="str">
        <f>IF(W90&gt;0, W90/SUM($O90,$Q90, $S90,$U90,$W90), "")</f>
        <v/>
      </c>
    </row>
    <row r="91" spans="2:24">
      <c r="B91" s="1378" t="s">
        <v>186</v>
      </c>
      <c r="C91" s="319">
        <f>COUNTIF(Logs!$M10, C$88)+COUNTIF(Logs!$M28, C$88)+COUNTIF(Logs!$M46, C$88)+COUNTIF(Logs!$M64, C$88)+COUNTIF(Logs!$M82, C$88)+COUNTIF(Logs!$M101, C$88)+COUNTIF(Logs!$M121, C$88)+COUNTIF(Logs!$M140, C$88)+COUNTIF(Logs!$M160, C$88)+COUNTIF(Logs!$M178, C$88)+COUNTIF(Logs!$M199, C$88)+COUNTIF(Logs!$M251, C$88)+COUNTIF(Logs!$M268, C$88)+COUNTIF(Logs!$M286, C$88)+COUNTIF(Logs!$M303, C$88)+COUNTIF(Logs!$M321, C$88)+COUNTIF(Logs!$M339, C$88)+COUNTIF(Logs!$M357, C$88)+COUNTIF(Logs!$M375, C$88)+COUNTIF(Logs!$M394, C$88)+COUNTIF(Logs!$M412, C$88)+COUNTIF(Logs!$M430, C$88)+COUNTIF(Logs!$M448, C$88)+COUNTIF(Logs!$M466, C$88)+COUNTIF(Logs!$M484, C$88)+COUNTIF(Logs!$M502, C$88)+COUNTIF(Logs!$M520, C$88)+COUNTIF(Logs!$M538, C$88)+COUNTIF(Logs!$M556, C$88)+COUNTIF(Logs!$M624, C$88)+COUNTIF(Logs!$M656, C$88)+COUNTIF(Logs!$M672, C$88)</f>
        <v>17</v>
      </c>
      <c r="D91" s="1448">
        <f t="shared" ref="D91:D102" si="50">IF(C91&gt;0, C91/SUM($C91,$E91, $G91,$I91,$K91), "")</f>
        <v>0.53125</v>
      </c>
      <c r="E91" s="8">
        <f>COUNTIF(Logs!$M10, E$88)+COUNTIF(Logs!$M28, E$88)+COUNTIF(Logs!$M46, E$88)+COUNTIF(Logs!$M64, E$88)+COUNTIF(Logs!$M82, E$88)+COUNTIF(Logs!$M101, E$88)+COUNTIF(Logs!$M121, E$88)+COUNTIF(Logs!$M140, E$88)+COUNTIF(Logs!$M160, E$88)+COUNTIF(Logs!$M178, E$88)+COUNTIF(Logs!$M199, E$88)+COUNTIF(Logs!$M251, E$88)+COUNTIF(Logs!$M268, E$88)+COUNTIF(Logs!$M286, E$88)+COUNTIF(Logs!$M303, E$88)+COUNTIF(Logs!$M321, E$88)+COUNTIF(Logs!$M339, E$88)+COUNTIF(Logs!$M357, E$88)+COUNTIF(Logs!$M375, E$88)+COUNTIF(Logs!$M394, E$88)+COUNTIF(Logs!$M412, E$88)+COUNTIF(Logs!$M430, E$88)+COUNTIF(Logs!$M448, E$88)+COUNTIF(Logs!$M466, E$88)+COUNTIF(Logs!$M484, E$88)+COUNTIF(Logs!$M502, E$88)+COUNTIF(Logs!$M520, E$88)+COUNTIF(Logs!$M538, E$88)+COUNTIF(Logs!$M556, E$88)+COUNTIF(Logs!$M624, E$88)+COUNTIF(Logs!$M656, E$88)+COUNTIF(Logs!$M672, E$88)</f>
        <v>4</v>
      </c>
      <c r="F91" s="1437">
        <f t="shared" ref="F91:F102" si="51">IF(E91&gt;0, E91/SUM($C91,$E91, $G91,$I91,$K91), "")</f>
        <v>0.125</v>
      </c>
      <c r="G91" s="33">
        <f>COUNTIF(Logs!$M10, G$88)+COUNTIF(Logs!$M28, G$88)+COUNTIF(Logs!$M46, G$88)+COUNTIF(Logs!$M64, G$88)+COUNTIF(Logs!$M82, G$88)+COUNTIF(Logs!$M101, G$88)+COUNTIF(Logs!$M121, G$88)+COUNTIF(Logs!$M140, G$88)+COUNTIF(Logs!$M160, G$88)+COUNTIF(Logs!$M178, G$88)+COUNTIF(Logs!$M199, G$88)+COUNTIF(Logs!$M251, G$88)+COUNTIF(Logs!$M268, G$88)+COUNTIF(Logs!$M286, G$88)+COUNTIF(Logs!$M303, G$88)+COUNTIF(Logs!$M321, G$88)+COUNTIF(Logs!$M339, G$88)+COUNTIF(Logs!$M357, G$88)+COUNTIF(Logs!$M375, G$88)+COUNTIF(Logs!$M394, G$88)+COUNTIF(Logs!$M412, G$88)+COUNTIF(Logs!$M430, G$88)+COUNTIF(Logs!$M448, G$88)+COUNTIF(Logs!$M466, G$88)+COUNTIF(Logs!$M484, G$88)+COUNTIF(Logs!$M502, G$88)+COUNTIF(Logs!$M520, G$88)+COUNTIF(Logs!$M538, G$88)+COUNTIF(Logs!$M556, G$88)+COUNTIF(Logs!$M624, G$88)+COUNTIF(Logs!$M656, G$88)+COUNTIF(Logs!$M672, G$88)</f>
        <v>5</v>
      </c>
      <c r="H91" s="1440">
        <f t="shared" ref="H91:H102" si="52">IF(G91&gt;0, G91/SUM($C91,$E91, $G91,$I91,$K91), "")</f>
        <v>0.15625</v>
      </c>
      <c r="I91" s="329">
        <f>COUNTIF(Logs!$M10, I$88)+COUNTIF(Logs!$M28, I$88)+COUNTIF(Logs!$M46, I$88)+COUNTIF(Logs!$M64, I$88)+COUNTIF(Logs!$M82, I$88)+COUNTIF(Logs!$M101, I$88)+COUNTIF(Logs!$M121, I$88)+COUNTIF(Logs!$M140, I$88)+COUNTIF(Logs!$M160, I$88)+COUNTIF(Logs!$M178, I$88)+COUNTIF(Logs!$M199, I$88)+COUNTIF(Logs!$M251, I$88)+COUNTIF(Logs!$M268, I$88)+COUNTIF(Logs!$M286, I$88)+COUNTIF(Logs!$M303, I$88)+COUNTIF(Logs!$M321, I$88)+COUNTIF(Logs!$M339, I$88)+COUNTIF(Logs!$M357, I$88)+COUNTIF(Logs!$M375, I$88)+COUNTIF(Logs!$M394, I$88)+COUNTIF(Logs!$M412, I$88)+COUNTIF(Logs!$M430, I$88)+COUNTIF(Logs!$M448, I$88)+COUNTIF(Logs!$M466, I$88)+COUNTIF(Logs!$M484, I$88)+COUNTIF(Logs!$M502, I$88)+COUNTIF(Logs!$M520, I$88)+COUNTIF(Logs!$M538, I$88)+COUNTIF(Logs!$M556, I$88)+COUNTIF(Logs!$M624, I$88)+COUNTIF(Logs!$M656, I$88)+COUNTIF(Logs!$M672, I$88)</f>
        <v>2</v>
      </c>
      <c r="J91" s="1444">
        <f t="shared" ref="J91:J102" si="53">IF(I91&gt;0, I91/SUM($C91,$E91, $G91,$I91,$K91), "")</f>
        <v>6.25E-2</v>
      </c>
      <c r="K91" s="1101">
        <f>COUNTIF(Logs!$M10, K$88)+COUNTIF(Logs!$M28, K$88)+COUNTIF(Logs!$M46, K$88)+COUNTIF(Logs!$M64, K$88)+COUNTIF(Logs!$M82, K$88)+COUNTIF(Logs!$M101, K$88)+COUNTIF(Logs!$M121, K$88)+COUNTIF(Logs!$M140, K$88)+COUNTIF(Logs!$M160, K$88)+COUNTIF(Logs!$M178, K$88)+COUNTIF(Logs!$M199, K$88)+COUNTIF(Logs!$M251, K$88)+COUNTIF(Logs!$M268, K$88)+COUNTIF(Logs!$M286, K$88)+COUNTIF(Logs!$M303, K$88)+COUNTIF(Logs!$M321, K$88)+COUNTIF(Logs!$M339, K$88)+COUNTIF(Logs!$M357, K$88)+COUNTIF(Logs!$M375, K$88)+COUNTIF(Logs!$M394, K$88)+COUNTIF(Logs!$M412, K$88)+COUNTIF(Logs!$M430, K$88)+COUNTIF(Logs!$M448, K$88)+COUNTIF(Logs!$M466, K$88)+COUNTIF(Logs!$M484, K$88)+COUNTIF(Logs!$M502, K$88)+COUNTIF(Logs!$M520, K$88)+COUNTIF(Logs!$M538, K$88)+COUNTIF(Logs!$M556, K$88)+COUNTIF(Logs!$M624, K$88)+COUNTIF(Logs!$M656, K$88)+COUNTIF(Logs!$M672, K$88)</f>
        <v>4</v>
      </c>
      <c r="L91" s="1432">
        <f t="shared" ref="L91:L102" si="54">IF(K91&gt;0, K91/SUM($C91,$E91, $G91,$I91,$K91), "")</f>
        <v>0.125</v>
      </c>
      <c r="N91" s="1378" t="s">
        <v>186</v>
      </c>
      <c r="O91">
        <f>COUNTIF(Logs!$N10, O$88)+COUNTIF(Logs!$N28, O$88)+COUNTIF(Logs!$N46, O$88)+COUNTIF(Logs!$N64, O$88)+COUNTIF(Logs!$N82, O$88)+COUNTIF(Logs!$N121, O$88)+COUNTIF(Logs!$N160, O$88)+COUNTIF(Logs!$N199, O$88)</f>
        <v>6</v>
      </c>
      <c r="P91" s="1448">
        <f t="shared" ref="P91:P101" si="55">IF(O91&gt;0, O91/SUM($O91,$Q91, $S91,$U91,$W91), "")</f>
        <v>0.75</v>
      </c>
      <c r="Q91">
        <f>COUNTIF(Logs!$N10, Q$88)+COUNTIF(Logs!$N28, Q$88)+COUNTIF(Logs!$N46, Q$88)+COUNTIF(Logs!$N64, Q$88)+COUNTIF(Logs!$N82, Q$88)+COUNTIF(Logs!$N121, Q$88)+COUNTIF(Logs!$N160, Q$88)+COUNTIF(Logs!$N199, Q$88)</f>
        <v>1</v>
      </c>
      <c r="R91" s="1437">
        <f t="shared" ref="R91:R102" si="56">IF(Q91&gt;0, Q91/SUM($O91,$Q91, $S91,$U91,$W91), "")</f>
        <v>0.125</v>
      </c>
      <c r="S91">
        <f>COUNTIF(Logs!$N10, S$88)+COUNTIF(Logs!$N28, S$88)+COUNTIF(Logs!$N46, S$88)+COUNTIF(Logs!$N64, S$88)+COUNTIF(Logs!$N82, S$88)+COUNTIF(Logs!$N121, S$88)+COUNTIF(Logs!$N160, S$88)+COUNTIF(Logs!$N199, S$88)</f>
        <v>1</v>
      </c>
      <c r="T91" s="1440">
        <f t="shared" ref="T91:T102" si="57">IF(S91&gt;0, S91/SUM($O91,$Q91, $S91,$U91,$W91), "")</f>
        <v>0.125</v>
      </c>
      <c r="U91">
        <f>COUNTIF(Logs!$N10, U$88)+COUNTIF(Logs!$N28, U$88)+COUNTIF(Logs!$N46, U$88)+COUNTIF(Logs!$N64, U$88)+COUNTIF(Logs!$N82, U$88)+COUNTIF(Logs!$N121, U$88)+COUNTIF(Logs!$N160, U$88)+COUNTIF(Logs!$N199, U$88)</f>
        <v>0</v>
      </c>
      <c r="V91" s="1444" t="str">
        <f t="shared" ref="V91:V102" si="58">IF(U91&gt;0, U91/SUM($O91,$Q91, $S91,$U91,$W91), "")</f>
        <v/>
      </c>
      <c r="W91">
        <f>COUNTIF(Logs!$N10, W$88)+COUNTIF(Logs!$N28, W$88)+COUNTIF(Logs!$N46, W$88)+COUNTIF(Logs!$N64, W$88)+COUNTIF(Logs!$N82, W$88)+COUNTIF(Logs!$N121, W$88)+COUNTIF(Logs!$N160, W$88)+COUNTIF(Logs!$N199, W$88)</f>
        <v>0</v>
      </c>
      <c r="X91" s="1432" t="str">
        <f t="shared" ref="X91:X102" si="59">IF(W91&gt;0, W91/SUM($O91,$Q91, $S91,$U91,$W91), "")</f>
        <v/>
      </c>
    </row>
    <row r="92" spans="2:24">
      <c r="B92" s="1378" t="s">
        <v>187</v>
      </c>
      <c r="C92" s="319">
        <f>COUNTIF(Logs!$M11, C$88)+COUNTIF(Logs!$M29, C$88)+COUNTIF(Logs!$M47, C$88)+COUNTIF(Logs!$M65, C$88)+COUNTIF(Logs!$M83, C$88)+COUNTIF(Logs!$M102, C$88)+COUNTIF(Logs!$M122, C$88)+COUNTIF(Logs!$M141, C$88)+COUNTIF(Logs!$M161, C$88)+COUNTIF(Logs!$M179, C$88)+COUNTIF(Logs!$M200, C$88)+COUNTIF(Logs!$M252, C$88)+COUNTIF(Logs!$M269, C$88)+COUNTIF(Logs!$M287, C$88)+COUNTIF(Logs!$M304, C$88)+COUNTIF(Logs!$M322, C$88)+COUNTIF(Logs!$M340, C$88)+COUNTIF(Logs!$M358, C$88)+COUNTIF(Logs!$M376, C$88)+COUNTIF(Logs!$M395, C$88)+COUNTIF(Logs!$M413, C$88)+COUNTIF(Logs!$M431, C$88)+COUNTIF(Logs!$M449, C$88)+COUNTIF(Logs!$M467, C$88)+COUNTIF(Logs!$M485, C$88)+COUNTIF(Logs!$M503, C$88)+COUNTIF(Logs!$M521, C$88)+COUNTIF(Logs!$M539, C$88)+COUNTIF(Logs!$M557, C$88)+COUNTIF(Logs!$M625, C$88)+COUNTIF(Logs!$M657, C$88)+COUNTIF(Logs!$M673, C$88)</f>
        <v>19</v>
      </c>
      <c r="D92" s="1448">
        <f t="shared" si="50"/>
        <v>0.59375</v>
      </c>
      <c r="E92" s="8">
        <f>COUNTIF(Logs!$M11, E$88)+COUNTIF(Logs!$M29, E$88)+COUNTIF(Logs!$M47, E$88)+COUNTIF(Logs!$M65, E$88)+COUNTIF(Logs!$M83, E$88)+COUNTIF(Logs!$M102, E$88)+COUNTIF(Logs!$M122, E$88)+COUNTIF(Logs!$M141, E$88)+COUNTIF(Logs!$M161, E$88)+COUNTIF(Logs!$M179, E$88)+COUNTIF(Logs!$M200, E$88)+COUNTIF(Logs!$M252, E$88)+COUNTIF(Logs!$M269, E$88)+COUNTIF(Logs!$M287, E$88)+COUNTIF(Logs!$M304, E$88)+COUNTIF(Logs!$M322, E$88)+COUNTIF(Logs!$M340, E$88)+COUNTIF(Logs!$M358, E$88)+COUNTIF(Logs!$M376, E$88)+COUNTIF(Logs!$M395, E$88)+COUNTIF(Logs!$M413, E$88)+COUNTIF(Logs!$M431, E$88)+COUNTIF(Logs!$M449, E$88)+COUNTIF(Logs!$M467, E$88)+COUNTIF(Logs!$M485, E$88)+COUNTIF(Logs!$M503, E$88)+COUNTIF(Logs!$M521, E$88)+COUNTIF(Logs!$M539, E$88)+COUNTIF(Logs!$M557, E$88)+COUNTIF(Logs!$M625, E$88)+COUNTIF(Logs!$M657, E$88)+COUNTIF(Logs!$M673, E$88)</f>
        <v>9</v>
      </c>
      <c r="F92" s="1437">
        <f t="shared" si="51"/>
        <v>0.28125</v>
      </c>
      <c r="G92" s="33">
        <f>COUNTIF(Logs!$M11, G$88)+COUNTIF(Logs!$M29, G$88)+COUNTIF(Logs!$M47, G$88)+COUNTIF(Logs!$M65, G$88)+COUNTIF(Logs!$M83, G$88)+COUNTIF(Logs!$M102, G$88)+COUNTIF(Logs!$M122, G$88)+COUNTIF(Logs!$M141, G$88)+COUNTIF(Logs!$M161, G$88)+COUNTIF(Logs!$M179, G$88)+COUNTIF(Logs!$M200, G$88)+COUNTIF(Logs!$M252, G$88)+COUNTIF(Logs!$M269, G$88)+COUNTIF(Logs!$M287, G$88)+COUNTIF(Logs!$M304, G$88)+COUNTIF(Logs!$M322, G$88)+COUNTIF(Logs!$M340, G$88)+COUNTIF(Logs!$M358, G$88)+COUNTIF(Logs!$M376, G$88)+COUNTIF(Logs!$M395, G$88)+COUNTIF(Logs!$M413, G$88)+COUNTIF(Logs!$M431, G$88)+COUNTIF(Logs!$M449, G$88)+COUNTIF(Logs!$M467, G$88)+COUNTIF(Logs!$M485, G$88)+COUNTIF(Logs!$M503, G$88)+COUNTIF(Logs!$M521, G$88)+COUNTIF(Logs!$M539, G$88)+COUNTIF(Logs!$M557, G$88)+COUNTIF(Logs!$M625, G$88)+COUNTIF(Logs!$M657, G$88)+COUNTIF(Logs!$M673, G$88)</f>
        <v>2</v>
      </c>
      <c r="H92" s="1440">
        <f t="shared" si="52"/>
        <v>6.25E-2</v>
      </c>
      <c r="I92" s="329">
        <f>COUNTIF(Logs!$M11, I$88)+COUNTIF(Logs!$M29, I$88)+COUNTIF(Logs!$M47, I$88)+COUNTIF(Logs!$M65, I$88)+COUNTIF(Logs!$M83, I$88)+COUNTIF(Logs!$M102, I$88)+COUNTIF(Logs!$M122, I$88)+COUNTIF(Logs!$M141, I$88)+COUNTIF(Logs!$M161, I$88)+COUNTIF(Logs!$M179, I$88)+COUNTIF(Logs!$M200, I$88)+COUNTIF(Logs!$M252, I$88)+COUNTIF(Logs!$M269, I$88)+COUNTIF(Logs!$M287, I$88)+COUNTIF(Logs!$M304, I$88)+COUNTIF(Logs!$M322, I$88)+COUNTIF(Logs!$M340, I$88)+COUNTIF(Logs!$M358, I$88)+COUNTIF(Logs!$M376, I$88)+COUNTIF(Logs!$M395, I$88)+COUNTIF(Logs!$M413, I$88)+COUNTIF(Logs!$M431, I$88)+COUNTIF(Logs!$M449, I$88)+COUNTIF(Logs!$M467, I$88)+COUNTIF(Logs!$M485, I$88)+COUNTIF(Logs!$M503, I$88)+COUNTIF(Logs!$M521, I$88)+COUNTIF(Logs!$M539, I$88)+COUNTIF(Logs!$M557, I$88)+COUNTIF(Logs!$M625, I$88)+COUNTIF(Logs!$M657, I$88)+COUNTIF(Logs!$M673, I$88)</f>
        <v>2</v>
      </c>
      <c r="J92" s="1444">
        <f t="shared" si="53"/>
        <v>6.25E-2</v>
      </c>
      <c r="K92" s="1101">
        <f>COUNTIF(Logs!$M11, K$88)+COUNTIF(Logs!$M29, K$88)+COUNTIF(Logs!$M47, K$88)+COUNTIF(Logs!$M65, K$88)+COUNTIF(Logs!$M83, K$88)+COUNTIF(Logs!$M102, K$88)+COUNTIF(Logs!$M122, K$88)+COUNTIF(Logs!$M141, K$88)+COUNTIF(Logs!$M161, K$88)+COUNTIF(Logs!$M179, K$88)+COUNTIF(Logs!$M200, K$88)+COUNTIF(Logs!$M252, K$88)+COUNTIF(Logs!$M269, K$88)+COUNTIF(Logs!$M287, K$88)+COUNTIF(Logs!$M304, K$88)+COUNTIF(Logs!$M322, K$88)+COUNTIF(Logs!$M340, K$88)+COUNTIF(Logs!$M358, K$88)+COUNTIF(Logs!$M376, K$88)+COUNTIF(Logs!$M395, K$88)+COUNTIF(Logs!$M413, K$88)+COUNTIF(Logs!$M431, K$88)+COUNTIF(Logs!$M449, K$88)+COUNTIF(Logs!$M467, K$88)+COUNTIF(Logs!$M485, K$88)+COUNTIF(Logs!$M503, K$88)+COUNTIF(Logs!$M521, K$88)+COUNTIF(Logs!$M539, K$88)+COUNTIF(Logs!$M557, K$88)+COUNTIF(Logs!$M625, K$88)+COUNTIF(Logs!$M657, K$88)+COUNTIF(Logs!$M673, K$88)</f>
        <v>0</v>
      </c>
      <c r="L92" s="1432" t="str">
        <f t="shared" si="54"/>
        <v/>
      </c>
      <c r="N92" s="1378" t="s">
        <v>187</v>
      </c>
      <c r="O92">
        <f>COUNTIF(Logs!$N11, O$88)+COUNTIF(Logs!$N29, O$88)+COUNTIF(Logs!$N47, O$88)+COUNTIF(Logs!$N65, O$88)+COUNTIF(Logs!$N83, O$88)+COUNTIF(Logs!$N122, O$88)+COUNTIF(Logs!$N161, O$88)+COUNTIF(Logs!$N200, O$88)</f>
        <v>6</v>
      </c>
      <c r="P92" s="1448">
        <f t="shared" si="55"/>
        <v>0.75</v>
      </c>
      <c r="Q92">
        <f>COUNTIF(Logs!$N11, Q$88)+COUNTIF(Logs!$N29, Q$88)+COUNTIF(Logs!$N47, Q$88)+COUNTIF(Logs!$N65, Q$88)+COUNTIF(Logs!$N83, Q$88)+COUNTIF(Logs!$N122, Q$88)+COUNTIF(Logs!$N161, Q$88)+COUNTIF(Logs!$N200, Q$88)</f>
        <v>0</v>
      </c>
      <c r="R92" s="1437" t="str">
        <f t="shared" si="56"/>
        <v/>
      </c>
      <c r="S92">
        <f>COUNTIF(Logs!$N11, S$88)+COUNTIF(Logs!$N29, S$88)+COUNTIF(Logs!$N47, S$88)+COUNTIF(Logs!$N65, S$88)+COUNTIF(Logs!$N83, S$88)+COUNTIF(Logs!$N122, S$88)+COUNTIF(Logs!$N161, S$88)+COUNTIF(Logs!$N200, S$88)</f>
        <v>2</v>
      </c>
      <c r="T92" s="1440">
        <f t="shared" si="57"/>
        <v>0.25</v>
      </c>
      <c r="U92">
        <f>COUNTIF(Logs!$N11, U$88)+COUNTIF(Logs!$N29, U$88)+COUNTIF(Logs!$N47, U$88)+COUNTIF(Logs!$N65, U$88)+COUNTIF(Logs!$N83, U$88)+COUNTIF(Logs!$N122, U$88)+COUNTIF(Logs!$N161, U$88)+COUNTIF(Logs!$N200, U$88)</f>
        <v>0</v>
      </c>
      <c r="V92" s="1444" t="str">
        <f t="shared" si="58"/>
        <v/>
      </c>
      <c r="W92">
        <f>COUNTIF(Logs!$N11, W$88)+COUNTIF(Logs!$N29, W$88)+COUNTIF(Logs!$N47, W$88)+COUNTIF(Logs!$N65, W$88)+COUNTIF(Logs!$N83, W$88)+COUNTIF(Logs!$N122, W$88)+COUNTIF(Logs!$N161, W$88)+COUNTIF(Logs!$N200, W$88)</f>
        <v>0</v>
      </c>
      <c r="X92" s="1432" t="str">
        <f t="shared" si="59"/>
        <v/>
      </c>
    </row>
    <row r="93" spans="2:24">
      <c r="B93" s="1378" t="s">
        <v>188</v>
      </c>
      <c r="C93" s="319">
        <f>COUNTIF(Logs!$M12, C$88)+COUNTIF(Logs!$M30, C$88)+COUNTIF(Logs!$M48, C$88)+COUNTIF(Logs!$M66, C$88)+COUNTIF(Logs!$M84, C$88)+COUNTIF(Logs!$M103, C$88)+COUNTIF(Logs!$M123, C$88)+COUNTIF(Logs!$M142, C$88)+COUNTIF(Logs!$M162, C$88)+COUNTIF(Logs!$M180, C$88)+COUNTIF(Logs!$M201, C$88)+COUNTIF(Logs!$M253, C$88)+COUNTIF(Logs!$M270, C$88)+COUNTIF(Logs!$M288, C$88)+COUNTIF(Logs!$M305, C$88)+COUNTIF(Logs!$M323, C$88)+COUNTIF(Logs!$M341, C$88)+COUNTIF(Logs!$M359, C$88)+COUNTIF(Logs!$M377, C$88)+COUNTIF(Logs!$M396, C$88)+COUNTIF(Logs!$M414, C$88)+COUNTIF(Logs!$M432, C$88)+COUNTIF(Logs!$M450, C$88)+COUNTIF(Logs!$M468, C$88)+COUNTIF(Logs!$M486, C$88)+COUNTIF(Logs!$M504, C$88)+COUNTIF(Logs!$M522, C$88)+COUNTIF(Logs!$M540, C$88)+COUNTIF(Logs!$M558, C$88)+COUNTIF(Logs!$M626, C$88)+COUNTIF(Logs!$M658, C$88)+COUNTIF(Logs!$M674, C$88)</f>
        <v>16</v>
      </c>
      <c r="D93" s="1448">
        <f t="shared" si="50"/>
        <v>0.5</v>
      </c>
      <c r="E93" s="8">
        <f>COUNTIF(Logs!$M12, E$88)+COUNTIF(Logs!$M30, E$88)+COUNTIF(Logs!$M48, E$88)+COUNTIF(Logs!$M66, E$88)+COUNTIF(Logs!$M84, E$88)+COUNTIF(Logs!$M103, E$88)+COUNTIF(Logs!$M123, E$88)+COUNTIF(Logs!$M142, E$88)+COUNTIF(Logs!$M162, E$88)+COUNTIF(Logs!$M180, E$88)+COUNTIF(Logs!$M201, E$88)+COUNTIF(Logs!$M253, E$88)+COUNTIF(Logs!$M270, E$88)+COUNTIF(Logs!$M288, E$88)+COUNTIF(Logs!$M305, E$88)+COUNTIF(Logs!$M323, E$88)+COUNTIF(Logs!$M341, E$88)+COUNTIF(Logs!$M359, E$88)+COUNTIF(Logs!$M377, E$88)+COUNTIF(Logs!$M396, E$88)+COUNTIF(Logs!$M414, E$88)+COUNTIF(Logs!$M432, E$88)+COUNTIF(Logs!$M450, E$88)+COUNTIF(Logs!$M468, E$88)+COUNTIF(Logs!$M486, E$88)+COUNTIF(Logs!$M504, E$88)+COUNTIF(Logs!$M522, E$88)+COUNTIF(Logs!$M540, E$88)+COUNTIF(Logs!$M558, E$88)+COUNTIF(Logs!$M626, E$88)+COUNTIF(Logs!$M658, E$88)+COUNTIF(Logs!$M674, E$88)</f>
        <v>6</v>
      </c>
      <c r="F93" s="1437">
        <f t="shared" si="51"/>
        <v>0.1875</v>
      </c>
      <c r="G93" s="33">
        <f>COUNTIF(Logs!$M12, G$88)+COUNTIF(Logs!$M30, G$88)+COUNTIF(Logs!$M48, G$88)+COUNTIF(Logs!$M66, G$88)+COUNTIF(Logs!$M84, G$88)+COUNTIF(Logs!$M103, G$88)+COUNTIF(Logs!$M123, G$88)+COUNTIF(Logs!$M142, G$88)+COUNTIF(Logs!$M162, G$88)+COUNTIF(Logs!$M180, G$88)+COUNTIF(Logs!$M201, G$88)+COUNTIF(Logs!$M253, G$88)+COUNTIF(Logs!$M270, G$88)+COUNTIF(Logs!$M288, G$88)+COUNTIF(Logs!$M305, G$88)+COUNTIF(Logs!$M323, G$88)+COUNTIF(Logs!$M341, G$88)+COUNTIF(Logs!$M359, G$88)+COUNTIF(Logs!$M377, G$88)+COUNTIF(Logs!$M396, G$88)+COUNTIF(Logs!$M414, G$88)+COUNTIF(Logs!$M432, G$88)+COUNTIF(Logs!$M450, G$88)+COUNTIF(Logs!$M468, G$88)+COUNTIF(Logs!$M486, G$88)+COUNTIF(Logs!$M504, G$88)+COUNTIF(Logs!$M522, G$88)+COUNTIF(Logs!$M540, G$88)+COUNTIF(Logs!$M558, G$88)+COUNTIF(Logs!$M626, G$88)+COUNTIF(Logs!$M658, G$88)+COUNTIF(Logs!$M674, G$88)</f>
        <v>8</v>
      </c>
      <c r="H93" s="1440">
        <f t="shared" si="52"/>
        <v>0.25</v>
      </c>
      <c r="I93" s="329">
        <f>COUNTIF(Logs!$M12, I$88)+COUNTIF(Logs!$M30, I$88)+COUNTIF(Logs!$M48, I$88)+COUNTIF(Logs!$M66, I$88)+COUNTIF(Logs!$M84, I$88)+COUNTIF(Logs!$M103, I$88)+COUNTIF(Logs!$M123, I$88)+COUNTIF(Logs!$M142, I$88)+COUNTIF(Logs!$M162, I$88)+COUNTIF(Logs!$M180, I$88)+COUNTIF(Logs!$M201, I$88)+COUNTIF(Logs!$M253, I$88)+COUNTIF(Logs!$M270, I$88)+COUNTIF(Logs!$M288, I$88)+COUNTIF(Logs!$M305, I$88)+COUNTIF(Logs!$M323, I$88)+COUNTIF(Logs!$M341, I$88)+COUNTIF(Logs!$M359, I$88)+COUNTIF(Logs!$M377, I$88)+COUNTIF(Logs!$M396, I$88)+COUNTIF(Logs!$M414, I$88)+COUNTIF(Logs!$M432, I$88)+COUNTIF(Logs!$M450, I$88)+COUNTIF(Logs!$M468, I$88)+COUNTIF(Logs!$M486, I$88)+COUNTIF(Logs!$M504, I$88)+COUNTIF(Logs!$M522, I$88)+COUNTIF(Logs!$M540, I$88)+COUNTIF(Logs!$M558, I$88)+COUNTIF(Logs!$M626, I$88)+COUNTIF(Logs!$M658, I$88)+COUNTIF(Logs!$M674, I$88)</f>
        <v>2</v>
      </c>
      <c r="J93" s="1444">
        <f>IF(I93&gt;0, I93/SUM($C93,$E93, $G93,$I93,$K93), "")</f>
        <v>6.25E-2</v>
      </c>
      <c r="K93" s="1101">
        <f>COUNTIF(Logs!$M12, K$88)+COUNTIF(Logs!$M30, K$88)+COUNTIF(Logs!$M48, K$88)+COUNTIF(Logs!$M66, K$88)+COUNTIF(Logs!$M84, K$88)+COUNTIF(Logs!$M103, K$88)+COUNTIF(Logs!$M123, K$88)+COUNTIF(Logs!$M142, K$88)+COUNTIF(Logs!$M162, K$88)+COUNTIF(Logs!$M180, K$88)+COUNTIF(Logs!$M201, K$88)+COUNTIF(Logs!$M253, K$88)+COUNTIF(Logs!$M270, K$88)+COUNTIF(Logs!$M288, K$88)+COUNTIF(Logs!$M305, K$88)+COUNTIF(Logs!$M323, K$88)+COUNTIF(Logs!$M341, K$88)+COUNTIF(Logs!$M359, K$88)+COUNTIF(Logs!$M377, K$88)+COUNTIF(Logs!$M396, K$88)+COUNTIF(Logs!$M414, K$88)+COUNTIF(Logs!$M432, K$88)+COUNTIF(Logs!$M450, K$88)+COUNTIF(Logs!$M468, K$88)+COUNTIF(Logs!$M486, K$88)+COUNTIF(Logs!$M504, K$88)+COUNTIF(Logs!$M522, K$88)+COUNTIF(Logs!$M540, K$88)+COUNTIF(Logs!$M558, K$88)+COUNTIF(Logs!$M626, K$88)+COUNTIF(Logs!$M658, K$88)+COUNTIF(Logs!$M674, K$88)</f>
        <v>0</v>
      </c>
      <c r="L93" s="1432" t="str">
        <f t="shared" si="54"/>
        <v/>
      </c>
      <c r="N93" s="1378" t="s">
        <v>188</v>
      </c>
      <c r="O93">
        <f>COUNTIF(Logs!$N12, O$88)+COUNTIF(Logs!$N30, O$88)+COUNTIF(Logs!$N48, O$88)+COUNTIF(Logs!$N66, O$88)+COUNTIF(Logs!$N84, O$88)+COUNTIF(Logs!$N123, O$88)+COUNTIF(Logs!$N162, O$88)+COUNTIF(Logs!$N201, O$88)</f>
        <v>4</v>
      </c>
      <c r="P93" s="1448">
        <f t="shared" si="55"/>
        <v>0.5</v>
      </c>
      <c r="Q93">
        <f>COUNTIF(Logs!$N12, Q$88)+COUNTIF(Logs!$N30, Q$88)+COUNTIF(Logs!$N48, Q$88)+COUNTIF(Logs!$N66, Q$88)+COUNTIF(Logs!$N84, Q$88)+COUNTIF(Logs!$N123, Q$88)+COUNTIF(Logs!$N162, Q$88)+COUNTIF(Logs!$N201, Q$88)</f>
        <v>1</v>
      </c>
      <c r="R93" s="1437">
        <f t="shared" si="56"/>
        <v>0.125</v>
      </c>
      <c r="S93">
        <f>COUNTIF(Logs!$N12, S$88)+COUNTIF(Logs!$N30, S$88)+COUNTIF(Logs!$N48, S$88)+COUNTIF(Logs!$N66, S$88)+COUNTIF(Logs!$N84, S$88)+COUNTIF(Logs!$N123, S$88)+COUNTIF(Logs!$N162, S$88)+COUNTIF(Logs!$N201, S$88)</f>
        <v>3</v>
      </c>
      <c r="T93" s="1440">
        <f t="shared" si="57"/>
        <v>0.375</v>
      </c>
      <c r="U93">
        <f>COUNTIF(Logs!$N12, U$88)+COUNTIF(Logs!$N30, U$88)+COUNTIF(Logs!$N48, U$88)+COUNTIF(Logs!$N66, U$88)+COUNTIF(Logs!$N84, U$88)+COUNTIF(Logs!$N123, U$88)+COUNTIF(Logs!$N162, U$88)+COUNTIF(Logs!$N201, U$88)</f>
        <v>0</v>
      </c>
      <c r="V93" s="1444" t="str">
        <f t="shared" si="58"/>
        <v/>
      </c>
      <c r="W93">
        <f>COUNTIF(Logs!$N12, W$88)+COUNTIF(Logs!$N30, W$88)+COUNTIF(Logs!$N48, W$88)+COUNTIF(Logs!$N66, W$88)+COUNTIF(Logs!$N84, W$88)+COUNTIF(Logs!$N123, W$88)+COUNTIF(Logs!$N162, W$88)+COUNTIF(Logs!$N201, W$88)</f>
        <v>0</v>
      </c>
      <c r="X93" s="1432" t="str">
        <f t="shared" si="59"/>
        <v/>
      </c>
    </row>
    <row r="94" spans="2:24">
      <c r="B94" s="1378" t="s">
        <v>189</v>
      </c>
      <c r="C94" s="319">
        <f>COUNTIF(Logs!$M13, C$88)+COUNTIF(Logs!$M31, C$88)+COUNTIF(Logs!$M49, C$88)+COUNTIF(Logs!$M67, C$88)+COUNTIF(Logs!$M85, C$88)+COUNTIF(Logs!$M104, C$88)+COUNTIF(Logs!$M124, C$88)+COUNTIF(Logs!$M143, C$88)+COUNTIF(Logs!$M163, C$88)+COUNTIF(Logs!$M181, C$88)+COUNTIF(Logs!$M202, C$88)+COUNTIF(Logs!$M254, C$88)+COUNTIF(Logs!$M271, C$88)+COUNTIF(Logs!$M289, C$88)+COUNTIF(Logs!$M306, C$88)+COUNTIF(Logs!$M324, C$88)+COUNTIF(Logs!$M342, C$88)+COUNTIF(Logs!$M360, C$88)+COUNTIF(Logs!$M378, C$88)+COUNTIF(Logs!$M397, C$88)+COUNTIF(Logs!$M415, C$88)+COUNTIF(Logs!$M433, C$88)+COUNTIF(Logs!$M451, C$88)+COUNTIF(Logs!$M469, C$88)+COUNTIF(Logs!$M487, C$88)+COUNTIF(Logs!$M505, C$88)+COUNTIF(Logs!$M523, C$88)+COUNTIF(Logs!$M541, C$88)+COUNTIF(Logs!$M559, C$88)+COUNTIF(Logs!$M627, C$88)+COUNTIF(Logs!$M659, C$88)+COUNTIF(Logs!$M675, C$88)</f>
        <v>19</v>
      </c>
      <c r="D94" s="1448">
        <f t="shared" si="50"/>
        <v>0.59375</v>
      </c>
      <c r="E94" s="8">
        <f>COUNTIF(Logs!$M13, E$88)+COUNTIF(Logs!$M31, E$88)+COUNTIF(Logs!$M49, E$88)+COUNTIF(Logs!$M67, E$88)+COUNTIF(Logs!$M85, E$88)+COUNTIF(Logs!$M104, E$88)+COUNTIF(Logs!$M124, E$88)+COUNTIF(Logs!$M143, E$88)+COUNTIF(Logs!$M163, E$88)+COUNTIF(Logs!$M181, E$88)+COUNTIF(Logs!$M202, E$88)+COUNTIF(Logs!$M254, E$88)+COUNTIF(Logs!$M271, E$88)+COUNTIF(Logs!$M289, E$88)+COUNTIF(Logs!$M306, E$88)+COUNTIF(Logs!$M324, E$88)+COUNTIF(Logs!$M342, E$88)+COUNTIF(Logs!$M360, E$88)+COUNTIF(Logs!$M378, E$88)+COUNTIF(Logs!$M397, E$88)+COUNTIF(Logs!$M415, E$88)+COUNTIF(Logs!$M433, E$88)+COUNTIF(Logs!$M451, E$88)+COUNTIF(Logs!$M469, E$88)+COUNTIF(Logs!$M487, E$88)+COUNTIF(Logs!$M505, E$88)+COUNTIF(Logs!$M523, E$88)+COUNTIF(Logs!$M541, E$88)+COUNTIF(Logs!$M559, E$88)+COUNTIF(Logs!$M627, E$88)+COUNTIF(Logs!$M659, E$88)+COUNTIF(Logs!$M675, E$88)</f>
        <v>7</v>
      </c>
      <c r="F94" s="1437">
        <f t="shared" si="51"/>
        <v>0.21875</v>
      </c>
      <c r="G94" s="33">
        <f>COUNTIF(Logs!$M13, G$88)+COUNTIF(Logs!$M31, G$88)+COUNTIF(Logs!$M49, G$88)+COUNTIF(Logs!$M67, G$88)+COUNTIF(Logs!$M85, G$88)+COUNTIF(Logs!$M104, G$88)+COUNTIF(Logs!$M124, G$88)+COUNTIF(Logs!$M143, G$88)+COUNTIF(Logs!$M163, G$88)+COUNTIF(Logs!$M181, G$88)+COUNTIF(Logs!$M202, G$88)+COUNTIF(Logs!$M254, G$88)+COUNTIF(Logs!$M271, G$88)+COUNTIF(Logs!$M289, G$88)+COUNTIF(Logs!$M306, G$88)+COUNTIF(Logs!$M324, G$88)+COUNTIF(Logs!$M342, G$88)+COUNTIF(Logs!$M360, G$88)+COUNTIF(Logs!$M378, G$88)+COUNTIF(Logs!$M397, G$88)+COUNTIF(Logs!$M415, G$88)+COUNTIF(Logs!$M433, G$88)+COUNTIF(Logs!$M451, G$88)+COUNTIF(Logs!$M469, G$88)+COUNTIF(Logs!$M487, G$88)+COUNTIF(Logs!$M505, G$88)+COUNTIF(Logs!$M523, G$88)+COUNTIF(Logs!$M541, G$88)+COUNTIF(Logs!$M559, G$88)+COUNTIF(Logs!$M627, G$88)+COUNTIF(Logs!$M659, G$88)+COUNTIF(Logs!$M675, G$88)</f>
        <v>6</v>
      </c>
      <c r="H94" s="1440">
        <f t="shared" si="52"/>
        <v>0.1875</v>
      </c>
      <c r="I94" s="329">
        <f>COUNTIF(Logs!$M13, I$88)+COUNTIF(Logs!$M31, I$88)+COUNTIF(Logs!$M49, I$88)+COUNTIF(Logs!$M67, I$88)+COUNTIF(Logs!$M85, I$88)+COUNTIF(Logs!$M104, I$88)+COUNTIF(Logs!$M124, I$88)+COUNTIF(Logs!$M143, I$88)+COUNTIF(Logs!$M163, I$88)+COUNTIF(Logs!$M181, I$88)+COUNTIF(Logs!$M202, I$88)+COUNTIF(Logs!$M254, I$88)+COUNTIF(Logs!$M271, I$88)+COUNTIF(Logs!$M289, I$88)+COUNTIF(Logs!$M306, I$88)+COUNTIF(Logs!$M324, I$88)+COUNTIF(Logs!$M342, I$88)+COUNTIF(Logs!$M360, I$88)+COUNTIF(Logs!$M378, I$88)+COUNTIF(Logs!$M397, I$88)+COUNTIF(Logs!$M415, I$88)+COUNTIF(Logs!$M433, I$88)+COUNTIF(Logs!$M451, I$88)+COUNTIF(Logs!$M469, I$88)+COUNTIF(Logs!$M487, I$88)+COUNTIF(Logs!$M505, I$88)+COUNTIF(Logs!$M523, I$88)+COUNTIF(Logs!$M541, I$88)+COUNTIF(Logs!$M559, I$88)+COUNTIF(Logs!$M627, I$88)+COUNTIF(Logs!$M659, I$88)+COUNTIF(Logs!$M675, I$88)</f>
        <v>0</v>
      </c>
      <c r="J94" s="1444" t="str">
        <f t="shared" si="53"/>
        <v/>
      </c>
      <c r="K94" s="1101">
        <f>COUNTIF(Logs!$M13, K$88)+COUNTIF(Logs!$M31, K$88)+COUNTIF(Logs!$M49, K$88)+COUNTIF(Logs!$M67, K$88)+COUNTIF(Logs!$M85, K$88)+COUNTIF(Logs!$M104, K$88)+COUNTIF(Logs!$M124, K$88)+COUNTIF(Logs!$M143, K$88)+COUNTIF(Logs!$M163, K$88)+COUNTIF(Logs!$M181, K$88)+COUNTIF(Logs!$M202, K$88)+COUNTIF(Logs!$M254, K$88)+COUNTIF(Logs!$M271, K$88)+COUNTIF(Logs!$M289, K$88)+COUNTIF(Logs!$M306, K$88)+COUNTIF(Logs!$M324, K$88)+COUNTIF(Logs!$M342, K$88)+COUNTIF(Logs!$M360, K$88)+COUNTIF(Logs!$M378, K$88)+COUNTIF(Logs!$M397, K$88)+COUNTIF(Logs!$M415, K$88)+COUNTIF(Logs!$M433, K$88)+COUNTIF(Logs!$M451, K$88)+COUNTIF(Logs!$M469, K$88)+COUNTIF(Logs!$M487, K$88)+COUNTIF(Logs!$M505, K$88)+COUNTIF(Logs!$M523, K$88)+COUNTIF(Logs!$M541, K$88)+COUNTIF(Logs!$M559, K$88)+COUNTIF(Logs!$M627, K$88)+COUNTIF(Logs!$M659, K$88)+COUNTIF(Logs!$M675, K$88)</f>
        <v>0</v>
      </c>
      <c r="L94" s="1432" t="str">
        <f t="shared" si="54"/>
        <v/>
      </c>
      <c r="N94" s="1378" t="s">
        <v>189</v>
      </c>
      <c r="O94">
        <f>COUNTIF(Logs!$N13, O$88)+COUNTIF(Logs!$N31, O$88)+COUNTIF(Logs!$N49, O$88)+COUNTIF(Logs!$N67, O$88)+COUNTIF(Logs!$N85, O$88)+COUNTIF(Logs!$N124, O$88)+COUNTIF(Logs!$N163, O$88)+COUNTIF(Logs!$N202, O$88)</f>
        <v>6</v>
      </c>
      <c r="P94" s="1448">
        <f t="shared" si="55"/>
        <v>0.75</v>
      </c>
      <c r="Q94">
        <f>COUNTIF(Logs!$N13, Q$88)+COUNTIF(Logs!$N31, Q$88)+COUNTIF(Logs!$N49, Q$88)+COUNTIF(Logs!$N67, Q$88)+COUNTIF(Logs!$N85, Q$88)+COUNTIF(Logs!$N124, Q$88)+COUNTIF(Logs!$N163, Q$88)+COUNTIF(Logs!$N202, Q$88)</f>
        <v>1</v>
      </c>
      <c r="R94" s="1437">
        <f t="shared" si="56"/>
        <v>0.125</v>
      </c>
      <c r="S94">
        <f>COUNTIF(Logs!$N13, S$88)+COUNTIF(Logs!$N31, S$88)+COUNTIF(Logs!$N49, S$88)+COUNTIF(Logs!$N67, S$88)+COUNTIF(Logs!$N85, S$88)+COUNTIF(Logs!$N124, S$88)+COUNTIF(Logs!$N163, S$88)+COUNTIF(Logs!$N202, S$88)</f>
        <v>1</v>
      </c>
      <c r="T94" s="1440">
        <f t="shared" si="57"/>
        <v>0.125</v>
      </c>
      <c r="U94">
        <f>COUNTIF(Logs!$N13, U$88)+COUNTIF(Logs!$N31, U$88)+COUNTIF(Logs!$N49, U$88)+COUNTIF(Logs!$N67, U$88)+COUNTIF(Logs!$N85, U$88)+COUNTIF(Logs!$N124, U$88)+COUNTIF(Logs!$N163, U$88)+COUNTIF(Logs!$N202, U$88)</f>
        <v>0</v>
      </c>
      <c r="V94" s="1444" t="str">
        <f t="shared" si="58"/>
        <v/>
      </c>
      <c r="W94">
        <f>COUNTIF(Logs!$N13, W$88)+COUNTIF(Logs!$N31, W$88)+COUNTIF(Logs!$N49, W$88)+COUNTIF(Logs!$N67, W$88)+COUNTIF(Logs!$N85, W$88)+COUNTIF(Logs!$N124, W$88)+COUNTIF(Logs!$N163, W$88)+COUNTIF(Logs!$N202, W$88)</f>
        <v>0</v>
      </c>
      <c r="X94" s="1432" t="str">
        <f t="shared" si="59"/>
        <v/>
      </c>
    </row>
    <row r="95" spans="2:24">
      <c r="B95" s="1378" t="s">
        <v>190</v>
      </c>
      <c r="C95" s="319">
        <f>COUNTIF(Logs!$M14, C$88)+COUNTIF(Logs!$M32, C$88)+COUNTIF(Logs!$M50, C$88)+COUNTIF(Logs!$M68, C$88)+COUNTIF(Logs!$M86, C$88)+COUNTIF(Logs!$M105, C$88)+COUNTIF(Logs!$M125, C$88)+COUNTIF(Logs!$M144, C$88)+COUNTIF(Logs!$M164, C$88)+COUNTIF(Logs!$M182, C$88)+COUNTIF(Logs!$M203, C$88)+COUNTIF(Logs!$M255, C$88)+COUNTIF(Logs!$M272, C$88)+COUNTIF(Logs!$M290, C$88)+COUNTIF(Logs!$M307, C$88)+COUNTIF(Logs!$M325, C$88)+COUNTIF(Logs!$M343, C$88)+COUNTIF(Logs!$M361, C$88)+COUNTIF(Logs!$M379, C$88)+COUNTIF(Logs!$M398, C$88)+COUNTIF(Logs!$M416, C$88)+COUNTIF(Logs!$M434, C$88)+COUNTIF(Logs!$M452, C$88)+COUNTIF(Logs!$M470, C$88)+COUNTIF(Logs!$M488, C$88)+COUNTIF(Logs!$M506, C$88)+COUNTIF(Logs!$M524, C$88)+COUNTIF(Logs!$M542, C$88)+COUNTIF(Logs!$M560, C$88)+COUNTIF(Logs!$M628, C$88)+COUNTIF(Logs!$M660, C$88)+COUNTIF(Logs!$M676, C$88)</f>
        <v>16</v>
      </c>
      <c r="D95" s="1448">
        <f t="shared" si="50"/>
        <v>0.5714285714285714</v>
      </c>
      <c r="E95" s="8">
        <f>COUNTIF(Logs!$M14, E$88)+COUNTIF(Logs!$M32, E$88)+COUNTIF(Logs!$M50, E$88)+COUNTIF(Logs!$M68, E$88)+COUNTIF(Logs!$M86, E$88)+COUNTIF(Logs!$M105, E$88)+COUNTIF(Logs!$M125, E$88)+COUNTIF(Logs!$M144, E$88)+COUNTIF(Logs!$M164, E$88)+COUNTIF(Logs!$M182, E$88)+COUNTIF(Logs!$M203, E$88)+COUNTIF(Logs!$M255, E$88)+COUNTIF(Logs!$M272, E$88)+COUNTIF(Logs!$M290, E$88)+COUNTIF(Logs!$M307, E$88)+COUNTIF(Logs!$M325, E$88)+COUNTIF(Logs!$M343, E$88)+COUNTIF(Logs!$M361, E$88)+COUNTIF(Logs!$M379, E$88)+COUNTIF(Logs!$M398, E$88)+COUNTIF(Logs!$M416, E$88)+COUNTIF(Logs!$M434, E$88)+COUNTIF(Logs!$M452, E$88)+COUNTIF(Logs!$M470, E$88)+COUNTIF(Logs!$M488, E$88)+COUNTIF(Logs!$M506, E$88)+COUNTIF(Logs!$M524, E$88)+COUNTIF(Logs!$M542, E$88)+COUNTIF(Logs!$M560, E$88)+COUNTIF(Logs!$M628, E$88)+COUNTIF(Logs!$M660, E$88)+COUNTIF(Logs!$M676, E$88)</f>
        <v>6</v>
      </c>
      <c r="F95" s="1437">
        <f t="shared" si="51"/>
        <v>0.21428571428571427</v>
      </c>
      <c r="G95" s="33">
        <f>COUNTIF(Logs!$M14, G$88)+COUNTIF(Logs!$M32, G$88)+COUNTIF(Logs!$M50, G$88)+COUNTIF(Logs!$M68, G$88)+COUNTIF(Logs!$M86, G$88)+COUNTIF(Logs!$M105, G$88)+COUNTIF(Logs!$M125, G$88)+COUNTIF(Logs!$M144, G$88)+COUNTIF(Logs!$M164, G$88)+COUNTIF(Logs!$M182, G$88)+COUNTIF(Logs!$M203, G$88)+COUNTIF(Logs!$M255, G$88)+COUNTIF(Logs!$M272, G$88)+COUNTIF(Logs!$M290, G$88)+COUNTIF(Logs!$M307, G$88)+COUNTIF(Logs!$M325, G$88)+COUNTIF(Logs!$M343, G$88)+COUNTIF(Logs!$M361, G$88)+COUNTIF(Logs!$M379, G$88)+COUNTIF(Logs!$M398, G$88)+COUNTIF(Logs!$M416, G$88)+COUNTIF(Logs!$M434, G$88)+COUNTIF(Logs!$M452, G$88)+COUNTIF(Logs!$M470, G$88)+COUNTIF(Logs!$M488, G$88)+COUNTIF(Logs!$M506, G$88)+COUNTIF(Logs!$M524, G$88)+COUNTIF(Logs!$M542, G$88)+COUNTIF(Logs!$M560, G$88)+COUNTIF(Logs!$M628, G$88)+COUNTIF(Logs!$M660, G$88)+COUNTIF(Logs!$M676, G$88)</f>
        <v>6</v>
      </c>
      <c r="H95" s="1440">
        <f t="shared" si="52"/>
        <v>0.21428571428571427</v>
      </c>
      <c r="I95" s="329">
        <f>COUNTIF(Logs!$M14, I$88)+COUNTIF(Logs!$M32, I$88)+COUNTIF(Logs!$M50, I$88)+COUNTIF(Logs!$M68, I$88)+COUNTIF(Logs!$M86, I$88)+COUNTIF(Logs!$M105, I$88)+COUNTIF(Logs!$M125, I$88)+COUNTIF(Logs!$M144, I$88)+COUNTIF(Logs!$M164, I$88)+COUNTIF(Logs!$M182, I$88)+COUNTIF(Logs!$M203, I$88)+COUNTIF(Logs!$M255, I$88)+COUNTIF(Logs!$M272, I$88)+COUNTIF(Logs!$M290, I$88)+COUNTIF(Logs!$M307, I$88)+COUNTIF(Logs!$M325, I$88)+COUNTIF(Logs!$M343, I$88)+COUNTIF(Logs!$M361, I$88)+COUNTIF(Logs!$M379, I$88)+COUNTIF(Logs!$M398, I$88)+COUNTIF(Logs!$M416, I$88)+COUNTIF(Logs!$M434, I$88)+COUNTIF(Logs!$M452, I$88)+COUNTIF(Logs!$M470, I$88)+COUNTIF(Logs!$M488, I$88)+COUNTIF(Logs!$M506, I$88)+COUNTIF(Logs!$M524, I$88)+COUNTIF(Logs!$M542, I$88)+COUNTIF(Logs!$M560, I$88)+COUNTIF(Logs!$M628, I$88)+COUNTIF(Logs!$M660, I$88)+COUNTIF(Logs!$M676, I$88)</f>
        <v>0</v>
      </c>
      <c r="J95" s="1444" t="str">
        <f t="shared" si="53"/>
        <v/>
      </c>
      <c r="K95" s="1101">
        <f>COUNTIF(Logs!$M14, K$88)+COUNTIF(Logs!$M32, K$88)+COUNTIF(Logs!$M50, K$88)+COUNTIF(Logs!$M68, K$88)+COUNTIF(Logs!$M86, K$88)+COUNTIF(Logs!$M105, K$88)+COUNTIF(Logs!$M125, K$88)+COUNTIF(Logs!$M144, K$88)+COUNTIF(Logs!$M164, K$88)+COUNTIF(Logs!$M182, K$88)+COUNTIF(Logs!$M203, K$88)+COUNTIF(Logs!$M255, K$88)+COUNTIF(Logs!$M272, K$88)+COUNTIF(Logs!$M290, K$88)+COUNTIF(Logs!$M307, K$88)+COUNTIF(Logs!$M325, K$88)+COUNTIF(Logs!$M343, K$88)+COUNTIF(Logs!$M361, K$88)+COUNTIF(Logs!$M379, K$88)+COUNTIF(Logs!$M398, K$88)+COUNTIF(Logs!$M416, K$88)+COUNTIF(Logs!$M434, K$88)+COUNTIF(Logs!$M452, K$88)+COUNTIF(Logs!$M470, K$88)+COUNTIF(Logs!$M488, K$88)+COUNTIF(Logs!$M506, K$88)+COUNTIF(Logs!$M524, K$88)+COUNTIF(Logs!$M542, K$88)+COUNTIF(Logs!$M560, K$88)+COUNTIF(Logs!$M628, K$88)+COUNTIF(Logs!$M660, K$88)+COUNTIF(Logs!$M676, K$88)</f>
        <v>0</v>
      </c>
      <c r="L95" s="1432" t="str">
        <f t="shared" si="54"/>
        <v/>
      </c>
      <c r="N95" s="1378" t="s">
        <v>190</v>
      </c>
      <c r="O95">
        <f>COUNTIF(Logs!$N14, O$88)+COUNTIF(Logs!$N32, O$88)+COUNTIF(Logs!$N50, O$88)+COUNTIF(Logs!$N68, O$88)+COUNTIF(Logs!$N86, O$88)+COUNTIF(Logs!$N125, O$88)+COUNTIF(Logs!$N164, O$88)+COUNTIF(Logs!$N203, O$88)</f>
        <v>4</v>
      </c>
      <c r="P95" s="1448">
        <f t="shared" si="55"/>
        <v>0.66666666666666663</v>
      </c>
      <c r="Q95">
        <f>COUNTIF(Logs!$N14, Q$88)+COUNTIF(Logs!$N32, Q$88)+COUNTIF(Logs!$N50, Q$88)+COUNTIF(Logs!$N68, Q$88)+COUNTIF(Logs!$N86, Q$88)+COUNTIF(Logs!$N125, Q$88)+COUNTIF(Logs!$N164, Q$88)+COUNTIF(Logs!$N203, Q$88)</f>
        <v>2</v>
      </c>
      <c r="R95" s="1437">
        <f t="shared" si="56"/>
        <v>0.33333333333333331</v>
      </c>
      <c r="S95">
        <f>COUNTIF(Logs!$N14, S$88)+COUNTIF(Logs!$N32, S$88)+COUNTIF(Logs!$N50, S$88)+COUNTIF(Logs!$N68, S$88)+COUNTIF(Logs!$N86, S$88)+COUNTIF(Logs!$N125, S$88)+COUNTIF(Logs!$N164, S$88)+COUNTIF(Logs!$N203, S$88)</f>
        <v>0</v>
      </c>
      <c r="T95" s="1440" t="str">
        <f t="shared" si="57"/>
        <v/>
      </c>
      <c r="U95">
        <f>COUNTIF(Logs!$N14, U$88)+COUNTIF(Logs!$N32, U$88)+COUNTIF(Logs!$N50, U$88)+COUNTIF(Logs!$N68, U$88)+COUNTIF(Logs!$N86, U$88)+COUNTIF(Logs!$N125, U$88)+COUNTIF(Logs!$N164, U$88)+COUNTIF(Logs!$N203, U$88)</f>
        <v>0</v>
      </c>
      <c r="V95" s="1444" t="str">
        <f t="shared" si="58"/>
        <v/>
      </c>
      <c r="W95">
        <f>COUNTIF(Logs!$N14, W$88)+COUNTIF(Logs!$N32, W$88)+COUNTIF(Logs!$N50, W$88)+COUNTIF(Logs!$N68, W$88)+COUNTIF(Logs!$N86, W$88)+COUNTIF(Logs!$N125, W$88)+COUNTIF(Logs!$N164, W$88)+COUNTIF(Logs!$N203, W$88)</f>
        <v>0</v>
      </c>
      <c r="X95" s="1432" t="str">
        <f t="shared" si="59"/>
        <v/>
      </c>
    </row>
    <row r="96" spans="2:24">
      <c r="B96" s="1378" t="s">
        <v>191</v>
      </c>
      <c r="C96" s="319">
        <f>COUNTIF(Logs!$M15, C$88)+COUNTIF(Logs!$M33, C$88)+COUNTIF(Logs!$M51, C$88)+COUNTIF(Logs!$M69, C$88)+COUNTIF(Logs!$M87, C$88)+COUNTIF(Logs!$M106, C$88)+COUNTIF(Logs!$M126, C$88)+COUNTIF(Logs!$M145, C$88)+COUNTIF(Logs!$M165, C$88)+COUNTIF(Logs!$M183, C$88)+COUNTIF(Logs!$M204, C$88)+COUNTIF(Logs!$M256, C$88)+COUNTIF(Logs!$M273, C$88)+COUNTIF(Logs!$M291, C$88)+COUNTIF(Logs!$M308, C$88)+COUNTIF(Logs!$M326, C$88)+COUNTIF(Logs!$M344, C$88)+COUNTIF(Logs!$M362, C$88)+COUNTIF(Logs!$M380, C$88)+COUNTIF(Logs!$M399, C$88)+COUNTIF(Logs!$M417, C$88)+COUNTIF(Logs!$M435, C$88)+COUNTIF(Logs!$M453, C$88)+COUNTIF(Logs!$M471, C$88)+COUNTIF(Logs!$M489, C$88)+COUNTIF(Logs!$M507, C$88)+COUNTIF(Logs!$M525, C$88)+COUNTIF(Logs!$M543, C$88)+COUNTIF(Logs!$M561, C$88)+COUNTIF(Logs!$M629, C$88)+COUNTIF(Logs!$M661, C$88)+COUNTIF(Logs!$M677, C$88)</f>
        <v>15</v>
      </c>
      <c r="D96" s="1448">
        <f t="shared" si="50"/>
        <v>0.83333333333333337</v>
      </c>
      <c r="E96" s="8">
        <f>COUNTIF(Logs!$M15, E$88)+COUNTIF(Logs!$M33, E$88)+COUNTIF(Logs!$M51, E$88)+COUNTIF(Logs!$M69, E$88)+COUNTIF(Logs!$M87, E$88)+COUNTIF(Logs!$M106, E$88)+COUNTIF(Logs!$M126, E$88)+COUNTIF(Logs!$M145, E$88)+COUNTIF(Logs!$M165, E$88)+COUNTIF(Logs!$M183, E$88)+COUNTIF(Logs!$M204, E$88)+COUNTIF(Logs!$M256, E$88)+COUNTIF(Logs!$M273, E$88)+COUNTIF(Logs!$M291, E$88)+COUNTIF(Logs!$M308, E$88)+COUNTIF(Logs!$M326, E$88)+COUNTIF(Logs!$M344, E$88)+COUNTIF(Logs!$M362, E$88)+COUNTIF(Logs!$M380, E$88)+COUNTIF(Logs!$M399, E$88)+COUNTIF(Logs!$M417, E$88)+COUNTIF(Logs!$M435, E$88)+COUNTIF(Logs!$M453, E$88)+COUNTIF(Logs!$M471, E$88)+COUNTIF(Logs!$M489, E$88)+COUNTIF(Logs!$M507, E$88)+COUNTIF(Logs!$M525, E$88)+COUNTIF(Logs!$M543, E$88)+COUNTIF(Logs!$M561, E$88)+COUNTIF(Logs!$M629, E$88)+COUNTIF(Logs!$M661, E$88)+COUNTIF(Logs!$M677, E$88)</f>
        <v>3</v>
      </c>
      <c r="F96" s="1437">
        <f t="shared" si="51"/>
        <v>0.16666666666666666</v>
      </c>
      <c r="G96" s="33">
        <f>COUNTIF(Logs!$M15, G$88)+COUNTIF(Logs!$M33, G$88)+COUNTIF(Logs!$M51, G$88)+COUNTIF(Logs!$M69, G$88)+COUNTIF(Logs!$M87, G$88)+COUNTIF(Logs!$M106, G$88)+COUNTIF(Logs!$M126, G$88)+COUNTIF(Logs!$M145, G$88)+COUNTIF(Logs!$M165, G$88)+COUNTIF(Logs!$M183, G$88)+COUNTIF(Logs!$M204, G$88)+COUNTIF(Logs!$M256, G$88)+COUNTIF(Logs!$M273, G$88)+COUNTIF(Logs!$M291, G$88)+COUNTIF(Logs!$M308, G$88)+COUNTIF(Logs!$M326, G$88)+COUNTIF(Logs!$M344, G$88)+COUNTIF(Logs!$M362, G$88)+COUNTIF(Logs!$M380, G$88)+COUNTIF(Logs!$M399, G$88)+COUNTIF(Logs!$M417, G$88)+COUNTIF(Logs!$M435, G$88)+COUNTIF(Logs!$M453, G$88)+COUNTIF(Logs!$M471, G$88)+COUNTIF(Logs!$M489, G$88)+COUNTIF(Logs!$M507, G$88)+COUNTIF(Logs!$M525, G$88)+COUNTIF(Logs!$M543, G$88)+COUNTIF(Logs!$M561, G$88)+COUNTIF(Logs!$M629, G$88)+COUNTIF(Logs!$M661, G$88)+COUNTIF(Logs!$M677, G$88)</f>
        <v>0</v>
      </c>
      <c r="H96" s="1440" t="str">
        <f t="shared" si="52"/>
        <v/>
      </c>
      <c r="I96" s="329">
        <f>COUNTIF(Logs!$M15, I$88)+COUNTIF(Logs!$M33, I$88)+COUNTIF(Logs!$M51, I$88)+COUNTIF(Logs!$M69, I$88)+COUNTIF(Logs!$M87, I$88)+COUNTIF(Logs!$M106, I$88)+COUNTIF(Logs!$M126, I$88)+COUNTIF(Logs!$M145, I$88)+COUNTIF(Logs!$M165, I$88)+COUNTIF(Logs!$M183, I$88)+COUNTIF(Logs!$M204, I$88)+COUNTIF(Logs!$M256, I$88)+COUNTIF(Logs!$M273, I$88)+COUNTIF(Logs!$M291, I$88)+COUNTIF(Logs!$M308, I$88)+COUNTIF(Logs!$M326, I$88)+COUNTIF(Logs!$M344, I$88)+COUNTIF(Logs!$M362, I$88)+COUNTIF(Logs!$M380, I$88)+COUNTIF(Logs!$M399, I$88)+COUNTIF(Logs!$M417, I$88)+COUNTIF(Logs!$M435, I$88)+COUNTIF(Logs!$M453, I$88)+COUNTIF(Logs!$M471, I$88)+COUNTIF(Logs!$M489, I$88)+COUNTIF(Logs!$M507, I$88)+COUNTIF(Logs!$M525, I$88)+COUNTIF(Logs!$M543, I$88)+COUNTIF(Logs!$M561, I$88)+COUNTIF(Logs!$M629, I$88)+COUNTIF(Logs!$M661, I$88)+COUNTIF(Logs!$M677, I$88)</f>
        <v>0</v>
      </c>
      <c r="J96" s="1444" t="str">
        <f t="shared" si="53"/>
        <v/>
      </c>
      <c r="K96" s="1101">
        <f>COUNTIF(Logs!$M15, K$88)+COUNTIF(Logs!$M33, K$88)+COUNTIF(Logs!$M51, K$88)+COUNTIF(Logs!$M69, K$88)+COUNTIF(Logs!$M87, K$88)+COUNTIF(Logs!$M106, K$88)+COUNTIF(Logs!$M126, K$88)+COUNTIF(Logs!$M145, K$88)+COUNTIF(Logs!$M165, K$88)+COUNTIF(Logs!$M183, K$88)+COUNTIF(Logs!$M204, K$88)+COUNTIF(Logs!$M256, K$88)+COUNTIF(Logs!$M273, K$88)+COUNTIF(Logs!$M291, K$88)+COUNTIF(Logs!$M308, K$88)+COUNTIF(Logs!$M326, K$88)+COUNTIF(Logs!$M344, K$88)+COUNTIF(Logs!$M362, K$88)+COUNTIF(Logs!$M380, K$88)+COUNTIF(Logs!$M399, K$88)+COUNTIF(Logs!$M417, K$88)+COUNTIF(Logs!$M435, K$88)+COUNTIF(Logs!$M453, K$88)+COUNTIF(Logs!$M471, K$88)+COUNTIF(Logs!$M489, K$88)+COUNTIF(Logs!$M507, K$88)+COUNTIF(Logs!$M525, K$88)+COUNTIF(Logs!$M543, K$88)+COUNTIF(Logs!$M561, K$88)+COUNTIF(Logs!$M629, K$88)+COUNTIF(Logs!$M661, K$88)+COUNTIF(Logs!$M677, K$88)</f>
        <v>0</v>
      </c>
      <c r="L96" s="1432" t="str">
        <f t="shared" si="54"/>
        <v/>
      </c>
      <c r="N96" s="1378" t="s">
        <v>191</v>
      </c>
      <c r="O96">
        <f>COUNTIF(Logs!$N15, O$88)+COUNTIF(Logs!$N33, O$88)+COUNTIF(Logs!$N51, O$88)+COUNTIF(Logs!$N69, O$88)+COUNTIF(Logs!$N87, O$88)+COUNTIF(Logs!$N126, O$88)+COUNTIF(Logs!$N165, O$88)+COUNTIF(Logs!$N204, O$88)</f>
        <v>2</v>
      </c>
      <c r="P96" s="1448">
        <f t="shared" si="55"/>
        <v>0.4</v>
      </c>
      <c r="Q96">
        <f>COUNTIF(Logs!$N15, Q$88)+COUNTIF(Logs!$N33, Q$88)+COUNTIF(Logs!$N51, Q$88)+COUNTIF(Logs!$N69, Q$88)+COUNTIF(Logs!$N87, Q$88)+COUNTIF(Logs!$N126, Q$88)+COUNTIF(Logs!$N165, Q$88)+COUNTIF(Logs!$N204, Q$88)</f>
        <v>3</v>
      </c>
      <c r="R96" s="1437">
        <f t="shared" si="56"/>
        <v>0.6</v>
      </c>
      <c r="S96">
        <f>COUNTIF(Logs!$N15, S$88)+COUNTIF(Logs!$N33, S$88)+COUNTIF(Logs!$N51, S$88)+COUNTIF(Logs!$N69, S$88)+COUNTIF(Logs!$N87, S$88)+COUNTIF(Logs!$N126, S$88)+COUNTIF(Logs!$N165, S$88)+COUNTIF(Logs!$N204, S$88)</f>
        <v>0</v>
      </c>
      <c r="T96" s="1440" t="str">
        <f t="shared" si="57"/>
        <v/>
      </c>
      <c r="U96">
        <f>COUNTIF(Logs!$N15, U$88)+COUNTIF(Logs!$N33, U$88)+COUNTIF(Logs!$N51, U$88)+COUNTIF(Logs!$N69, U$88)+COUNTIF(Logs!$N87, U$88)+COUNTIF(Logs!$N126, U$88)+COUNTIF(Logs!$N165, U$88)+COUNTIF(Logs!$N204, U$88)</f>
        <v>0</v>
      </c>
      <c r="V96" s="1444" t="str">
        <f t="shared" si="58"/>
        <v/>
      </c>
      <c r="W96">
        <f>COUNTIF(Logs!$N15, W$88)+COUNTIF(Logs!$N33, W$88)+COUNTIF(Logs!$N51, W$88)+COUNTIF(Logs!$N69, W$88)+COUNTIF(Logs!$N87, W$88)+COUNTIF(Logs!$N126, W$88)+COUNTIF(Logs!$N165, W$88)+COUNTIF(Logs!$N204, W$88)</f>
        <v>0</v>
      </c>
      <c r="X96" s="1432" t="str">
        <f t="shared" si="59"/>
        <v/>
      </c>
    </row>
    <row r="97" spans="2:24">
      <c r="B97" s="1378" t="s">
        <v>192</v>
      </c>
      <c r="C97" s="319">
        <f>COUNTIF(Logs!$M16, C$88)+COUNTIF(Logs!$M34, C$88)+COUNTIF(Logs!$M52, C$88)+COUNTIF(Logs!$M70, C$88)+COUNTIF(Logs!$M88, C$88)+COUNTIF(Logs!$M107, C$88)+COUNTIF(Logs!$M127, C$88)+COUNTIF(Logs!$M146, C$88)+COUNTIF(Logs!$M166, C$88)+COUNTIF(Logs!$M184, C$88)+COUNTIF(Logs!$M205, C$88)+COUNTIF(Logs!$M257, C$88)+COUNTIF(Logs!$M274, C$88)+COUNTIF(Logs!$M292, C$88)+COUNTIF(Logs!$M309, C$88)+COUNTIF(Logs!$M327, C$88)+COUNTIF(Logs!$M345, C$88)+COUNTIF(Logs!$M363, C$88)+COUNTIF(Logs!$M381, C$88)+COUNTIF(Logs!$M400, C$88)+COUNTIF(Logs!$M418, C$88)+COUNTIF(Logs!$M436, C$88)+COUNTIF(Logs!$M454, C$88)+COUNTIF(Logs!$M472, C$88)+COUNTIF(Logs!$M490, C$88)+COUNTIF(Logs!$M508, C$88)+COUNTIF(Logs!$M526, C$88)+COUNTIF(Logs!$M544, C$88)+COUNTIF(Logs!$M562, C$88)+COUNTIF(Logs!$M630, C$88)+COUNTIF(Logs!$M662, C$88)+COUNTIF(Logs!$M678, C$88)</f>
        <v>6</v>
      </c>
      <c r="D97" s="1448">
        <f t="shared" si="50"/>
        <v>0.8571428571428571</v>
      </c>
      <c r="E97" s="8">
        <f>COUNTIF(Logs!$M16, E$88)+COUNTIF(Logs!$M34, E$88)+COUNTIF(Logs!$M52, E$88)+COUNTIF(Logs!$M70, E$88)+COUNTIF(Logs!$M88, E$88)+COUNTIF(Logs!$M107, E$88)+COUNTIF(Logs!$M127, E$88)+COUNTIF(Logs!$M146, E$88)+COUNTIF(Logs!$M166, E$88)+COUNTIF(Logs!$M184, E$88)+COUNTIF(Logs!$M205, E$88)+COUNTIF(Logs!$M257, E$88)+COUNTIF(Logs!$M274, E$88)+COUNTIF(Logs!$M292, E$88)+COUNTIF(Logs!$M309, E$88)+COUNTIF(Logs!$M327, E$88)+COUNTIF(Logs!$M345, E$88)+COUNTIF(Logs!$M363, E$88)+COUNTIF(Logs!$M381, E$88)+COUNTIF(Logs!$M400, E$88)+COUNTIF(Logs!$M418, E$88)+COUNTIF(Logs!$M436, E$88)+COUNTIF(Logs!$M454, E$88)+COUNTIF(Logs!$M472, E$88)+COUNTIF(Logs!$M490, E$88)+COUNTIF(Logs!$M508, E$88)+COUNTIF(Logs!$M526, E$88)+COUNTIF(Logs!$M544, E$88)+COUNTIF(Logs!$M562, E$88)+COUNTIF(Logs!$M630, E$88)+COUNTIF(Logs!$M662, E$88)+COUNTIF(Logs!$M678, E$88)</f>
        <v>0</v>
      </c>
      <c r="F97" s="1437" t="str">
        <f t="shared" si="51"/>
        <v/>
      </c>
      <c r="G97" s="33">
        <f>COUNTIF(Logs!$M16, G$88)+COUNTIF(Logs!$M34, G$88)+COUNTIF(Logs!$M52, G$88)+COUNTIF(Logs!$M70, G$88)+COUNTIF(Logs!$M88, G$88)+COUNTIF(Logs!$M107, G$88)+COUNTIF(Logs!$M127, G$88)+COUNTIF(Logs!$M146, G$88)+COUNTIF(Logs!$M166, G$88)+COUNTIF(Logs!$M184, G$88)+COUNTIF(Logs!$M205, G$88)+COUNTIF(Logs!$M257, G$88)+COUNTIF(Logs!$M274, G$88)+COUNTIF(Logs!$M292, G$88)+COUNTIF(Logs!$M309, G$88)+COUNTIF(Logs!$M327, G$88)+COUNTIF(Logs!$M345, G$88)+COUNTIF(Logs!$M363, G$88)+COUNTIF(Logs!$M381, G$88)+COUNTIF(Logs!$M400, G$88)+COUNTIF(Logs!$M418, G$88)+COUNTIF(Logs!$M436, G$88)+COUNTIF(Logs!$M454, G$88)+COUNTIF(Logs!$M472, G$88)+COUNTIF(Logs!$M490, G$88)+COUNTIF(Logs!$M508, G$88)+COUNTIF(Logs!$M526, G$88)+COUNTIF(Logs!$M544, G$88)+COUNTIF(Logs!$M562, G$88)+COUNTIF(Logs!$M630, G$88)+COUNTIF(Logs!$M662, G$88)+COUNTIF(Logs!$M678, G$88)</f>
        <v>1</v>
      </c>
      <c r="H97" s="1440">
        <f t="shared" si="52"/>
        <v>0.14285714285714285</v>
      </c>
      <c r="I97" s="329">
        <f>COUNTIF(Logs!$M16, I$88)+COUNTIF(Logs!$M34, I$88)+COUNTIF(Logs!$M52, I$88)+COUNTIF(Logs!$M70, I$88)+COUNTIF(Logs!$M88, I$88)+COUNTIF(Logs!$M107, I$88)+COUNTIF(Logs!$M127, I$88)+COUNTIF(Logs!$M146, I$88)+COUNTIF(Logs!$M166, I$88)+COUNTIF(Logs!$M184, I$88)+COUNTIF(Logs!$M205, I$88)+COUNTIF(Logs!$M257, I$88)+COUNTIF(Logs!$M274, I$88)+COUNTIF(Logs!$M292, I$88)+COUNTIF(Logs!$M309, I$88)+COUNTIF(Logs!$M327, I$88)+COUNTIF(Logs!$M345, I$88)+COUNTIF(Logs!$M363, I$88)+COUNTIF(Logs!$M381, I$88)+COUNTIF(Logs!$M400, I$88)+COUNTIF(Logs!$M418, I$88)+COUNTIF(Logs!$M436, I$88)+COUNTIF(Logs!$M454, I$88)+COUNTIF(Logs!$M472, I$88)+COUNTIF(Logs!$M490, I$88)+COUNTIF(Logs!$M508, I$88)+COUNTIF(Logs!$M526, I$88)+COUNTIF(Logs!$M544, I$88)+COUNTIF(Logs!$M562, I$88)+COUNTIF(Logs!$M630, I$88)+COUNTIF(Logs!$M662, I$88)+COUNTIF(Logs!$M678, I$88)</f>
        <v>0</v>
      </c>
      <c r="J97" s="1444" t="str">
        <f t="shared" si="53"/>
        <v/>
      </c>
      <c r="K97" s="1101">
        <f>COUNTIF(Logs!$M16, K$88)+COUNTIF(Logs!$M34, K$88)+COUNTIF(Logs!$M52, K$88)+COUNTIF(Logs!$M70, K$88)+COUNTIF(Logs!$M88, K$88)+COUNTIF(Logs!$M107, K$88)+COUNTIF(Logs!$M127, K$88)+COUNTIF(Logs!$M146, K$88)+COUNTIF(Logs!$M166, K$88)+COUNTIF(Logs!$M184, K$88)+COUNTIF(Logs!$M205, K$88)+COUNTIF(Logs!$M257, K$88)+COUNTIF(Logs!$M274, K$88)+COUNTIF(Logs!$M292, K$88)+COUNTIF(Logs!$M309, K$88)+COUNTIF(Logs!$M327, K$88)+COUNTIF(Logs!$M345, K$88)+COUNTIF(Logs!$M363, K$88)+COUNTIF(Logs!$M381, K$88)+COUNTIF(Logs!$M400, K$88)+COUNTIF(Logs!$M418, K$88)+COUNTIF(Logs!$M436, K$88)+COUNTIF(Logs!$M454, K$88)+COUNTIF(Logs!$M472, K$88)+COUNTIF(Logs!$M490, K$88)+COUNTIF(Logs!$M508, K$88)+COUNTIF(Logs!$M526, K$88)+COUNTIF(Logs!$M544, K$88)+COUNTIF(Logs!$M562, K$88)+COUNTIF(Logs!$M630, K$88)+COUNTIF(Logs!$M662, K$88)+COUNTIF(Logs!$M678, K$88)</f>
        <v>0</v>
      </c>
      <c r="L97" s="1432" t="str">
        <f t="shared" si="54"/>
        <v/>
      </c>
      <c r="N97" s="1378" t="s">
        <v>192</v>
      </c>
      <c r="O97">
        <f>COUNTIF(Logs!$N16, O$88)+COUNTIF(Logs!$N34, O$88)+COUNTIF(Logs!$N52, O$88)+COUNTIF(Logs!$N70, O$88)+COUNTIF(Logs!$N88, O$88)+COUNTIF(Logs!$N127, O$88)+COUNTIF(Logs!$N166, O$88)+COUNTIF(Logs!$N205, O$88)</f>
        <v>3</v>
      </c>
      <c r="P97" s="1448">
        <f t="shared" si="55"/>
        <v>1</v>
      </c>
      <c r="Q97">
        <f>COUNTIF(Logs!$N16, Q$88)+COUNTIF(Logs!$N34, Q$88)+COUNTIF(Logs!$N52, Q$88)+COUNTIF(Logs!$N70, Q$88)+COUNTIF(Logs!$N88, Q$88)+COUNTIF(Logs!$N127, Q$88)+COUNTIF(Logs!$N166, Q$88)+COUNTIF(Logs!$N205, Q$88)</f>
        <v>0</v>
      </c>
      <c r="R97" s="1437" t="str">
        <f t="shared" si="56"/>
        <v/>
      </c>
      <c r="S97">
        <f>COUNTIF(Logs!$N16, S$88)+COUNTIF(Logs!$N34, S$88)+COUNTIF(Logs!$N52, S$88)+COUNTIF(Logs!$N70, S$88)+COUNTIF(Logs!$N88, S$88)+COUNTIF(Logs!$N127, S$88)+COUNTIF(Logs!$N166, S$88)+COUNTIF(Logs!$N205, S$88)</f>
        <v>0</v>
      </c>
      <c r="T97" s="1440" t="str">
        <f t="shared" si="57"/>
        <v/>
      </c>
      <c r="U97">
        <f>COUNTIF(Logs!$N16, U$88)+COUNTIF(Logs!$N34, U$88)+COUNTIF(Logs!$N52, U$88)+COUNTIF(Logs!$N70, U$88)+COUNTIF(Logs!$N88, U$88)+COUNTIF(Logs!$N127, U$88)+COUNTIF(Logs!$N166, U$88)+COUNTIF(Logs!$N205, U$88)</f>
        <v>0</v>
      </c>
      <c r="V97" s="1444" t="str">
        <f t="shared" si="58"/>
        <v/>
      </c>
      <c r="W97">
        <f>COUNTIF(Logs!$N16, W$88)+COUNTIF(Logs!$N34, W$88)+COUNTIF(Logs!$N52, W$88)+COUNTIF(Logs!$N70, W$88)+COUNTIF(Logs!$N88, W$88)+COUNTIF(Logs!$N127, W$88)+COUNTIF(Logs!$N166, W$88)+COUNTIF(Logs!$N205, W$88)</f>
        <v>0</v>
      </c>
      <c r="X97" s="1432" t="str">
        <f t="shared" si="59"/>
        <v/>
      </c>
    </row>
    <row r="98" spans="2:24">
      <c r="B98" s="1378" t="s">
        <v>193</v>
      </c>
      <c r="C98" s="319">
        <f>COUNTIF(Logs!$M17, C$88)+COUNTIF(Logs!$M35, C$88)+COUNTIF(Logs!$M53, C$88)+COUNTIF(Logs!$M71, C$88)+COUNTIF(Logs!$M89, C$88)+COUNTIF(Logs!$M108, C$88)+COUNTIF(Logs!$M128, C$88)+COUNTIF(Logs!$M147, C$88)+COUNTIF(Logs!$M167, C$88)+COUNTIF(Logs!$M185, C$88)+COUNTIF(Logs!$M206, C$88)+COUNTIF(Logs!$M258, C$88)+COUNTIF(Logs!$M275, C$88)+COUNTIF(Logs!$M293, C$88)+COUNTIF(Logs!$M310, C$88)+COUNTIF(Logs!$M328, C$88)+COUNTIF(Logs!$M346, C$88)+COUNTIF(Logs!$M364, C$88)+COUNTIF(Logs!$M382, C$88)+COUNTIF(Logs!$M401, C$88)+COUNTIF(Logs!$M419, C$88)+COUNTIF(Logs!$M437, C$88)+COUNTIF(Logs!$M455, C$88)+COUNTIF(Logs!$M473, C$88)+COUNTIF(Logs!$M491, C$88)+COUNTIF(Logs!$M509, C$88)+COUNTIF(Logs!$M527, C$88)+COUNTIF(Logs!$M545, C$88)+COUNTIF(Logs!$M563, C$88)+COUNTIF(Logs!$M631, C$88)+COUNTIF(Logs!$M663, C$88)+COUNTIF(Logs!$M679, C$88)</f>
        <v>1</v>
      </c>
      <c r="D98" s="1448">
        <f t="shared" si="50"/>
        <v>1</v>
      </c>
      <c r="E98" s="8">
        <f>COUNTIF(Logs!$M17, E$88)+COUNTIF(Logs!$M35, E$88)+COUNTIF(Logs!$M53, E$88)+COUNTIF(Logs!$M71, E$88)+COUNTIF(Logs!$M89, E$88)+COUNTIF(Logs!$M108, E$88)+COUNTIF(Logs!$M128, E$88)+COUNTIF(Logs!$M147, E$88)+COUNTIF(Logs!$M167, E$88)+COUNTIF(Logs!$M185, E$88)+COUNTIF(Logs!$M206, E$88)+COUNTIF(Logs!$M258, E$88)+COUNTIF(Logs!$M275, E$88)+COUNTIF(Logs!$M293, E$88)+COUNTIF(Logs!$M310, E$88)+COUNTIF(Logs!$M328, E$88)+COUNTIF(Logs!$M346, E$88)+COUNTIF(Logs!$M364, E$88)+COUNTIF(Logs!$M382, E$88)+COUNTIF(Logs!$M401, E$88)+COUNTIF(Logs!$M419, E$88)+COUNTIF(Logs!$M437, E$88)+COUNTIF(Logs!$M455, E$88)+COUNTIF(Logs!$M473, E$88)+COUNTIF(Logs!$M491, E$88)+COUNTIF(Logs!$M509, E$88)+COUNTIF(Logs!$M527, E$88)+COUNTIF(Logs!$M545, E$88)+COUNTIF(Logs!$M563, E$88)+COUNTIF(Logs!$M631, E$88)+COUNTIF(Logs!$M663, E$88)+COUNTIF(Logs!$M679, E$88)</f>
        <v>0</v>
      </c>
      <c r="F98" s="1437" t="str">
        <f t="shared" si="51"/>
        <v/>
      </c>
      <c r="G98" s="33">
        <f>COUNTIF(Logs!$M17, G$88)+COUNTIF(Logs!$M35, G$88)+COUNTIF(Logs!$M53, G$88)+COUNTIF(Logs!$M71, G$88)+COUNTIF(Logs!$M89, G$88)+COUNTIF(Logs!$M108, G$88)+COUNTIF(Logs!$M128, G$88)+COUNTIF(Logs!$M147, G$88)+COUNTIF(Logs!$M167, G$88)+COUNTIF(Logs!$M185, G$88)+COUNTIF(Logs!$M206, G$88)+COUNTIF(Logs!$M258, G$88)+COUNTIF(Logs!$M275, G$88)+COUNTIF(Logs!$M293, G$88)+COUNTIF(Logs!$M310, G$88)+COUNTIF(Logs!$M328, G$88)+COUNTIF(Logs!$M346, G$88)+COUNTIF(Logs!$M364, G$88)+COUNTIF(Logs!$M382, G$88)+COUNTIF(Logs!$M401, G$88)+COUNTIF(Logs!$M419, G$88)+COUNTIF(Logs!$M437, G$88)+COUNTIF(Logs!$M455, G$88)+COUNTIF(Logs!$M473, G$88)+COUNTIF(Logs!$M491, G$88)+COUNTIF(Logs!$M509, G$88)+COUNTIF(Logs!$M527, G$88)+COUNTIF(Logs!$M545, G$88)+COUNTIF(Logs!$M563, G$88)+COUNTIF(Logs!$M631, G$88)+COUNTIF(Logs!$M663, G$88)+COUNTIF(Logs!$M679, G$88)</f>
        <v>0</v>
      </c>
      <c r="H98" s="1440" t="str">
        <f t="shared" si="52"/>
        <v/>
      </c>
      <c r="I98" s="329">
        <f>COUNTIF(Logs!$M17, I$88)+COUNTIF(Logs!$M35, I$88)+COUNTIF(Logs!$M53, I$88)+COUNTIF(Logs!$M71, I$88)+COUNTIF(Logs!$M89, I$88)+COUNTIF(Logs!$M108, I$88)+COUNTIF(Logs!$M128, I$88)+COUNTIF(Logs!$M147, I$88)+COUNTIF(Logs!$M167, I$88)+COUNTIF(Logs!$M185, I$88)+COUNTIF(Logs!$M206, I$88)+COUNTIF(Logs!$M258, I$88)+COUNTIF(Logs!$M275, I$88)+COUNTIF(Logs!$M293, I$88)+COUNTIF(Logs!$M310, I$88)+COUNTIF(Logs!$M328, I$88)+COUNTIF(Logs!$M346, I$88)+COUNTIF(Logs!$M364, I$88)+COUNTIF(Logs!$M382, I$88)+COUNTIF(Logs!$M401, I$88)+COUNTIF(Logs!$M419, I$88)+COUNTIF(Logs!$M437, I$88)+COUNTIF(Logs!$M455, I$88)+COUNTIF(Logs!$M473, I$88)+COUNTIF(Logs!$M491, I$88)+COUNTIF(Logs!$M509, I$88)+COUNTIF(Logs!$M527, I$88)+COUNTIF(Logs!$M545, I$88)+COUNTIF(Logs!$M563, I$88)+COUNTIF(Logs!$M631, I$88)+COUNTIF(Logs!$M663, I$88)+COUNTIF(Logs!$M679, I$88)</f>
        <v>0</v>
      </c>
      <c r="J98" s="1444" t="str">
        <f t="shared" si="53"/>
        <v/>
      </c>
      <c r="K98" s="1101">
        <f>COUNTIF(Logs!$M17, K$88)+COUNTIF(Logs!$M35, K$88)+COUNTIF(Logs!$M53, K$88)+COUNTIF(Logs!$M71, K$88)+COUNTIF(Logs!$M89, K$88)+COUNTIF(Logs!$M108, K$88)+COUNTIF(Logs!$M128, K$88)+COUNTIF(Logs!$M147, K$88)+COUNTIF(Logs!$M167, K$88)+COUNTIF(Logs!$M185, K$88)+COUNTIF(Logs!$M206, K$88)+COUNTIF(Logs!$M258, K$88)+COUNTIF(Logs!$M275, K$88)+COUNTIF(Logs!$M293, K$88)+COUNTIF(Logs!$M310, K$88)+COUNTIF(Logs!$M328, K$88)+COUNTIF(Logs!$M346, K$88)+COUNTIF(Logs!$M364, K$88)+COUNTIF(Logs!$M382, K$88)+COUNTIF(Logs!$M401, K$88)+COUNTIF(Logs!$M419, K$88)+COUNTIF(Logs!$M437, K$88)+COUNTIF(Logs!$M455, K$88)+COUNTIF(Logs!$M473, K$88)+COUNTIF(Logs!$M491, K$88)+COUNTIF(Logs!$M509, K$88)+COUNTIF(Logs!$M527, K$88)+COUNTIF(Logs!$M545, K$88)+COUNTIF(Logs!$M563, K$88)+COUNTIF(Logs!$M631, K$88)+COUNTIF(Logs!$M663, K$88)+COUNTIF(Logs!$M679, K$88)</f>
        <v>0</v>
      </c>
      <c r="L98" s="1432" t="str">
        <f t="shared" si="54"/>
        <v/>
      </c>
      <c r="N98" s="1378" t="s">
        <v>193</v>
      </c>
      <c r="O98">
        <f>COUNTIF(Logs!$N17, O$88)+COUNTIF(Logs!$N35, O$88)+COUNTIF(Logs!$N53, O$88)+COUNTIF(Logs!$N71, O$88)+COUNTIF(Logs!$N89, O$88)+COUNTIF(Logs!$N128, O$88)+COUNTIF(Logs!$N167, O$88)+COUNTIF(Logs!$N206, O$88)</f>
        <v>0</v>
      </c>
      <c r="P98" s="1448" t="str">
        <f t="shared" si="55"/>
        <v/>
      </c>
      <c r="Q98">
        <f>COUNTIF(Logs!$N17, Q$88)+COUNTIF(Logs!$N35, Q$88)+COUNTIF(Logs!$N53, Q$88)+COUNTIF(Logs!$N71, Q$88)+COUNTIF(Logs!$N89, Q$88)+COUNTIF(Logs!$N128, Q$88)+COUNTIF(Logs!$N167, Q$88)+COUNTIF(Logs!$N206, Q$88)</f>
        <v>0</v>
      </c>
      <c r="R98" s="1437" t="str">
        <f t="shared" si="56"/>
        <v/>
      </c>
      <c r="S98">
        <f>COUNTIF(Logs!$N17, S$88)+COUNTIF(Logs!$N35, S$88)+COUNTIF(Logs!$N53, S$88)+COUNTIF(Logs!$N71, S$88)+COUNTIF(Logs!$N89, S$88)+COUNTIF(Logs!$N128, S$88)+COUNTIF(Logs!$N167, S$88)+COUNTIF(Logs!$N206, S$88)</f>
        <v>0</v>
      </c>
      <c r="T98" s="1440" t="str">
        <f t="shared" si="57"/>
        <v/>
      </c>
      <c r="U98">
        <f>COUNTIF(Logs!$N17, U$88)+COUNTIF(Logs!$N35, U$88)+COUNTIF(Logs!$N53, U$88)+COUNTIF(Logs!$N71, U$88)+COUNTIF(Logs!$N89, U$88)+COUNTIF(Logs!$N128, U$88)+COUNTIF(Logs!$N167, U$88)+COUNTIF(Logs!$N206, U$88)</f>
        <v>0</v>
      </c>
      <c r="V98" s="1444" t="str">
        <f t="shared" si="58"/>
        <v/>
      </c>
      <c r="W98">
        <f>COUNTIF(Logs!$N17, W$88)+COUNTIF(Logs!$N35, W$88)+COUNTIF(Logs!$N53, W$88)+COUNTIF(Logs!$N71, W$88)+COUNTIF(Logs!$N89, W$88)+COUNTIF(Logs!$N128, W$88)+COUNTIF(Logs!$N167, W$88)+COUNTIF(Logs!$N206, W$88)</f>
        <v>0</v>
      </c>
      <c r="X98" s="1432" t="str">
        <f t="shared" si="59"/>
        <v/>
      </c>
    </row>
    <row r="99" spans="2:24">
      <c r="B99" s="1378" t="s">
        <v>194</v>
      </c>
      <c r="C99" s="319">
        <f>COUNTIF(Logs!$M18, C$88)+COUNTIF(Logs!$M36, C$88)+COUNTIF(Logs!$M54, C$88)+COUNTIF(Logs!$M72, C$88)+COUNTIF(Logs!$M90, C$88)+COUNTIF(Logs!$M109, C$88)+COUNTIF(Logs!$M129, C$88)+COUNTIF(Logs!$M148, C$88)+COUNTIF(Logs!$M168, C$88)+COUNTIF(Logs!$M186, C$88)+COUNTIF(Logs!$M207, C$88)+COUNTIF(Logs!$M259, C$88)+COUNTIF(Logs!$M276, C$88)+COUNTIF(Logs!$M294, C$88)+COUNTIF(Logs!$M311, C$88)+COUNTIF(Logs!$M329, C$88)+COUNTIF(Logs!$M347, C$88)+COUNTIF(Logs!$M365, C$88)+COUNTIF(Logs!$M383, C$88)+COUNTIF(Logs!$M402, C$88)+COUNTIF(Logs!$M420, C$88)+COUNTIF(Logs!$M438, C$88)+COUNTIF(Logs!$M456, C$88)+COUNTIF(Logs!$M474, C$88)+COUNTIF(Logs!$M492, C$88)+COUNTIF(Logs!$M510, C$88)+COUNTIF(Logs!$M528, C$88)+COUNTIF(Logs!$M546, C$88)+COUNTIF(Logs!$M564, C$88)+COUNTIF(Logs!$M632, C$88)+COUNTIF(Logs!$M664, C$88)+COUNTIF(Logs!$M680, C$88)</f>
        <v>0</v>
      </c>
      <c r="D99" s="1448" t="str">
        <f t="shared" si="50"/>
        <v/>
      </c>
      <c r="E99" s="8">
        <f>COUNTIF(Logs!$M18, E$88)+COUNTIF(Logs!$M36, E$88)+COUNTIF(Logs!$M54, E$88)+COUNTIF(Logs!$M72, E$88)+COUNTIF(Logs!$M90, E$88)+COUNTIF(Logs!$M109, E$88)+COUNTIF(Logs!$M129, E$88)+COUNTIF(Logs!$M148, E$88)+COUNTIF(Logs!$M168, E$88)+COUNTIF(Logs!$M186, E$88)+COUNTIF(Logs!$M207, E$88)+COUNTIF(Logs!$M259, E$88)+COUNTIF(Logs!$M276, E$88)+COUNTIF(Logs!$M294, E$88)+COUNTIF(Logs!$M311, E$88)+COUNTIF(Logs!$M329, E$88)+COUNTIF(Logs!$M347, E$88)+COUNTIF(Logs!$M365, E$88)+COUNTIF(Logs!$M383, E$88)+COUNTIF(Logs!$M402, E$88)+COUNTIF(Logs!$M420, E$88)+COUNTIF(Logs!$M438, E$88)+COUNTIF(Logs!$M456, E$88)+COUNTIF(Logs!$M474, E$88)+COUNTIF(Logs!$M492, E$88)+COUNTIF(Logs!$M510, E$88)+COUNTIF(Logs!$M528, E$88)+COUNTIF(Logs!$M546, E$88)+COUNTIF(Logs!$M564, E$88)+COUNTIF(Logs!$M632, E$88)+COUNTIF(Logs!$M664, E$88)+COUNTIF(Logs!$M680, E$88)</f>
        <v>0</v>
      </c>
      <c r="F99" s="1437" t="str">
        <f t="shared" si="51"/>
        <v/>
      </c>
      <c r="G99" s="33">
        <f>COUNTIF(Logs!$M18, G$88)+COUNTIF(Logs!$M36, G$88)+COUNTIF(Logs!$M54, G$88)+COUNTIF(Logs!$M72, G$88)+COUNTIF(Logs!$M90, G$88)+COUNTIF(Logs!$M109, G$88)+COUNTIF(Logs!$M129, G$88)+COUNTIF(Logs!$M148, G$88)+COUNTIF(Logs!$M168, G$88)+COUNTIF(Logs!$M186, G$88)+COUNTIF(Logs!$M207, G$88)+COUNTIF(Logs!$M259, G$88)+COUNTIF(Logs!$M276, G$88)+COUNTIF(Logs!$M294, G$88)+COUNTIF(Logs!$M311, G$88)+COUNTIF(Logs!$M329, G$88)+COUNTIF(Logs!$M347, G$88)+COUNTIF(Logs!$M365, G$88)+COUNTIF(Logs!$M383, G$88)+COUNTIF(Logs!$M402, G$88)+COUNTIF(Logs!$M420, G$88)+COUNTIF(Logs!$M438, G$88)+COUNTIF(Logs!$M456, G$88)+COUNTIF(Logs!$M474, G$88)+COUNTIF(Logs!$M492, G$88)+COUNTIF(Logs!$M510, G$88)+COUNTIF(Logs!$M528, G$88)+COUNTIF(Logs!$M546, G$88)+COUNTIF(Logs!$M564, G$88)+COUNTIF(Logs!$M632, G$88)+COUNTIF(Logs!$M664, G$88)+COUNTIF(Logs!$M680, G$88)</f>
        <v>0</v>
      </c>
      <c r="H99" s="1440" t="str">
        <f t="shared" si="52"/>
        <v/>
      </c>
      <c r="I99" s="329">
        <f>COUNTIF(Logs!$M18, I$88)+COUNTIF(Logs!$M36, I$88)+COUNTIF(Logs!$M54, I$88)+COUNTIF(Logs!$M72, I$88)+COUNTIF(Logs!$M90, I$88)+COUNTIF(Logs!$M109, I$88)+COUNTIF(Logs!$M129, I$88)+COUNTIF(Logs!$M148, I$88)+COUNTIF(Logs!$M168, I$88)+COUNTIF(Logs!$M186, I$88)+COUNTIF(Logs!$M207, I$88)+COUNTIF(Logs!$M259, I$88)+COUNTIF(Logs!$M276, I$88)+COUNTIF(Logs!$M294, I$88)+COUNTIF(Logs!$M311, I$88)+COUNTIF(Logs!$M329, I$88)+COUNTIF(Logs!$M347, I$88)+COUNTIF(Logs!$M365, I$88)+COUNTIF(Logs!$M383, I$88)+COUNTIF(Logs!$M402, I$88)+COUNTIF(Logs!$M420, I$88)+COUNTIF(Logs!$M438, I$88)+COUNTIF(Logs!$M456, I$88)+COUNTIF(Logs!$M474, I$88)+COUNTIF(Logs!$M492, I$88)+COUNTIF(Logs!$M510, I$88)+COUNTIF(Logs!$M528, I$88)+COUNTIF(Logs!$M546, I$88)+COUNTIF(Logs!$M564, I$88)+COUNTIF(Logs!$M632, I$88)+COUNTIF(Logs!$M664, I$88)+COUNTIF(Logs!$M680, I$88)</f>
        <v>0</v>
      </c>
      <c r="J99" s="1444" t="str">
        <f t="shared" si="53"/>
        <v/>
      </c>
      <c r="K99" s="1101">
        <f>COUNTIF(Logs!$M18, K$88)+COUNTIF(Logs!$M36, K$88)+COUNTIF(Logs!$M54, K$88)+COUNTIF(Logs!$M72, K$88)+COUNTIF(Logs!$M90, K$88)+COUNTIF(Logs!$M109, K$88)+COUNTIF(Logs!$M129, K$88)+COUNTIF(Logs!$M148, K$88)+COUNTIF(Logs!$M168, K$88)+COUNTIF(Logs!$M186, K$88)+COUNTIF(Logs!$M207, K$88)+COUNTIF(Logs!$M259, K$88)+COUNTIF(Logs!$M276, K$88)+COUNTIF(Logs!$M294, K$88)+COUNTIF(Logs!$M311, K$88)+COUNTIF(Logs!$M329, K$88)+COUNTIF(Logs!$M347, K$88)+COUNTIF(Logs!$M365, K$88)+COUNTIF(Logs!$M383, K$88)+COUNTIF(Logs!$M402, K$88)+COUNTIF(Logs!$M420, K$88)+COUNTIF(Logs!$M438, K$88)+COUNTIF(Logs!$M456, K$88)+COUNTIF(Logs!$M474, K$88)+COUNTIF(Logs!$M492, K$88)+COUNTIF(Logs!$M510, K$88)+COUNTIF(Logs!$M528, K$88)+COUNTIF(Logs!$M546, K$88)+COUNTIF(Logs!$M564, K$88)+COUNTIF(Logs!$M632, K$88)+COUNTIF(Logs!$M664, K$88)+COUNTIF(Logs!$M680, K$88)</f>
        <v>0</v>
      </c>
      <c r="L99" s="1432" t="str">
        <f t="shared" si="54"/>
        <v/>
      </c>
      <c r="N99" s="1378" t="s">
        <v>194</v>
      </c>
      <c r="O99">
        <f>COUNTIF(Logs!$N18, O$88)+COUNTIF(Logs!$N36, O$88)+COUNTIF(Logs!$N54, O$88)+COUNTIF(Logs!$N72, O$88)+COUNTIF(Logs!$N90, O$88)+COUNTIF(Logs!$N129, O$88)+COUNTIF(Logs!$N168, O$88)+COUNTIF(Logs!$N207, O$88)</f>
        <v>0</v>
      </c>
      <c r="P99" s="1448" t="str">
        <f t="shared" si="55"/>
        <v/>
      </c>
      <c r="Q99">
        <f>COUNTIF(Logs!$N18, Q$88)+COUNTIF(Logs!$N36, Q$88)+COUNTIF(Logs!$N54, Q$88)+COUNTIF(Logs!$N72, Q$88)+COUNTIF(Logs!$N90, Q$88)+COUNTIF(Logs!$N129, Q$88)+COUNTIF(Logs!$N168, Q$88)+COUNTIF(Logs!$N207, Q$88)</f>
        <v>0</v>
      </c>
      <c r="R99" s="1437" t="str">
        <f t="shared" si="56"/>
        <v/>
      </c>
      <c r="S99">
        <f>COUNTIF(Logs!$N18, S$88)+COUNTIF(Logs!$N36, S$88)+COUNTIF(Logs!$N54, S$88)+COUNTIF(Logs!$N72, S$88)+COUNTIF(Logs!$N90, S$88)+COUNTIF(Logs!$N129, S$88)+COUNTIF(Logs!$N168, S$88)+COUNTIF(Logs!$N207, S$88)</f>
        <v>0</v>
      </c>
      <c r="T99" s="1440" t="str">
        <f t="shared" si="57"/>
        <v/>
      </c>
      <c r="U99">
        <f>COUNTIF(Logs!$N18, U$88)+COUNTIF(Logs!$N36, U$88)+COUNTIF(Logs!$N54, U$88)+COUNTIF(Logs!$N72, U$88)+COUNTIF(Logs!$N90, U$88)+COUNTIF(Logs!$N129, U$88)+COUNTIF(Logs!$N168, U$88)+COUNTIF(Logs!$N207, U$88)</f>
        <v>0</v>
      </c>
      <c r="V99" s="1444" t="str">
        <f t="shared" si="58"/>
        <v/>
      </c>
      <c r="W99">
        <f>COUNTIF(Logs!$N18, W$88)+COUNTIF(Logs!$N36, W$88)+COUNTIF(Logs!$N54, W$88)+COUNTIF(Logs!$N72, W$88)+COUNTIF(Logs!$N90, W$88)+COUNTIF(Logs!$N129, W$88)+COUNTIF(Logs!$N168, W$88)+COUNTIF(Logs!$N207, W$88)</f>
        <v>0</v>
      </c>
      <c r="X99" s="1432" t="str">
        <f t="shared" si="59"/>
        <v/>
      </c>
    </row>
    <row r="100" spans="2:24">
      <c r="B100" s="1378" t="s">
        <v>1637</v>
      </c>
      <c r="C100" s="319">
        <f>COUNTIF(Logs!$M19, C$88)+COUNTIF(Logs!$M37, C$88)+COUNTIF(Logs!$M55, C$88)+COUNTIF(Logs!$M73, C$88)+COUNTIF(Logs!$M91, C$88)+COUNTIF(Logs!$M110, C$88)+COUNTIF(Logs!$M130, C$88)+COUNTIF(Logs!$M149, C$88)+COUNTIF(Logs!$M169, C$88)+COUNTIF(Logs!$M187, C$88)+COUNTIF(Logs!$M208, C$88)+COUNTIF(Logs!$M260, C$88)+COUNTIF(Logs!$M277, C$88)+COUNTIF(Logs!$M295, C$88)+COUNTIF(Logs!$M312, C$88)+COUNTIF(Logs!$M330, C$88)+COUNTIF(Logs!$M348, C$88)+COUNTIF(Logs!$M366, C$88)+COUNTIF(Logs!$M384, C$88)+COUNTIF(Logs!$M403, C$88)+COUNTIF(Logs!$M421, C$88)+COUNTIF(Logs!$M439, C$88)+COUNTIF(Logs!$M457, C$88)+COUNTIF(Logs!$M475, C$88)+COUNTIF(Logs!$M493, C$88)+COUNTIF(Logs!$M511, C$88)+COUNTIF(Logs!$M529, C$88)+COUNTIF(Logs!$M547, C$88)+COUNTIF(Logs!$M565, C$88)+COUNTIF(Logs!$M633, C$88)+COUNTIF(Logs!$M665, C$88)+COUNTIF(Logs!$M681, C$88)</f>
        <v>0</v>
      </c>
      <c r="D100" s="1448" t="str">
        <f t="shared" si="50"/>
        <v/>
      </c>
      <c r="E100" s="8">
        <f>COUNTIF(Logs!$M19, E$88)+COUNTIF(Logs!$M37, E$88)+COUNTIF(Logs!$M55, E$88)+COUNTIF(Logs!$M73, E$88)+COUNTIF(Logs!$M91, E$88)+COUNTIF(Logs!$M110, E$88)+COUNTIF(Logs!$M130, E$88)+COUNTIF(Logs!$M149, E$88)+COUNTIF(Logs!$M169, E$88)+COUNTIF(Logs!$M187, E$88)+COUNTIF(Logs!$M208, E$88)+COUNTIF(Logs!$M260, E$88)+COUNTIF(Logs!$M277, E$88)+COUNTIF(Logs!$M295, E$88)+COUNTIF(Logs!$M312, E$88)+COUNTIF(Logs!$M330, E$88)+COUNTIF(Logs!$M348, E$88)+COUNTIF(Logs!$M366, E$88)+COUNTIF(Logs!$M384, E$88)+COUNTIF(Logs!$M403, E$88)+COUNTIF(Logs!$M421, E$88)+COUNTIF(Logs!$M439, E$88)+COUNTIF(Logs!$M457, E$88)+COUNTIF(Logs!$M475, E$88)+COUNTIF(Logs!$M493, E$88)+COUNTIF(Logs!$M511, E$88)+COUNTIF(Logs!$M529, E$88)+COUNTIF(Logs!$M547, E$88)+COUNTIF(Logs!$M565, E$88)+COUNTIF(Logs!$M633, E$88)+COUNTIF(Logs!$M665, E$88)+COUNTIF(Logs!$M681, E$88)</f>
        <v>0</v>
      </c>
      <c r="F100" s="1437" t="str">
        <f t="shared" si="51"/>
        <v/>
      </c>
      <c r="G100" s="33">
        <f>COUNTIF(Logs!$M19, G$88)+COUNTIF(Logs!$M37, G$88)+COUNTIF(Logs!$M55, G$88)+COUNTIF(Logs!$M73, G$88)+COUNTIF(Logs!$M91, G$88)+COUNTIF(Logs!$M110, G$88)+COUNTIF(Logs!$M130, G$88)+COUNTIF(Logs!$M149, G$88)+COUNTIF(Logs!$M169, G$88)+COUNTIF(Logs!$M187, G$88)+COUNTIF(Logs!$M208, G$88)+COUNTIF(Logs!$M260, G$88)+COUNTIF(Logs!$M277, G$88)+COUNTIF(Logs!$M295, G$88)+COUNTIF(Logs!$M312, G$88)+COUNTIF(Logs!$M330, G$88)+COUNTIF(Logs!$M348, G$88)+COUNTIF(Logs!$M366, G$88)+COUNTIF(Logs!$M384, G$88)+COUNTIF(Logs!$M403, G$88)+COUNTIF(Logs!$M421, G$88)+COUNTIF(Logs!$M439, G$88)+COUNTIF(Logs!$M457, G$88)+COUNTIF(Logs!$M475, G$88)+COUNTIF(Logs!$M493, G$88)+COUNTIF(Logs!$M511, G$88)+COUNTIF(Logs!$M529, G$88)+COUNTIF(Logs!$M547, G$88)+COUNTIF(Logs!$M565, G$88)+COUNTIF(Logs!$M633, G$88)+COUNTIF(Logs!$M665, G$88)+COUNTIF(Logs!$M681, G$88)</f>
        <v>0</v>
      </c>
      <c r="H100" s="1440" t="str">
        <f t="shared" si="52"/>
        <v/>
      </c>
      <c r="I100" s="329">
        <f>COUNTIF(Logs!$M19, I$88)+COUNTIF(Logs!$M37, I$88)+COUNTIF(Logs!$M55, I$88)+COUNTIF(Logs!$M73, I$88)+COUNTIF(Logs!$M91, I$88)+COUNTIF(Logs!$M110, I$88)+COUNTIF(Logs!$M130, I$88)+COUNTIF(Logs!$M149, I$88)+COUNTIF(Logs!$M169, I$88)+COUNTIF(Logs!$M187, I$88)+COUNTIF(Logs!$M208, I$88)+COUNTIF(Logs!$M260, I$88)+COUNTIF(Logs!$M277, I$88)+COUNTIF(Logs!$M295, I$88)+COUNTIF(Logs!$M312, I$88)+COUNTIF(Logs!$M330, I$88)+COUNTIF(Logs!$M348, I$88)+COUNTIF(Logs!$M366, I$88)+COUNTIF(Logs!$M384, I$88)+COUNTIF(Logs!$M403, I$88)+COUNTIF(Logs!$M421, I$88)+COUNTIF(Logs!$M439, I$88)+COUNTIF(Logs!$M457, I$88)+COUNTIF(Logs!$M475, I$88)+COUNTIF(Logs!$M493, I$88)+COUNTIF(Logs!$M511, I$88)+COUNTIF(Logs!$M529, I$88)+COUNTIF(Logs!$M547, I$88)+COUNTIF(Logs!$M565, I$88)+COUNTIF(Logs!$M633, I$88)+COUNTIF(Logs!$M665, I$88)+COUNTIF(Logs!$M681, I$88)</f>
        <v>0</v>
      </c>
      <c r="J100" s="1444" t="str">
        <f t="shared" si="53"/>
        <v/>
      </c>
      <c r="K100" s="1101">
        <f>COUNTIF(Logs!$M19, K$88)+COUNTIF(Logs!$M37, K$88)+COUNTIF(Logs!$M55, K$88)+COUNTIF(Logs!$M73, K$88)+COUNTIF(Logs!$M91, K$88)+COUNTIF(Logs!$M110, K$88)+COUNTIF(Logs!$M130, K$88)+COUNTIF(Logs!$M149, K$88)+COUNTIF(Logs!$M169, K$88)+COUNTIF(Logs!$M187, K$88)+COUNTIF(Logs!$M208, K$88)+COUNTIF(Logs!$M260, K$88)+COUNTIF(Logs!$M277, K$88)+COUNTIF(Logs!$M295, K$88)+COUNTIF(Logs!$M312, K$88)+COUNTIF(Logs!$M330, K$88)+COUNTIF(Logs!$M348, K$88)+COUNTIF(Logs!$M366, K$88)+COUNTIF(Logs!$M384, K$88)+COUNTIF(Logs!$M403, K$88)+COUNTIF(Logs!$M421, K$88)+COUNTIF(Logs!$M439, K$88)+COUNTIF(Logs!$M457, K$88)+COUNTIF(Logs!$M475, K$88)+COUNTIF(Logs!$M493, K$88)+COUNTIF(Logs!$M511, K$88)+COUNTIF(Logs!$M529, K$88)+COUNTIF(Logs!$M547, K$88)+COUNTIF(Logs!$M565, K$88)+COUNTIF(Logs!$M633, K$88)+COUNTIF(Logs!$M665, K$88)+COUNTIF(Logs!$M681, K$88)</f>
        <v>0</v>
      </c>
      <c r="L100" s="1432" t="str">
        <f t="shared" si="54"/>
        <v/>
      </c>
      <c r="N100" s="1378" t="s">
        <v>1637</v>
      </c>
      <c r="O100">
        <f>COUNTIF(Logs!$N19, O$88)+COUNTIF(Logs!$N37, O$88)+COUNTIF(Logs!$N55, O$88)+COUNTIF(Logs!$N73, O$88)+COUNTIF(Logs!$N91, O$88)+COUNTIF(Logs!$N130, O$88)+COUNTIF(Logs!$N169, O$88)+COUNTIF(Logs!$N208, O$88)</f>
        <v>0</v>
      </c>
      <c r="P100" s="1448" t="str">
        <f t="shared" si="55"/>
        <v/>
      </c>
      <c r="Q100">
        <f>COUNTIF(Logs!$N19, Q$88)+COUNTIF(Logs!$N37, Q$88)+COUNTIF(Logs!$N55, Q$88)+COUNTIF(Logs!$N73, Q$88)+COUNTIF(Logs!$N91, Q$88)+COUNTIF(Logs!$N130, Q$88)+COUNTIF(Logs!$N169, Q$88)+COUNTIF(Logs!$N208, Q$88)</f>
        <v>0</v>
      </c>
      <c r="R100" s="1437" t="str">
        <f t="shared" si="56"/>
        <v/>
      </c>
      <c r="S100">
        <f>COUNTIF(Logs!$N19, S$88)+COUNTIF(Logs!$N37, S$88)+COUNTIF(Logs!$N55, S$88)+COUNTIF(Logs!$N73, S$88)+COUNTIF(Logs!$N91, S$88)+COUNTIF(Logs!$N130, S$88)+COUNTIF(Logs!$N169, S$88)+COUNTIF(Logs!$N208, S$88)</f>
        <v>0</v>
      </c>
      <c r="T100" s="1440" t="str">
        <f t="shared" si="57"/>
        <v/>
      </c>
      <c r="U100">
        <f>COUNTIF(Logs!$N19, U$88)+COUNTIF(Logs!$N37, U$88)+COUNTIF(Logs!$N55, U$88)+COUNTIF(Logs!$N73, U$88)+COUNTIF(Logs!$N91, U$88)+COUNTIF(Logs!$N130, U$88)+COUNTIF(Logs!$N169, U$88)+COUNTIF(Logs!$N208, U$88)</f>
        <v>0</v>
      </c>
      <c r="V100" s="1444" t="str">
        <f t="shared" si="58"/>
        <v/>
      </c>
      <c r="W100">
        <f>COUNTIF(Logs!$N19, W$88)+COUNTIF(Logs!$N37, W$88)+COUNTIF(Logs!$N55, W$88)+COUNTIF(Logs!$N73, W$88)+COUNTIF(Logs!$N91, W$88)+COUNTIF(Logs!$N130, W$88)+COUNTIF(Logs!$N169, W$88)+COUNTIF(Logs!$N208, W$88)</f>
        <v>0</v>
      </c>
      <c r="X100" s="1432" t="str">
        <f t="shared" si="59"/>
        <v/>
      </c>
    </row>
    <row r="101" spans="2:24">
      <c r="B101" s="1378" t="s">
        <v>1638</v>
      </c>
      <c r="C101" s="319">
        <f>COUNTIF(Logs!$M20, C$88)+COUNTIF(Logs!$M38, C$88)+COUNTIF(Logs!$M56, C$88)+COUNTIF(Logs!$M74, C$88)+COUNTIF(Logs!$M92, C$88)+COUNTIF(Logs!$M111, C$88)+COUNTIF(Logs!$M131, C$88)+COUNTIF(Logs!$M150, C$88)+COUNTIF(Logs!$M170, C$88)+COUNTIF(Logs!$M188, C$88)+COUNTIF(Logs!$M209, C$88)+COUNTIF(Logs!$M261, C$88)+COUNTIF(Logs!$M278, C$88)+COUNTIF(Logs!$M296, C$88)+COUNTIF(Logs!$M313, C$88)+COUNTIF(Logs!$M331, C$88)+COUNTIF(Logs!$M349, C$88)+COUNTIF(Logs!$M367, C$88)+COUNTIF(Logs!$M385, C$88)+COUNTIF(Logs!$M404, C$88)+COUNTIF(Logs!$M422, C$88)+COUNTIF(Logs!$M440, C$88)+COUNTIF(Logs!$M458, C$88)+COUNTIF(Logs!$M476, C$88)+COUNTIF(Logs!$M494, C$88)+COUNTIF(Logs!$M512, C$88)+COUNTIF(Logs!$M530, C$88)+COUNTIF(Logs!$M548, C$88)+COUNTIF(Logs!$M566, C$88)+COUNTIF(Logs!$M634, C$88)+COUNTIF(Logs!$M666, C$88)+COUNTIF(Logs!$M682, C$88)</f>
        <v>0</v>
      </c>
      <c r="D101" s="1448" t="str">
        <f t="shared" si="50"/>
        <v/>
      </c>
      <c r="E101" s="8">
        <f>COUNTIF(Logs!$M20, E$88)+COUNTIF(Logs!$M38, E$88)+COUNTIF(Logs!$M56, E$88)+COUNTIF(Logs!$M74, E$88)+COUNTIF(Logs!$M92, E$88)+COUNTIF(Logs!$M111, E$88)+COUNTIF(Logs!$M131, E$88)+COUNTIF(Logs!$M150, E$88)+COUNTIF(Logs!$M170, E$88)+COUNTIF(Logs!$M188, E$88)+COUNTIF(Logs!$M209, E$88)+COUNTIF(Logs!$M261, E$88)+COUNTIF(Logs!$M278, E$88)+COUNTIF(Logs!$M296, E$88)+COUNTIF(Logs!$M313, E$88)+COUNTIF(Logs!$M331, E$88)+COUNTIF(Logs!$M349, E$88)+COUNTIF(Logs!$M367, E$88)+COUNTIF(Logs!$M385, E$88)+COUNTIF(Logs!$M404, E$88)+COUNTIF(Logs!$M422, E$88)+COUNTIF(Logs!$M440, E$88)+COUNTIF(Logs!$M458, E$88)+COUNTIF(Logs!$M476, E$88)+COUNTIF(Logs!$M494, E$88)+COUNTIF(Logs!$M512, E$88)+COUNTIF(Logs!$M530, E$88)+COUNTIF(Logs!$M548, E$88)+COUNTIF(Logs!$M566, E$88)+COUNTIF(Logs!$M634, E$88)+COUNTIF(Logs!$M666, E$88)+COUNTIF(Logs!$M682, E$88)</f>
        <v>0</v>
      </c>
      <c r="F101" s="1437" t="str">
        <f t="shared" si="51"/>
        <v/>
      </c>
      <c r="G101" s="33">
        <f>COUNTIF(Logs!$M20, G$88)+COUNTIF(Logs!$M38, G$88)+COUNTIF(Logs!$M56, G$88)+COUNTIF(Logs!$M74, G$88)+COUNTIF(Logs!$M92, G$88)+COUNTIF(Logs!$M111, G$88)+COUNTIF(Logs!$M131, G$88)+COUNTIF(Logs!$M150, G$88)+COUNTIF(Logs!$M170, G$88)+COUNTIF(Logs!$M188, G$88)+COUNTIF(Logs!$M209, G$88)+COUNTIF(Logs!$M261, G$88)+COUNTIF(Logs!$M278, G$88)+COUNTIF(Logs!$M296, G$88)+COUNTIF(Logs!$M313, G$88)+COUNTIF(Logs!$M331, G$88)+COUNTIF(Logs!$M349, G$88)+COUNTIF(Logs!$M367, G$88)+COUNTIF(Logs!$M385, G$88)+COUNTIF(Logs!$M404, G$88)+COUNTIF(Logs!$M422, G$88)+COUNTIF(Logs!$M440, G$88)+COUNTIF(Logs!$M458, G$88)+COUNTIF(Logs!$M476, G$88)+COUNTIF(Logs!$M494, G$88)+COUNTIF(Logs!$M512, G$88)+COUNTIF(Logs!$M530, G$88)+COUNTIF(Logs!$M548, G$88)+COUNTIF(Logs!$M566, G$88)+COUNTIF(Logs!$M634, G$88)+COUNTIF(Logs!$M666, G$88)+COUNTIF(Logs!$M682, G$88)</f>
        <v>0</v>
      </c>
      <c r="H101" s="1440" t="str">
        <f t="shared" si="52"/>
        <v/>
      </c>
      <c r="I101" s="329">
        <f>COUNTIF(Logs!$M20, I$88)+COUNTIF(Logs!$M38, I$88)+COUNTIF(Logs!$M56, I$88)+COUNTIF(Logs!$M74, I$88)+COUNTIF(Logs!$M92, I$88)+COUNTIF(Logs!$M111, I$88)+COUNTIF(Logs!$M131, I$88)+COUNTIF(Logs!$M150, I$88)+COUNTIF(Logs!$M170, I$88)+COUNTIF(Logs!$M188, I$88)+COUNTIF(Logs!$M209, I$88)+COUNTIF(Logs!$M261, I$88)+COUNTIF(Logs!$M278, I$88)+COUNTIF(Logs!$M296, I$88)+COUNTIF(Logs!$M313, I$88)+COUNTIF(Logs!$M331, I$88)+COUNTIF(Logs!$M349, I$88)+COUNTIF(Logs!$M367, I$88)+COUNTIF(Logs!$M385, I$88)+COUNTIF(Logs!$M404, I$88)+COUNTIF(Logs!$M422, I$88)+COUNTIF(Logs!$M440, I$88)+COUNTIF(Logs!$M458, I$88)+COUNTIF(Logs!$M476, I$88)+COUNTIF(Logs!$M494, I$88)+COUNTIF(Logs!$M512, I$88)+COUNTIF(Logs!$M530, I$88)+COUNTIF(Logs!$M548, I$88)+COUNTIF(Logs!$M566, I$88)+COUNTIF(Logs!$M634, I$88)+COUNTIF(Logs!$M666, I$88)+COUNTIF(Logs!$M682, I$88)</f>
        <v>0</v>
      </c>
      <c r="J101" s="1444" t="str">
        <f t="shared" si="53"/>
        <v/>
      </c>
      <c r="K101" s="1101">
        <f>COUNTIF(Logs!$M20, K$88)+COUNTIF(Logs!$M38, K$88)+COUNTIF(Logs!$M56, K$88)+COUNTIF(Logs!$M74, K$88)+COUNTIF(Logs!$M92, K$88)+COUNTIF(Logs!$M111, K$88)+COUNTIF(Logs!$M131, K$88)+COUNTIF(Logs!$M150, K$88)+COUNTIF(Logs!$M170, K$88)+COUNTIF(Logs!$M188, K$88)+COUNTIF(Logs!$M209, K$88)+COUNTIF(Logs!$M261, K$88)+COUNTIF(Logs!$M278, K$88)+COUNTIF(Logs!$M296, K$88)+COUNTIF(Logs!$M313, K$88)+COUNTIF(Logs!$M331, K$88)+COUNTIF(Logs!$M349, K$88)+COUNTIF(Logs!$M367, K$88)+COUNTIF(Logs!$M385, K$88)+COUNTIF(Logs!$M404, K$88)+COUNTIF(Logs!$M422, K$88)+COUNTIF(Logs!$M440, K$88)+COUNTIF(Logs!$M458, K$88)+COUNTIF(Logs!$M476, K$88)+COUNTIF(Logs!$M494, K$88)+COUNTIF(Logs!$M512, K$88)+COUNTIF(Logs!$M530, K$88)+COUNTIF(Logs!$M548, K$88)+COUNTIF(Logs!$M566, K$88)+COUNTIF(Logs!$M634, K$88)+COUNTIF(Logs!$M666, K$88)+COUNTIF(Logs!$M682, K$88)</f>
        <v>0</v>
      </c>
      <c r="L101" s="1432" t="str">
        <f t="shared" si="54"/>
        <v/>
      </c>
      <c r="N101" s="1378" t="s">
        <v>1638</v>
      </c>
      <c r="O101">
        <f>COUNTIF(Logs!$N20, O$88)+COUNTIF(Logs!$N38, O$88)+COUNTIF(Logs!$N56, O$88)+COUNTIF(Logs!$N74, O$88)+COUNTIF(Logs!$N92, O$88)+COUNTIF(Logs!$N131, O$88)+COUNTIF(Logs!$N170, O$88)+COUNTIF(Logs!$N209, O$88)</f>
        <v>0</v>
      </c>
      <c r="P101" s="1448" t="str">
        <f t="shared" si="55"/>
        <v/>
      </c>
      <c r="Q101">
        <f>COUNTIF(Logs!$N20, Q$88)+COUNTIF(Logs!$N38, Q$88)+COUNTIF(Logs!$N56, Q$88)+COUNTIF(Logs!$N74, Q$88)+COUNTIF(Logs!$N92, Q$88)+COUNTIF(Logs!$N131, Q$88)+COUNTIF(Logs!$N170, Q$88)+COUNTIF(Logs!$N209, Q$88)</f>
        <v>0</v>
      </c>
      <c r="R101" s="1437" t="str">
        <f t="shared" si="56"/>
        <v/>
      </c>
      <c r="S101">
        <f>COUNTIF(Logs!$N20, S$88)+COUNTIF(Logs!$N38, S$88)+COUNTIF(Logs!$N56, S$88)+COUNTIF(Logs!$N74, S$88)+COUNTIF(Logs!$N92, S$88)+COUNTIF(Logs!$N131, S$88)+COUNTIF(Logs!$N170, S$88)+COUNTIF(Logs!$N209, S$88)</f>
        <v>0</v>
      </c>
      <c r="T101" s="1440" t="str">
        <f t="shared" si="57"/>
        <v/>
      </c>
      <c r="U101">
        <f>COUNTIF(Logs!$N20, U$88)+COUNTIF(Logs!$N38, U$88)+COUNTIF(Logs!$N56, U$88)+COUNTIF(Logs!$N74, U$88)+COUNTIF(Logs!$N92, U$88)+COUNTIF(Logs!$N131, U$88)+COUNTIF(Logs!$N170, U$88)+COUNTIF(Logs!$N209, U$88)</f>
        <v>0</v>
      </c>
      <c r="V101" s="1444" t="str">
        <f t="shared" si="58"/>
        <v/>
      </c>
      <c r="W101">
        <f>COUNTIF(Logs!$N20, W$88)+COUNTIF(Logs!$N38, W$88)+COUNTIF(Logs!$N56, W$88)+COUNTIF(Logs!$N74, W$88)+COUNTIF(Logs!$N92, W$88)+COUNTIF(Logs!$N131, W$88)+COUNTIF(Logs!$N170, W$88)+COUNTIF(Logs!$N209, W$88)</f>
        <v>0</v>
      </c>
      <c r="X101" s="1432" t="str">
        <f t="shared" si="59"/>
        <v/>
      </c>
    </row>
    <row r="102" spans="2:24" ht="16.5" thickBot="1">
      <c r="B102" s="1379" t="s">
        <v>1639</v>
      </c>
      <c r="C102" s="1447">
        <f>COUNTIF(Logs!$M21, C$88)+COUNTIF(Logs!$M39, C$88)+COUNTIF(Logs!$M57, C$88)+COUNTIF(Logs!$M75, C$88)+COUNTIF(Logs!$M93, C$88)+COUNTIF(Logs!$M112, C$88)+COUNTIF(Logs!$M132, C$88)+COUNTIF(Logs!$M151, C$88)+COUNTIF(Logs!$M171, C$88)+COUNTIF(Logs!$M189, C$88)+COUNTIF(Logs!$M210, C$88)+COUNTIF(Logs!$M262, C$88)+COUNTIF(Logs!$M279, C$88)+COUNTIF(Logs!$M297, C$88)+COUNTIF(Logs!$M314, C$88)+COUNTIF(Logs!$M332, C$88)+COUNTIF(Logs!$M350, C$88)+COUNTIF(Logs!$M368, C$88)+COUNTIF(Logs!$M386, C$88)+COUNTIF(Logs!$M405, C$88)+COUNTIF(Logs!$M423, C$88)+COUNTIF(Logs!$M441, C$88)+COUNTIF(Logs!$M459, C$88)+COUNTIF(Logs!$M477, C$88)+COUNTIF(Logs!$M495, C$88)+COUNTIF(Logs!$M513, C$88)+COUNTIF(Logs!$M531, C$88)+COUNTIF(Logs!$M549, C$88)+COUNTIF(Logs!$M567, C$88)+COUNTIF(Logs!$M635, C$88)+COUNTIF(Logs!$M667, C$88)+COUNTIF(Logs!$M683, C$88)</f>
        <v>0</v>
      </c>
      <c r="D102" s="1449" t="str">
        <f t="shared" si="50"/>
        <v/>
      </c>
      <c r="E102" s="1292">
        <f>COUNTIF(Logs!$M21, E$88)+COUNTIF(Logs!$M39, E$88)+COUNTIF(Logs!$M57, E$88)+COUNTIF(Logs!$M75, E$88)+COUNTIF(Logs!$M93, E$88)+COUNTIF(Logs!$M112, E$88)+COUNTIF(Logs!$M132, E$88)+COUNTIF(Logs!$M151, E$88)+COUNTIF(Logs!$M171, E$88)+COUNTIF(Logs!$M189, E$88)+COUNTIF(Logs!$M210, E$88)+COUNTIF(Logs!$M262, E$88)+COUNTIF(Logs!$M279, E$88)+COUNTIF(Logs!$M297, E$88)+COUNTIF(Logs!$M314, E$88)+COUNTIF(Logs!$M332, E$88)+COUNTIF(Logs!$M350, E$88)+COUNTIF(Logs!$M368, E$88)+COUNTIF(Logs!$M386, E$88)+COUNTIF(Logs!$M405, E$88)+COUNTIF(Logs!$M423, E$88)+COUNTIF(Logs!$M441, E$88)+COUNTIF(Logs!$M459, E$88)+COUNTIF(Logs!$M477, E$88)+COUNTIF(Logs!$M495, E$88)+COUNTIF(Logs!$M513, E$88)+COUNTIF(Logs!$M531, E$88)+COUNTIF(Logs!$M549, E$88)+COUNTIF(Logs!$M567, E$88)+COUNTIF(Logs!$M635, E$88)+COUNTIF(Logs!$M667, E$88)+COUNTIF(Logs!$M683, E$88)</f>
        <v>0</v>
      </c>
      <c r="F102" s="1438" t="str">
        <f t="shared" si="51"/>
        <v/>
      </c>
      <c r="G102" s="1283">
        <f>COUNTIF(Logs!$M21, G$88)+COUNTIF(Logs!$M39, G$88)+COUNTIF(Logs!$M57, G$88)+COUNTIF(Logs!$M75, G$88)+COUNTIF(Logs!$M93, G$88)+COUNTIF(Logs!$M112, G$88)+COUNTIF(Logs!$M132, G$88)+COUNTIF(Logs!$M151, G$88)+COUNTIF(Logs!$M171, G$88)+COUNTIF(Logs!$M189, G$88)+COUNTIF(Logs!$M210, G$88)+COUNTIF(Logs!$M262, G$88)+COUNTIF(Logs!$M279, G$88)+COUNTIF(Logs!$M297, G$88)+COUNTIF(Logs!$M314, G$88)+COUNTIF(Logs!$M332, G$88)+COUNTIF(Logs!$M350, G$88)+COUNTIF(Logs!$M368, G$88)+COUNTIF(Logs!$M386, G$88)+COUNTIF(Logs!$M405, G$88)+COUNTIF(Logs!$M423, G$88)+COUNTIF(Logs!$M441, G$88)+COUNTIF(Logs!$M459, G$88)+COUNTIF(Logs!$M477, G$88)+COUNTIF(Logs!$M495, G$88)+COUNTIF(Logs!$M513, G$88)+COUNTIF(Logs!$M531, G$88)+COUNTIF(Logs!$M549, G$88)+COUNTIF(Logs!$M567, G$88)+COUNTIF(Logs!$M635, G$88)+COUNTIF(Logs!$M667, G$88)+COUNTIF(Logs!$M683, G$88)</f>
        <v>0</v>
      </c>
      <c r="H102" s="1442" t="str">
        <f t="shared" si="52"/>
        <v/>
      </c>
      <c r="I102" s="1305">
        <f>COUNTIF(Logs!$M21, I$88)+COUNTIF(Logs!$M39, I$88)+COUNTIF(Logs!$M57, I$88)+COUNTIF(Logs!$M75, I$88)+COUNTIF(Logs!$M93, I$88)+COUNTIF(Logs!$M112, I$88)+COUNTIF(Logs!$M132, I$88)+COUNTIF(Logs!$M151, I$88)+COUNTIF(Logs!$M171, I$88)+COUNTIF(Logs!$M189, I$88)+COUNTIF(Logs!$M210, I$88)+COUNTIF(Logs!$M262, I$88)+COUNTIF(Logs!$M279, I$88)+COUNTIF(Logs!$M297, I$88)+COUNTIF(Logs!$M314, I$88)+COUNTIF(Logs!$M332, I$88)+COUNTIF(Logs!$M350, I$88)+COUNTIF(Logs!$M368, I$88)+COUNTIF(Logs!$M386, I$88)+COUNTIF(Logs!$M405, I$88)+COUNTIF(Logs!$M423, I$88)+COUNTIF(Logs!$M441, I$88)+COUNTIF(Logs!$M459, I$88)+COUNTIF(Logs!$M477, I$88)+COUNTIF(Logs!$M495, I$88)+COUNTIF(Logs!$M513, I$88)+COUNTIF(Logs!$M531, I$88)+COUNTIF(Logs!$M549, I$88)+COUNTIF(Logs!$M567, I$88)+COUNTIF(Logs!$M635, I$88)+COUNTIF(Logs!$M667, I$88)+COUNTIF(Logs!$M683, I$88)</f>
        <v>0</v>
      </c>
      <c r="J102" s="1446" t="str">
        <f t="shared" si="53"/>
        <v/>
      </c>
      <c r="K102" s="1433">
        <f>COUNTIF(Logs!$M21, K$88)+COUNTIF(Logs!$M39, K$88)+COUNTIF(Logs!$M57, K$88)+COUNTIF(Logs!$M75, K$88)+COUNTIF(Logs!$M93, K$88)+COUNTIF(Logs!$M112, K$88)+COUNTIF(Logs!$M132, K$88)+COUNTIF(Logs!$M151, K$88)+COUNTIF(Logs!$M171, K$88)+COUNTIF(Logs!$M189, K$88)+COUNTIF(Logs!$M210, K$88)+COUNTIF(Logs!$M262, K$88)+COUNTIF(Logs!$M279, K$88)+COUNTIF(Logs!$M297, K$88)+COUNTIF(Logs!$M314, K$88)+COUNTIF(Logs!$M332, K$88)+COUNTIF(Logs!$M350, K$88)+COUNTIF(Logs!$M368, K$88)+COUNTIF(Logs!$M386, K$88)+COUNTIF(Logs!$M405, K$88)+COUNTIF(Logs!$M423, K$88)+COUNTIF(Logs!$M441, K$88)+COUNTIF(Logs!$M459, K$88)+COUNTIF(Logs!$M477, K$88)+COUNTIF(Logs!$M495, K$88)+COUNTIF(Logs!$M513, K$88)+COUNTIF(Logs!$M531, K$88)+COUNTIF(Logs!$M549, K$88)+COUNTIF(Logs!$M567, K$88)+COUNTIF(Logs!$M635, K$88)+COUNTIF(Logs!$M667, K$88)+COUNTIF(Logs!$M683, K$88)</f>
        <v>0</v>
      </c>
      <c r="L102" s="1434" t="str">
        <f t="shared" si="54"/>
        <v/>
      </c>
      <c r="N102" s="1379" t="s">
        <v>1639</v>
      </c>
      <c r="O102" s="1108">
        <f>COUNTIF(Logs!$N21, O$88)+COUNTIF(Logs!$N39, O$88)+COUNTIF(Logs!$N57, O$88)+COUNTIF(Logs!$N75, O$88)+COUNTIF(Logs!$N93, O$88)+COUNTIF(Logs!$N132, O$88)+COUNTIF(Logs!$N171, O$88)+COUNTIF(Logs!$N210, O$88)</f>
        <v>0</v>
      </c>
      <c r="P102" s="1449" t="str">
        <f>IF(O102&gt;0, O102/SUM($O102,$Q102, $S102,$U102,$W102), "")</f>
        <v/>
      </c>
      <c r="Q102" s="1108">
        <f>COUNTIF(Logs!$N21, Q$88)+COUNTIF(Logs!$N39, Q$88)+COUNTIF(Logs!$N57, Q$88)+COUNTIF(Logs!$N75, Q$88)+COUNTIF(Logs!$N93, Q$88)+COUNTIF(Logs!$N132, Q$88)+COUNTIF(Logs!$N171, Q$88)+COUNTIF(Logs!$N210, Q$88)</f>
        <v>0</v>
      </c>
      <c r="R102" s="1438" t="str">
        <f t="shared" si="56"/>
        <v/>
      </c>
      <c r="S102" s="1108">
        <f>COUNTIF(Logs!$N21, S$88)+COUNTIF(Logs!$N39, S$88)+COUNTIF(Logs!$N57, S$88)+COUNTIF(Logs!$N75, S$88)+COUNTIF(Logs!$N93, S$88)+COUNTIF(Logs!$N132, S$88)+COUNTIF(Logs!$N171, S$88)+COUNTIF(Logs!$N210, S$88)</f>
        <v>0</v>
      </c>
      <c r="T102" s="1442" t="str">
        <f t="shared" si="57"/>
        <v/>
      </c>
      <c r="U102" s="1108">
        <f>COUNTIF(Logs!$N21, U$88)+COUNTIF(Logs!$N39, U$88)+COUNTIF(Logs!$N57, U$88)+COUNTIF(Logs!$N75, U$88)+COUNTIF(Logs!$N93, U$88)+COUNTIF(Logs!$N132, U$88)+COUNTIF(Logs!$N171, U$88)+COUNTIF(Logs!$N210, U$88)</f>
        <v>0</v>
      </c>
      <c r="V102" s="1446" t="str">
        <f t="shared" si="58"/>
        <v/>
      </c>
      <c r="W102" s="1108">
        <f>COUNTIF(Logs!$N21, W$88)+COUNTIF(Logs!$N39, W$88)+COUNTIF(Logs!$N57, W$88)+COUNTIF(Logs!$N75, W$88)+COUNTIF(Logs!$N93, W$88)+COUNTIF(Logs!$N132, W$88)+COUNTIF(Logs!$N171, W$88)+COUNTIF(Logs!$N210, W$88)</f>
        <v>0</v>
      </c>
      <c r="X102" s="1434" t="str">
        <f t="shared" si="59"/>
        <v/>
      </c>
    </row>
    <row r="103" spans="2:24" ht="16.5" thickBot="1"/>
    <row r="104" spans="2:24" ht="19.5" thickBot="1">
      <c r="B104" s="1450" t="s">
        <v>59</v>
      </c>
      <c r="C104" s="1744" t="s">
        <v>12</v>
      </c>
      <c r="D104" s="1744"/>
      <c r="E104" s="1739" t="s">
        <v>14</v>
      </c>
      <c r="F104" s="1739"/>
      <c r="G104" s="1740" t="s">
        <v>13</v>
      </c>
      <c r="H104" s="1740"/>
      <c r="I104" s="1741" t="s">
        <v>49</v>
      </c>
      <c r="J104" s="1741"/>
      <c r="K104" s="1742" t="s">
        <v>71</v>
      </c>
      <c r="L104" s="1743"/>
    </row>
    <row r="105" spans="2:24">
      <c r="B105" s="1451" t="s">
        <v>1635</v>
      </c>
      <c r="C105" s="1452" t="s">
        <v>150</v>
      </c>
      <c r="D105" s="1453" t="s">
        <v>195</v>
      </c>
      <c r="E105" s="1452" t="s">
        <v>150</v>
      </c>
      <c r="F105" s="1453" t="s">
        <v>195</v>
      </c>
      <c r="G105" s="1452" t="s">
        <v>150</v>
      </c>
      <c r="H105" s="1453" t="s">
        <v>195</v>
      </c>
      <c r="I105" s="1452" t="s">
        <v>150</v>
      </c>
      <c r="J105" s="1453" t="s">
        <v>195</v>
      </c>
      <c r="K105" s="1452" t="s">
        <v>150</v>
      </c>
      <c r="L105" s="1454" t="s">
        <v>195</v>
      </c>
    </row>
    <row r="106" spans="2:24">
      <c r="B106" s="1378" t="s">
        <v>185</v>
      </c>
      <c r="C106" s="319">
        <f>COUNTIF(Logs!$O9,C$104) + COUNTIF(Logs!$O27,C$104) + COUNTIF(Logs!$O45,C$104) + COUNTIF(Logs!$O63,C$104) + COUNTIF(Logs!$O81,C$104) + COUNTIF(Logs!$N100,C$104) + COUNTIF(Logs!$O120,C$104) + COUNTIF(Logs!$N139,C$104) + COUNTIF(Logs!$O159,C$104) + COUNTIF(Logs!$N177,C$104) +  COUNTIF(Logs!$O198,C$104) + COUNTIF(Logs!$M215,C$104) + COUNTIF(Logs!$M233,C$104) + COUNTIF(Logs!$N250,C$104) + COUNTIF(Logs!$N267,C$104) + COUNTIF(Logs!$N285,C$104) + COUNTIF(Logs!$N302,C$104) + COUNTIF(Logs!$N320,C$104) + COUNTIF(Logs!$N338,C$104) + COUNTIF(Logs!$N356,C$104) + COUNTIF(Logs!$N374,C$104) + COUNTIF(Logs!$N393,C$104) + COUNTIF(Logs!$N411,C$104) + COUNTIF(Logs!$N429,C$104) + COUNTIF(Logs!$N447,C$104) + COUNTIF(Logs!$N465,C$104) + COUNTIF(Logs!$N483,C$104) + COUNTIF(Logs!$N501,C$104) + COUNTIF(Logs!$N519,C$104) + COUNTIF(Logs!$N537,C$104) + COUNTIF(Logs!$N555,C$104) + COUNTIF(Logs!$M572,C$104) + COUNTIF(Logs!$M591,C$104) + COUNTIF(Logs!$L607,C$104) + COUNTIF(Logs!$N623,C$104) + COUNTIF(Logs!$M640,C$104) + COUNTIF(Logs!$N655,C$104) + COUNTIF(Logs!$N671,C$104)</f>
        <v>38</v>
      </c>
      <c r="D106" s="1448">
        <f>IF(C106&gt;0, C106/SUM($C106,$E106, $G106,$I106,$K106), "")</f>
        <v>1</v>
      </c>
      <c r="E106" s="8">
        <f>COUNTIF(Logs!$O9,E$104) + COUNTIF(Logs!$O27,E$104) + COUNTIF(Logs!$O45,E$104) + COUNTIF(Logs!$O63,E$104) + COUNTIF(Logs!$O81,E$104) + COUNTIF(Logs!$N100,E$104) + COUNTIF(Logs!$O120,E$104) + COUNTIF(Logs!$N139,E$104) + COUNTIF(Logs!$O159,E$104) + COUNTIF(Logs!$N177,E$104) +  COUNTIF(Logs!$O198,E$104) + COUNTIF(Logs!$M215,E$104) + COUNTIF(Logs!$M233,E$104) + COUNTIF(Logs!$N250,E$104) + COUNTIF(Logs!$N267,E$104) + COUNTIF(Logs!$N285,E$104) + COUNTIF(Logs!$N302,E$104) + COUNTIF(Logs!$N320,E$104) + COUNTIF(Logs!$N338,E$104) + COUNTIF(Logs!$N356,E$104) + COUNTIF(Logs!$N374,E$104) + COUNTIF(Logs!$N393,E$104) + COUNTIF(Logs!$N411,E$104) + COUNTIF(Logs!$N429,E$104) + COUNTIF(Logs!$N447,E$104) + COUNTIF(Logs!$N465,E$104) + COUNTIF(Logs!$N483,E$104) + COUNTIF(Logs!$N501,E$104) + COUNTIF(Logs!$N519,E$104) + COUNTIF(Logs!$N537,E$104) + COUNTIF(Logs!$N555,E$104) + COUNTIF(Logs!$M572,E$104) + COUNTIF(Logs!$M591,E$104) + COUNTIF(Logs!$L607,E$104) + COUNTIF(Logs!$N623,E$104) + COUNTIF(Logs!$M640,E$104) + COUNTIF(Logs!$N655,E$104) + COUNTIF(Logs!$N671,E$104)</f>
        <v>0</v>
      </c>
      <c r="F106" s="1437" t="str">
        <f>IF(E106&gt;0, E106/SUM($C106,$E106, $G106,$I106,$K106), "")</f>
        <v/>
      </c>
      <c r="G106" s="33">
        <f>COUNTIF(Logs!$O9,G$104) + COUNTIF(Logs!$O27,G$104) + COUNTIF(Logs!$O45,G$104) + COUNTIF(Logs!$O63,G$104) + COUNTIF(Logs!$O81,G$104) + COUNTIF(Logs!$N100,G$104) + COUNTIF(Logs!$O120,G$104) + COUNTIF(Logs!$N139,G$104) + COUNTIF(Logs!$O159,G$104) + COUNTIF(Logs!$N177,G$104) +  COUNTIF(Logs!$O198,G$104) + COUNTIF(Logs!$M215,G$104) + COUNTIF(Logs!$M233,G$104) + COUNTIF(Logs!$N250,G$104) + COUNTIF(Logs!$N267,G$104) + COUNTIF(Logs!$N285,G$104) + COUNTIF(Logs!$N302,G$104) + COUNTIF(Logs!$N320,G$104) + COUNTIF(Logs!$N338,G$104) + COUNTIF(Logs!$N356,G$104) + COUNTIF(Logs!$N374,G$104) + COUNTIF(Logs!$N393,G$104) + COUNTIF(Logs!$N411,G$104) + COUNTIF(Logs!$N429,G$104) + COUNTIF(Logs!$N447,G$104) + COUNTIF(Logs!$N465,G$104) + COUNTIF(Logs!$N483,G$104) + COUNTIF(Logs!$N501,G$104) + COUNTIF(Logs!$N519,G$104) + COUNTIF(Logs!$N537,G$104) + COUNTIF(Logs!$N555,G$104) + COUNTIF(Logs!$M572,G$104) + COUNTIF(Logs!$M591,G$104) + COUNTIF(Logs!$L607,G$104) + COUNTIF(Logs!$N623,G$104) + COUNTIF(Logs!$M640,G$104) + COUNTIF(Logs!$N655,G$104) + COUNTIF(Logs!$N671,G$104)</f>
        <v>0</v>
      </c>
      <c r="H106" s="1440" t="str">
        <f>IF(G106&gt;0, G106/SUM($C106,$E106, $G106,$I106,$K106), "")</f>
        <v/>
      </c>
      <c r="I106" s="329">
        <f>COUNTIF(Logs!$O9,I$104) + COUNTIF(Logs!$O27,I$104) + COUNTIF(Logs!$O45,I$104) + COUNTIF(Logs!$O63,I$104) + COUNTIF(Logs!$O81,I$104) + COUNTIF(Logs!$N100,I$104) + COUNTIF(Logs!$O120,I$104) + COUNTIF(Logs!$N139,I$104) + COUNTIF(Logs!$O159,I$104) + COUNTIF(Logs!$N177,I$104) +  COUNTIF(Logs!$O198,I$104) + COUNTIF(Logs!$M215,I$104) + COUNTIF(Logs!$M233,I$104) + COUNTIF(Logs!$N250,I$104) + COUNTIF(Logs!$N267,I$104) + COUNTIF(Logs!$N285,I$104) + COUNTIF(Logs!$N302,I$104) + COUNTIF(Logs!$N320,I$104) + COUNTIF(Logs!$N338,I$104) + COUNTIF(Logs!$N356,I$104) + COUNTIF(Logs!$N374,I$104) + COUNTIF(Logs!$N393,I$104) + COUNTIF(Logs!$N411,I$104) + COUNTIF(Logs!$N429,I$104) + COUNTIF(Logs!$N447,I$104) + COUNTIF(Logs!$N465,I$104) + COUNTIF(Logs!$N483,I$104) + COUNTIF(Logs!$N501,I$104) + COUNTIF(Logs!$N519,I$104) + COUNTIF(Logs!$N537,I$104) + COUNTIF(Logs!$N555,I$104) + COUNTIF(Logs!$M572,I$104) + COUNTIF(Logs!$M591,I$104) + COUNTIF(Logs!$L607,I$104) + COUNTIF(Logs!$N623,I$104) + COUNTIF(Logs!$M640,I$104) + COUNTIF(Logs!$N655,I$104) + COUNTIF(Logs!$N671,I$104)</f>
        <v>0</v>
      </c>
      <c r="J106" s="1444" t="str">
        <f>IF(I106&gt;0, I106/SUM($C106,$E106, $G106,$I106,$K106), "")</f>
        <v/>
      </c>
      <c r="K106" s="1101">
        <f>COUNTIF(Logs!$O9,K$104) + COUNTIF(Logs!$O27,K$104) + COUNTIF(Logs!$O45,K$104) + COUNTIF(Logs!$O63,K$104) + COUNTIF(Logs!$O81,K$104) + COUNTIF(Logs!$N100,K$104) + COUNTIF(Logs!$O120,K$104) + COUNTIF(Logs!$N139,K$104) + COUNTIF(Logs!$O159,K$104) + COUNTIF(Logs!$N177,K$104) +  COUNTIF(Logs!$O198,K$104) + COUNTIF(Logs!$M215,K$104) + COUNTIF(Logs!$M233,K$104) + COUNTIF(Logs!$N250,K$104) + COUNTIF(Logs!$N267,K$104) + COUNTIF(Logs!$N285,K$104) + COUNTIF(Logs!$N302,K$104) + COUNTIF(Logs!$N320,K$104) + COUNTIF(Logs!$N338,K$104) + COUNTIF(Logs!$N356,K$104) + COUNTIF(Logs!$N374,K$104) + COUNTIF(Logs!$N393,K$104) + COUNTIF(Logs!$N411,K$104) + COUNTIF(Logs!$N429,K$104) + COUNTIF(Logs!$N447,K$104) + COUNTIF(Logs!$N465,K$104) + COUNTIF(Logs!$N483,K$104) + COUNTIF(Logs!$N501,K$104) + COUNTIF(Logs!$N519,K$104) + COUNTIF(Logs!$N537,K$104) + COUNTIF(Logs!$N555,K$104) + COUNTIF(Logs!$M572,K$104) + COUNTIF(Logs!$M591,K$104) + COUNTIF(Logs!$L607,K$104) + COUNTIF(Logs!$N623,K$104) + COUNTIF(Logs!$M640,K$104) + COUNTIF(Logs!$N655,K$104) + COUNTIF(Logs!$N671,K$104)</f>
        <v>0</v>
      </c>
      <c r="L106" s="1161">
        <f>COUNTIF(Logs!$O9,L$104) + COUNTIF(Logs!$O27,L$104) + COUNTIF(Logs!$O45,L$104) + COUNTIF(Logs!$O63,L$104) + COUNTIF(Logs!$O81,L$104) + COUNTIF(Logs!$N100,L$104) + COUNTIF(Logs!$O120,L$104) + COUNTIF(Logs!$N139,L$104) + COUNTIF(Logs!$O159,L$104) + COUNTIF(Logs!$N177,L$104) +  COUNTIF(Logs!$O198,L$104) + COUNTIF(Logs!$M215,L$104) + COUNTIF(Logs!$M233,L$104) + COUNTIF(Logs!$N250,L$104) + COUNTIF(Logs!$N267,L$104) + COUNTIF(Logs!$N285,L$104) + COUNTIF(Logs!$N302,L$104) + COUNTIF(Logs!$N320,L$104) + COUNTIF(Logs!$N338,L$104) + COUNTIF(Logs!$N356,L$104) + COUNTIF(Logs!$N374,L$104) + COUNTIF(Logs!$N393,L$104) + COUNTIF(Logs!$N411,L$104) + COUNTIF(Logs!$N429,L$104) + COUNTIF(Logs!$N447,L$104) + COUNTIF(Logs!$N465,L$104) + COUNTIF(Logs!$N483,L$104) + COUNTIF(Logs!$N501,L$104) + COUNTIF(Logs!$N519,L$104) + COUNTIF(Logs!$N537,L$104) + COUNTIF(Logs!$N555,L$104) + COUNTIF(Logs!$M572,L$104) + COUNTIF(Logs!$M591,L$104) + COUNTIF(Logs!$L607,L$104) + COUNTIF(Logs!$N623,L$104) + COUNTIF(Logs!$M640,L$104) + COUNTIF(Logs!$N655,L$104) + COUNTIF(Logs!$N671,L$104)</f>
        <v>0</v>
      </c>
    </row>
    <row r="107" spans="2:24">
      <c r="B107" s="1378" t="s">
        <v>186</v>
      </c>
      <c r="C107" s="319">
        <f>COUNTIF(Logs!$O10,C$104) + COUNTIF(Logs!$O28,C$104) + COUNTIF(Logs!$O46,C$104) + COUNTIF(Logs!$O64,C$104) + COUNTIF(Logs!$O82,C$104) + COUNTIF(Logs!$N101,C$104) + COUNTIF(Logs!$O121,C$104) + COUNTIF(Logs!$N140,C$104) + COUNTIF(Logs!$O160,C$104) + COUNTIF(Logs!$N178,C$104) +  COUNTIF(Logs!$O199,C$104) + COUNTIF(Logs!$M216,C$104) + COUNTIF(Logs!$M234,C$104) + COUNTIF(Logs!$N251,C$104) + COUNTIF(Logs!$N268,C$104) + COUNTIF(Logs!$N286,C$104) + COUNTIF(Logs!$N303,C$104) + COUNTIF(Logs!$N321,C$104) + COUNTIF(Logs!$N339,C$104) + COUNTIF(Logs!$N357,C$104) + COUNTIF(Logs!$N375,C$104) + COUNTIF(Logs!$N394,C$104) + COUNTIF(Logs!$N412,C$104) + COUNTIF(Logs!$N430,C$104) + COUNTIF(Logs!$N448,C$104) + COUNTIF(Logs!$N466,C$104) + COUNTIF(Logs!$N484,C$104) + COUNTIF(Logs!$N502,C$104) + COUNTIF(Logs!$N520,C$104) + COUNTIF(Logs!$N538,C$104) + COUNTIF(Logs!$N556,C$104) + COUNTIF(Logs!$M573,C$104) + COUNTIF(Logs!$M592,C$104) + COUNTIF(Logs!$L608,C$104) + COUNTIF(Logs!$N624,C$104) + COUNTIF(Logs!$M641,C$104) + COUNTIF(Logs!$N656,C$104) + COUNTIF(Logs!$N672,C$104)</f>
        <v>24</v>
      </c>
      <c r="D107" s="1448">
        <f t="shared" ref="D107:D118" si="60">IF(C107&gt;0, C107/SUM($C107,$E107, $G107,$I107,$K107), "")</f>
        <v>0.63157894736842102</v>
      </c>
      <c r="E107" s="8">
        <f>COUNTIF(Logs!$O10,E$104) + COUNTIF(Logs!$O28,E$104) + COUNTIF(Logs!$O46,E$104) + COUNTIF(Logs!$O64,E$104) + COUNTIF(Logs!$O82,E$104) + COUNTIF(Logs!$N101,E$104) + COUNTIF(Logs!$O121,E$104) + COUNTIF(Logs!$N140,E$104) + COUNTIF(Logs!$O160,E$104) + COUNTIF(Logs!$N178,E$104) +  COUNTIF(Logs!$O199,E$104) + COUNTIF(Logs!$M216,E$104) + COUNTIF(Logs!$M234,E$104) + COUNTIF(Logs!$N251,E$104) + COUNTIF(Logs!$N268,E$104) + COUNTIF(Logs!$N286,E$104) + COUNTIF(Logs!$N303,E$104) + COUNTIF(Logs!$N321,E$104) + COUNTIF(Logs!$N339,E$104) + COUNTIF(Logs!$N357,E$104) + COUNTIF(Logs!$N375,E$104) + COUNTIF(Logs!$N394,E$104) + COUNTIF(Logs!$N412,E$104) + COUNTIF(Logs!$N430,E$104) + COUNTIF(Logs!$N448,E$104) + COUNTIF(Logs!$N466,E$104) + COUNTIF(Logs!$N484,E$104) + COUNTIF(Logs!$N502,E$104) + COUNTIF(Logs!$N520,E$104) + COUNTIF(Logs!$N538,E$104) + COUNTIF(Logs!$N556,E$104) + COUNTIF(Logs!$M573,E$104) + COUNTIF(Logs!$M592,E$104) + COUNTIF(Logs!$L608,E$104) + COUNTIF(Logs!$N624,E$104) + COUNTIF(Logs!$M641,E$104) + COUNTIF(Logs!$N656,E$104) + COUNTIF(Logs!$N672,E$104)</f>
        <v>9</v>
      </c>
      <c r="F107" s="1437">
        <f t="shared" ref="F107:F118" si="61">IF(E107&gt;0, E107/SUM($C107,$E107, $G107,$I107,$K107), "")</f>
        <v>0.23684210526315788</v>
      </c>
      <c r="G107" s="33">
        <f>COUNTIF(Logs!$O10,G$104) + COUNTIF(Logs!$O28,G$104) + COUNTIF(Logs!$O46,G$104) + COUNTIF(Logs!$O64,G$104) + COUNTIF(Logs!$O82,G$104) + COUNTIF(Logs!$N101,G$104) + COUNTIF(Logs!$O121,G$104) + COUNTIF(Logs!$N140,G$104) + COUNTIF(Logs!$O160,G$104) + COUNTIF(Logs!$N178,G$104) +  COUNTIF(Logs!$O199,G$104) + COUNTIF(Logs!$M216,G$104) + COUNTIF(Logs!$M234,G$104) + COUNTIF(Logs!$N251,G$104) + COUNTIF(Logs!$N268,G$104) + COUNTIF(Logs!$N286,G$104) + COUNTIF(Logs!$N303,G$104) + COUNTIF(Logs!$N321,G$104) + COUNTIF(Logs!$N339,G$104) + COUNTIF(Logs!$N357,G$104) + COUNTIF(Logs!$N375,G$104) + COUNTIF(Logs!$N394,G$104) + COUNTIF(Logs!$N412,G$104) + COUNTIF(Logs!$N430,G$104) + COUNTIF(Logs!$N448,G$104) + COUNTIF(Logs!$N466,G$104) + COUNTIF(Logs!$N484,G$104) + COUNTIF(Logs!$N502,G$104) + COUNTIF(Logs!$N520,G$104) + COUNTIF(Logs!$N538,G$104) + COUNTIF(Logs!$N556,G$104) + COUNTIF(Logs!$M573,G$104) + COUNTIF(Logs!$M592,G$104) + COUNTIF(Logs!$L608,G$104) + COUNTIF(Logs!$N624,G$104) + COUNTIF(Logs!$M641,G$104) + COUNTIF(Logs!$N656,G$104) + COUNTIF(Logs!$N672,G$104)</f>
        <v>5</v>
      </c>
      <c r="H107" s="1440">
        <f t="shared" ref="H107:H118" si="62">IF(G107&gt;0, G107/SUM($C107,$E107, $G107,$I107,$K107), "")</f>
        <v>0.13157894736842105</v>
      </c>
      <c r="I107" s="329">
        <f>COUNTIF(Logs!$O10,I$104) + COUNTIF(Logs!$O28,I$104) + COUNTIF(Logs!$O46,I$104) + COUNTIF(Logs!$O64,I$104) + COUNTIF(Logs!$O82,I$104) + COUNTIF(Logs!$N101,I$104) + COUNTIF(Logs!$O121,I$104) + COUNTIF(Logs!$N140,I$104) + COUNTIF(Logs!$O160,I$104) + COUNTIF(Logs!$N178,I$104) +  COUNTIF(Logs!$O199,I$104) + COUNTIF(Logs!$M216,I$104) + COUNTIF(Logs!$M234,I$104) + COUNTIF(Logs!$N251,I$104) + COUNTIF(Logs!$N268,I$104) + COUNTIF(Logs!$N286,I$104) + COUNTIF(Logs!$N303,I$104) + COUNTIF(Logs!$N321,I$104) + COUNTIF(Logs!$N339,I$104) + COUNTIF(Logs!$N357,I$104) + COUNTIF(Logs!$N375,I$104) + COUNTIF(Logs!$N394,I$104) + COUNTIF(Logs!$N412,I$104) + COUNTIF(Logs!$N430,I$104) + COUNTIF(Logs!$N448,I$104) + COUNTIF(Logs!$N466,I$104) + COUNTIF(Logs!$N484,I$104) + COUNTIF(Logs!$N502,I$104) + COUNTIF(Logs!$N520,I$104) + COUNTIF(Logs!$N538,I$104) + COUNTIF(Logs!$N556,I$104) + COUNTIF(Logs!$M573,I$104) + COUNTIF(Logs!$M592,I$104) + COUNTIF(Logs!$L608,I$104) + COUNTIF(Logs!$N624,I$104) + COUNTIF(Logs!$M641,I$104) + COUNTIF(Logs!$N656,I$104) + COUNTIF(Logs!$N672,I$104)</f>
        <v>0</v>
      </c>
      <c r="J107" s="1444" t="str">
        <f t="shared" ref="J107:J118" si="63">IF(I107&gt;0, I107/SUM($C107,$E107, $G107,$I107,$K107), "")</f>
        <v/>
      </c>
      <c r="K107" s="1101">
        <f>COUNTIF(Logs!$O10,K$104) + COUNTIF(Logs!$O28,K$104) + COUNTIF(Logs!$O46,K$104) + COUNTIF(Logs!$O64,K$104) + COUNTIF(Logs!$O82,K$104) + COUNTIF(Logs!$N101,K$104) + COUNTIF(Logs!$O121,K$104) + COUNTIF(Logs!$N140,K$104) + COUNTIF(Logs!$O160,K$104) + COUNTIF(Logs!$N178,K$104) +  COUNTIF(Logs!$O199,K$104) + COUNTIF(Logs!$M216,K$104) + COUNTIF(Logs!$M234,K$104) + COUNTIF(Logs!$N251,K$104) + COUNTIF(Logs!$N268,K$104) + COUNTIF(Logs!$N286,K$104) + COUNTIF(Logs!$N303,K$104) + COUNTIF(Logs!$N321,K$104) + COUNTIF(Logs!$N339,K$104) + COUNTIF(Logs!$N357,K$104) + COUNTIF(Logs!$N375,K$104) + COUNTIF(Logs!$N394,K$104) + COUNTIF(Logs!$N412,K$104) + COUNTIF(Logs!$N430,K$104) + COUNTIF(Logs!$N448,K$104) + COUNTIF(Logs!$N466,K$104) + COUNTIF(Logs!$N484,K$104) + COUNTIF(Logs!$N502,K$104) + COUNTIF(Logs!$N520,K$104) + COUNTIF(Logs!$N538,K$104) + COUNTIF(Logs!$N556,K$104) + COUNTIF(Logs!$M573,K$104) + COUNTIF(Logs!$M592,K$104) + COUNTIF(Logs!$L608,K$104) + COUNTIF(Logs!$N624,K$104) + COUNTIF(Logs!$M641,K$104) + COUNTIF(Logs!$N656,K$104) + COUNTIF(Logs!$N672,K$104)</f>
        <v>0</v>
      </c>
      <c r="L107" s="1161">
        <f>COUNTIF(Logs!$O10,L$104) + COUNTIF(Logs!$O28,L$104) + COUNTIF(Logs!$O46,L$104) + COUNTIF(Logs!$O64,L$104) + COUNTIF(Logs!$O82,L$104) + COUNTIF(Logs!$N101,L$104) + COUNTIF(Logs!$O121,L$104) + COUNTIF(Logs!$N140,L$104) + COUNTIF(Logs!$O160,L$104) + COUNTIF(Logs!$N178,L$104) +  COUNTIF(Logs!$O199,L$104) + COUNTIF(Logs!$M216,L$104) + COUNTIF(Logs!$M234,L$104) + COUNTIF(Logs!$N251,L$104) + COUNTIF(Logs!$N268,L$104) + COUNTIF(Logs!$N286,L$104) + COUNTIF(Logs!$N303,L$104) + COUNTIF(Logs!$N321,L$104) + COUNTIF(Logs!$N339,L$104) + COUNTIF(Logs!$N357,L$104) + COUNTIF(Logs!$N375,L$104) + COUNTIF(Logs!$N394,L$104) + COUNTIF(Logs!$N412,L$104) + COUNTIF(Logs!$N430,L$104) + COUNTIF(Logs!$N448,L$104) + COUNTIF(Logs!$N466,L$104) + COUNTIF(Logs!$N484,L$104) + COUNTIF(Logs!$N502,L$104) + COUNTIF(Logs!$N520,L$104) + COUNTIF(Logs!$N538,L$104) + COUNTIF(Logs!$N556,L$104) + COUNTIF(Logs!$M573,L$104) + COUNTIF(Logs!$M592,L$104) + COUNTIF(Logs!$L608,L$104) + COUNTIF(Logs!$N624,L$104) + COUNTIF(Logs!$M641,L$104) + COUNTIF(Logs!$N656,L$104) + COUNTIF(Logs!$N672,L$104)</f>
        <v>0</v>
      </c>
    </row>
    <row r="108" spans="2:24">
      <c r="B108" s="1378" t="s">
        <v>187</v>
      </c>
      <c r="C108" s="319">
        <f>COUNTIF(Logs!$O11,C$104) + COUNTIF(Logs!$O29,C$104) + COUNTIF(Logs!$O47,C$104) + COUNTIF(Logs!$O65,C$104) + COUNTIF(Logs!$O83,C$104) + COUNTIF(Logs!$N102,C$104) + COUNTIF(Logs!$O122,C$104) + COUNTIF(Logs!$N141,C$104) + COUNTIF(Logs!$O161,C$104) + COUNTIF(Logs!$N179,C$104) +  COUNTIF(Logs!$O200,C$104) + COUNTIF(Logs!$M217,C$104) + COUNTIF(Logs!$M235,C$104) + COUNTIF(Logs!$N252,C$104) + COUNTIF(Logs!$N269,C$104) + COUNTIF(Logs!$N287,C$104) + COUNTIF(Logs!$N304,C$104) + COUNTIF(Logs!$N322,C$104) + COUNTIF(Logs!$N340,C$104) + COUNTIF(Logs!$N358,C$104) + COUNTIF(Logs!$N376,C$104) + COUNTIF(Logs!$N395,C$104) + COUNTIF(Logs!$N413,C$104) + COUNTIF(Logs!$N431,C$104) + COUNTIF(Logs!$N449,C$104) + COUNTIF(Logs!$N467,C$104) + COUNTIF(Logs!$N485,C$104) + COUNTIF(Logs!$N503,C$104) + COUNTIF(Logs!$N521,C$104) + COUNTIF(Logs!$N539,C$104) + COUNTIF(Logs!$N557,C$104) + COUNTIF(Logs!$M574,C$104) + COUNTIF(Logs!$M593,C$104) + COUNTIF(Logs!$L609,C$104) + COUNTIF(Logs!$N625,C$104) + COUNTIF(Logs!$M642,C$104) + COUNTIF(Logs!$N657,C$104) + COUNTIF(Logs!$N673,C$104)</f>
        <v>25</v>
      </c>
      <c r="D108" s="1448">
        <f t="shared" si="60"/>
        <v>0.65789473684210531</v>
      </c>
      <c r="E108" s="8">
        <f>COUNTIF(Logs!$O11,E$104) + COUNTIF(Logs!$O29,E$104) + COUNTIF(Logs!$O47,E$104) + COUNTIF(Logs!$O65,E$104) + COUNTIF(Logs!$O83,E$104) + COUNTIF(Logs!$N102,E$104) + COUNTIF(Logs!$O122,E$104) + COUNTIF(Logs!$N141,E$104) + COUNTIF(Logs!$O161,E$104) + COUNTIF(Logs!$N179,E$104) +  COUNTIF(Logs!$O200,E$104) + COUNTIF(Logs!$M217,E$104) + COUNTIF(Logs!$M235,E$104) + COUNTIF(Logs!$N252,E$104) + COUNTIF(Logs!$N269,E$104) + COUNTIF(Logs!$N287,E$104) + COUNTIF(Logs!$N304,E$104) + COUNTIF(Logs!$N322,E$104) + COUNTIF(Logs!$N340,E$104) + COUNTIF(Logs!$N358,E$104) + COUNTIF(Logs!$N376,E$104) + COUNTIF(Logs!$N395,E$104) + COUNTIF(Logs!$N413,E$104) + COUNTIF(Logs!$N431,E$104) + COUNTIF(Logs!$N449,E$104) + COUNTIF(Logs!$N467,E$104) + COUNTIF(Logs!$N485,E$104) + COUNTIF(Logs!$N503,E$104) + COUNTIF(Logs!$N521,E$104) + COUNTIF(Logs!$N539,E$104) + COUNTIF(Logs!$N557,E$104) + COUNTIF(Logs!$M574,E$104) + COUNTIF(Logs!$M593,E$104) + COUNTIF(Logs!$L609,E$104) + COUNTIF(Logs!$N625,E$104) + COUNTIF(Logs!$M642,E$104) + COUNTIF(Logs!$N657,E$104) + COUNTIF(Logs!$N673,E$104)</f>
        <v>9</v>
      </c>
      <c r="F108" s="1437">
        <f t="shared" si="61"/>
        <v>0.23684210526315788</v>
      </c>
      <c r="G108" s="33">
        <f>COUNTIF(Logs!$O11,G$104) + COUNTIF(Logs!$O29,G$104) + COUNTIF(Logs!$O47,G$104) + COUNTIF(Logs!$O65,G$104) + COUNTIF(Logs!$O83,G$104) + COUNTIF(Logs!$N102,G$104) + COUNTIF(Logs!$O122,G$104) + COUNTIF(Logs!$N141,G$104) + COUNTIF(Logs!$O161,G$104) + COUNTIF(Logs!$N179,G$104) +  COUNTIF(Logs!$O200,G$104) + COUNTIF(Logs!$M217,G$104) + COUNTIF(Logs!$M235,G$104) + COUNTIF(Logs!$N252,G$104) + COUNTIF(Logs!$N269,G$104) + COUNTIF(Logs!$N287,G$104) + COUNTIF(Logs!$N304,G$104) + COUNTIF(Logs!$N322,G$104) + COUNTIF(Logs!$N340,G$104) + COUNTIF(Logs!$N358,G$104) + COUNTIF(Logs!$N376,G$104) + COUNTIF(Logs!$N395,G$104) + COUNTIF(Logs!$N413,G$104) + COUNTIF(Logs!$N431,G$104) + COUNTIF(Logs!$N449,G$104) + COUNTIF(Logs!$N467,G$104) + COUNTIF(Logs!$N485,G$104) + COUNTIF(Logs!$N503,G$104) + COUNTIF(Logs!$N521,G$104) + COUNTIF(Logs!$N539,G$104) + COUNTIF(Logs!$N557,G$104) + COUNTIF(Logs!$M574,G$104) + COUNTIF(Logs!$M593,G$104) + COUNTIF(Logs!$L609,G$104) + COUNTIF(Logs!$N625,G$104) + COUNTIF(Logs!$M642,G$104) + COUNTIF(Logs!$N657,G$104) + COUNTIF(Logs!$N673,G$104)</f>
        <v>4</v>
      </c>
      <c r="H108" s="1440">
        <f t="shared" si="62"/>
        <v>0.10526315789473684</v>
      </c>
      <c r="I108" s="329">
        <f>COUNTIF(Logs!$O11,I$104) + COUNTIF(Logs!$O29,I$104) + COUNTIF(Logs!$O47,I$104) + COUNTIF(Logs!$O65,I$104) + COUNTIF(Logs!$O83,I$104) + COUNTIF(Logs!$N102,I$104) + COUNTIF(Logs!$O122,I$104) + COUNTIF(Logs!$N141,I$104) + COUNTIF(Logs!$O161,I$104) + COUNTIF(Logs!$N179,I$104) +  COUNTIF(Logs!$O200,I$104) + COUNTIF(Logs!$M217,I$104) + COUNTIF(Logs!$M235,I$104) + COUNTIF(Logs!$N252,I$104) + COUNTIF(Logs!$N269,I$104) + COUNTIF(Logs!$N287,I$104) + COUNTIF(Logs!$N304,I$104) + COUNTIF(Logs!$N322,I$104) + COUNTIF(Logs!$N340,I$104) + COUNTIF(Logs!$N358,I$104) + COUNTIF(Logs!$N376,I$104) + COUNTIF(Logs!$N395,I$104) + COUNTIF(Logs!$N413,I$104) + COUNTIF(Logs!$N431,I$104) + COUNTIF(Logs!$N449,I$104) + COUNTIF(Logs!$N467,I$104) + COUNTIF(Logs!$N485,I$104) + COUNTIF(Logs!$N503,I$104) + COUNTIF(Logs!$N521,I$104) + COUNTIF(Logs!$N539,I$104) + COUNTIF(Logs!$N557,I$104) + COUNTIF(Logs!$M574,I$104) + COUNTIF(Logs!$M593,I$104) + COUNTIF(Logs!$L609,I$104) + COUNTIF(Logs!$N625,I$104) + COUNTIF(Logs!$M642,I$104) + COUNTIF(Logs!$N657,I$104) + COUNTIF(Logs!$N673,I$104)</f>
        <v>0</v>
      </c>
      <c r="J108" s="1444" t="str">
        <f t="shared" si="63"/>
        <v/>
      </c>
      <c r="K108" s="1101">
        <f>COUNTIF(Logs!$O11,K$104) + COUNTIF(Logs!$O29,K$104) + COUNTIF(Logs!$O47,K$104) + COUNTIF(Logs!$O65,K$104) + COUNTIF(Logs!$O83,K$104) + COUNTIF(Logs!$N102,K$104) + COUNTIF(Logs!$O122,K$104) + COUNTIF(Logs!$N141,K$104) + COUNTIF(Logs!$O161,K$104) + COUNTIF(Logs!$N179,K$104) +  COUNTIF(Logs!$O200,K$104) + COUNTIF(Logs!$M217,K$104) + COUNTIF(Logs!$M235,K$104) + COUNTIF(Logs!$N252,K$104) + COUNTIF(Logs!$N269,K$104) + COUNTIF(Logs!$N287,K$104) + COUNTIF(Logs!$N304,K$104) + COUNTIF(Logs!$N322,K$104) + COUNTIF(Logs!$N340,K$104) + COUNTIF(Logs!$N358,K$104) + COUNTIF(Logs!$N376,K$104) + COUNTIF(Logs!$N395,K$104) + COUNTIF(Logs!$N413,K$104) + COUNTIF(Logs!$N431,K$104) + COUNTIF(Logs!$N449,K$104) + COUNTIF(Logs!$N467,K$104) + COUNTIF(Logs!$N485,K$104) + COUNTIF(Logs!$N503,K$104) + COUNTIF(Logs!$N521,K$104) + COUNTIF(Logs!$N539,K$104) + COUNTIF(Logs!$N557,K$104) + COUNTIF(Logs!$M574,K$104) + COUNTIF(Logs!$M593,K$104) + COUNTIF(Logs!$L609,K$104) + COUNTIF(Logs!$N625,K$104) + COUNTIF(Logs!$M642,K$104) + COUNTIF(Logs!$N657,K$104) + COUNTIF(Logs!$N673,K$104)</f>
        <v>0</v>
      </c>
      <c r="L108" s="1161">
        <f>COUNTIF(Logs!$O11,L$104) + COUNTIF(Logs!$O29,L$104) + COUNTIF(Logs!$O47,L$104) + COUNTIF(Logs!$O65,L$104) + COUNTIF(Logs!$O83,L$104) + COUNTIF(Logs!$N102,L$104) + COUNTIF(Logs!$O122,L$104) + COUNTIF(Logs!$N141,L$104) + COUNTIF(Logs!$O161,L$104) + COUNTIF(Logs!$N179,L$104) +  COUNTIF(Logs!$O200,L$104) + COUNTIF(Logs!$M217,L$104) + COUNTIF(Logs!$M235,L$104) + COUNTIF(Logs!$N252,L$104) + COUNTIF(Logs!$N269,L$104) + COUNTIF(Logs!$N287,L$104) + COUNTIF(Logs!$N304,L$104) + COUNTIF(Logs!$N322,L$104) + COUNTIF(Logs!$N340,L$104) + COUNTIF(Logs!$N358,L$104) + COUNTIF(Logs!$N376,L$104) + COUNTIF(Logs!$N395,L$104) + COUNTIF(Logs!$N413,L$104) + COUNTIF(Logs!$N431,L$104) + COUNTIF(Logs!$N449,L$104) + COUNTIF(Logs!$N467,L$104) + COUNTIF(Logs!$N485,L$104) + COUNTIF(Logs!$N503,L$104) + COUNTIF(Logs!$N521,L$104) + COUNTIF(Logs!$N539,L$104) + COUNTIF(Logs!$N557,L$104) + COUNTIF(Logs!$M574,L$104) + COUNTIF(Logs!$M593,L$104) + COUNTIF(Logs!$L609,L$104) + COUNTIF(Logs!$N625,L$104) + COUNTIF(Logs!$M642,L$104) + COUNTIF(Logs!$N657,L$104) + COUNTIF(Logs!$N673,L$104)</f>
        <v>0</v>
      </c>
    </row>
    <row r="109" spans="2:24">
      <c r="B109" s="1378" t="s">
        <v>188</v>
      </c>
      <c r="C109" s="319">
        <f>COUNTIF(Logs!$O12,C$104) + COUNTIF(Logs!$O30,C$104) + COUNTIF(Logs!$O48,C$104) + COUNTIF(Logs!$O66,C$104) + COUNTIF(Logs!$O84,C$104) + COUNTIF(Logs!$N103,C$104) + COUNTIF(Logs!$O123,C$104) + COUNTIF(Logs!$N142,C$104) + COUNTIF(Logs!$O162,C$104) + COUNTIF(Logs!$N180,C$104) +  COUNTIF(Logs!$O201,C$104) + COUNTIF(Logs!$M218,C$104) + COUNTIF(Logs!$M236,C$104) + COUNTIF(Logs!$N253,C$104) + COUNTIF(Logs!$N270,C$104) + COUNTIF(Logs!$N288,C$104) + COUNTIF(Logs!$N305,C$104) + COUNTIF(Logs!$N323,C$104) + COUNTIF(Logs!$N341,C$104) + COUNTIF(Logs!$N359,C$104) + COUNTIF(Logs!$N377,C$104) + COUNTIF(Logs!$N396,C$104) + COUNTIF(Logs!$N414,C$104) + COUNTIF(Logs!$N432,C$104) + COUNTIF(Logs!$N450,C$104) + COUNTIF(Logs!$N468,C$104) + COUNTIF(Logs!$N486,C$104) + COUNTIF(Logs!$N504,C$104) + COUNTIF(Logs!$N522,C$104) + COUNTIF(Logs!$N540,C$104) + COUNTIF(Logs!$N558,C$104) + COUNTIF(Logs!$M575,C$104) + COUNTIF(Logs!$M594,C$104) + COUNTIF(Logs!$L610,C$104) + COUNTIF(Logs!$N626,C$104) + COUNTIF(Logs!$M643,C$104) + COUNTIF(Logs!$N658,C$104) + COUNTIF(Logs!$N674,C$104)</f>
        <v>30</v>
      </c>
      <c r="D109" s="1448">
        <f t="shared" si="60"/>
        <v>0.78947368421052633</v>
      </c>
      <c r="E109" s="8">
        <f>COUNTIF(Logs!$O12,E$104) + COUNTIF(Logs!$O30,E$104) + COUNTIF(Logs!$O48,E$104) + COUNTIF(Logs!$O66,E$104) + COUNTIF(Logs!$O84,E$104) + COUNTIF(Logs!$N103,E$104) + COUNTIF(Logs!$O123,E$104) + COUNTIF(Logs!$N142,E$104) + COUNTIF(Logs!$O162,E$104) + COUNTIF(Logs!$N180,E$104) +  COUNTIF(Logs!$O201,E$104) + COUNTIF(Logs!$M218,E$104) + COUNTIF(Logs!$M236,E$104) + COUNTIF(Logs!$N253,E$104) + COUNTIF(Logs!$N270,E$104) + COUNTIF(Logs!$N288,E$104) + COUNTIF(Logs!$N305,E$104) + COUNTIF(Logs!$N323,E$104) + COUNTIF(Logs!$N341,E$104) + COUNTIF(Logs!$N359,E$104) + COUNTIF(Logs!$N377,E$104) + COUNTIF(Logs!$N396,E$104) + COUNTIF(Logs!$N414,E$104) + COUNTIF(Logs!$N432,E$104) + COUNTIF(Logs!$N450,E$104) + COUNTIF(Logs!$N468,E$104) + COUNTIF(Logs!$N486,E$104) + COUNTIF(Logs!$N504,E$104) + COUNTIF(Logs!$N522,E$104) + COUNTIF(Logs!$N540,E$104) + COUNTIF(Logs!$N558,E$104) + COUNTIF(Logs!$M575,E$104) + COUNTIF(Logs!$M594,E$104) + COUNTIF(Logs!$L610,E$104) + COUNTIF(Logs!$N626,E$104) + COUNTIF(Logs!$M643,E$104) + COUNTIF(Logs!$N658,E$104) + COUNTIF(Logs!$N674,E$104)</f>
        <v>7</v>
      </c>
      <c r="F109" s="1437">
        <f t="shared" si="61"/>
        <v>0.18421052631578946</v>
      </c>
      <c r="G109" s="33">
        <f>COUNTIF(Logs!$O12,G$104) + COUNTIF(Logs!$O30,G$104) + COUNTIF(Logs!$O48,G$104) + COUNTIF(Logs!$O66,G$104) + COUNTIF(Logs!$O84,G$104) + COUNTIF(Logs!$N103,G$104) + COUNTIF(Logs!$O123,G$104) + COUNTIF(Logs!$N142,G$104) + COUNTIF(Logs!$O162,G$104) + COUNTIF(Logs!$N180,G$104) +  COUNTIF(Logs!$O201,G$104) + COUNTIF(Logs!$M218,G$104) + COUNTIF(Logs!$M236,G$104) + COUNTIF(Logs!$N253,G$104) + COUNTIF(Logs!$N270,G$104) + COUNTIF(Logs!$N288,G$104) + COUNTIF(Logs!$N305,G$104) + COUNTIF(Logs!$N323,G$104) + COUNTIF(Logs!$N341,G$104) + COUNTIF(Logs!$N359,G$104) + COUNTIF(Logs!$N377,G$104) + COUNTIF(Logs!$N396,G$104) + COUNTIF(Logs!$N414,G$104) + COUNTIF(Logs!$N432,G$104) + COUNTIF(Logs!$N450,G$104) + COUNTIF(Logs!$N468,G$104) + COUNTIF(Logs!$N486,G$104) + COUNTIF(Logs!$N504,G$104) + COUNTIF(Logs!$N522,G$104) + COUNTIF(Logs!$N540,G$104) + COUNTIF(Logs!$N558,G$104) + COUNTIF(Logs!$M575,G$104) + COUNTIF(Logs!$M594,G$104) + COUNTIF(Logs!$L610,G$104) + COUNTIF(Logs!$N626,G$104) + COUNTIF(Logs!$M643,G$104) + COUNTIF(Logs!$N658,G$104) + COUNTIF(Logs!$N674,G$104)</f>
        <v>1</v>
      </c>
      <c r="H109" s="1440">
        <f t="shared" si="62"/>
        <v>2.6315789473684209E-2</v>
      </c>
      <c r="I109" s="329">
        <f>COUNTIF(Logs!$O12,I$104) + COUNTIF(Logs!$O30,I$104) + COUNTIF(Logs!$O48,I$104) + COUNTIF(Logs!$O66,I$104) + COUNTIF(Logs!$O84,I$104) + COUNTIF(Logs!$N103,I$104) + COUNTIF(Logs!$O123,I$104) + COUNTIF(Logs!$N142,I$104) + COUNTIF(Logs!$O162,I$104) + COUNTIF(Logs!$N180,I$104) +  COUNTIF(Logs!$O201,I$104) + COUNTIF(Logs!$M218,I$104) + COUNTIF(Logs!$M236,I$104) + COUNTIF(Logs!$N253,I$104) + COUNTIF(Logs!$N270,I$104) + COUNTIF(Logs!$N288,I$104) + COUNTIF(Logs!$N305,I$104) + COUNTIF(Logs!$N323,I$104) + COUNTIF(Logs!$N341,I$104) + COUNTIF(Logs!$N359,I$104) + COUNTIF(Logs!$N377,I$104) + COUNTIF(Logs!$N396,I$104) + COUNTIF(Logs!$N414,I$104) + COUNTIF(Logs!$N432,I$104) + COUNTIF(Logs!$N450,I$104) + COUNTIF(Logs!$N468,I$104) + COUNTIF(Logs!$N486,I$104) + COUNTIF(Logs!$N504,I$104) + COUNTIF(Logs!$N522,I$104) + COUNTIF(Logs!$N540,I$104) + COUNTIF(Logs!$N558,I$104) + COUNTIF(Logs!$M575,I$104) + COUNTIF(Logs!$M594,I$104) + COUNTIF(Logs!$L610,I$104) + COUNTIF(Logs!$N626,I$104) + COUNTIF(Logs!$M643,I$104) + COUNTIF(Logs!$N658,I$104) + COUNTIF(Logs!$N674,I$104)</f>
        <v>0</v>
      </c>
      <c r="J109" s="1444" t="str">
        <f>IF(I109&gt;0, I109/SUM($C109,$E109, $G109,$I109,$K109), "")</f>
        <v/>
      </c>
      <c r="K109" s="1101">
        <f>COUNTIF(Logs!$O12,K$104) + COUNTIF(Logs!$O30,K$104) + COUNTIF(Logs!$O48,K$104) + COUNTIF(Logs!$O66,K$104) + COUNTIF(Logs!$O84,K$104) + COUNTIF(Logs!$N103,K$104) + COUNTIF(Logs!$O123,K$104) + COUNTIF(Logs!$N142,K$104) + COUNTIF(Logs!$O162,K$104) + COUNTIF(Logs!$N180,K$104) +  COUNTIF(Logs!$O201,K$104) + COUNTIF(Logs!$M218,K$104) + COUNTIF(Logs!$M236,K$104) + COUNTIF(Logs!$N253,K$104) + COUNTIF(Logs!$N270,K$104) + COUNTIF(Logs!$N288,K$104) + COUNTIF(Logs!$N305,K$104) + COUNTIF(Logs!$N323,K$104) + COUNTIF(Logs!$N341,K$104) + COUNTIF(Logs!$N359,K$104) + COUNTIF(Logs!$N377,K$104) + COUNTIF(Logs!$N396,K$104) + COUNTIF(Logs!$N414,K$104) + COUNTIF(Logs!$N432,K$104) + COUNTIF(Logs!$N450,K$104) + COUNTIF(Logs!$N468,K$104) + COUNTIF(Logs!$N486,K$104) + COUNTIF(Logs!$N504,K$104) + COUNTIF(Logs!$N522,K$104) + COUNTIF(Logs!$N540,K$104) + COUNTIF(Logs!$N558,K$104) + COUNTIF(Logs!$M575,K$104) + COUNTIF(Logs!$M594,K$104) + COUNTIF(Logs!$L610,K$104) + COUNTIF(Logs!$N626,K$104) + COUNTIF(Logs!$M643,K$104) + COUNTIF(Logs!$N658,K$104) + COUNTIF(Logs!$N674,K$104)</f>
        <v>0</v>
      </c>
      <c r="L109" s="1161">
        <f>COUNTIF(Logs!$O12,L$104) + COUNTIF(Logs!$O30,L$104) + COUNTIF(Logs!$O48,L$104) + COUNTIF(Logs!$O66,L$104) + COUNTIF(Logs!$O84,L$104) + COUNTIF(Logs!$N103,L$104) + COUNTIF(Logs!$O123,L$104) + COUNTIF(Logs!$N142,L$104) + COUNTIF(Logs!$O162,L$104) + COUNTIF(Logs!$N180,L$104) +  COUNTIF(Logs!$O201,L$104) + COUNTIF(Logs!$M218,L$104) + COUNTIF(Logs!$M236,L$104) + COUNTIF(Logs!$N253,L$104) + COUNTIF(Logs!$N270,L$104) + COUNTIF(Logs!$N288,L$104) + COUNTIF(Logs!$N305,L$104) + COUNTIF(Logs!$N323,L$104) + COUNTIF(Logs!$N341,L$104) + COUNTIF(Logs!$N359,L$104) + COUNTIF(Logs!$N377,L$104) + COUNTIF(Logs!$N396,L$104) + COUNTIF(Logs!$N414,L$104) + COUNTIF(Logs!$N432,L$104) + COUNTIF(Logs!$N450,L$104) + COUNTIF(Logs!$N468,L$104) + COUNTIF(Logs!$N486,L$104) + COUNTIF(Logs!$N504,L$104) + COUNTIF(Logs!$N522,L$104) + COUNTIF(Logs!$N540,L$104) + COUNTIF(Logs!$N558,L$104) + COUNTIF(Logs!$M575,L$104) + COUNTIF(Logs!$M594,L$104) + COUNTIF(Logs!$L610,L$104) + COUNTIF(Logs!$N626,L$104) + COUNTIF(Logs!$M643,L$104) + COUNTIF(Logs!$N658,L$104) + COUNTIF(Logs!$N674,L$104)</f>
        <v>0</v>
      </c>
    </row>
    <row r="110" spans="2:24">
      <c r="B110" s="1378" t="s">
        <v>189</v>
      </c>
      <c r="C110" s="319">
        <f>COUNTIF(Logs!$O13,C$104) + COUNTIF(Logs!$O31,C$104) + COUNTIF(Logs!$O49,C$104) + COUNTIF(Logs!$O67,C$104) + COUNTIF(Logs!$O85,C$104) + COUNTIF(Logs!$N104,C$104) + COUNTIF(Logs!$O124,C$104) + COUNTIF(Logs!$N143,C$104) + COUNTIF(Logs!$O163,C$104) + COUNTIF(Logs!$N181,C$104) +  COUNTIF(Logs!$O202,C$104) + COUNTIF(Logs!$M219,C$104) + COUNTIF(Logs!$M237,C$104) + COUNTIF(Logs!$N254,C$104) + COUNTIF(Logs!$N271,C$104) + COUNTIF(Logs!$N289,C$104) + COUNTIF(Logs!$N306,C$104) + COUNTIF(Logs!$N324,C$104) + COUNTIF(Logs!$N342,C$104) + COUNTIF(Logs!$N360,C$104) + COUNTIF(Logs!$N378,C$104) + COUNTIF(Logs!$N397,C$104) + COUNTIF(Logs!$N415,C$104) + COUNTIF(Logs!$N433,C$104) + COUNTIF(Logs!$N451,C$104) + COUNTIF(Logs!$N469,C$104) + COUNTIF(Logs!$N487,C$104) + COUNTIF(Logs!$N505,C$104) + COUNTIF(Logs!$N523,C$104) + COUNTIF(Logs!$N541,C$104) + COUNTIF(Logs!$N559,C$104) + COUNTIF(Logs!$M576,C$104) + COUNTIF(Logs!$M595,C$104) + COUNTIF(Logs!$L611,C$104) + COUNTIF(Logs!$N627,C$104) + COUNTIF(Logs!$M644,C$104) + COUNTIF(Logs!$N659,C$104) + COUNTIF(Logs!$N675,C$104)</f>
        <v>33</v>
      </c>
      <c r="D110" s="1448">
        <f t="shared" si="60"/>
        <v>0.86842105263157898</v>
      </c>
      <c r="E110" s="8">
        <f>COUNTIF(Logs!$O13,E$104) + COUNTIF(Logs!$O31,E$104) + COUNTIF(Logs!$O49,E$104) + COUNTIF(Logs!$O67,E$104) + COUNTIF(Logs!$O85,E$104) + COUNTIF(Logs!$N104,E$104) + COUNTIF(Logs!$O124,E$104) + COUNTIF(Logs!$N143,E$104) + COUNTIF(Logs!$O163,E$104) + COUNTIF(Logs!$N181,E$104) +  COUNTIF(Logs!$O202,E$104) + COUNTIF(Logs!$M219,E$104) + COUNTIF(Logs!$M237,E$104) + COUNTIF(Logs!$N254,E$104) + COUNTIF(Logs!$N271,E$104) + COUNTIF(Logs!$N289,E$104) + COUNTIF(Logs!$N306,E$104) + COUNTIF(Logs!$N324,E$104) + COUNTIF(Logs!$N342,E$104) + COUNTIF(Logs!$N360,E$104) + COUNTIF(Logs!$N378,E$104) + COUNTIF(Logs!$N397,E$104) + COUNTIF(Logs!$N415,E$104) + COUNTIF(Logs!$N433,E$104) + COUNTIF(Logs!$N451,E$104) + COUNTIF(Logs!$N469,E$104) + COUNTIF(Logs!$N487,E$104) + COUNTIF(Logs!$N505,E$104) + COUNTIF(Logs!$N523,E$104) + COUNTIF(Logs!$N541,E$104) + COUNTIF(Logs!$N559,E$104) + COUNTIF(Logs!$M576,E$104) + COUNTIF(Logs!$M595,E$104) + COUNTIF(Logs!$L611,E$104) + COUNTIF(Logs!$N627,E$104) + COUNTIF(Logs!$M644,E$104) + COUNTIF(Logs!$N659,E$104) + COUNTIF(Logs!$N675,E$104)</f>
        <v>5</v>
      </c>
      <c r="F110" s="1437">
        <f t="shared" si="61"/>
        <v>0.13157894736842105</v>
      </c>
      <c r="G110" s="33">
        <f>COUNTIF(Logs!$O13,G$104) + COUNTIF(Logs!$O31,G$104) + COUNTIF(Logs!$O49,G$104) + COUNTIF(Logs!$O67,G$104) + COUNTIF(Logs!$O85,G$104) + COUNTIF(Logs!$N104,G$104) + COUNTIF(Logs!$O124,G$104) + COUNTIF(Logs!$N143,G$104) + COUNTIF(Logs!$O163,G$104) + COUNTIF(Logs!$N181,G$104) +  COUNTIF(Logs!$O202,G$104) + COUNTIF(Logs!$M219,G$104) + COUNTIF(Logs!$M237,G$104) + COUNTIF(Logs!$N254,G$104) + COUNTIF(Logs!$N271,G$104) + COUNTIF(Logs!$N289,G$104) + COUNTIF(Logs!$N306,G$104) + COUNTIF(Logs!$N324,G$104) + COUNTIF(Logs!$N342,G$104) + COUNTIF(Logs!$N360,G$104) + COUNTIF(Logs!$N378,G$104) + COUNTIF(Logs!$N397,G$104) + COUNTIF(Logs!$N415,G$104) + COUNTIF(Logs!$N433,G$104) + COUNTIF(Logs!$N451,G$104) + COUNTIF(Logs!$N469,G$104) + COUNTIF(Logs!$N487,G$104) + COUNTIF(Logs!$N505,G$104) + COUNTIF(Logs!$N523,G$104) + COUNTIF(Logs!$N541,G$104) + COUNTIF(Logs!$N559,G$104) + COUNTIF(Logs!$M576,G$104) + COUNTIF(Logs!$M595,G$104) + COUNTIF(Logs!$L611,G$104) + COUNTIF(Logs!$N627,G$104) + COUNTIF(Logs!$M644,G$104) + COUNTIF(Logs!$N659,G$104) + COUNTIF(Logs!$N675,G$104)</f>
        <v>0</v>
      </c>
      <c r="H110" s="1440" t="str">
        <f t="shared" si="62"/>
        <v/>
      </c>
      <c r="I110" s="329">
        <f>COUNTIF(Logs!$O13,I$104) + COUNTIF(Logs!$O31,I$104) + COUNTIF(Logs!$O49,I$104) + COUNTIF(Logs!$O67,I$104) + COUNTIF(Logs!$O85,I$104) + COUNTIF(Logs!$N104,I$104) + COUNTIF(Logs!$O124,I$104) + COUNTIF(Logs!$N143,I$104) + COUNTIF(Logs!$O163,I$104) + COUNTIF(Logs!$N181,I$104) +  COUNTIF(Logs!$O202,I$104) + COUNTIF(Logs!$M219,I$104) + COUNTIF(Logs!$M237,I$104) + COUNTIF(Logs!$N254,I$104) + COUNTIF(Logs!$N271,I$104) + COUNTIF(Logs!$N289,I$104) + COUNTIF(Logs!$N306,I$104) + COUNTIF(Logs!$N324,I$104) + COUNTIF(Logs!$N342,I$104) + COUNTIF(Logs!$N360,I$104) + COUNTIF(Logs!$N378,I$104) + COUNTIF(Logs!$N397,I$104) + COUNTIF(Logs!$N415,I$104) + COUNTIF(Logs!$N433,I$104) + COUNTIF(Logs!$N451,I$104) + COUNTIF(Logs!$N469,I$104) + COUNTIF(Logs!$N487,I$104) + COUNTIF(Logs!$N505,I$104) + COUNTIF(Logs!$N523,I$104) + COUNTIF(Logs!$N541,I$104) + COUNTIF(Logs!$N559,I$104) + COUNTIF(Logs!$M576,I$104) + COUNTIF(Logs!$M595,I$104) + COUNTIF(Logs!$L611,I$104) + COUNTIF(Logs!$N627,I$104) + COUNTIF(Logs!$M644,I$104) + COUNTIF(Logs!$N659,I$104) + COUNTIF(Logs!$N675,I$104)</f>
        <v>0</v>
      </c>
      <c r="J110" s="1444" t="str">
        <f t="shared" si="63"/>
        <v/>
      </c>
      <c r="K110" s="1101">
        <f>COUNTIF(Logs!$O13,K$104) + COUNTIF(Logs!$O31,K$104) + COUNTIF(Logs!$O49,K$104) + COUNTIF(Logs!$O67,K$104) + COUNTIF(Logs!$O85,K$104) + COUNTIF(Logs!$N104,K$104) + COUNTIF(Logs!$O124,K$104) + COUNTIF(Logs!$N143,K$104) + COUNTIF(Logs!$O163,K$104) + COUNTIF(Logs!$N181,K$104) +  COUNTIF(Logs!$O202,K$104) + COUNTIF(Logs!$M219,K$104) + COUNTIF(Logs!$M237,K$104) + COUNTIF(Logs!$N254,K$104) + COUNTIF(Logs!$N271,K$104) + COUNTIF(Logs!$N289,K$104) + COUNTIF(Logs!$N306,K$104) + COUNTIF(Logs!$N324,K$104) + COUNTIF(Logs!$N342,K$104) + COUNTIF(Logs!$N360,K$104) + COUNTIF(Logs!$N378,K$104) + COUNTIF(Logs!$N397,K$104) + COUNTIF(Logs!$N415,K$104) + COUNTIF(Logs!$N433,K$104) + COUNTIF(Logs!$N451,K$104) + COUNTIF(Logs!$N469,K$104) + COUNTIF(Logs!$N487,K$104) + COUNTIF(Logs!$N505,K$104) + COUNTIF(Logs!$N523,K$104) + COUNTIF(Logs!$N541,K$104) + COUNTIF(Logs!$N559,K$104) + COUNTIF(Logs!$M576,K$104) + COUNTIF(Logs!$M595,K$104) + COUNTIF(Logs!$L611,K$104) + COUNTIF(Logs!$N627,K$104) + COUNTIF(Logs!$M644,K$104) + COUNTIF(Logs!$N659,K$104) + COUNTIF(Logs!$N675,K$104)</f>
        <v>0</v>
      </c>
      <c r="L110" s="1161">
        <f>COUNTIF(Logs!$O13,L$104) + COUNTIF(Logs!$O31,L$104) + COUNTIF(Logs!$O49,L$104) + COUNTIF(Logs!$O67,L$104) + COUNTIF(Logs!$O85,L$104) + COUNTIF(Logs!$N104,L$104) + COUNTIF(Logs!$O124,L$104) + COUNTIF(Logs!$N143,L$104) + COUNTIF(Logs!$O163,L$104) + COUNTIF(Logs!$N181,L$104) +  COUNTIF(Logs!$O202,L$104) + COUNTIF(Logs!$M219,L$104) + COUNTIF(Logs!$M237,L$104) + COUNTIF(Logs!$N254,L$104) + COUNTIF(Logs!$N271,L$104) + COUNTIF(Logs!$N289,L$104) + COUNTIF(Logs!$N306,L$104) + COUNTIF(Logs!$N324,L$104) + COUNTIF(Logs!$N342,L$104) + COUNTIF(Logs!$N360,L$104) + COUNTIF(Logs!$N378,L$104) + COUNTIF(Logs!$N397,L$104) + COUNTIF(Logs!$N415,L$104) + COUNTIF(Logs!$N433,L$104) + COUNTIF(Logs!$N451,L$104) + COUNTIF(Logs!$N469,L$104) + COUNTIF(Logs!$N487,L$104) + COUNTIF(Logs!$N505,L$104) + COUNTIF(Logs!$N523,L$104) + COUNTIF(Logs!$N541,L$104) + COUNTIF(Logs!$N559,L$104) + COUNTIF(Logs!$M576,L$104) + COUNTIF(Logs!$M595,L$104) + COUNTIF(Logs!$L611,L$104) + COUNTIF(Logs!$N627,L$104) + COUNTIF(Logs!$M644,L$104) + COUNTIF(Logs!$N659,L$104) + COUNTIF(Logs!$N675,L$104)</f>
        <v>0</v>
      </c>
    </row>
    <row r="111" spans="2:24">
      <c r="B111" s="1378" t="s">
        <v>190</v>
      </c>
      <c r="C111" s="319">
        <f>COUNTIF(Logs!$O14,C$104) + COUNTIF(Logs!$O32,C$104) + COUNTIF(Logs!$O50,C$104) + COUNTIF(Logs!$O68,C$104) + COUNTIF(Logs!$O86,C$104) + COUNTIF(Logs!$N105,C$104) + COUNTIF(Logs!$O125,C$104) + COUNTIF(Logs!$N144,C$104) + COUNTIF(Logs!$O164,C$104) + COUNTIF(Logs!$N182,C$104) +  COUNTIF(Logs!$O203,C$104) + COUNTIF(Logs!$M220,C$104) + COUNTIF(Logs!$M238,C$104) + COUNTIF(Logs!$N255,C$104) + COUNTIF(Logs!$N272,C$104) + COUNTIF(Logs!$N290,C$104) + COUNTIF(Logs!$N307,C$104) + COUNTIF(Logs!$N325,C$104) + COUNTIF(Logs!$N343,C$104) + COUNTIF(Logs!$N361,C$104) + COUNTIF(Logs!$N379,C$104) + COUNTIF(Logs!$N398,C$104) + COUNTIF(Logs!$N416,C$104) + COUNTIF(Logs!$N434,C$104) + COUNTIF(Logs!$N452,C$104) + COUNTIF(Logs!$N470,C$104) + COUNTIF(Logs!$N488,C$104) + COUNTIF(Logs!$N506,C$104) + COUNTIF(Logs!$N524,C$104) + COUNTIF(Logs!$N542,C$104) + COUNTIF(Logs!$N560,C$104) + COUNTIF(Logs!$M577,C$104) + COUNTIF(Logs!$M596,C$104) + COUNTIF(Logs!$L612,C$104) + COUNTIF(Logs!$N628,C$104) + COUNTIF(Logs!$M645,C$104) + COUNTIF(Logs!$N660,C$104) + COUNTIF(Logs!$N676,C$104)</f>
        <v>30</v>
      </c>
      <c r="D111" s="1448">
        <f t="shared" si="60"/>
        <v>0.83333333333333337</v>
      </c>
      <c r="E111" s="8">
        <f>COUNTIF(Logs!$O14,E$104) + COUNTIF(Logs!$O32,E$104) + COUNTIF(Logs!$O50,E$104) + COUNTIF(Logs!$O68,E$104) + COUNTIF(Logs!$O86,E$104) + COUNTIF(Logs!$N105,E$104) + COUNTIF(Logs!$O125,E$104) + COUNTIF(Logs!$N144,E$104) + COUNTIF(Logs!$O164,E$104) + COUNTIF(Logs!$N182,E$104) +  COUNTIF(Logs!$O203,E$104) + COUNTIF(Logs!$M220,E$104) + COUNTIF(Logs!$M238,E$104) + COUNTIF(Logs!$N255,E$104) + COUNTIF(Logs!$N272,E$104) + COUNTIF(Logs!$N290,E$104) + COUNTIF(Logs!$N307,E$104) + COUNTIF(Logs!$N325,E$104) + COUNTIF(Logs!$N343,E$104) + COUNTIF(Logs!$N361,E$104) + COUNTIF(Logs!$N379,E$104) + COUNTIF(Logs!$N398,E$104) + COUNTIF(Logs!$N416,E$104) + COUNTIF(Logs!$N434,E$104) + COUNTIF(Logs!$N452,E$104) + COUNTIF(Logs!$N470,E$104) + COUNTIF(Logs!$N488,E$104) + COUNTIF(Logs!$N506,E$104) + COUNTIF(Logs!$N524,E$104) + COUNTIF(Logs!$N542,E$104) + COUNTIF(Logs!$N560,E$104) + COUNTIF(Logs!$M577,E$104) + COUNTIF(Logs!$M596,E$104) + COUNTIF(Logs!$L612,E$104) + COUNTIF(Logs!$N628,E$104) + COUNTIF(Logs!$M645,E$104) + COUNTIF(Logs!$N660,E$104) + COUNTIF(Logs!$N676,E$104)</f>
        <v>4</v>
      </c>
      <c r="F111" s="1437">
        <f t="shared" si="61"/>
        <v>0.1111111111111111</v>
      </c>
      <c r="G111" s="33">
        <f>COUNTIF(Logs!$O14,G$104) + COUNTIF(Logs!$O32,G$104) + COUNTIF(Logs!$O50,G$104) + COUNTIF(Logs!$O68,G$104) + COUNTIF(Logs!$O86,G$104) + COUNTIF(Logs!$N105,G$104) + COUNTIF(Logs!$O125,G$104) + COUNTIF(Logs!$N144,G$104) + COUNTIF(Logs!$O164,G$104) + COUNTIF(Logs!$N182,G$104) +  COUNTIF(Logs!$O203,G$104) + COUNTIF(Logs!$M220,G$104) + COUNTIF(Logs!$M238,G$104) + COUNTIF(Logs!$N255,G$104) + COUNTIF(Logs!$N272,G$104) + COUNTIF(Logs!$N290,G$104) + COUNTIF(Logs!$N307,G$104) + COUNTIF(Logs!$N325,G$104) + COUNTIF(Logs!$N343,G$104) + COUNTIF(Logs!$N361,G$104) + COUNTIF(Logs!$N379,G$104) + COUNTIF(Logs!$N398,G$104) + COUNTIF(Logs!$N416,G$104) + COUNTIF(Logs!$N434,G$104) + COUNTIF(Logs!$N452,G$104) + COUNTIF(Logs!$N470,G$104) + COUNTIF(Logs!$N488,G$104) + COUNTIF(Logs!$N506,G$104) + COUNTIF(Logs!$N524,G$104) + COUNTIF(Logs!$N542,G$104) + COUNTIF(Logs!$N560,G$104) + COUNTIF(Logs!$M577,G$104) + COUNTIF(Logs!$M596,G$104) + COUNTIF(Logs!$L612,G$104) + COUNTIF(Logs!$N628,G$104) + COUNTIF(Logs!$M645,G$104) + COUNTIF(Logs!$N660,G$104) + COUNTIF(Logs!$N676,G$104)</f>
        <v>2</v>
      </c>
      <c r="H111" s="1440">
        <f t="shared" si="62"/>
        <v>5.5555555555555552E-2</v>
      </c>
      <c r="I111" s="329">
        <f>COUNTIF(Logs!$O14,I$104) + COUNTIF(Logs!$O32,I$104) + COUNTIF(Logs!$O50,I$104) + COUNTIF(Logs!$O68,I$104) + COUNTIF(Logs!$O86,I$104) + COUNTIF(Logs!$N105,I$104) + COUNTIF(Logs!$O125,I$104) + COUNTIF(Logs!$N144,I$104) + COUNTIF(Logs!$O164,I$104) + COUNTIF(Logs!$N182,I$104) +  COUNTIF(Logs!$O203,I$104) + COUNTIF(Logs!$M220,I$104) + COUNTIF(Logs!$M238,I$104) + COUNTIF(Logs!$N255,I$104) + COUNTIF(Logs!$N272,I$104) + COUNTIF(Logs!$N290,I$104) + COUNTIF(Logs!$N307,I$104) + COUNTIF(Logs!$N325,I$104) + COUNTIF(Logs!$N343,I$104) + COUNTIF(Logs!$N361,I$104) + COUNTIF(Logs!$N379,I$104) + COUNTIF(Logs!$N398,I$104) + COUNTIF(Logs!$N416,I$104) + COUNTIF(Logs!$N434,I$104) + COUNTIF(Logs!$N452,I$104) + COUNTIF(Logs!$N470,I$104) + COUNTIF(Logs!$N488,I$104) + COUNTIF(Logs!$N506,I$104) + COUNTIF(Logs!$N524,I$104) + COUNTIF(Logs!$N542,I$104) + COUNTIF(Logs!$N560,I$104) + COUNTIF(Logs!$M577,I$104) + COUNTIF(Logs!$M596,I$104) + COUNTIF(Logs!$L612,I$104) + COUNTIF(Logs!$N628,I$104) + COUNTIF(Logs!$M645,I$104) + COUNTIF(Logs!$N660,I$104) + COUNTIF(Logs!$N676,I$104)</f>
        <v>0</v>
      </c>
      <c r="J111" s="1444" t="str">
        <f t="shared" si="63"/>
        <v/>
      </c>
      <c r="K111" s="1101">
        <f>COUNTIF(Logs!$O14,K$104) + COUNTIF(Logs!$O32,K$104) + COUNTIF(Logs!$O50,K$104) + COUNTIF(Logs!$O68,K$104) + COUNTIF(Logs!$O86,K$104) + COUNTIF(Logs!$N105,K$104) + COUNTIF(Logs!$O125,K$104) + COUNTIF(Logs!$N144,K$104) + COUNTIF(Logs!$O164,K$104) + COUNTIF(Logs!$N182,K$104) +  COUNTIF(Logs!$O203,K$104) + COUNTIF(Logs!$M220,K$104) + COUNTIF(Logs!$M238,K$104) + COUNTIF(Logs!$N255,K$104) + COUNTIF(Logs!$N272,K$104) + COUNTIF(Logs!$N290,K$104) + COUNTIF(Logs!$N307,K$104) + COUNTIF(Logs!$N325,K$104) + COUNTIF(Logs!$N343,K$104) + COUNTIF(Logs!$N361,K$104) + COUNTIF(Logs!$N379,K$104) + COUNTIF(Logs!$N398,K$104) + COUNTIF(Logs!$N416,K$104) + COUNTIF(Logs!$N434,K$104) + COUNTIF(Logs!$N452,K$104) + COUNTIF(Logs!$N470,K$104) + COUNTIF(Logs!$N488,K$104) + COUNTIF(Logs!$N506,K$104) + COUNTIF(Logs!$N524,K$104) + COUNTIF(Logs!$N542,K$104) + COUNTIF(Logs!$N560,K$104) + COUNTIF(Logs!$M577,K$104) + COUNTIF(Logs!$M596,K$104) + COUNTIF(Logs!$L612,K$104) + COUNTIF(Logs!$N628,K$104) + COUNTIF(Logs!$M645,K$104) + COUNTIF(Logs!$N660,K$104) + COUNTIF(Logs!$N676,K$104)</f>
        <v>0</v>
      </c>
      <c r="L111" s="1161">
        <f>COUNTIF(Logs!$O14,L$104) + COUNTIF(Logs!$O32,L$104) + COUNTIF(Logs!$O50,L$104) + COUNTIF(Logs!$O68,L$104) + COUNTIF(Logs!$O86,L$104) + COUNTIF(Logs!$N105,L$104) + COUNTIF(Logs!$O125,L$104) + COUNTIF(Logs!$N144,L$104) + COUNTIF(Logs!$O164,L$104) + COUNTIF(Logs!$N182,L$104) +  COUNTIF(Logs!$O203,L$104) + COUNTIF(Logs!$M220,L$104) + COUNTIF(Logs!$M238,L$104) + COUNTIF(Logs!$N255,L$104) + COUNTIF(Logs!$N272,L$104) + COUNTIF(Logs!$N290,L$104) + COUNTIF(Logs!$N307,L$104) + COUNTIF(Logs!$N325,L$104) + COUNTIF(Logs!$N343,L$104) + COUNTIF(Logs!$N361,L$104) + COUNTIF(Logs!$N379,L$104) + COUNTIF(Logs!$N398,L$104) + COUNTIF(Logs!$N416,L$104) + COUNTIF(Logs!$N434,L$104) + COUNTIF(Logs!$N452,L$104) + COUNTIF(Logs!$N470,L$104) + COUNTIF(Logs!$N488,L$104) + COUNTIF(Logs!$N506,L$104) + COUNTIF(Logs!$N524,L$104) + COUNTIF(Logs!$N542,L$104) + COUNTIF(Logs!$N560,L$104) + COUNTIF(Logs!$M577,L$104) + COUNTIF(Logs!$M596,L$104) + COUNTIF(Logs!$L612,L$104) + COUNTIF(Logs!$N628,L$104) + COUNTIF(Logs!$M645,L$104) + COUNTIF(Logs!$N660,L$104) + COUNTIF(Logs!$N676,L$104)</f>
        <v>0</v>
      </c>
    </row>
    <row r="112" spans="2:24">
      <c r="B112" s="1378" t="s">
        <v>191</v>
      </c>
      <c r="C112" s="319">
        <f>COUNTIF(Logs!$O15,C$104) + COUNTIF(Logs!$O33,C$104) + COUNTIF(Logs!$O51,C$104) + COUNTIF(Logs!$O69,C$104) + COUNTIF(Logs!$O87,C$104) + COUNTIF(Logs!$N106,C$104) + COUNTIF(Logs!$O126,C$104) + COUNTIF(Logs!$N145,C$104) + COUNTIF(Logs!$O165,C$104) + COUNTIF(Logs!$N183,C$104) +  COUNTIF(Logs!$O204,C$104) + COUNTIF(Logs!$M221,C$104) + COUNTIF(Logs!$M239,C$104) + COUNTIF(Logs!$N256,C$104) + COUNTIF(Logs!$N273,C$104) + COUNTIF(Logs!$N291,C$104) + COUNTIF(Logs!$N308,C$104) + COUNTIF(Logs!$N326,C$104) + COUNTIF(Logs!$N344,C$104) + COUNTIF(Logs!$N362,C$104) + COUNTIF(Logs!$N380,C$104) + COUNTIF(Logs!$N399,C$104) + COUNTIF(Logs!$N417,C$104) + COUNTIF(Logs!$N435,C$104) + COUNTIF(Logs!$N453,C$104) + COUNTIF(Logs!$N471,C$104) + COUNTIF(Logs!$N489,C$104) + COUNTIF(Logs!$N507,C$104) + COUNTIF(Logs!$N525,C$104) + COUNTIF(Logs!$N543,C$104) + COUNTIF(Logs!$N561,C$104) + COUNTIF(Logs!$M578,C$104) + COUNTIF(Logs!$M597,C$104) + COUNTIF(Logs!$L613,C$104) + COUNTIF(Logs!$N629,C$104) + COUNTIF(Logs!$M646,C$104) + COUNTIF(Logs!$N661,C$104) + COUNTIF(Logs!$N677,C$104)</f>
        <v>31</v>
      </c>
      <c r="D112" s="1448">
        <f t="shared" si="60"/>
        <v>0.86111111111111116</v>
      </c>
      <c r="E112" s="8">
        <f>COUNTIF(Logs!$O15,E$104) + COUNTIF(Logs!$O33,E$104) + COUNTIF(Logs!$O51,E$104) + COUNTIF(Logs!$O69,E$104) + COUNTIF(Logs!$O87,E$104) + COUNTIF(Logs!$N106,E$104) + COUNTIF(Logs!$O126,E$104) + COUNTIF(Logs!$N145,E$104) + COUNTIF(Logs!$O165,E$104) + COUNTIF(Logs!$N183,E$104) +  COUNTIF(Logs!$O204,E$104) + COUNTIF(Logs!$M221,E$104) + COUNTIF(Logs!$M239,E$104) + COUNTIF(Logs!$N256,E$104) + COUNTIF(Logs!$N273,E$104) + COUNTIF(Logs!$N291,E$104) + COUNTIF(Logs!$N308,E$104) + COUNTIF(Logs!$N326,E$104) + COUNTIF(Logs!$N344,E$104) + COUNTIF(Logs!$N362,E$104) + COUNTIF(Logs!$N380,E$104) + COUNTIF(Logs!$N399,E$104) + COUNTIF(Logs!$N417,E$104) + COUNTIF(Logs!$N435,E$104) + COUNTIF(Logs!$N453,E$104) + COUNTIF(Logs!$N471,E$104) + COUNTIF(Logs!$N489,E$104) + COUNTIF(Logs!$N507,E$104) + COUNTIF(Logs!$N525,E$104) + COUNTIF(Logs!$N543,E$104) + COUNTIF(Logs!$N561,E$104) + COUNTIF(Logs!$M578,E$104) + COUNTIF(Logs!$M597,E$104) + COUNTIF(Logs!$L613,E$104) + COUNTIF(Logs!$N629,E$104) + COUNTIF(Logs!$M646,E$104) + COUNTIF(Logs!$N661,E$104) + COUNTIF(Logs!$N677,E$104)</f>
        <v>5</v>
      </c>
      <c r="F112" s="1437">
        <f t="shared" si="61"/>
        <v>0.1388888888888889</v>
      </c>
      <c r="G112" s="33">
        <f>COUNTIF(Logs!$O15,G$104) + COUNTIF(Logs!$O33,G$104) + COUNTIF(Logs!$O51,G$104) + COUNTIF(Logs!$O69,G$104) + COUNTIF(Logs!$O87,G$104) + COUNTIF(Logs!$N106,G$104) + COUNTIF(Logs!$O126,G$104) + COUNTIF(Logs!$N145,G$104) + COUNTIF(Logs!$O165,G$104) + COUNTIF(Logs!$N183,G$104) +  COUNTIF(Logs!$O204,G$104) + COUNTIF(Logs!$M221,G$104) + COUNTIF(Logs!$M239,G$104) + COUNTIF(Logs!$N256,G$104) + COUNTIF(Logs!$N273,G$104) + COUNTIF(Logs!$N291,G$104) + COUNTIF(Logs!$N308,G$104) + COUNTIF(Logs!$N326,G$104) + COUNTIF(Logs!$N344,G$104) + COUNTIF(Logs!$N362,G$104) + COUNTIF(Logs!$N380,G$104) + COUNTIF(Logs!$N399,G$104) + COUNTIF(Logs!$N417,G$104) + COUNTIF(Logs!$N435,G$104) + COUNTIF(Logs!$N453,G$104) + COUNTIF(Logs!$N471,G$104) + COUNTIF(Logs!$N489,G$104) + COUNTIF(Logs!$N507,G$104) + COUNTIF(Logs!$N525,G$104) + COUNTIF(Logs!$N543,G$104) + COUNTIF(Logs!$N561,G$104) + COUNTIF(Logs!$M578,G$104) + COUNTIF(Logs!$M597,G$104) + COUNTIF(Logs!$L613,G$104) + COUNTIF(Logs!$N629,G$104) + COUNTIF(Logs!$M646,G$104) + COUNTIF(Logs!$N661,G$104) + COUNTIF(Logs!$N677,G$104)</f>
        <v>0</v>
      </c>
      <c r="H112" s="1440" t="str">
        <f t="shared" si="62"/>
        <v/>
      </c>
      <c r="I112" s="329">
        <f>COUNTIF(Logs!$O15,I$104) + COUNTIF(Logs!$O33,I$104) + COUNTIF(Logs!$O51,I$104) + COUNTIF(Logs!$O69,I$104) + COUNTIF(Logs!$O87,I$104) + COUNTIF(Logs!$N106,I$104) + COUNTIF(Logs!$O126,I$104) + COUNTIF(Logs!$N145,I$104) + COUNTIF(Logs!$O165,I$104) + COUNTIF(Logs!$N183,I$104) +  COUNTIF(Logs!$O204,I$104) + COUNTIF(Logs!$M221,I$104) + COUNTIF(Logs!$M239,I$104) + COUNTIF(Logs!$N256,I$104) + COUNTIF(Logs!$N273,I$104) + COUNTIF(Logs!$N291,I$104) + COUNTIF(Logs!$N308,I$104) + COUNTIF(Logs!$N326,I$104) + COUNTIF(Logs!$N344,I$104) + COUNTIF(Logs!$N362,I$104) + COUNTIF(Logs!$N380,I$104) + COUNTIF(Logs!$N399,I$104) + COUNTIF(Logs!$N417,I$104) + COUNTIF(Logs!$N435,I$104) + COUNTIF(Logs!$N453,I$104) + COUNTIF(Logs!$N471,I$104) + COUNTIF(Logs!$N489,I$104) + COUNTIF(Logs!$N507,I$104) + COUNTIF(Logs!$N525,I$104) + COUNTIF(Logs!$N543,I$104) + COUNTIF(Logs!$N561,I$104) + COUNTIF(Logs!$M578,I$104) + COUNTIF(Logs!$M597,I$104) + COUNTIF(Logs!$L613,I$104) + COUNTIF(Logs!$N629,I$104) + COUNTIF(Logs!$M646,I$104) + COUNTIF(Logs!$N661,I$104) + COUNTIF(Logs!$N677,I$104)</f>
        <v>0</v>
      </c>
      <c r="J112" s="1444" t="str">
        <f t="shared" si="63"/>
        <v/>
      </c>
      <c r="K112" s="1101">
        <f>COUNTIF(Logs!$O15,K$104) + COUNTIF(Logs!$O33,K$104) + COUNTIF(Logs!$O51,K$104) + COUNTIF(Logs!$O69,K$104) + COUNTIF(Logs!$O87,K$104) + COUNTIF(Logs!$N106,K$104) + COUNTIF(Logs!$O126,K$104) + COUNTIF(Logs!$N145,K$104) + COUNTIF(Logs!$O165,K$104) + COUNTIF(Logs!$N183,K$104) +  COUNTIF(Logs!$O204,K$104) + COUNTIF(Logs!$M221,K$104) + COUNTIF(Logs!$M239,K$104) + COUNTIF(Logs!$N256,K$104) + COUNTIF(Logs!$N273,K$104) + COUNTIF(Logs!$N291,K$104) + COUNTIF(Logs!$N308,K$104) + COUNTIF(Logs!$N326,K$104) + COUNTIF(Logs!$N344,K$104) + COUNTIF(Logs!$N362,K$104) + COUNTIF(Logs!$N380,K$104) + COUNTIF(Logs!$N399,K$104) + COUNTIF(Logs!$N417,K$104) + COUNTIF(Logs!$N435,K$104) + COUNTIF(Logs!$N453,K$104) + COUNTIF(Logs!$N471,K$104) + COUNTIF(Logs!$N489,K$104) + COUNTIF(Logs!$N507,K$104) + COUNTIF(Logs!$N525,K$104) + COUNTIF(Logs!$N543,K$104) + COUNTIF(Logs!$N561,K$104) + COUNTIF(Logs!$M578,K$104) + COUNTIF(Logs!$M597,K$104) + COUNTIF(Logs!$L613,K$104) + COUNTIF(Logs!$N629,K$104) + COUNTIF(Logs!$M646,K$104) + COUNTIF(Logs!$N661,K$104) + COUNTIF(Logs!$N677,K$104)</f>
        <v>0</v>
      </c>
      <c r="L112" s="1161">
        <f>COUNTIF(Logs!$O15,L$104) + COUNTIF(Logs!$O33,L$104) + COUNTIF(Logs!$O51,L$104) + COUNTIF(Logs!$O69,L$104) + COUNTIF(Logs!$O87,L$104) + COUNTIF(Logs!$N106,L$104) + COUNTIF(Logs!$O126,L$104) + COUNTIF(Logs!$N145,L$104) + COUNTIF(Logs!$O165,L$104) + COUNTIF(Logs!$N183,L$104) +  COUNTIF(Logs!$O204,L$104) + COUNTIF(Logs!$M221,L$104) + COUNTIF(Logs!$M239,L$104) + COUNTIF(Logs!$N256,L$104) + COUNTIF(Logs!$N273,L$104) + COUNTIF(Logs!$N291,L$104) + COUNTIF(Logs!$N308,L$104) + COUNTIF(Logs!$N326,L$104) + COUNTIF(Logs!$N344,L$104) + COUNTIF(Logs!$N362,L$104) + COUNTIF(Logs!$N380,L$104) + COUNTIF(Logs!$N399,L$104) + COUNTIF(Logs!$N417,L$104) + COUNTIF(Logs!$N435,L$104) + COUNTIF(Logs!$N453,L$104) + COUNTIF(Logs!$N471,L$104) + COUNTIF(Logs!$N489,L$104) + COUNTIF(Logs!$N507,L$104) + COUNTIF(Logs!$N525,L$104) + COUNTIF(Logs!$N543,L$104) + COUNTIF(Logs!$N561,L$104) + COUNTIF(Logs!$M578,L$104) + COUNTIF(Logs!$M597,L$104) + COUNTIF(Logs!$L613,L$104) + COUNTIF(Logs!$N629,L$104) + COUNTIF(Logs!$M646,L$104) + COUNTIF(Logs!$N661,L$104) + COUNTIF(Logs!$N677,L$104)</f>
        <v>0</v>
      </c>
    </row>
    <row r="113" spans="2:14">
      <c r="B113" s="1378" t="s">
        <v>192</v>
      </c>
      <c r="C113" s="319">
        <f>COUNTIF(Logs!$O16,C$104) + COUNTIF(Logs!$O34,C$104) + COUNTIF(Logs!$O52,C$104) + COUNTIF(Logs!$O70,C$104) + COUNTIF(Logs!$O88,C$104) + COUNTIF(Logs!$N107,C$104) + COUNTIF(Logs!$O127,C$104) + COUNTIF(Logs!$N146,C$104) + COUNTIF(Logs!$O166,C$104) + COUNTIF(Logs!$N184,C$104) +  COUNTIF(Logs!$O205,C$104) + COUNTIF(Logs!$M222,C$104) + COUNTIF(Logs!$M240,C$104) + COUNTIF(Logs!$N257,C$104) + COUNTIF(Logs!$N274,C$104) + COUNTIF(Logs!$N292,C$104) + COUNTIF(Logs!$N309,C$104) + COUNTIF(Logs!$N327,C$104) + COUNTIF(Logs!$N345,C$104) + COUNTIF(Logs!$N363,C$104) + COUNTIF(Logs!$N381,C$104) + COUNTIF(Logs!$N400,C$104) + COUNTIF(Logs!$N418,C$104) + COUNTIF(Logs!$N436,C$104) + COUNTIF(Logs!$N454,C$104) + COUNTIF(Logs!$N472,C$104) + COUNTIF(Logs!$N490,C$104) + COUNTIF(Logs!$N508,C$104) + COUNTIF(Logs!$N526,C$104) + COUNTIF(Logs!$N544,C$104) + COUNTIF(Logs!$N562,C$104) + COUNTIF(Logs!$M579,C$104) + COUNTIF(Logs!$M598,C$104) + COUNTIF(Logs!$L614,C$104) + COUNTIF(Logs!$N630,C$104) + COUNTIF(Logs!$M647,C$104) + COUNTIF(Logs!$N662,C$104) + COUNTIF(Logs!$N678,C$104)</f>
        <v>25</v>
      </c>
      <c r="D113" s="1448">
        <f t="shared" si="60"/>
        <v>0.92592592592592593</v>
      </c>
      <c r="E113" s="8">
        <f>COUNTIF(Logs!$O16,E$104) + COUNTIF(Logs!$O34,E$104) + COUNTIF(Logs!$O52,E$104) + COUNTIF(Logs!$O70,E$104) + COUNTIF(Logs!$O88,E$104) + COUNTIF(Logs!$N107,E$104) + COUNTIF(Logs!$O127,E$104) + COUNTIF(Logs!$N146,E$104) + COUNTIF(Logs!$O166,E$104) + COUNTIF(Logs!$N184,E$104) +  COUNTIF(Logs!$O205,E$104) + COUNTIF(Logs!$M222,E$104) + COUNTIF(Logs!$M240,E$104) + COUNTIF(Logs!$N257,E$104) + COUNTIF(Logs!$N274,E$104) + COUNTIF(Logs!$N292,E$104) + COUNTIF(Logs!$N309,E$104) + COUNTIF(Logs!$N327,E$104) + COUNTIF(Logs!$N345,E$104) + COUNTIF(Logs!$N363,E$104) + COUNTIF(Logs!$N381,E$104) + COUNTIF(Logs!$N400,E$104) + COUNTIF(Logs!$N418,E$104) + COUNTIF(Logs!$N436,E$104) + COUNTIF(Logs!$N454,E$104) + COUNTIF(Logs!$N472,E$104) + COUNTIF(Logs!$N490,E$104) + COUNTIF(Logs!$N508,E$104) + COUNTIF(Logs!$N526,E$104) + COUNTIF(Logs!$N544,E$104) + COUNTIF(Logs!$N562,E$104) + COUNTIF(Logs!$M579,E$104) + COUNTIF(Logs!$M598,E$104) + COUNTIF(Logs!$L614,E$104) + COUNTIF(Logs!$N630,E$104) + COUNTIF(Logs!$M647,E$104) + COUNTIF(Logs!$N662,E$104) + COUNTIF(Logs!$N678,E$104)</f>
        <v>2</v>
      </c>
      <c r="F113" s="1437">
        <f t="shared" si="61"/>
        <v>7.407407407407407E-2</v>
      </c>
      <c r="G113" s="33">
        <f>COUNTIF(Logs!$O16,G$104) + COUNTIF(Logs!$O34,G$104) + COUNTIF(Logs!$O52,G$104) + COUNTIF(Logs!$O70,G$104) + COUNTIF(Logs!$O88,G$104) + COUNTIF(Logs!$N107,G$104) + COUNTIF(Logs!$O127,G$104) + COUNTIF(Logs!$N146,G$104) + COUNTIF(Logs!$O166,G$104) + COUNTIF(Logs!$N184,G$104) +  COUNTIF(Logs!$O205,G$104) + COUNTIF(Logs!$M222,G$104) + COUNTIF(Logs!$M240,G$104) + COUNTIF(Logs!$N257,G$104) + COUNTIF(Logs!$N274,G$104) + COUNTIF(Logs!$N292,G$104) + COUNTIF(Logs!$N309,G$104) + COUNTIF(Logs!$N327,G$104) + COUNTIF(Logs!$N345,G$104) + COUNTIF(Logs!$N363,G$104) + COUNTIF(Logs!$N381,G$104) + COUNTIF(Logs!$N400,G$104) + COUNTIF(Logs!$N418,G$104) + COUNTIF(Logs!$N436,G$104) + COUNTIF(Logs!$N454,G$104) + COUNTIF(Logs!$N472,G$104) + COUNTIF(Logs!$N490,G$104) + COUNTIF(Logs!$N508,G$104) + COUNTIF(Logs!$N526,G$104) + COUNTIF(Logs!$N544,G$104) + COUNTIF(Logs!$N562,G$104) + COUNTIF(Logs!$M579,G$104) + COUNTIF(Logs!$M598,G$104) + COUNTIF(Logs!$L614,G$104) + COUNTIF(Logs!$N630,G$104) + COUNTIF(Logs!$M647,G$104) + COUNTIF(Logs!$N662,G$104) + COUNTIF(Logs!$N678,G$104)</f>
        <v>0</v>
      </c>
      <c r="H113" s="1440" t="str">
        <f t="shared" si="62"/>
        <v/>
      </c>
      <c r="I113" s="329">
        <f>COUNTIF(Logs!$O16,I$104) + COUNTIF(Logs!$O34,I$104) + COUNTIF(Logs!$O52,I$104) + COUNTIF(Logs!$O70,I$104) + COUNTIF(Logs!$O88,I$104) + COUNTIF(Logs!$N107,I$104) + COUNTIF(Logs!$O127,I$104) + COUNTIF(Logs!$N146,I$104) + COUNTIF(Logs!$O166,I$104) + COUNTIF(Logs!$N184,I$104) +  COUNTIF(Logs!$O205,I$104) + COUNTIF(Logs!$M222,I$104) + COUNTIF(Logs!$M240,I$104) + COUNTIF(Logs!$N257,I$104) + COUNTIF(Logs!$N274,I$104) + COUNTIF(Logs!$N292,I$104) + COUNTIF(Logs!$N309,I$104) + COUNTIF(Logs!$N327,I$104) + COUNTIF(Logs!$N345,I$104) + COUNTIF(Logs!$N363,I$104) + COUNTIF(Logs!$N381,I$104) + COUNTIF(Logs!$N400,I$104) + COUNTIF(Logs!$N418,I$104) + COUNTIF(Logs!$N436,I$104) + COUNTIF(Logs!$N454,I$104) + COUNTIF(Logs!$N472,I$104) + COUNTIF(Logs!$N490,I$104) + COUNTIF(Logs!$N508,I$104) + COUNTIF(Logs!$N526,I$104) + COUNTIF(Logs!$N544,I$104) + COUNTIF(Logs!$N562,I$104) + COUNTIF(Logs!$M579,I$104) + COUNTIF(Logs!$M598,I$104) + COUNTIF(Logs!$L614,I$104) + COUNTIF(Logs!$N630,I$104) + COUNTIF(Logs!$M647,I$104) + COUNTIF(Logs!$N662,I$104) + COUNTIF(Logs!$N678,I$104)</f>
        <v>0</v>
      </c>
      <c r="J113" s="1444" t="str">
        <f t="shared" si="63"/>
        <v/>
      </c>
      <c r="K113" s="1101">
        <f>COUNTIF(Logs!$O16,K$104) + COUNTIF(Logs!$O34,K$104) + COUNTIF(Logs!$O52,K$104) + COUNTIF(Logs!$O70,K$104) + COUNTIF(Logs!$O88,K$104) + COUNTIF(Logs!$N107,K$104) + COUNTIF(Logs!$O127,K$104) + COUNTIF(Logs!$N146,K$104) + COUNTIF(Logs!$O166,K$104) + COUNTIF(Logs!$N184,K$104) +  COUNTIF(Logs!$O205,K$104) + COUNTIF(Logs!$M222,K$104) + COUNTIF(Logs!$M240,K$104) + COUNTIF(Logs!$N257,K$104) + COUNTIF(Logs!$N274,K$104) + COUNTIF(Logs!$N292,K$104) + COUNTIF(Logs!$N309,K$104) + COUNTIF(Logs!$N327,K$104) + COUNTIF(Logs!$N345,K$104) + COUNTIF(Logs!$N363,K$104) + COUNTIF(Logs!$N381,K$104) + COUNTIF(Logs!$N400,K$104) + COUNTIF(Logs!$N418,K$104) + COUNTIF(Logs!$N436,K$104) + COUNTIF(Logs!$N454,K$104) + COUNTIF(Logs!$N472,K$104) + COUNTIF(Logs!$N490,K$104) + COUNTIF(Logs!$N508,K$104) + COUNTIF(Logs!$N526,K$104) + COUNTIF(Logs!$N544,K$104) + COUNTIF(Logs!$N562,K$104) + COUNTIF(Logs!$M579,K$104) + COUNTIF(Logs!$M598,K$104) + COUNTIF(Logs!$L614,K$104) + COUNTIF(Logs!$N630,K$104) + COUNTIF(Logs!$M647,K$104) + COUNTIF(Logs!$N662,K$104) + COUNTIF(Logs!$N678,K$104)</f>
        <v>0</v>
      </c>
      <c r="L113" s="1161">
        <f>COUNTIF(Logs!$O16,L$104) + COUNTIF(Logs!$O34,L$104) + COUNTIF(Logs!$O52,L$104) + COUNTIF(Logs!$O70,L$104) + COUNTIF(Logs!$O88,L$104) + COUNTIF(Logs!$N107,L$104) + COUNTIF(Logs!$O127,L$104) + COUNTIF(Logs!$N146,L$104) + COUNTIF(Logs!$O166,L$104) + COUNTIF(Logs!$N184,L$104) +  COUNTIF(Logs!$O205,L$104) + COUNTIF(Logs!$M222,L$104) + COUNTIF(Logs!$M240,L$104) + COUNTIF(Logs!$N257,L$104) + COUNTIF(Logs!$N274,L$104) + COUNTIF(Logs!$N292,L$104) + COUNTIF(Logs!$N309,L$104) + COUNTIF(Logs!$N327,L$104) + COUNTIF(Logs!$N345,L$104) + COUNTIF(Logs!$N363,L$104) + COUNTIF(Logs!$N381,L$104) + COUNTIF(Logs!$N400,L$104) + COUNTIF(Logs!$N418,L$104) + COUNTIF(Logs!$N436,L$104) + COUNTIF(Logs!$N454,L$104) + COUNTIF(Logs!$N472,L$104) + COUNTIF(Logs!$N490,L$104) + COUNTIF(Logs!$N508,L$104) + COUNTIF(Logs!$N526,L$104) + COUNTIF(Logs!$N544,L$104) + COUNTIF(Logs!$N562,L$104) + COUNTIF(Logs!$M579,L$104) + COUNTIF(Logs!$M598,L$104) + COUNTIF(Logs!$L614,L$104) + COUNTIF(Logs!$N630,L$104) + COUNTIF(Logs!$M647,L$104) + COUNTIF(Logs!$N662,L$104) + COUNTIF(Logs!$N678,L$104)</f>
        <v>0</v>
      </c>
    </row>
    <row r="114" spans="2:14">
      <c r="B114" s="1378" t="s">
        <v>193</v>
      </c>
      <c r="C114" s="319">
        <f>COUNTIF(Logs!$O17,C$104) + COUNTIF(Logs!$O35,C$104) + COUNTIF(Logs!$O53,C$104) + COUNTIF(Logs!$O71,C$104) + COUNTIF(Logs!$O89,C$104) + COUNTIF(Logs!$N108,C$104) + COUNTIF(Logs!$O128,C$104) + COUNTIF(Logs!$N147,C$104) + COUNTIF(Logs!$O167,C$104) + COUNTIF(Logs!$N185,C$104) +  COUNTIF(Logs!$O206,C$104) + COUNTIF(Logs!$M223,C$104) + COUNTIF(Logs!$M241,C$104) + COUNTIF(Logs!$N258,C$104) + COUNTIF(Logs!$N275,C$104) + COUNTIF(Logs!$N293,C$104) + COUNTIF(Logs!$N310,C$104) + COUNTIF(Logs!$N328,C$104) + COUNTIF(Logs!$N346,C$104) + COUNTIF(Logs!$N364,C$104) + COUNTIF(Logs!$N382,C$104) + COUNTIF(Logs!$N401,C$104) + COUNTIF(Logs!$N419,C$104) + COUNTIF(Logs!$N437,C$104) + COUNTIF(Logs!$N455,C$104) + COUNTIF(Logs!$N473,C$104) + COUNTIF(Logs!$N491,C$104) + COUNTIF(Logs!$N509,C$104) + COUNTIF(Logs!$N527,C$104) + COUNTIF(Logs!$N545,C$104) + COUNTIF(Logs!$N563,C$104) + COUNTIF(Logs!$M580,C$104) + COUNTIF(Logs!$M599,C$104) + COUNTIF(Logs!$L615,C$104) + COUNTIF(Logs!$N631,C$104) + COUNTIF(Logs!$M648,C$104) + COUNTIF(Logs!$N663,C$104) + COUNTIF(Logs!$N679,C$104)</f>
        <v>15</v>
      </c>
      <c r="D114" s="1448">
        <f t="shared" si="60"/>
        <v>0.9375</v>
      </c>
      <c r="E114" s="8">
        <f>COUNTIF(Logs!$O17,E$104) + COUNTIF(Logs!$O35,E$104) + COUNTIF(Logs!$O53,E$104) + COUNTIF(Logs!$O71,E$104) + COUNTIF(Logs!$O89,E$104) + COUNTIF(Logs!$N108,E$104) + COUNTIF(Logs!$O128,E$104) + COUNTIF(Logs!$N147,E$104) + COUNTIF(Logs!$O167,E$104) + COUNTIF(Logs!$N185,E$104) +  COUNTIF(Logs!$O206,E$104) + COUNTIF(Logs!$M223,E$104) + COUNTIF(Logs!$M241,E$104) + COUNTIF(Logs!$N258,E$104) + COUNTIF(Logs!$N275,E$104) + COUNTIF(Logs!$N293,E$104) + COUNTIF(Logs!$N310,E$104) + COUNTIF(Logs!$N328,E$104) + COUNTIF(Logs!$N346,E$104) + COUNTIF(Logs!$N364,E$104) + COUNTIF(Logs!$N382,E$104) + COUNTIF(Logs!$N401,E$104) + COUNTIF(Logs!$N419,E$104) + COUNTIF(Logs!$N437,E$104) + COUNTIF(Logs!$N455,E$104) + COUNTIF(Logs!$N473,E$104) + COUNTIF(Logs!$N491,E$104) + COUNTIF(Logs!$N509,E$104) + COUNTIF(Logs!$N527,E$104) + COUNTIF(Logs!$N545,E$104) + COUNTIF(Logs!$N563,E$104) + COUNTIF(Logs!$M580,E$104) + COUNTIF(Logs!$M599,E$104) + COUNTIF(Logs!$L615,E$104) + COUNTIF(Logs!$N631,E$104) + COUNTIF(Logs!$M648,E$104) + COUNTIF(Logs!$N663,E$104) + COUNTIF(Logs!$N679,E$104)</f>
        <v>0</v>
      </c>
      <c r="F114" s="1437" t="str">
        <f t="shared" si="61"/>
        <v/>
      </c>
      <c r="G114" s="33">
        <f>COUNTIF(Logs!$O17,G$104) + COUNTIF(Logs!$O35,G$104) + COUNTIF(Logs!$O53,G$104) + COUNTIF(Logs!$O71,G$104) + COUNTIF(Logs!$O89,G$104) + COUNTIF(Logs!$N108,G$104) + COUNTIF(Logs!$O128,G$104) + COUNTIF(Logs!$N147,G$104) + COUNTIF(Logs!$O167,G$104) + COUNTIF(Logs!$N185,G$104) +  COUNTIF(Logs!$O206,G$104) + COUNTIF(Logs!$M223,G$104) + COUNTIF(Logs!$M241,G$104) + COUNTIF(Logs!$N258,G$104) + COUNTIF(Logs!$N275,G$104) + COUNTIF(Logs!$N293,G$104) + COUNTIF(Logs!$N310,G$104) + COUNTIF(Logs!$N328,G$104) + COUNTIF(Logs!$N346,G$104) + COUNTIF(Logs!$N364,G$104) + COUNTIF(Logs!$N382,G$104) + COUNTIF(Logs!$N401,G$104) + COUNTIF(Logs!$N419,G$104) + COUNTIF(Logs!$N437,G$104) + COUNTIF(Logs!$N455,G$104) + COUNTIF(Logs!$N473,G$104) + COUNTIF(Logs!$N491,G$104) + COUNTIF(Logs!$N509,G$104) + COUNTIF(Logs!$N527,G$104) + COUNTIF(Logs!$N545,G$104) + COUNTIF(Logs!$N563,G$104) + COUNTIF(Logs!$M580,G$104) + COUNTIF(Logs!$M599,G$104) + COUNTIF(Logs!$L615,G$104) + COUNTIF(Logs!$N631,G$104) + COUNTIF(Logs!$M648,G$104) + COUNTIF(Logs!$N663,G$104) + COUNTIF(Logs!$N679,G$104)</f>
        <v>1</v>
      </c>
      <c r="H114" s="1440">
        <f t="shared" si="62"/>
        <v>6.25E-2</v>
      </c>
      <c r="I114" s="329">
        <f>COUNTIF(Logs!$O17,I$104) + COUNTIF(Logs!$O35,I$104) + COUNTIF(Logs!$O53,I$104) + COUNTIF(Logs!$O71,I$104) + COUNTIF(Logs!$O89,I$104) + COUNTIF(Logs!$N108,I$104) + COUNTIF(Logs!$O128,I$104) + COUNTIF(Logs!$N147,I$104) + COUNTIF(Logs!$O167,I$104) + COUNTIF(Logs!$N185,I$104) +  COUNTIF(Logs!$O206,I$104) + COUNTIF(Logs!$M223,I$104) + COUNTIF(Logs!$M241,I$104) + COUNTIF(Logs!$N258,I$104) + COUNTIF(Logs!$N275,I$104) + COUNTIF(Logs!$N293,I$104) + COUNTIF(Logs!$N310,I$104) + COUNTIF(Logs!$N328,I$104) + COUNTIF(Logs!$N346,I$104) + COUNTIF(Logs!$N364,I$104) + COUNTIF(Logs!$N382,I$104) + COUNTIF(Logs!$N401,I$104) + COUNTIF(Logs!$N419,I$104) + COUNTIF(Logs!$N437,I$104) + COUNTIF(Logs!$N455,I$104) + COUNTIF(Logs!$N473,I$104) + COUNTIF(Logs!$N491,I$104) + COUNTIF(Logs!$N509,I$104) + COUNTIF(Logs!$N527,I$104) + COUNTIF(Logs!$N545,I$104) + COUNTIF(Logs!$N563,I$104) + COUNTIF(Logs!$M580,I$104) + COUNTIF(Logs!$M599,I$104) + COUNTIF(Logs!$L615,I$104) + COUNTIF(Logs!$N631,I$104) + COUNTIF(Logs!$M648,I$104) + COUNTIF(Logs!$N663,I$104) + COUNTIF(Logs!$N679,I$104)</f>
        <v>0</v>
      </c>
      <c r="J114" s="1444" t="str">
        <f t="shared" si="63"/>
        <v/>
      </c>
      <c r="K114" s="1101">
        <f>COUNTIF(Logs!$O17,K$104) + COUNTIF(Logs!$O35,K$104) + COUNTIF(Logs!$O53,K$104) + COUNTIF(Logs!$O71,K$104) + COUNTIF(Logs!$O89,K$104) + COUNTIF(Logs!$N108,K$104) + COUNTIF(Logs!$O128,K$104) + COUNTIF(Logs!$N147,K$104) + COUNTIF(Logs!$O167,K$104) + COUNTIF(Logs!$N185,K$104) +  COUNTIF(Logs!$O206,K$104) + COUNTIF(Logs!$M223,K$104) + COUNTIF(Logs!$M241,K$104) + COUNTIF(Logs!$N258,K$104) + COUNTIF(Logs!$N275,K$104) + COUNTIF(Logs!$N293,K$104) + COUNTIF(Logs!$N310,K$104) + COUNTIF(Logs!$N328,K$104) + COUNTIF(Logs!$N346,K$104) + COUNTIF(Logs!$N364,K$104) + COUNTIF(Logs!$N382,K$104) + COUNTIF(Logs!$N401,K$104) + COUNTIF(Logs!$N419,K$104) + COUNTIF(Logs!$N437,K$104) + COUNTIF(Logs!$N455,K$104) + COUNTIF(Logs!$N473,K$104) + COUNTIF(Logs!$N491,K$104) + COUNTIF(Logs!$N509,K$104) + COUNTIF(Logs!$N527,K$104) + COUNTIF(Logs!$N545,K$104) + COUNTIF(Logs!$N563,K$104) + COUNTIF(Logs!$M580,K$104) + COUNTIF(Logs!$M599,K$104) + COUNTIF(Logs!$L615,K$104) + COUNTIF(Logs!$N631,K$104) + COUNTIF(Logs!$M648,K$104) + COUNTIF(Logs!$N663,K$104) + COUNTIF(Logs!$N679,K$104)</f>
        <v>0</v>
      </c>
      <c r="L114" s="1161">
        <f>COUNTIF(Logs!$O17,L$104) + COUNTIF(Logs!$O35,L$104) + COUNTIF(Logs!$O53,L$104) + COUNTIF(Logs!$O71,L$104) + COUNTIF(Logs!$O89,L$104) + COUNTIF(Logs!$N108,L$104) + COUNTIF(Logs!$O128,L$104) + COUNTIF(Logs!$N147,L$104) + COUNTIF(Logs!$O167,L$104) + COUNTIF(Logs!$N185,L$104) +  COUNTIF(Logs!$O206,L$104) + COUNTIF(Logs!$M223,L$104) + COUNTIF(Logs!$M241,L$104) + COUNTIF(Logs!$N258,L$104) + COUNTIF(Logs!$N275,L$104) + COUNTIF(Logs!$N293,L$104) + COUNTIF(Logs!$N310,L$104) + COUNTIF(Logs!$N328,L$104) + COUNTIF(Logs!$N346,L$104) + COUNTIF(Logs!$N364,L$104) + COUNTIF(Logs!$N382,L$104) + COUNTIF(Logs!$N401,L$104) + COUNTIF(Logs!$N419,L$104) + COUNTIF(Logs!$N437,L$104) + COUNTIF(Logs!$N455,L$104) + COUNTIF(Logs!$N473,L$104) + COUNTIF(Logs!$N491,L$104) + COUNTIF(Logs!$N509,L$104) + COUNTIF(Logs!$N527,L$104) + COUNTIF(Logs!$N545,L$104) + COUNTIF(Logs!$N563,L$104) + COUNTIF(Logs!$M580,L$104) + COUNTIF(Logs!$M599,L$104) + COUNTIF(Logs!$L615,L$104) + COUNTIF(Logs!$N631,L$104) + COUNTIF(Logs!$M648,L$104) + COUNTIF(Logs!$N663,L$104) + COUNTIF(Logs!$N679,L$104)</f>
        <v>0</v>
      </c>
    </row>
    <row r="115" spans="2:14">
      <c r="B115" s="1378" t="s">
        <v>194</v>
      </c>
      <c r="C115" s="319">
        <f>COUNTIF(Logs!$O18,C$104) + COUNTIF(Logs!$O36,C$104) + COUNTIF(Logs!$O54,C$104) + COUNTIF(Logs!$O72,C$104) + COUNTIF(Logs!$O90,C$104) + COUNTIF(Logs!$N109,C$104) + COUNTIF(Logs!$O129,C$104) + COUNTIF(Logs!$N148,C$104) + COUNTIF(Logs!$O168,C$104) + COUNTIF(Logs!$N186,C$104) +  COUNTIF(Logs!$O207,C$104) + COUNTIF(Logs!$M224,C$104) + COUNTIF(Logs!$M242,C$104) + COUNTIF(Logs!$N259,C$104) + COUNTIF(Logs!$N276,C$104) + COUNTIF(Logs!$N294,C$104) + COUNTIF(Logs!$N311,C$104) + COUNTIF(Logs!$N329,C$104) + COUNTIF(Logs!$N347,C$104) + COUNTIF(Logs!$N365,C$104) + COUNTIF(Logs!$N383,C$104) + COUNTIF(Logs!$N402,C$104) + COUNTIF(Logs!$N420,C$104) + COUNTIF(Logs!$N438,C$104) + COUNTIF(Logs!$N456,C$104) + COUNTIF(Logs!$N474,C$104) + COUNTIF(Logs!$N492,C$104) + COUNTIF(Logs!$N510,C$104) + COUNTIF(Logs!$N528,C$104) + COUNTIF(Logs!$N546,C$104) + COUNTIF(Logs!$N564,C$104) + COUNTIF(Logs!$M581,C$104) + COUNTIF(Logs!$M600,C$104) + COUNTIF(Logs!$L616,C$104) + COUNTIF(Logs!$N632,C$104) + COUNTIF(Logs!$M649,C$104) + COUNTIF(Logs!$N664,C$104) + COUNTIF(Logs!$N680,C$104)</f>
        <v>4</v>
      </c>
      <c r="D115" s="1448">
        <f t="shared" si="60"/>
        <v>1</v>
      </c>
      <c r="E115" s="8">
        <f>COUNTIF(Logs!$O18,E$104) + COUNTIF(Logs!$O36,E$104) + COUNTIF(Logs!$O54,E$104) + COUNTIF(Logs!$O72,E$104) + COUNTIF(Logs!$O90,E$104) + COUNTIF(Logs!$N109,E$104) + COUNTIF(Logs!$O129,E$104) + COUNTIF(Logs!$N148,E$104) + COUNTIF(Logs!$O168,E$104) + COUNTIF(Logs!$N186,E$104) +  COUNTIF(Logs!$O207,E$104) + COUNTIF(Logs!$M224,E$104) + COUNTIF(Logs!$M242,E$104) + COUNTIF(Logs!$N259,E$104) + COUNTIF(Logs!$N276,E$104) + COUNTIF(Logs!$N294,E$104) + COUNTIF(Logs!$N311,E$104) + COUNTIF(Logs!$N329,E$104) + COUNTIF(Logs!$N347,E$104) + COUNTIF(Logs!$N365,E$104) + COUNTIF(Logs!$N383,E$104) + COUNTIF(Logs!$N402,E$104) + COUNTIF(Logs!$N420,E$104) + COUNTIF(Logs!$N438,E$104) + COUNTIF(Logs!$N456,E$104) + COUNTIF(Logs!$N474,E$104) + COUNTIF(Logs!$N492,E$104) + COUNTIF(Logs!$N510,E$104) + COUNTIF(Logs!$N528,E$104) + COUNTIF(Logs!$N546,E$104) + COUNTIF(Logs!$N564,E$104) + COUNTIF(Logs!$M581,E$104) + COUNTIF(Logs!$M600,E$104) + COUNTIF(Logs!$L616,E$104) + COUNTIF(Logs!$N632,E$104) + COUNTIF(Logs!$M649,E$104) + COUNTIF(Logs!$N664,E$104) + COUNTIF(Logs!$N680,E$104)</f>
        <v>0</v>
      </c>
      <c r="F115" s="1437" t="str">
        <f t="shared" si="61"/>
        <v/>
      </c>
      <c r="G115" s="33">
        <f>COUNTIF(Logs!$O18,G$104) + COUNTIF(Logs!$O36,G$104) + COUNTIF(Logs!$O54,G$104) + COUNTIF(Logs!$O72,G$104) + COUNTIF(Logs!$O90,G$104) + COUNTIF(Logs!$N109,G$104) + COUNTIF(Logs!$O129,G$104) + COUNTIF(Logs!$N148,G$104) + COUNTIF(Logs!$O168,G$104) + COUNTIF(Logs!$N186,G$104) +  COUNTIF(Logs!$O207,G$104) + COUNTIF(Logs!$M224,G$104) + COUNTIF(Logs!$M242,G$104) + COUNTIF(Logs!$N259,G$104) + COUNTIF(Logs!$N276,G$104) + COUNTIF(Logs!$N294,G$104) + COUNTIF(Logs!$N311,G$104) + COUNTIF(Logs!$N329,G$104) + COUNTIF(Logs!$N347,G$104) + COUNTIF(Logs!$N365,G$104) + COUNTIF(Logs!$N383,G$104) + COUNTIF(Logs!$N402,G$104) + COUNTIF(Logs!$N420,G$104) + COUNTIF(Logs!$N438,G$104) + COUNTIF(Logs!$N456,G$104) + COUNTIF(Logs!$N474,G$104) + COUNTIF(Logs!$N492,G$104) + COUNTIF(Logs!$N510,G$104) + COUNTIF(Logs!$N528,G$104) + COUNTIF(Logs!$N546,G$104) + COUNTIF(Logs!$N564,G$104) + COUNTIF(Logs!$M581,G$104) + COUNTIF(Logs!$M600,G$104) + COUNTIF(Logs!$L616,G$104) + COUNTIF(Logs!$N632,G$104) + COUNTIF(Logs!$M649,G$104) + COUNTIF(Logs!$N664,G$104) + COUNTIF(Logs!$N680,G$104)</f>
        <v>0</v>
      </c>
      <c r="H115" s="1440" t="str">
        <f t="shared" si="62"/>
        <v/>
      </c>
      <c r="I115" s="329">
        <f>COUNTIF(Logs!$O18,I$104) + COUNTIF(Logs!$O36,I$104) + COUNTIF(Logs!$O54,I$104) + COUNTIF(Logs!$O72,I$104) + COUNTIF(Logs!$O90,I$104) + COUNTIF(Logs!$N109,I$104) + COUNTIF(Logs!$O129,I$104) + COUNTIF(Logs!$N148,I$104) + COUNTIF(Logs!$O168,I$104) + COUNTIF(Logs!$N186,I$104) +  COUNTIF(Logs!$O207,I$104) + COUNTIF(Logs!$M224,I$104) + COUNTIF(Logs!$M242,I$104) + COUNTIF(Logs!$N259,I$104) + COUNTIF(Logs!$N276,I$104) + COUNTIF(Logs!$N294,I$104) + COUNTIF(Logs!$N311,I$104) + COUNTIF(Logs!$N329,I$104) + COUNTIF(Logs!$N347,I$104) + COUNTIF(Logs!$N365,I$104) + COUNTIF(Logs!$N383,I$104) + COUNTIF(Logs!$N402,I$104) + COUNTIF(Logs!$N420,I$104) + COUNTIF(Logs!$N438,I$104) + COUNTIF(Logs!$N456,I$104) + COUNTIF(Logs!$N474,I$104) + COUNTIF(Logs!$N492,I$104) + COUNTIF(Logs!$N510,I$104) + COUNTIF(Logs!$N528,I$104) + COUNTIF(Logs!$N546,I$104) + COUNTIF(Logs!$N564,I$104) + COUNTIF(Logs!$M581,I$104) + COUNTIF(Logs!$M600,I$104) + COUNTIF(Logs!$L616,I$104) + COUNTIF(Logs!$N632,I$104) + COUNTIF(Logs!$M649,I$104) + COUNTIF(Logs!$N664,I$104) + COUNTIF(Logs!$N680,I$104)</f>
        <v>0</v>
      </c>
      <c r="J115" s="1444" t="str">
        <f t="shared" si="63"/>
        <v/>
      </c>
      <c r="K115" s="1101">
        <f>COUNTIF(Logs!$O18,K$104) + COUNTIF(Logs!$O36,K$104) + COUNTIF(Logs!$O54,K$104) + COUNTIF(Logs!$O72,K$104) + COUNTIF(Logs!$O90,K$104) + COUNTIF(Logs!$N109,K$104) + COUNTIF(Logs!$O129,K$104) + COUNTIF(Logs!$N148,K$104) + COUNTIF(Logs!$O168,K$104) + COUNTIF(Logs!$N186,K$104) +  COUNTIF(Logs!$O207,K$104) + COUNTIF(Logs!$M224,K$104) + COUNTIF(Logs!$M242,K$104) + COUNTIF(Logs!$N259,K$104) + COUNTIF(Logs!$N276,K$104) + COUNTIF(Logs!$N294,K$104) + COUNTIF(Logs!$N311,K$104) + COUNTIF(Logs!$N329,K$104) + COUNTIF(Logs!$N347,K$104) + COUNTIF(Logs!$N365,K$104) + COUNTIF(Logs!$N383,K$104) + COUNTIF(Logs!$N402,K$104) + COUNTIF(Logs!$N420,K$104) + COUNTIF(Logs!$N438,K$104) + COUNTIF(Logs!$N456,K$104) + COUNTIF(Logs!$N474,K$104) + COUNTIF(Logs!$N492,K$104) + COUNTIF(Logs!$N510,K$104) + COUNTIF(Logs!$N528,K$104) + COUNTIF(Logs!$N546,K$104) + COUNTIF(Logs!$N564,K$104) + COUNTIF(Logs!$M581,K$104) + COUNTIF(Logs!$M600,K$104) + COUNTIF(Logs!$L616,K$104) + COUNTIF(Logs!$N632,K$104) + COUNTIF(Logs!$M649,K$104) + COUNTIF(Logs!$N664,K$104) + COUNTIF(Logs!$N680,K$104)</f>
        <v>0</v>
      </c>
      <c r="L115" s="1161">
        <f>COUNTIF(Logs!$O18,L$104) + COUNTIF(Logs!$O36,L$104) + COUNTIF(Logs!$O54,L$104) + COUNTIF(Logs!$O72,L$104) + COUNTIF(Logs!$O90,L$104) + COUNTIF(Logs!$N109,L$104) + COUNTIF(Logs!$O129,L$104) + COUNTIF(Logs!$N148,L$104) + COUNTIF(Logs!$O168,L$104) + COUNTIF(Logs!$N186,L$104) +  COUNTIF(Logs!$O207,L$104) + COUNTIF(Logs!$M224,L$104) + COUNTIF(Logs!$M242,L$104) + COUNTIF(Logs!$N259,L$104) + COUNTIF(Logs!$N276,L$104) + COUNTIF(Logs!$N294,L$104) + COUNTIF(Logs!$N311,L$104) + COUNTIF(Logs!$N329,L$104) + COUNTIF(Logs!$N347,L$104) + COUNTIF(Logs!$N365,L$104) + COUNTIF(Logs!$N383,L$104) + COUNTIF(Logs!$N402,L$104) + COUNTIF(Logs!$N420,L$104) + COUNTIF(Logs!$N438,L$104) + COUNTIF(Logs!$N456,L$104) + COUNTIF(Logs!$N474,L$104) + COUNTIF(Logs!$N492,L$104) + COUNTIF(Logs!$N510,L$104) + COUNTIF(Logs!$N528,L$104) + COUNTIF(Logs!$N546,L$104) + COUNTIF(Logs!$N564,L$104) + COUNTIF(Logs!$M581,L$104) + COUNTIF(Logs!$M600,L$104) + COUNTIF(Logs!$L616,L$104) + COUNTIF(Logs!$N632,L$104) + COUNTIF(Logs!$M649,L$104) + COUNTIF(Logs!$N664,L$104) + COUNTIF(Logs!$N680,L$104)</f>
        <v>0</v>
      </c>
    </row>
    <row r="116" spans="2:14">
      <c r="B116" s="1378" t="s">
        <v>1637</v>
      </c>
      <c r="C116" s="319">
        <f>COUNTIF(Logs!$O19,C$104) + COUNTIF(Logs!$O37,C$104) + COUNTIF(Logs!$O55,C$104) + COUNTIF(Logs!$O73,C$104) + COUNTIF(Logs!$O91,C$104) + COUNTIF(Logs!$N110,C$104) + COUNTIF(Logs!$O130,C$104) + COUNTIF(Logs!$N149,C$104) + COUNTIF(Logs!$O169,C$104) + COUNTIF(Logs!$N187,C$104) +  COUNTIF(Logs!$O208,C$104) + COUNTIF(Logs!$M225,C$104) + COUNTIF(Logs!$M243,C$104) + COUNTIF(Logs!$N260,C$104) + COUNTIF(Logs!$N277,C$104) + COUNTIF(Logs!$N295,C$104) + COUNTIF(Logs!$N312,C$104) + COUNTIF(Logs!$N330,C$104) + COUNTIF(Logs!$N348,C$104) + COUNTIF(Logs!$N366,C$104) + COUNTIF(Logs!$N384,C$104) + COUNTIF(Logs!$N403,C$104) + COUNTIF(Logs!$N421,C$104) + COUNTIF(Logs!$N439,C$104) + COUNTIF(Logs!$N457,C$104) + COUNTIF(Logs!$N475,C$104) + COUNTIF(Logs!$N493,C$104) + COUNTIF(Logs!$N511,C$104) + COUNTIF(Logs!$N529,C$104) + COUNTIF(Logs!$N547,C$104) + COUNTIF(Logs!$N565,C$104) + COUNTIF(Logs!$M582,C$104) + COUNTIF(Logs!$M601,C$104) + COUNTIF(Logs!$L617,C$104) + COUNTIF(Logs!$N633,C$104) + COUNTIF(Logs!$M650,C$104) + COUNTIF(Logs!$N665,C$104) + COUNTIF(Logs!$N681,C$104)</f>
        <v>1</v>
      </c>
      <c r="D116" s="1448">
        <f t="shared" si="60"/>
        <v>1</v>
      </c>
      <c r="E116" s="8">
        <f>COUNTIF(Logs!$O19,E$104) + COUNTIF(Logs!$O37,E$104) + COUNTIF(Logs!$O55,E$104) + COUNTIF(Logs!$O73,E$104) + COUNTIF(Logs!$O91,E$104) + COUNTIF(Logs!$N110,E$104) + COUNTIF(Logs!$O130,E$104) + COUNTIF(Logs!$N149,E$104) + COUNTIF(Logs!$O169,E$104) + COUNTIF(Logs!$N187,E$104) +  COUNTIF(Logs!$O208,E$104) + COUNTIF(Logs!$M225,E$104) + COUNTIF(Logs!$M243,E$104) + COUNTIF(Logs!$N260,E$104) + COUNTIF(Logs!$N277,E$104) + COUNTIF(Logs!$N295,E$104) + COUNTIF(Logs!$N312,E$104) + COUNTIF(Logs!$N330,E$104) + COUNTIF(Logs!$N348,E$104) + COUNTIF(Logs!$N366,E$104) + COUNTIF(Logs!$N384,E$104) + COUNTIF(Logs!$N403,E$104) + COUNTIF(Logs!$N421,E$104) + COUNTIF(Logs!$N439,E$104) + COUNTIF(Logs!$N457,E$104) + COUNTIF(Logs!$N475,E$104) + COUNTIF(Logs!$N493,E$104) + COUNTIF(Logs!$N511,E$104) + COUNTIF(Logs!$N529,E$104) + COUNTIF(Logs!$N547,E$104) + COUNTIF(Logs!$N565,E$104) + COUNTIF(Logs!$M582,E$104) + COUNTIF(Logs!$M601,E$104) + COUNTIF(Logs!$L617,E$104) + COUNTIF(Logs!$N633,E$104) + COUNTIF(Logs!$M650,E$104) + COUNTIF(Logs!$N665,E$104) + COUNTIF(Logs!$N681,E$104)</f>
        <v>0</v>
      </c>
      <c r="F116" s="1437" t="str">
        <f t="shared" si="61"/>
        <v/>
      </c>
      <c r="G116" s="33">
        <f>COUNTIF(Logs!$O19,G$104) + COUNTIF(Logs!$O37,G$104) + COUNTIF(Logs!$O55,G$104) + COUNTIF(Logs!$O73,G$104) + COUNTIF(Logs!$O91,G$104) + COUNTIF(Logs!$N110,G$104) + COUNTIF(Logs!$O130,G$104) + COUNTIF(Logs!$N149,G$104) + COUNTIF(Logs!$O169,G$104) + COUNTIF(Logs!$N187,G$104) +  COUNTIF(Logs!$O208,G$104) + COUNTIF(Logs!$M225,G$104) + COUNTIF(Logs!$M243,G$104) + COUNTIF(Logs!$N260,G$104) + COUNTIF(Logs!$N277,G$104) + COUNTIF(Logs!$N295,G$104) + COUNTIF(Logs!$N312,G$104) + COUNTIF(Logs!$N330,G$104) + COUNTIF(Logs!$N348,G$104) + COUNTIF(Logs!$N366,G$104) + COUNTIF(Logs!$N384,G$104) + COUNTIF(Logs!$N403,G$104) + COUNTIF(Logs!$N421,G$104) + COUNTIF(Logs!$N439,G$104) + COUNTIF(Logs!$N457,G$104) + COUNTIF(Logs!$N475,G$104) + COUNTIF(Logs!$N493,G$104) + COUNTIF(Logs!$N511,G$104) + COUNTIF(Logs!$N529,G$104) + COUNTIF(Logs!$N547,G$104) + COUNTIF(Logs!$N565,G$104) + COUNTIF(Logs!$M582,G$104) + COUNTIF(Logs!$M601,G$104) + COUNTIF(Logs!$L617,G$104) + COUNTIF(Logs!$N633,G$104) + COUNTIF(Logs!$M650,G$104) + COUNTIF(Logs!$N665,G$104) + COUNTIF(Logs!$N681,G$104)</f>
        <v>0</v>
      </c>
      <c r="H116" s="1440" t="str">
        <f t="shared" si="62"/>
        <v/>
      </c>
      <c r="I116" s="329">
        <f>COUNTIF(Logs!$O19,I$104) + COUNTIF(Logs!$O37,I$104) + COUNTIF(Logs!$O55,I$104) + COUNTIF(Logs!$O73,I$104) + COUNTIF(Logs!$O91,I$104) + COUNTIF(Logs!$N110,I$104) + COUNTIF(Logs!$O130,I$104) + COUNTIF(Logs!$N149,I$104) + COUNTIF(Logs!$O169,I$104) + COUNTIF(Logs!$N187,I$104) +  COUNTIF(Logs!$O208,I$104) + COUNTIF(Logs!$M225,I$104) + COUNTIF(Logs!$M243,I$104) + COUNTIF(Logs!$N260,I$104) + COUNTIF(Logs!$N277,I$104) + COUNTIF(Logs!$N295,I$104) + COUNTIF(Logs!$N312,I$104) + COUNTIF(Logs!$N330,I$104) + COUNTIF(Logs!$N348,I$104) + COUNTIF(Logs!$N366,I$104) + COUNTIF(Logs!$N384,I$104) + COUNTIF(Logs!$N403,I$104) + COUNTIF(Logs!$N421,I$104) + COUNTIF(Logs!$N439,I$104) + COUNTIF(Logs!$N457,I$104) + COUNTIF(Logs!$N475,I$104) + COUNTIF(Logs!$N493,I$104) + COUNTIF(Logs!$N511,I$104) + COUNTIF(Logs!$N529,I$104) + COUNTIF(Logs!$N547,I$104) + COUNTIF(Logs!$N565,I$104) + COUNTIF(Logs!$M582,I$104) + COUNTIF(Logs!$M601,I$104) + COUNTIF(Logs!$L617,I$104) + COUNTIF(Logs!$N633,I$104) + COUNTIF(Logs!$M650,I$104) + COUNTIF(Logs!$N665,I$104) + COUNTIF(Logs!$N681,I$104)</f>
        <v>0</v>
      </c>
      <c r="J116" s="1444" t="str">
        <f t="shared" si="63"/>
        <v/>
      </c>
      <c r="K116" s="1101">
        <f>COUNTIF(Logs!$O19,K$104) + COUNTIF(Logs!$O37,K$104) + COUNTIF(Logs!$O55,K$104) + COUNTIF(Logs!$O73,K$104) + COUNTIF(Logs!$O91,K$104) + COUNTIF(Logs!$N110,K$104) + COUNTIF(Logs!$O130,K$104) + COUNTIF(Logs!$N149,K$104) + COUNTIF(Logs!$O169,K$104) + COUNTIF(Logs!$N187,K$104) +  COUNTIF(Logs!$O208,K$104) + COUNTIF(Logs!$M225,K$104) + COUNTIF(Logs!$M243,K$104) + COUNTIF(Logs!$N260,K$104) + COUNTIF(Logs!$N277,K$104) + COUNTIF(Logs!$N295,K$104) + COUNTIF(Logs!$N312,K$104) + COUNTIF(Logs!$N330,K$104) + COUNTIF(Logs!$N348,K$104) + COUNTIF(Logs!$N366,K$104) + COUNTIF(Logs!$N384,K$104) + COUNTIF(Logs!$N403,K$104) + COUNTIF(Logs!$N421,K$104) + COUNTIF(Logs!$N439,K$104) + COUNTIF(Logs!$N457,K$104) + COUNTIF(Logs!$N475,K$104) + COUNTIF(Logs!$N493,K$104) + COUNTIF(Logs!$N511,K$104) + COUNTIF(Logs!$N529,K$104) + COUNTIF(Logs!$N547,K$104) + COUNTIF(Logs!$N565,K$104) + COUNTIF(Logs!$M582,K$104) + COUNTIF(Logs!$M601,K$104) + COUNTIF(Logs!$L617,K$104) + COUNTIF(Logs!$N633,K$104) + COUNTIF(Logs!$M650,K$104) + COUNTIF(Logs!$N665,K$104) + COUNTIF(Logs!$N681,K$104)</f>
        <v>0</v>
      </c>
      <c r="L116" s="1161">
        <f>COUNTIF(Logs!$O19,L$104) + COUNTIF(Logs!$O37,L$104) + COUNTIF(Logs!$O55,L$104) + COUNTIF(Logs!$O73,L$104) + COUNTIF(Logs!$O91,L$104) + COUNTIF(Logs!$N110,L$104) + COUNTIF(Logs!$O130,L$104) + COUNTIF(Logs!$N149,L$104) + COUNTIF(Logs!$O169,L$104) + COUNTIF(Logs!$N187,L$104) +  COUNTIF(Logs!$O208,L$104) + COUNTIF(Logs!$M225,L$104) + COUNTIF(Logs!$M243,L$104) + COUNTIF(Logs!$N260,L$104) + COUNTIF(Logs!$N277,L$104) + COUNTIF(Logs!$N295,L$104) + COUNTIF(Logs!$N312,L$104) + COUNTIF(Logs!$N330,L$104) + COUNTIF(Logs!$N348,L$104) + COUNTIF(Logs!$N366,L$104) + COUNTIF(Logs!$N384,L$104) + COUNTIF(Logs!$N403,L$104) + COUNTIF(Logs!$N421,L$104) + COUNTIF(Logs!$N439,L$104) + COUNTIF(Logs!$N457,L$104) + COUNTIF(Logs!$N475,L$104) + COUNTIF(Logs!$N493,L$104) + COUNTIF(Logs!$N511,L$104) + COUNTIF(Logs!$N529,L$104) + COUNTIF(Logs!$N547,L$104) + COUNTIF(Logs!$N565,L$104) + COUNTIF(Logs!$M582,L$104) + COUNTIF(Logs!$M601,L$104) + COUNTIF(Logs!$L617,L$104) + COUNTIF(Logs!$N633,L$104) + COUNTIF(Logs!$M650,L$104) + COUNTIF(Logs!$N665,L$104) + COUNTIF(Logs!$N681,L$104)</f>
        <v>0</v>
      </c>
    </row>
    <row r="117" spans="2:14">
      <c r="B117" s="1378" t="s">
        <v>1638</v>
      </c>
      <c r="C117" s="319">
        <f>COUNTIF(Logs!$O20,C$104) + COUNTIF(Logs!$O38,C$104) + COUNTIF(Logs!$O56,C$104) + COUNTIF(Logs!$O74,C$104) + COUNTIF(Logs!$O92,C$104) + COUNTIF(Logs!$N111,C$104) + COUNTIF(Logs!$O131,C$104) + COUNTIF(Logs!$N150,C$104) + COUNTIF(Logs!$O170,C$104) + COUNTIF(Logs!$N188,C$104) +  COUNTIF(Logs!$O209,C$104) + COUNTIF(Logs!$M226,C$104) + COUNTIF(Logs!$M244,C$104) + COUNTIF(Logs!$N261,C$104) + COUNTIF(Logs!$N278,C$104) + COUNTIF(Logs!$N296,C$104) + COUNTIF(Logs!$N313,C$104) + COUNTIF(Logs!$N331,C$104) + COUNTIF(Logs!$N349,C$104) + COUNTIF(Logs!$N367,C$104) + COUNTIF(Logs!$N385,C$104) + COUNTIF(Logs!$N404,C$104) + COUNTIF(Logs!$N422,C$104) + COUNTIF(Logs!$N440,C$104) + COUNTIF(Logs!$N458,C$104) + COUNTIF(Logs!$N476,C$104) + COUNTIF(Logs!$N494,C$104) + COUNTIF(Logs!$N512,C$104) + COUNTIF(Logs!$N530,C$104) + COUNTIF(Logs!$N548,C$104) + COUNTIF(Logs!$N566,C$104) + COUNTIF(Logs!$M583,C$104) + COUNTIF(Logs!$M602,C$104) + COUNTIF(Logs!$L618,C$104) + COUNTIF(Logs!$N634,C$104) + COUNTIF(Logs!$M651,C$104) + COUNTIF(Logs!$N666,C$104) + COUNTIF(Logs!$N682,C$104)</f>
        <v>0</v>
      </c>
      <c r="D117" s="1448" t="str">
        <f t="shared" si="60"/>
        <v/>
      </c>
      <c r="E117" s="8">
        <f>COUNTIF(Logs!$O20,E$104) + COUNTIF(Logs!$O38,E$104) + COUNTIF(Logs!$O56,E$104) + COUNTIF(Logs!$O74,E$104) + COUNTIF(Logs!$O92,E$104) + COUNTIF(Logs!$N111,E$104) + COUNTIF(Logs!$O131,E$104) + COUNTIF(Logs!$N150,E$104) + COUNTIF(Logs!$O170,E$104) + COUNTIF(Logs!$N188,E$104) +  COUNTIF(Logs!$O209,E$104) + COUNTIF(Logs!$M226,E$104) + COUNTIF(Logs!$M244,E$104) + COUNTIF(Logs!$N261,E$104) + COUNTIF(Logs!$N278,E$104) + COUNTIF(Logs!$N296,E$104) + COUNTIF(Logs!$N313,E$104) + COUNTIF(Logs!$N331,E$104) + COUNTIF(Logs!$N349,E$104) + COUNTIF(Logs!$N367,E$104) + COUNTIF(Logs!$N385,E$104) + COUNTIF(Logs!$N404,E$104) + COUNTIF(Logs!$N422,E$104) + COUNTIF(Logs!$N440,E$104) + COUNTIF(Logs!$N458,E$104) + COUNTIF(Logs!$N476,E$104) + COUNTIF(Logs!$N494,E$104) + COUNTIF(Logs!$N512,E$104) + COUNTIF(Logs!$N530,E$104) + COUNTIF(Logs!$N548,E$104) + COUNTIF(Logs!$N566,E$104) + COUNTIF(Logs!$M583,E$104) + COUNTIF(Logs!$M602,E$104) + COUNTIF(Logs!$L618,E$104) + COUNTIF(Logs!$N634,E$104) + COUNTIF(Logs!$M651,E$104) + COUNTIF(Logs!$N666,E$104) + COUNTIF(Logs!$N682,E$104)</f>
        <v>1</v>
      </c>
      <c r="F117" s="1437">
        <f t="shared" si="61"/>
        <v>1</v>
      </c>
      <c r="G117" s="33">
        <f>COUNTIF(Logs!$O20,G$104) + COUNTIF(Logs!$O38,G$104) + COUNTIF(Logs!$O56,G$104) + COUNTIF(Logs!$O74,G$104) + COUNTIF(Logs!$O92,G$104) + COUNTIF(Logs!$N111,G$104) + COUNTIF(Logs!$O131,G$104) + COUNTIF(Logs!$N150,G$104) + COUNTIF(Logs!$O170,G$104) + COUNTIF(Logs!$N188,G$104) +  COUNTIF(Logs!$O209,G$104) + COUNTIF(Logs!$M226,G$104) + COUNTIF(Logs!$M244,G$104) + COUNTIF(Logs!$N261,G$104) + COUNTIF(Logs!$N278,G$104) + COUNTIF(Logs!$N296,G$104) + COUNTIF(Logs!$N313,G$104) + COUNTIF(Logs!$N331,G$104) + COUNTIF(Logs!$N349,G$104) + COUNTIF(Logs!$N367,G$104) + COUNTIF(Logs!$N385,G$104) + COUNTIF(Logs!$N404,G$104) + COUNTIF(Logs!$N422,G$104) + COUNTIF(Logs!$N440,G$104) + COUNTIF(Logs!$N458,G$104) + COUNTIF(Logs!$N476,G$104) + COUNTIF(Logs!$N494,G$104) + COUNTIF(Logs!$N512,G$104) + COUNTIF(Logs!$N530,G$104) + COUNTIF(Logs!$N548,G$104) + COUNTIF(Logs!$N566,G$104) + COUNTIF(Logs!$M583,G$104) + COUNTIF(Logs!$M602,G$104) + COUNTIF(Logs!$L618,G$104) + COUNTIF(Logs!$N634,G$104) + COUNTIF(Logs!$M651,G$104) + COUNTIF(Logs!$N666,G$104) + COUNTIF(Logs!$N682,G$104)</f>
        <v>0</v>
      </c>
      <c r="H117" s="1440" t="str">
        <f t="shared" si="62"/>
        <v/>
      </c>
      <c r="I117" s="329">
        <f>COUNTIF(Logs!$O20,I$104) + COUNTIF(Logs!$O38,I$104) + COUNTIF(Logs!$O56,I$104) + COUNTIF(Logs!$O74,I$104) + COUNTIF(Logs!$O92,I$104) + COUNTIF(Logs!$N111,I$104) + COUNTIF(Logs!$O131,I$104) + COUNTIF(Logs!$N150,I$104) + COUNTIF(Logs!$O170,I$104) + COUNTIF(Logs!$N188,I$104) +  COUNTIF(Logs!$O209,I$104) + COUNTIF(Logs!$M226,I$104) + COUNTIF(Logs!$M244,I$104) + COUNTIF(Logs!$N261,I$104) + COUNTIF(Logs!$N278,I$104) + COUNTIF(Logs!$N296,I$104) + COUNTIF(Logs!$N313,I$104) + COUNTIF(Logs!$N331,I$104) + COUNTIF(Logs!$N349,I$104) + COUNTIF(Logs!$N367,I$104) + COUNTIF(Logs!$N385,I$104) + COUNTIF(Logs!$N404,I$104) + COUNTIF(Logs!$N422,I$104) + COUNTIF(Logs!$N440,I$104) + COUNTIF(Logs!$N458,I$104) + COUNTIF(Logs!$N476,I$104) + COUNTIF(Logs!$N494,I$104) + COUNTIF(Logs!$N512,I$104) + COUNTIF(Logs!$N530,I$104) + COUNTIF(Logs!$N548,I$104) + COUNTIF(Logs!$N566,I$104) + COUNTIF(Logs!$M583,I$104) + COUNTIF(Logs!$M602,I$104) + COUNTIF(Logs!$L618,I$104) + COUNTIF(Logs!$N634,I$104) + COUNTIF(Logs!$M651,I$104) + COUNTIF(Logs!$N666,I$104) + COUNTIF(Logs!$N682,I$104)</f>
        <v>0</v>
      </c>
      <c r="J117" s="1444" t="str">
        <f t="shared" si="63"/>
        <v/>
      </c>
      <c r="K117" s="1101">
        <f>COUNTIF(Logs!$O20,K$104) + COUNTIF(Logs!$O38,K$104) + COUNTIF(Logs!$O56,K$104) + COUNTIF(Logs!$O74,K$104) + COUNTIF(Logs!$O92,K$104) + COUNTIF(Logs!$N111,K$104) + COUNTIF(Logs!$O131,K$104) + COUNTIF(Logs!$N150,K$104) + COUNTIF(Logs!$O170,K$104) + COUNTIF(Logs!$N188,K$104) +  COUNTIF(Logs!$O209,K$104) + COUNTIF(Logs!$M226,K$104) + COUNTIF(Logs!$M244,K$104) + COUNTIF(Logs!$N261,K$104) + COUNTIF(Logs!$N278,K$104) + COUNTIF(Logs!$N296,K$104) + COUNTIF(Logs!$N313,K$104) + COUNTIF(Logs!$N331,K$104) + COUNTIF(Logs!$N349,K$104) + COUNTIF(Logs!$N367,K$104) + COUNTIF(Logs!$N385,K$104) + COUNTIF(Logs!$N404,K$104) + COUNTIF(Logs!$N422,K$104) + COUNTIF(Logs!$N440,K$104) + COUNTIF(Logs!$N458,K$104) + COUNTIF(Logs!$N476,K$104) + COUNTIF(Logs!$N494,K$104) + COUNTIF(Logs!$N512,K$104) + COUNTIF(Logs!$N530,K$104) + COUNTIF(Logs!$N548,K$104) + COUNTIF(Logs!$N566,K$104) + COUNTIF(Logs!$M583,K$104) + COUNTIF(Logs!$M602,K$104) + COUNTIF(Logs!$L618,K$104) + COUNTIF(Logs!$N634,K$104) + COUNTIF(Logs!$M651,K$104) + COUNTIF(Logs!$N666,K$104) + COUNTIF(Logs!$N682,K$104)</f>
        <v>0</v>
      </c>
      <c r="L117" s="1161">
        <f>COUNTIF(Logs!$O20,L$104) + COUNTIF(Logs!$O38,L$104) + COUNTIF(Logs!$O56,L$104) + COUNTIF(Logs!$O74,L$104) + COUNTIF(Logs!$O92,L$104) + COUNTIF(Logs!$N111,L$104) + COUNTIF(Logs!$O131,L$104) + COUNTIF(Logs!$N150,L$104) + COUNTIF(Logs!$O170,L$104) + COUNTIF(Logs!$N188,L$104) +  COUNTIF(Logs!$O209,L$104) + COUNTIF(Logs!$M226,L$104) + COUNTIF(Logs!$M244,L$104) + COUNTIF(Logs!$N261,L$104) + COUNTIF(Logs!$N278,L$104) + COUNTIF(Logs!$N296,L$104) + COUNTIF(Logs!$N313,L$104) + COUNTIF(Logs!$N331,L$104) + COUNTIF(Logs!$N349,L$104) + COUNTIF(Logs!$N367,L$104) + COUNTIF(Logs!$N385,L$104) + COUNTIF(Logs!$N404,L$104) + COUNTIF(Logs!$N422,L$104) + COUNTIF(Logs!$N440,L$104) + COUNTIF(Logs!$N458,L$104) + COUNTIF(Logs!$N476,L$104) + COUNTIF(Logs!$N494,L$104) + COUNTIF(Logs!$N512,L$104) + COUNTIF(Logs!$N530,L$104) + COUNTIF(Logs!$N548,L$104) + COUNTIF(Logs!$N566,L$104) + COUNTIF(Logs!$M583,L$104) + COUNTIF(Logs!$M602,L$104) + COUNTIF(Logs!$L618,L$104) + COUNTIF(Logs!$N634,L$104) + COUNTIF(Logs!$M651,L$104) + COUNTIF(Logs!$N666,L$104) + COUNTIF(Logs!$N682,L$104)</f>
        <v>0</v>
      </c>
    </row>
    <row r="118" spans="2:14" ht="16.5" thickBot="1">
      <c r="B118" s="1379" t="s">
        <v>1639</v>
      </c>
      <c r="C118" s="1447">
        <f>COUNTIF(Logs!$O21,C$104) + COUNTIF(Logs!$O39,C$104) + COUNTIF(Logs!$O57,C$104) + COUNTIF(Logs!$O75,C$104) + COUNTIF(Logs!$O93,C$104) + COUNTIF(Logs!$N112,C$104) + COUNTIF(Logs!$O132,C$104) + COUNTIF(Logs!$N151,C$104) + COUNTIF(Logs!$O171,C$104) + COUNTIF(Logs!$N189,C$104) +  COUNTIF(Logs!$O210,C$104) + COUNTIF(Logs!$M227,C$104) + COUNTIF(Logs!$M245,C$104) + COUNTIF(Logs!$N262,C$104) + COUNTIF(Logs!$N279,C$104) + COUNTIF(Logs!$N297,C$104) + COUNTIF(Logs!$N314,C$104) + COUNTIF(Logs!$N332,C$104) + COUNTIF(Logs!$N350,C$104) + COUNTIF(Logs!$N368,C$104) + COUNTIF(Logs!$N386,C$104) + COUNTIF(Logs!$N405,C$104) + COUNTIF(Logs!$N423,C$104) + COUNTIF(Logs!$N441,C$104) + COUNTIF(Logs!$N459,C$104) + COUNTIF(Logs!$N477,C$104) + COUNTIF(Logs!$N495,C$104) + COUNTIF(Logs!$N513,C$104) + COUNTIF(Logs!$N531,C$104) + COUNTIF(Logs!$N549,C$104) + COUNTIF(Logs!$N567,C$104) + COUNTIF(Logs!$M584,C$104) + COUNTIF(Logs!$M603,C$104) + COUNTIF(Logs!$L619,C$104) + COUNTIF(Logs!$N635,C$104) + COUNTIF(Logs!$M652,C$104) + COUNTIF(Logs!$N667,C$104) + COUNTIF(Logs!$N683,C$104)</f>
        <v>0</v>
      </c>
      <c r="D118" s="1449" t="str">
        <f t="shared" si="60"/>
        <v/>
      </c>
      <c r="E118" s="1292">
        <f>COUNTIF(Logs!$O21,E$104) + COUNTIF(Logs!$O39,E$104) + COUNTIF(Logs!$O57,E$104) + COUNTIF(Logs!$O75,E$104) + COUNTIF(Logs!$O93,E$104) + COUNTIF(Logs!$N112,E$104) + COUNTIF(Logs!$O132,E$104) + COUNTIF(Logs!$N151,E$104) + COUNTIF(Logs!$O171,E$104) + COUNTIF(Logs!$N189,E$104) +  COUNTIF(Logs!$O210,E$104) + COUNTIF(Logs!$M227,E$104) + COUNTIF(Logs!$M245,E$104) + COUNTIF(Logs!$N262,E$104) + COUNTIF(Logs!$N279,E$104) + COUNTIF(Logs!$N297,E$104) + COUNTIF(Logs!$N314,E$104) + COUNTIF(Logs!$N332,E$104) + COUNTIF(Logs!$N350,E$104) + COUNTIF(Logs!$N368,E$104) + COUNTIF(Logs!$N386,E$104) + COUNTIF(Logs!$N405,E$104) + COUNTIF(Logs!$N423,E$104) + COUNTIF(Logs!$N441,E$104) + COUNTIF(Logs!$N459,E$104) + COUNTIF(Logs!$N477,E$104) + COUNTIF(Logs!$N495,E$104) + COUNTIF(Logs!$N513,E$104) + COUNTIF(Logs!$N531,E$104) + COUNTIF(Logs!$N549,E$104) + COUNTIF(Logs!$N567,E$104) + COUNTIF(Logs!$M584,E$104) + COUNTIF(Logs!$M603,E$104) + COUNTIF(Logs!$L619,E$104) + COUNTIF(Logs!$N635,E$104) + COUNTIF(Logs!$M652,E$104) + COUNTIF(Logs!$N667,E$104) + COUNTIF(Logs!$N683,E$104)</f>
        <v>0</v>
      </c>
      <c r="F118" s="1438" t="str">
        <f t="shared" si="61"/>
        <v/>
      </c>
      <c r="G118" s="1283">
        <f>COUNTIF(Logs!$O21,G$104) + COUNTIF(Logs!$O39,G$104) + COUNTIF(Logs!$O57,G$104) + COUNTIF(Logs!$O75,G$104) + COUNTIF(Logs!$O93,G$104) + COUNTIF(Logs!$N112,G$104) + COUNTIF(Logs!$O132,G$104) + COUNTIF(Logs!$N151,G$104) + COUNTIF(Logs!$O171,G$104) + COUNTIF(Logs!$N189,G$104) +  COUNTIF(Logs!$O210,G$104) + COUNTIF(Logs!$M227,G$104) + COUNTIF(Logs!$M245,G$104) + COUNTIF(Logs!$N262,G$104) + COUNTIF(Logs!$N279,G$104) + COUNTIF(Logs!$N297,G$104) + COUNTIF(Logs!$N314,G$104) + COUNTIF(Logs!$N332,G$104) + COUNTIF(Logs!$N350,G$104) + COUNTIF(Logs!$N368,G$104) + COUNTIF(Logs!$N386,G$104) + COUNTIF(Logs!$N405,G$104) + COUNTIF(Logs!$N423,G$104) + COUNTIF(Logs!$N441,G$104) + COUNTIF(Logs!$N459,G$104) + COUNTIF(Logs!$N477,G$104) + COUNTIF(Logs!$N495,G$104) + COUNTIF(Logs!$N513,G$104) + COUNTIF(Logs!$N531,G$104) + COUNTIF(Logs!$N549,G$104) + COUNTIF(Logs!$N567,G$104) + COUNTIF(Logs!$M584,G$104) + COUNTIF(Logs!$M603,G$104) + COUNTIF(Logs!$L619,G$104) + COUNTIF(Logs!$N635,G$104) + COUNTIF(Logs!$M652,G$104) + COUNTIF(Logs!$N667,G$104) + COUNTIF(Logs!$N683,G$104)</f>
        <v>0</v>
      </c>
      <c r="H118" s="1442" t="str">
        <f t="shared" si="62"/>
        <v/>
      </c>
      <c r="I118" s="1305">
        <f>COUNTIF(Logs!$O21,I$104) + COUNTIF(Logs!$O39,I$104) + COUNTIF(Logs!$O57,I$104) + COUNTIF(Logs!$O75,I$104) + COUNTIF(Logs!$O93,I$104) + COUNTIF(Logs!$N112,I$104) + COUNTIF(Logs!$O132,I$104) + COUNTIF(Logs!$N151,I$104) + COUNTIF(Logs!$O171,I$104) + COUNTIF(Logs!$N189,I$104) +  COUNTIF(Logs!$O210,I$104) + COUNTIF(Logs!$M227,I$104) + COUNTIF(Logs!$M245,I$104) + COUNTIF(Logs!$N262,I$104) + COUNTIF(Logs!$N279,I$104) + COUNTIF(Logs!$N297,I$104) + COUNTIF(Logs!$N314,I$104) + COUNTIF(Logs!$N332,I$104) + COUNTIF(Logs!$N350,I$104) + COUNTIF(Logs!$N368,I$104) + COUNTIF(Logs!$N386,I$104) + COUNTIF(Logs!$N405,I$104) + COUNTIF(Logs!$N423,I$104) + COUNTIF(Logs!$N441,I$104) + COUNTIF(Logs!$N459,I$104) + COUNTIF(Logs!$N477,I$104) + COUNTIF(Logs!$N495,I$104) + COUNTIF(Logs!$N513,I$104) + COUNTIF(Logs!$N531,I$104) + COUNTIF(Logs!$N549,I$104) + COUNTIF(Logs!$N567,I$104) + COUNTIF(Logs!$M584,I$104) + COUNTIF(Logs!$M603,I$104) + COUNTIF(Logs!$L619,I$104) + COUNTIF(Logs!$N635,I$104) + COUNTIF(Logs!$M652,I$104) + COUNTIF(Logs!$N667,I$104) + COUNTIF(Logs!$N683,I$104)</f>
        <v>0</v>
      </c>
      <c r="J118" s="1446" t="str">
        <f t="shared" si="63"/>
        <v/>
      </c>
      <c r="K118" s="1433">
        <f>COUNTIF(Logs!$O21,K$104) + COUNTIF(Logs!$O39,K$104) + COUNTIF(Logs!$O57,K$104) + COUNTIF(Logs!$O75,K$104) + COUNTIF(Logs!$O93,K$104) + COUNTIF(Logs!$N112,K$104) + COUNTIF(Logs!$O132,K$104) + COUNTIF(Logs!$N151,K$104) + COUNTIF(Logs!$O171,K$104) + COUNTIF(Logs!$N189,K$104) +  COUNTIF(Logs!$O210,K$104) + COUNTIF(Logs!$M227,K$104) + COUNTIF(Logs!$M245,K$104) + COUNTIF(Logs!$N262,K$104) + COUNTIF(Logs!$N279,K$104) + COUNTIF(Logs!$N297,K$104) + COUNTIF(Logs!$N314,K$104) + COUNTIF(Logs!$N332,K$104) + COUNTIF(Logs!$N350,K$104) + COUNTIF(Logs!$N368,K$104) + COUNTIF(Logs!$N386,K$104) + COUNTIF(Logs!$N405,K$104) + COUNTIF(Logs!$N423,K$104) + COUNTIF(Logs!$N441,K$104) + COUNTIF(Logs!$N459,K$104) + COUNTIF(Logs!$N477,K$104) + COUNTIF(Logs!$N495,K$104) + COUNTIF(Logs!$N513,K$104) + COUNTIF(Logs!$N531,K$104) + COUNTIF(Logs!$N549,K$104) + COUNTIF(Logs!$N567,K$104) + COUNTIF(Logs!$M584,K$104) + COUNTIF(Logs!$M603,K$104) + COUNTIF(Logs!$L619,K$104) + COUNTIF(Logs!$N635,K$104) + COUNTIF(Logs!$M652,K$104) + COUNTIF(Logs!$N667,K$104) + COUNTIF(Logs!$N683,K$104)</f>
        <v>0</v>
      </c>
      <c r="L118" s="1455">
        <f>COUNTIF(Logs!$O21,L$104) + COUNTIF(Logs!$O39,L$104) + COUNTIF(Logs!$O57,L$104) + COUNTIF(Logs!$O75,L$104) + COUNTIF(Logs!$O93,L$104) + COUNTIF(Logs!$N112,L$104) + COUNTIF(Logs!$O132,L$104) + COUNTIF(Logs!$N151,L$104) + COUNTIF(Logs!$O171,L$104) + COUNTIF(Logs!$N189,L$104) +  COUNTIF(Logs!$O210,L$104) + COUNTIF(Logs!$M227,L$104) + COUNTIF(Logs!$M245,L$104) + COUNTIF(Logs!$N262,L$104) + COUNTIF(Logs!$N279,L$104) + COUNTIF(Logs!$N297,L$104) + COUNTIF(Logs!$N314,L$104) + COUNTIF(Logs!$N332,L$104) + COUNTIF(Logs!$N350,L$104) + COUNTIF(Logs!$N368,L$104) + COUNTIF(Logs!$N386,L$104) + COUNTIF(Logs!$N405,L$104) + COUNTIF(Logs!$N423,L$104) + COUNTIF(Logs!$N441,L$104) + COUNTIF(Logs!$N459,L$104) + COUNTIF(Logs!$N477,L$104) + COUNTIF(Logs!$N495,L$104) + COUNTIF(Logs!$N513,L$104) + COUNTIF(Logs!$N531,L$104) + COUNTIF(Logs!$N549,L$104) + COUNTIF(Logs!$N567,L$104) + COUNTIF(Logs!$M584,L$104) + COUNTIF(Logs!$M603,L$104) + COUNTIF(Logs!$L619,L$104) + COUNTIF(Logs!$N635,L$104) + COUNTIF(Logs!$M652,L$104) + COUNTIF(Logs!$N667,L$104) + COUNTIF(Logs!$N683,L$104)</f>
        <v>0</v>
      </c>
    </row>
    <row r="120" spans="2:14">
      <c r="B120" s="422"/>
      <c r="C120" s="422"/>
      <c r="D120" s="422"/>
      <c r="E120" s="422"/>
      <c r="F120" s="422"/>
      <c r="G120" s="422"/>
      <c r="H120" s="422"/>
      <c r="I120" s="422"/>
      <c r="J120" s="422"/>
      <c r="K120" s="422"/>
      <c r="L120" s="422"/>
      <c r="M120" s="422"/>
      <c r="N120" s="422"/>
    </row>
    <row r="121" spans="2:14">
      <c r="B121" s="422"/>
      <c r="C121" s="422"/>
      <c r="D121" s="422"/>
      <c r="E121" s="422"/>
      <c r="F121" s="422"/>
      <c r="G121" s="422"/>
      <c r="H121" s="422"/>
      <c r="I121" s="422"/>
      <c r="J121" s="422"/>
      <c r="K121" s="422"/>
      <c r="L121" s="422"/>
      <c r="M121" s="422"/>
      <c r="N121" s="422"/>
    </row>
    <row r="122" spans="2:14">
      <c r="B122" s="422"/>
      <c r="C122" s="422"/>
      <c r="D122" s="422"/>
      <c r="E122" s="422"/>
      <c r="F122" s="422"/>
      <c r="G122" s="422"/>
      <c r="H122" s="422"/>
      <c r="I122" s="422"/>
      <c r="J122" s="422"/>
      <c r="K122" s="422"/>
      <c r="L122" s="422"/>
      <c r="M122" s="422"/>
      <c r="N122" s="422"/>
    </row>
    <row r="123" spans="2:14">
      <c r="B123" s="422"/>
      <c r="C123" s="422"/>
      <c r="D123" s="422"/>
      <c r="E123" s="422"/>
      <c r="F123" s="422"/>
      <c r="G123" s="422"/>
      <c r="H123" s="422"/>
      <c r="I123" s="422"/>
      <c r="J123" s="422"/>
      <c r="K123" s="422"/>
      <c r="L123" s="422"/>
      <c r="M123" s="422"/>
      <c r="N123" s="422"/>
    </row>
  </sheetData>
  <mergeCells count="67">
    <mergeCell ref="W8:X8"/>
    <mergeCell ref="B4:I4"/>
    <mergeCell ref="B2:E2"/>
    <mergeCell ref="C8:D8"/>
    <mergeCell ref="E8:F8"/>
    <mergeCell ref="G8:H8"/>
    <mergeCell ref="I8:J8"/>
    <mergeCell ref="K8:L8"/>
    <mergeCell ref="O8:P8"/>
    <mergeCell ref="Q8:R8"/>
    <mergeCell ref="S8:T8"/>
    <mergeCell ref="U8:V8"/>
    <mergeCell ref="C24:D24"/>
    <mergeCell ref="E24:F24"/>
    <mergeCell ref="G24:H24"/>
    <mergeCell ref="I24:J24"/>
    <mergeCell ref="K24:L24"/>
    <mergeCell ref="C40:D40"/>
    <mergeCell ref="E40:F40"/>
    <mergeCell ref="G40:H40"/>
    <mergeCell ref="I40:J40"/>
    <mergeCell ref="K40:L40"/>
    <mergeCell ref="O56:P56"/>
    <mergeCell ref="Q24:R24"/>
    <mergeCell ref="S24:T24"/>
    <mergeCell ref="U24:V24"/>
    <mergeCell ref="W24:X24"/>
    <mergeCell ref="O40:P40"/>
    <mergeCell ref="O24:P24"/>
    <mergeCell ref="Q56:R56"/>
    <mergeCell ref="S56:T56"/>
    <mergeCell ref="U56:V56"/>
    <mergeCell ref="W56:X56"/>
    <mergeCell ref="Q40:R40"/>
    <mergeCell ref="S40:T40"/>
    <mergeCell ref="U40:V40"/>
    <mergeCell ref="W40:X40"/>
    <mergeCell ref="C56:D56"/>
    <mergeCell ref="E56:F56"/>
    <mergeCell ref="G56:H56"/>
    <mergeCell ref="I56:J56"/>
    <mergeCell ref="K56:L56"/>
    <mergeCell ref="Q72:R72"/>
    <mergeCell ref="S72:T72"/>
    <mergeCell ref="U72:V72"/>
    <mergeCell ref="W72:X72"/>
    <mergeCell ref="C88:D88"/>
    <mergeCell ref="E88:F88"/>
    <mergeCell ref="G88:H88"/>
    <mergeCell ref="I88:J88"/>
    <mergeCell ref="K88:L88"/>
    <mergeCell ref="O88:P88"/>
    <mergeCell ref="C72:D72"/>
    <mergeCell ref="E72:F72"/>
    <mergeCell ref="G72:H72"/>
    <mergeCell ref="I72:J72"/>
    <mergeCell ref="K72:L72"/>
    <mergeCell ref="O72:P72"/>
    <mergeCell ref="Q88:R88"/>
    <mergeCell ref="S88:T88"/>
    <mergeCell ref="U88:V88"/>
    <mergeCell ref="W88:X88"/>
    <mergeCell ref="C104:D104"/>
    <mergeCell ref="E104:F104"/>
    <mergeCell ref="G104:H104"/>
    <mergeCell ref="I104:J104"/>
    <mergeCell ref="K104:L104"/>
  </mergeCells>
  <phoneticPr fontId="3" type="noConversion"/>
  <conditionalFormatting sqref="A1:XFD1048576">
    <cfRule type="cellIs" dxfId="2" priority="1" operator="equal">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A34D-11CC-B445-8046-67A36DD33EEA}">
  <sheetPr codeName="Sheet15">
    <tabColor rgb="FF7030A0"/>
  </sheetPr>
  <dimension ref="B4:AC151"/>
  <sheetViews>
    <sheetView topLeftCell="A49" zoomScale="85" workbookViewId="0">
      <selection activeCell="R66" sqref="R66"/>
    </sheetView>
  </sheetViews>
  <sheetFormatPr defaultColWidth="11" defaultRowHeight="15.75"/>
  <cols>
    <col min="4" max="4" width="12.5" customWidth="1"/>
    <col min="5" max="5" width="16.125" bestFit="1" customWidth="1"/>
    <col min="6" max="6" width="15.875" customWidth="1"/>
    <col min="7" max="7" width="18.625" bestFit="1" customWidth="1"/>
    <col min="8" max="8" width="16.875" customWidth="1"/>
    <col min="9" max="9" width="15.875" bestFit="1" customWidth="1"/>
    <col min="10" max="10" width="18.625" bestFit="1" customWidth="1"/>
    <col min="11" max="11" width="15.875" bestFit="1" customWidth="1"/>
    <col min="12" max="13" width="18.625" bestFit="1" customWidth="1"/>
    <col min="14" max="14" width="15.875" bestFit="1" customWidth="1"/>
    <col min="15" max="15" width="17.625" customWidth="1"/>
    <col min="16" max="16" width="15.875" bestFit="1" customWidth="1"/>
    <col min="17" max="17" width="12.625" customWidth="1"/>
    <col min="18" max="18" width="14.875" customWidth="1"/>
    <col min="23" max="23" width="10.125" customWidth="1"/>
  </cols>
  <sheetData>
    <row r="4" spans="2:25" ht="33.75">
      <c r="B4" s="1754" t="s">
        <v>454</v>
      </c>
      <c r="C4" s="1754"/>
      <c r="D4" s="1754"/>
      <c r="E4" s="1754"/>
    </row>
    <row r="6" spans="2:25" ht="83.1" customHeight="1">
      <c r="B6" s="1701" t="s">
        <v>1552</v>
      </c>
      <c r="C6" s="1702"/>
      <c r="D6" s="1702"/>
      <c r="E6" s="1702"/>
      <c r="F6" s="1702"/>
      <c r="G6" s="1702"/>
      <c r="H6" s="1702"/>
      <c r="I6" s="1702"/>
      <c r="J6" s="1702"/>
      <c r="K6" s="1702"/>
    </row>
    <row r="8" spans="2:25" ht="18">
      <c r="B8" s="345" t="s">
        <v>1551</v>
      </c>
    </row>
    <row r="9" spans="2:25">
      <c r="B9" s="163" t="s">
        <v>329</v>
      </c>
      <c r="C9" s="359" t="s">
        <v>149</v>
      </c>
      <c r="D9" s="360" t="s">
        <v>2836</v>
      </c>
      <c r="H9" s="242"/>
      <c r="I9" s="242"/>
      <c r="J9" s="242"/>
      <c r="K9" s="361"/>
      <c r="L9" s="361"/>
      <c r="M9" s="361"/>
      <c r="N9" s="361"/>
      <c r="O9" s="361"/>
      <c r="P9" s="361"/>
      <c r="Q9" s="361"/>
      <c r="R9" s="361"/>
      <c r="S9" s="361"/>
      <c r="T9" s="361"/>
      <c r="U9" s="361"/>
      <c r="V9" s="361"/>
    </row>
    <row r="10" spans="2:25">
      <c r="B10" s="316" t="s">
        <v>126</v>
      </c>
      <c r="C10" s="242">
        <f>COUNTIF(Logs!$C19:$O19, "Yes")</f>
        <v>8</v>
      </c>
      <c r="D10" s="361">
        <f>COUNTIF(Logs!$C19:$O19, "No")</f>
        <v>4</v>
      </c>
    </row>
    <row r="11" spans="2:25">
      <c r="B11" s="163" t="s">
        <v>127</v>
      </c>
      <c r="C11" s="242">
        <f>COUNTIF(Logs!$C37:$O37, "Yes")</f>
        <v>8</v>
      </c>
      <c r="D11" s="361">
        <f>COUNTIF(Logs!$C37:$O37, "No")</f>
        <v>4</v>
      </c>
    </row>
    <row r="12" spans="2:25">
      <c r="B12" s="163" t="s">
        <v>128</v>
      </c>
      <c r="C12" s="242">
        <f>COUNTIF(Logs!$C55:$O55, "Yes")</f>
        <v>9</v>
      </c>
      <c r="D12" s="361">
        <f>COUNTIF(Logs!$C55:$O55, "No")</f>
        <v>3</v>
      </c>
    </row>
    <row r="13" spans="2:25">
      <c r="B13" s="163" t="s">
        <v>129</v>
      </c>
      <c r="C13" s="242">
        <f>COUNTIF(Logs!$C73:$O73, "Yes")</f>
        <v>9</v>
      </c>
      <c r="D13" s="361">
        <f>COUNTIF(Logs!$C73:$O73, "No")</f>
        <v>3</v>
      </c>
      <c r="W13" s="361"/>
      <c r="X13" s="361"/>
      <c r="Y13" s="361"/>
    </row>
    <row r="14" spans="2:25">
      <c r="B14" s="163" t="s">
        <v>130</v>
      </c>
      <c r="C14" s="242">
        <f>COUNTIF(Logs!$C91:$O91, "Yes")</f>
        <v>8</v>
      </c>
      <c r="D14" s="361">
        <f>COUNTIF(Logs!$C91:$O91, "No")</f>
        <v>4</v>
      </c>
    </row>
    <row r="15" spans="2:25">
      <c r="B15" s="163" t="s">
        <v>131</v>
      </c>
      <c r="C15" s="242">
        <f>COUNTIF(Logs!$C113:$O113, "Yes")</f>
        <v>8</v>
      </c>
      <c r="D15" s="361">
        <f>COUNTIF(Logs!$C113:$O113, "No")</f>
        <v>3</v>
      </c>
    </row>
    <row r="16" spans="2:25">
      <c r="B16" s="163" t="s">
        <v>132</v>
      </c>
      <c r="C16" s="242">
        <f>COUNTIF(Logs!$C130:$O130, "Yes")</f>
        <v>8</v>
      </c>
      <c r="D16" s="361">
        <f>COUNTIF(Logs!$C130:$O130, "No")</f>
        <v>4</v>
      </c>
    </row>
    <row r="17" spans="2:4">
      <c r="B17" s="163" t="s">
        <v>133</v>
      </c>
      <c r="C17" s="242">
        <f>COUNTIF(Logs!$C151:$O151, "Yes")</f>
        <v>7</v>
      </c>
      <c r="D17" s="361">
        <f>COUNTIF(Logs!$C151:$O151, "No")</f>
        <v>4</v>
      </c>
    </row>
    <row r="18" spans="2:4">
      <c r="B18" s="163" t="s">
        <v>134</v>
      </c>
      <c r="C18" s="242">
        <f>COUNTIF(Logs!$C169:$O169, "Yes")</f>
        <v>8</v>
      </c>
      <c r="D18" s="361">
        <f>COUNTIF(Logs!$C169:$O169, "No")</f>
        <v>4</v>
      </c>
    </row>
    <row r="19" spans="2:4">
      <c r="B19" s="163" t="s">
        <v>135</v>
      </c>
      <c r="C19" s="242">
        <f>COUNTIF(Logs!$C190:$O190, "Yes")</f>
        <v>8</v>
      </c>
      <c r="D19" s="361">
        <f>COUNTIF(Logs!$C190:$O190, "No")</f>
        <v>3</v>
      </c>
    </row>
    <row r="20" spans="2:4">
      <c r="B20" s="163" t="s">
        <v>136</v>
      </c>
      <c r="C20" s="242">
        <f>COUNTIF(Logs!$C208:$O208, "Yes")</f>
        <v>8</v>
      </c>
      <c r="D20" s="361">
        <f>COUNTIF(Logs!$C208:$O208, "No")</f>
        <v>4</v>
      </c>
    </row>
    <row r="21" spans="2:4">
      <c r="B21" s="163" t="s">
        <v>137</v>
      </c>
      <c r="C21" s="242">
        <f>COUNTIF(Logs!$C225:$O225, "Yes")</f>
        <v>8</v>
      </c>
      <c r="D21" s="361">
        <f>COUNTIF(Logs!$C225:$O225, "No")</f>
        <v>2</v>
      </c>
    </row>
    <row r="22" spans="2:4">
      <c r="B22" s="163" t="s">
        <v>138</v>
      </c>
      <c r="C22" s="242">
        <f>COUNTIF(Logs!$C243:$O243, "Yes")</f>
        <v>8</v>
      </c>
      <c r="D22" s="361">
        <f>COUNTIF(Logs!$C243:$O243, "No")</f>
        <v>2</v>
      </c>
    </row>
    <row r="23" spans="2:4">
      <c r="B23" s="163" t="s">
        <v>139</v>
      </c>
      <c r="C23" s="242">
        <f>COUNTIF(Logs!$C260:$O260, "Yes")</f>
        <v>8</v>
      </c>
      <c r="D23" s="361">
        <f>COUNTIF(Logs!$C260:$O260, "No")</f>
        <v>3</v>
      </c>
    </row>
    <row r="24" spans="2:4">
      <c r="B24" s="163" t="s">
        <v>140</v>
      </c>
      <c r="C24" s="242">
        <f>COUNTIF(Logs!$C277:$O277, "Yes")</f>
        <v>9</v>
      </c>
      <c r="D24" s="361">
        <f>COUNTIF(Logs!$C277:$O277, "No")</f>
        <v>2</v>
      </c>
    </row>
    <row r="25" spans="2:4">
      <c r="B25" s="163" t="s">
        <v>141</v>
      </c>
      <c r="C25" s="242">
        <f>COUNTIF(Logs!$C295:$O295, "Yes")</f>
        <v>8</v>
      </c>
      <c r="D25" s="361">
        <f>COUNTIF(Logs!$C295:$O295, "No")</f>
        <v>3</v>
      </c>
    </row>
    <row r="26" spans="2:4">
      <c r="B26" s="163" t="s">
        <v>142</v>
      </c>
      <c r="C26" s="242">
        <f>COUNTIF(Logs!$C312:$O312, "Yes")</f>
        <v>8</v>
      </c>
      <c r="D26" s="361">
        <f>COUNTIF(Logs!$C312:$O312, "No")</f>
        <v>3</v>
      </c>
    </row>
    <row r="27" spans="2:4">
      <c r="B27" s="163" t="s">
        <v>143</v>
      </c>
      <c r="C27" s="242">
        <f>COUNTIF(Logs!$C330:$O330, "Yes")</f>
        <v>8</v>
      </c>
      <c r="D27" s="361">
        <f>COUNTIF(Logs!$C330:$O330, "No")</f>
        <v>3</v>
      </c>
    </row>
    <row r="28" spans="2:4">
      <c r="B28" s="163" t="s">
        <v>144</v>
      </c>
      <c r="C28" s="242">
        <f>COUNTIF(Logs!$C348:$O348, "Yes")</f>
        <v>7</v>
      </c>
      <c r="D28" s="361">
        <f>COUNTIF(Logs!$C348:$O348, "No")</f>
        <v>4</v>
      </c>
    </row>
    <row r="29" spans="2:4">
      <c r="B29" s="163" t="s">
        <v>145</v>
      </c>
      <c r="C29" s="242">
        <f>COUNTIF(Logs!$C366:$O366, "Yes")</f>
        <v>8</v>
      </c>
      <c r="D29" s="361">
        <f>COUNTIF(Logs!$C366:$O366, "No")</f>
        <v>3</v>
      </c>
    </row>
    <row r="30" spans="2:4">
      <c r="B30" s="163" t="s">
        <v>146</v>
      </c>
      <c r="C30" s="242">
        <f>COUNTIF(Logs!$C384:$O384, "Yes")</f>
        <v>8</v>
      </c>
      <c r="D30" s="361">
        <f>COUNTIF(Logs!$C384:$O384, "No")</f>
        <v>3</v>
      </c>
    </row>
    <row r="31" spans="2:4">
      <c r="B31" s="163" t="s">
        <v>147</v>
      </c>
      <c r="C31" s="242">
        <f>COUNTIF(Logs!$C403:$O403, "Yes")</f>
        <v>8</v>
      </c>
      <c r="D31" s="361">
        <f>COUNTIF(Logs!$C403:$O403, "No")</f>
        <v>3</v>
      </c>
    </row>
    <row r="32" spans="2:4">
      <c r="B32" s="163" t="s">
        <v>148</v>
      </c>
      <c r="C32" s="242">
        <f>COUNTIF(Logs!$C421:$O421, "Yes")</f>
        <v>8</v>
      </c>
      <c r="D32" s="361">
        <f>COUNTIF(Logs!$C421:$O421, "No")</f>
        <v>3</v>
      </c>
    </row>
    <row r="33" spans="2:5">
      <c r="B33" s="163" t="s">
        <v>125</v>
      </c>
      <c r="C33" s="242">
        <f>COUNTIF(Logs!$C439:$O439, "Yes")</f>
        <v>8</v>
      </c>
      <c r="D33" s="361">
        <f>COUNTIF(Logs!$C439:$O439, "No")</f>
        <v>3</v>
      </c>
    </row>
    <row r="34" spans="2:5">
      <c r="B34" s="163" t="s">
        <v>116</v>
      </c>
      <c r="C34" s="242">
        <f>COUNTIF(Logs!$C457:$O457, "Yes")</f>
        <v>7</v>
      </c>
      <c r="D34" s="361">
        <f>COUNTIF(Logs!$C457:$O457, "No")</f>
        <v>4</v>
      </c>
    </row>
    <row r="35" spans="2:5">
      <c r="B35" s="163" t="s">
        <v>104</v>
      </c>
      <c r="C35" s="242">
        <f>COUNTIF(Logs!$C475:$O475, "Yes")</f>
        <v>7</v>
      </c>
      <c r="D35" s="361">
        <f>COUNTIF(Logs!$C475:$O475, "No")</f>
        <v>4</v>
      </c>
    </row>
    <row r="36" spans="2:5">
      <c r="B36" s="163" t="s">
        <v>95</v>
      </c>
      <c r="C36" s="242">
        <f>COUNTIF(Logs!$C493:$O493, "Yes")</f>
        <v>8</v>
      </c>
      <c r="D36" s="361">
        <f>COUNTIF(Logs!$C493:$O493, "No")</f>
        <v>3</v>
      </c>
    </row>
    <row r="37" spans="2:5">
      <c r="B37" s="163" t="s">
        <v>85</v>
      </c>
      <c r="C37" s="242">
        <f>COUNTIF(Logs!$C511:$O511, "Yes")</f>
        <v>8</v>
      </c>
      <c r="D37" s="361">
        <f>COUNTIF(Logs!$C511:$O511, "No")</f>
        <v>3</v>
      </c>
    </row>
    <row r="38" spans="2:5">
      <c r="B38" s="163" t="s">
        <v>66</v>
      </c>
      <c r="C38" s="242">
        <f>COUNTIF(Logs!$C529:$O529, "Yes")</f>
        <v>8</v>
      </c>
      <c r="D38" s="361">
        <f>COUNTIF(Logs!$C529:$O529, "No")</f>
        <v>3</v>
      </c>
    </row>
    <row r="39" spans="2:5">
      <c r="B39" s="163" t="s">
        <v>65</v>
      </c>
      <c r="C39" s="242">
        <f>COUNTIF(Logs!$C547:$O547, "Yes")</f>
        <v>8</v>
      </c>
      <c r="D39" s="361">
        <f>COUNTIF(Logs!$C547:$O547, "No")</f>
        <v>3</v>
      </c>
    </row>
    <row r="40" spans="2:5">
      <c r="B40" s="163" t="s">
        <v>60</v>
      </c>
      <c r="C40" s="242">
        <f>COUNTIF(Logs!$C565:$O565, "Yes")</f>
        <v>8</v>
      </c>
      <c r="D40" s="361">
        <f>COUNTIF(Logs!$C565:$O565, "No")</f>
        <v>3</v>
      </c>
    </row>
    <row r="41" spans="2:5">
      <c r="B41" s="163" t="s">
        <v>35</v>
      </c>
      <c r="C41" s="242">
        <f>COUNTIF(Logs!$C583:$O583, "Yes")</f>
        <v>8</v>
      </c>
      <c r="D41" s="361">
        <f>COUNTIF(Logs!$C583:$O583, "No")</f>
        <v>2</v>
      </c>
    </row>
    <row r="42" spans="2:5">
      <c r="B42" s="163" t="s">
        <v>11</v>
      </c>
      <c r="C42" s="242">
        <f>COUNTIF(Logs!$C601:$O601, "Yes")</f>
        <v>6</v>
      </c>
      <c r="D42" s="361">
        <f>COUNTIF(Logs!$C601:$O601, "No")</f>
        <v>4</v>
      </c>
    </row>
    <row r="43" spans="2:5">
      <c r="B43" s="163" t="s">
        <v>198</v>
      </c>
      <c r="C43" s="242">
        <f>COUNTIF(Logs!$C617:$O617, "Yes")</f>
        <v>9</v>
      </c>
      <c r="D43" s="361">
        <f>COUNTIF(Logs!$C617:$O617, "No")</f>
        <v>0</v>
      </c>
    </row>
    <row r="44" spans="2:5">
      <c r="B44" s="163" t="s">
        <v>184</v>
      </c>
      <c r="C44" s="242">
        <f>COUNTIF(Logs!$C633:$O633, "Yes")</f>
        <v>10</v>
      </c>
      <c r="D44" s="361">
        <f>COUNTIF(Logs!$C633:$O633, "No")</f>
        <v>1</v>
      </c>
    </row>
    <row r="45" spans="2:5">
      <c r="B45" s="163" t="s">
        <v>563</v>
      </c>
      <c r="C45" s="242">
        <f>COUNTIF(Logs!$C650:$O650, "Yes")</f>
        <v>10</v>
      </c>
      <c r="D45" s="361">
        <f>COUNTIF(Logs!$C650:$O650, "No")</f>
        <v>0</v>
      </c>
    </row>
    <row r="46" spans="2:5">
      <c r="B46" s="163" t="s">
        <v>1742</v>
      </c>
      <c r="C46" s="242">
        <f>COUNTIF(Logs!$C651:$N665, "*Yes*")</f>
        <v>10</v>
      </c>
      <c r="D46" s="361">
        <f>COUNTIF(Logs!$C651:$N665, "*No*")</f>
        <v>1</v>
      </c>
    </row>
    <row r="47" spans="2:5">
      <c r="B47" s="163" t="s">
        <v>2056</v>
      </c>
      <c r="C47" s="242">
        <f>COUNTIF(Logs!$C682:$N682, "*Yes*")</f>
        <v>10</v>
      </c>
      <c r="D47" s="361">
        <f>COUNTIF(Logs!$C682:$N682, "*No*")</f>
        <v>1</v>
      </c>
      <c r="E47" s="361">
        <f>COUNTIF(Logs!$C682:$N682, "*No*")</f>
        <v>1</v>
      </c>
    </row>
    <row r="48" spans="2:5">
      <c r="B48" s="318" t="s">
        <v>200</v>
      </c>
      <c r="C48" s="363">
        <f>SUM(C10:C45)</f>
        <v>290</v>
      </c>
      <c r="D48" s="362">
        <f>SUM(D10:D45)</f>
        <v>107</v>
      </c>
    </row>
    <row r="49" spans="2:22">
      <c r="B49" s="163" t="s">
        <v>333</v>
      </c>
      <c r="C49" s="364">
        <f>AVERAGE(C10:C45)</f>
        <v>8.0555555555555554</v>
      </c>
      <c r="D49" s="365">
        <f>AVERAGE(D10:D45)</f>
        <v>2.9722222222222223</v>
      </c>
    </row>
    <row r="50" spans="2:22">
      <c r="B50" s="163" t="s">
        <v>1531</v>
      </c>
      <c r="C50" s="364">
        <f>STDEV(C10:C45)</f>
        <v>0.75382621886875767</v>
      </c>
      <c r="D50" s="365">
        <f>STDEV(D10:D45)</f>
        <v>1.0277885027325451</v>
      </c>
    </row>
    <row r="51" spans="2:22">
      <c r="B51" s="163" t="s">
        <v>1276</v>
      </c>
      <c r="C51" s="242">
        <f>MAX(C10:C45)</f>
        <v>10</v>
      </c>
      <c r="D51" s="361">
        <f>MAX(D10:D45)</f>
        <v>4</v>
      </c>
    </row>
    <row r="52" spans="2:22">
      <c r="B52" s="163" t="s">
        <v>1530</v>
      </c>
      <c r="C52" s="242">
        <f>MIN(C10:C45)</f>
        <v>6</v>
      </c>
      <c r="D52" s="361">
        <f>MIN(D10:D45)</f>
        <v>0</v>
      </c>
    </row>
    <row r="53" spans="2:22">
      <c r="B53" s="163" t="s">
        <v>1277</v>
      </c>
      <c r="C53" s="242">
        <f>MODE(C10:C45)</f>
        <v>8</v>
      </c>
      <c r="D53" s="361">
        <f>MODE(D10:D45)</f>
        <v>3</v>
      </c>
    </row>
    <row r="55" spans="2:22" ht="18.75">
      <c r="F55" s="345" t="s">
        <v>1553</v>
      </c>
      <c r="N55" s="40" t="s">
        <v>2583</v>
      </c>
    </row>
    <row r="56" spans="2:22">
      <c r="G56" s="1755" t="s">
        <v>196</v>
      </c>
      <c r="H56" s="1755"/>
      <c r="I56" s="1755"/>
      <c r="J56" s="1756" t="s">
        <v>197</v>
      </c>
      <c r="K56" s="1756"/>
      <c r="L56" s="1756"/>
      <c r="N56" t="s">
        <v>1555</v>
      </c>
      <c r="U56" s="1753" t="s">
        <v>2584</v>
      </c>
      <c r="V56" s="1753"/>
    </row>
    <row r="57" spans="2:22" ht="18.95" customHeight="1">
      <c r="F57" s="367" t="s">
        <v>1110</v>
      </c>
      <c r="G57" s="366" t="s">
        <v>150</v>
      </c>
      <c r="H57" s="366" t="s">
        <v>219</v>
      </c>
      <c r="I57" s="366" t="s">
        <v>220</v>
      </c>
      <c r="J57" s="366" t="s">
        <v>1935</v>
      </c>
      <c r="K57" s="366" t="s">
        <v>1936</v>
      </c>
      <c r="L57" s="366" t="s">
        <v>1937</v>
      </c>
      <c r="N57" s="371" t="s">
        <v>1554</v>
      </c>
      <c r="U57" s="1753"/>
      <c r="V57" s="1753"/>
    </row>
    <row r="58" spans="2:22">
      <c r="F58" s="163" t="s">
        <v>1</v>
      </c>
      <c r="G58" s="242">
        <f>COUNTIF(Logs!C$19:C$1001, "Yes")</f>
        <v>34</v>
      </c>
      <c r="H58" s="368">
        <f t="shared" ref="H58:H69" si="0">$G58/$C$48</f>
        <v>0.11724137931034483</v>
      </c>
      <c r="I58" s="368">
        <f>G58/SUM(G58,J58)</f>
        <v>0.89473684210526316</v>
      </c>
      <c r="J58" s="361">
        <f>COUNTIF(Logs!C$19:C$1001, "No")</f>
        <v>4</v>
      </c>
      <c r="K58" s="369">
        <f t="shared" ref="K58:K69" si="1">$J58/$D$48</f>
        <v>3.7383177570093455E-2</v>
      </c>
      <c r="L58" s="369">
        <f>J58/SUM(G58,J58)</f>
        <v>0.10526315789473684</v>
      </c>
      <c r="N58" t="s">
        <v>2585</v>
      </c>
      <c r="U58" s="370" t="s">
        <v>329</v>
      </c>
      <c r="V58" s="432" t="s">
        <v>334</v>
      </c>
    </row>
    <row r="59" spans="2:22">
      <c r="F59" s="163" t="s">
        <v>2</v>
      </c>
      <c r="G59" s="242">
        <f>COUNTIF(Logs!D$19:D$1001, "Yes")</f>
        <v>37</v>
      </c>
      <c r="H59" s="368">
        <f t="shared" si="0"/>
        <v>0.12758620689655173</v>
      </c>
      <c r="I59" s="368">
        <f t="shared" ref="I59:I68" si="2">G59/SUM(G59,J59)</f>
        <v>0.97368421052631582</v>
      </c>
      <c r="J59" s="361">
        <f>COUNTIF(Logs!D$19:D$1001, "No")</f>
        <v>1</v>
      </c>
      <c r="K59" s="369">
        <f t="shared" si="1"/>
        <v>9.3457943925233638E-3</v>
      </c>
      <c r="L59" s="369">
        <f t="shared" ref="L59:L69" si="3">J59/SUM(G59,J59)</f>
        <v>2.6315789473684209E-2</v>
      </c>
      <c r="N59" s="370" t="s">
        <v>329</v>
      </c>
      <c r="O59" s="430" t="s">
        <v>330</v>
      </c>
      <c r="P59" s="430" t="s">
        <v>331</v>
      </c>
      <c r="Q59" s="430" t="s">
        <v>332</v>
      </c>
      <c r="R59" s="431" t="s">
        <v>1557</v>
      </c>
      <c r="S59" s="91" t="s">
        <v>333</v>
      </c>
      <c r="U59" s="163" t="s">
        <v>126</v>
      </c>
      <c r="V59">
        <v>6</v>
      </c>
    </row>
    <row r="60" spans="2:22">
      <c r="F60" s="163" t="s">
        <v>3</v>
      </c>
      <c r="G60" s="242">
        <f>COUNTIF(Logs!E$19:E$1001, "Yes")</f>
        <v>31</v>
      </c>
      <c r="H60" s="368">
        <f t="shared" si="0"/>
        <v>0.10689655172413794</v>
      </c>
      <c r="I60" s="368">
        <f t="shared" si="2"/>
        <v>0.81578947368421051</v>
      </c>
      <c r="J60" s="361">
        <f>COUNTIF(Logs!E$19:E$1001, "No")</f>
        <v>7</v>
      </c>
      <c r="K60" s="369">
        <f t="shared" si="1"/>
        <v>6.5420560747663545E-2</v>
      </c>
      <c r="L60" s="369">
        <f t="shared" si="3"/>
        <v>0.18421052631578946</v>
      </c>
      <c r="N60" s="163" t="s">
        <v>126</v>
      </c>
      <c r="O60">
        <v>1</v>
      </c>
      <c r="P60">
        <v>1</v>
      </c>
      <c r="Q60">
        <v>1</v>
      </c>
      <c r="R60" s="42">
        <v>0</v>
      </c>
      <c r="S60" s="373">
        <f t="shared" ref="S60:S92" si="4">AVERAGE(O60:R60)</f>
        <v>0.75</v>
      </c>
      <c r="U60" s="163" t="s">
        <v>127</v>
      </c>
      <c r="V60">
        <v>6</v>
      </c>
    </row>
    <row r="61" spans="2:22">
      <c r="F61" s="163" t="s">
        <v>4</v>
      </c>
      <c r="G61" s="242">
        <f>COUNTIF(Logs!F$19:F$1001, "Yes")</f>
        <v>28</v>
      </c>
      <c r="H61" s="368">
        <f t="shared" si="0"/>
        <v>9.6551724137931033E-2</v>
      </c>
      <c r="I61" s="368">
        <f t="shared" si="2"/>
        <v>0.73684210526315785</v>
      </c>
      <c r="J61" s="361">
        <f>COUNTIF(Logs!F$19:F$1001, "No")</f>
        <v>10</v>
      </c>
      <c r="K61" s="369">
        <f t="shared" si="1"/>
        <v>9.3457943925233641E-2</v>
      </c>
      <c r="L61" s="369">
        <f t="shared" si="3"/>
        <v>0.26315789473684209</v>
      </c>
      <c r="N61" s="163" t="s">
        <v>127</v>
      </c>
      <c r="O61">
        <v>1</v>
      </c>
      <c r="P61">
        <v>1</v>
      </c>
      <c r="Q61">
        <v>1</v>
      </c>
      <c r="R61">
        <v>0</v>
      </c>
      <c r="S61" s="373">
        <f t="shared" si="4"/>
        <v>0.75</v>
      </c>
      <c r="U61" s="163" t="s">
        <v>128</v>
      </c>
      <c r="V61">
        <v>8</v>
      </c>
    </row>
    <row r="62" spans="2:22">
      <c r="F62" s="163" t="s">
        <v>5</v>
      </c>
      <c r="G62" s="242">
        <f>COUNTIF(Logs!G$19:G$1001, "Yes")</f>
        <v>28</v>
      </c>
      <c r="H62" s="368">
        <f t="shared" si="0"/>
        <v>9.6551724137931033E-2</v>
      </c>
      <c r="I62" s="368">
        <f t="shared" si="2"/>
        <v>0.73684210526315785</v>
      </c>
      <c r="J62" s="361">
        <f>COUNTIF(Logs!G$19:G$1001, "No")</f>
        <v>10</v>
      </c>
      <c r="K62" s="369">
        <f t="shared" si="1"/>
        <v>9.3457943925233641E-2</v>
      </c>
      <c r="L62" s="369">
        <f t="shared" si="3"/>
        <v>0.26315789473684209</v>
      </c>
      <c r="N62" s="163" t="s">
        <v>128</v>
      </c>
      <c r="O62">
        <v>0</v>
      </c>
      <c r="P62">
        <v>2</v>
      </c>
      <c r="Q62" t="s">
        <v>1556</v>
      </c>
      <c r="R62">
        <v>0</v>
      </c>
      <c r="S62" s="373">
        <f t="shared" si="4"/>
        <v>0.66666666666666663</v>
      </c>
      <c r="U62" s="163" t="s">
        <v>129</v>
      </c>
      <c r="V62">
        <v>8</v>
      </c>
    </row>
    <row r="63" spans="2:22">
      <c r="F63" s="163" t="s">
        <v>6</v>
      </c>
      <c r="G63" s="242">
        <f>COUNTIF(Logs!H$19:H$1001, "Yes")</f>
        <v>28</v>
      </c>
      <c r="H63" s="368">
        <f t="shared" si="0"/>
        <v>9.6551724137931033E-2</v>
      </c>
      <c r="I63" s="368">
        <f t="shared" si="2"/>
        <v>0.73684210526315785</v>
      </c>
      <c r="J63" s="361">
        <f>COUNTIF(Logs!H$19:H$1001, "No")</f>
        <v>10</v>
      </c>
      <c r="K63" s="369">
        <f t="shared" si="1"/>
        <v>9.3457943925233641E-2</v>
      </c>
      <c r="L63" s="369">
        <f t="shared" si="3"/>
        <v>0.26315789473684209</v>
      </c>
      <c r="N63" s="163" t="s">
        <v>129</v>
      </c>
      <c r="O63">
        <v>1</v>
      </c>
      <c r="P63">
        <v>1</v>
      </c>
      <c r="Q63" t="s">
        <v>1556</v>
      </c>
      <c r="R63">
        <v>0</v>
      </c>
      <c r="S63" s="373">
        <f t="shared" si="4"/>
        <v>0.66666666666666663</v>
      </c>
      <c r="U63" s="163" t="s">
        <v>130</v>
      </c>
      <c r="V63">
        <v>5</v>
      </c>
    </row>
    <row r="64" spans="2:22">
      <c r="F64" s="163" t="s">
        <v>7</v>
      </c>
      <c r="G64" s="242">
        <f>COUNTIF(Logs!I$19:I$1001, "Yes")</f>
        <v>23</v>
      </c>
      <c r="H64" s="368">
        <f t="shared" si="0"/>
        <v>7.9310344827586213E-2</v>
      </c>
      <c r="I64" s="368">
        <f t="shared" si="2"/>
        <v>0.60526315789473684</v>
      </c>
      <c r="J64" s="361">
        <f>COUNTIF(Logs!I$19:I$1001, "No")</f>
        <v>15</v>
      </c>
      <c r="K64" s="369">
        <f t="shared" si="1"/>
        <v>0.14018691588785046</v>
      </c>
      <c r="L64" s="369">
        <f t="shared" si="3"/>
        <v>0.39473684210526316</v>
      </c>
      <c r="N64" s="163" t="s">
        <v>130</v>
      </c>
      <c r="O64">
        <v>2</v>
      </c>
      <c r="P64">
        <v>0</v>
      </c>
      <c r="Q64">
        <v>1</v>
      </c>
      <c r="R64">
        <v>1</v>
      </c>
      <c r="S64" s="373">
        <f t="shared" si="4"/>
        <v>1</v>
      </c>
      <c r="U64" s="163" t="s">
        <v>131</v>
      </c>
      <c r="V64">
        <v>4</v>
      </c>
    </row>
    <row r="65" spans="6:22">
      <c r="F65" s="163" t="s">
        <v>8</v>
      </c>
      <c r="G65" s="242">
        <f>COUNTIF(Logs!J$19:J$1001, "Yes")</f>
        <v>25</v>
      </c>
      <c r="H65" s="368">
        <f t="shared" si="0"/>
        <v>8.6206896551724144E-2</v>
      </c>
      <c r="I65" s="368">
        <f t="shared" si="2"/>
        <v>0.65789473684210531</v>
      </c>
      <c r="J65" s="361">
        <f>COUNTIF(Logs!J$19:J$1001, "No")</f>
        <v>13</v>
      </c>
      <c r="K65" s="369">
        <f t="shared" si="1"/>
        <v>0.12149532710280374</v>
      </c>
      <c r="L65" s="369">
        <f t="shared" si="3"/>
        <v>0.34210526315789475</v>
      </c>
      <c r="N65" s="163" t="s">
        <v>131</v>
      </c>
      <c r="O65">
        <v>2</v>
      </c>
      <c r="P65">
        <v>2</v>
      </c>
      <c r="Q65" t="s">
        <v>1556</v>
      </c>
      <c r="R65">
        <v>1</v>
      </c>
      <c r="S65" s="373">
        <f t="shared" si="4"/>
        <v>1.6666666666666667</v>
      </c>
      <c r="U65" s="163" t="s">
        <v>132</v>
      </c>
      <c r="V65">
        <v>5</v>
      </c>
    </row>
    <row r="66" spans="6:22">
      <c r="F66" s="163" t="s">
        <v>9</v>
      </c>
      <c r="G66" s="242">
        <f>COUNTIF(Logs!K$19:K$1001, "Yes")</f>
        <v>25</v>
      </c>
      <c r="H66" s="368">
        <f t="shared" si="0"/>
        <v>8.6206896551724144E-2</v>
      </c>
      <c r="I66" s="368">
        <f t="shared" si="2"/>
        <v>0.65789473684210531</v>
      </c>
      <c r="J66" s="361">
        <f>COUNTIF(Logs!K$19:K$1001, "No")</f>
        <v>13</v>
      </c>
      <c r="K66" s="369">
        <f t="shared" si="1"/>
        <v>0.12149532710280374</v>
      </c>
      <c r="L66" s="369">
        <f t="shared" si="3"/>
        <v>0.34210526315789475</v>
      </c>
      <c r="N66" s="163" t="s">
        <v>132</v>
      </c>
      <c r="O66">
        <v>2</v>
      </c>
      <c r="P66">
        <v>1</v>
      </c>
      <c r="Q66">
        <v>1</v>
      </c>
      <c r="R66">
        <v>0</v>
      </c>
      <c r="S66" s="373">
        <f t="shared" si="4"/>
        <v>1</v>
      </c>
      <c r="U66" s="163" t="s">
        <v>133</v>
      </c>
      <c r="V66">
        <v>5</v>
      </c>
    </row>
    <row r="67" spans="6:22">
      <c r="F67" s="163" t="s">
        <v>10</v>
      </c>
      <c r="G67" s="242">
        <f>COUNTIF(Logs!L$19:L$1001, "Yes")</f>
        <v>20</v>
      </c>
      <c r="H67" s="368">
        <f t="shared" si="0"/>
        <v>6.8965517241379309E-2</v>
      </c>
      <c r="I67" s="368">
        <f t="shared" si="2"/>
        <v>0.54054054054054057</v>
      </c>
      <c r="J67" s="361">
        <f>COUNTIF(Logs!L$19:L$1001, "No")</f>
        <v>17</v>
      </c>
      <c r="K67" s="369">
        <f t="shared" si="1"/>
        <v>0.15887850467289719</v>
      </c>
      <c r="L67" s="369">
        <f t="shared" si="3"/>
        <v>0.45945945945945948</v>
      </c>
      <c r="N67" s="163" t="s">
        <v>133</v>
      </c>
      <c r="O67">
        <v>1</v>
      </c>
      <c r="P67">
        <v>1</v>
      </c>
      <c r="Q67">
        <v>0</v>
      </c>
      <c r="R67">
        <v>2</v>
      </c>
      <c r="S67" s="373">
        <f t="shared" si="4"/>
        <v>1</v>
      </c>
      <c r="U67" s="163" t="s">
        <v>134</v>
      </c>
      <c r="V67">
        <v>3</v>
      </c>
    </row>
    <row r="68" spans="6:22">
      <c r="F68" s="163" t="s">
        <v>36</v>
      </c>
      <c r="G68" s="242">
        <f>COUNTIF(Logs!M$19:M$1001, "Yes")</f>
        <v>28</v>
      </c>
      <c r="H68" s="368">
        <f t="shared" si="0"/>
        <v>9.6551724137931033E-2</v>
      </c>
      <c r="I68" s="368">
        <f t="shared" si="2"/>
        <v>0.875</v>
      </c>
      <c r="J68" s="361">
        <f>COUNTIF(Logs!M$19:M$1001, "No")</f>
        <v>4</v>
      </c>
      <c r="K68" s="369">
        <f t="shared" si="1"/>
        <v>3.7383177570093455E-2</v>
      </c>
      <c r="L68" s="369">
        <f t="shared" si="3"/>
        <v>0.125</v>
      </c>
      <c r="N68" s="163" t="s">
        <v>134</v>
      </c>
      <c r="O68">
        <v>4</v>
      </c>
      <c r="P68">
        <v>1</v>
      </c>
      <c r="Q68">
        <v>1</v>
      </c>
      <c r="R68">
        <v>0</v>
      </c>
      <c r="S68" s="373">
        <f t="shared" si="4"/>
        <v>1.5</v>
      </c>
      <c r="U68" s="163" t="s">
        <v>135</v>
      </c>
      <c r="V68">
        <v>5</v>
      </c>
    </row>
    <row r="69" spans="6:22">
      <c r="F69" s="163" t="s">
        <v>37</v>
      </c>
      <c r="G69" s="242">
        <f>COUNTIF(Logs!N$19:N$1001, "Yes")</f>
        <v>2</v>
      </c>
      <c r="H69" s="368">
        <f t="shared" si="0"/>
        <v>6.8965517241379309E-3</v>
      </c>
      <c r="I69" s="368">
        <f>G69/SUM(G69,J69)</f>
        <v>0.25</v>
      </c>
      <c r="J69" s="361">
        <f>COUNTIF(Logs!N$19:N$1001, "No")</f>
        <v>6</v>
      </c>
      <c r="K69" s="369">
        <f t="shared" si="1"/>
        <v>5.6074766355140186E-2</v>
      </c>
      <c r="L69" s="369">
        <f t="shared" si="3"/>
        <v>0.75</v>
      </c>
      <c r="N69" s="163" t="s">
        <v>135</v>
      </c>
      <c r="O69">
        <v>1</v>
      </c>
      <c r="P69">
        <v>2</v>
      </c>
      <c r="Q69" t="s">
        <v>1556</v>
      </c>
      <c r="R69">
        <v>1</v>
      </c>
      <c r="S69" s="373">
        <f t="shared" si="4"/>
        <v>1.3333333333333333</v>
      </c>
      <c r="U69" s="163" t="s">
        <v>136</v>
      </c>
      <c r="V69">
        <v>5</v>
      </c>
    </row>
    <row r="70" spans="6:22">
      <c r="N70" s="163" t="s">
        <v>136</v>
      </c>
      <c r="O70">
        <v>5</v>
      </c>
      <c r="P70">
        <v>2</v>
      </c>
      <c r="Q70">
        <v>0</v>
      </c>
      <c r="R70">
        <v>1</v>
      </c>
      <c r="S70" s="373">
        <f t="shared" si="4"/>
        <v>2</v>
      </c>
      <c r="U70" s="163" t="s">
        <v>137</v>
      </c>
      <c r="V70">
        <v>7</v>
      </c>
    </row>
    <row r="71" spans="6:22">
      <c r="N71" s="163" t="s">
        <v>137</v>
      </c>
      <c r="O71">
        <v>1</v>
      </c>
      <c r="P71" t="s">
        <v>1556</v>
      </c>
      <c r="Q71" t="s">
        <v>1556</v>
      </c>
      <c r="R71">
        <v>1</v>
      </c>
      <c r="S71" s="373">
        <f t="shared" si="4"/>
        <v>1</v>
      </c>
      <c r="U71" s="163" t="s">
        <v>138</v>
      </c>
      <c r="V71">
        <v>6</v>
      </c>
    </row>
    <row r="72" spans="6:22">
      <c r="N72" s="163" t="s">
        <v>138</v>
      </c>
      <c r="O72">
        <v>2</v>
      </c>
      <c r="P72" t="s">
        <v>1556</v>
      </c>
      <c r="Q72" t="s">
        <v>1556</v>
      </c>
      <c r="R72">
        <v>1</v>
      </c>
      <c r="S72" s="373">
        <f t="shared" si="4"/>
        <v>1.5</v>
      </c>
      <c r="U72" s="163" t="s">
        <v>139</v>
      </c>
      <c r="V72">
        <v>5</v>
      </c>
    </row>
    <row r="73" spans="6:22">
      <c r="N73" s="163" t="s">
        <v>139</v>
      </c>
      <c r="O73">
        <v>2</v>
      </c>
      <c r="P73">
        <v>1</v>
      </c>
      <c r="Q73" t="s">
        <v>1556</v>
      </c>
      <c r="R73">
        <v>1</v>
      </c>
      <c r="S73" s="373">
        <f t="shared" si="4"/>
        <v>1.3333333333333333</v>
      </c>
      <c r="U73" s="163" t="s">
        <v>140</v>
      </c>
      <c r="V73">
        <v>8</v>
      </c>
    </row>
    <row r="74" spans="6:22">
      <c r="N74" s="163" t="s">
        <v>140</v>
      </c>
      <c r="O74">
        <v>1</v>
      </c>
      <c r="P74" t="s">
        <v>1556</v>
      </c>
      <c r="Q74" t="s">
        <v>1556</v>
      </c>
      <c r="R74">
        <v>1</v>
      </c>
      <c r="S74" s="373">
        <f t="shared" si="4"/>
        <v>1</v>
      </c>
      <c r="U74" s="163" t="s">
        <v>141</v>
      </c>
      <c r="V74">
        <v>4</v>
      </c>
    </row>
    <row r="75" spans="6:22">
      <c r="N75" s="163" t="s">
        <v>141</v>
      </c>
      <c r="O75">
        <v>2</v>
      </c>
      <c r="P75">
        <v>2</v>
      </c>
      <c r="Q75" t="s">
        <v>1556</v>
      </c>
      <c r="R75">
        <v>1</v>
      </c>
      <c r="S75" s="373">
        <f t="shared" si="4"/>
        <v>1.6666666666666667</v>
      </c>
      <c r="U75" s="163" t="s">
        <v>142</v>
      </c>
      <c r="V75">
        <v>3</v>
      </c>
    </row>
    <row r="76" spans="6:22">
      <c r="N76" s="163" t="s">
        <v>142</v>
      </c>
      <c r="O76">
        <v>2</v>
      </c>
      <c r="P76">
        <v>3</v>
      </c>
      <c r="Q76" t="s">
        <v>1556</v>
      </c>
      <c r="R76">
        <v>1</v>
      </c>
      <c r="S76" s="373">
        <f t="shared" si="4"/>
        <v>2</v>
      </c>
      <c r="U76" s="163" t="s">
        <v>143</v>
      </c>
      <c r="V76">
        <v>1</v>
      </c>
    </row>
    <row r="77" spans="6:22">
      <c r="N77" s="163" t="s">
        <v>143</v>
      </c>
      <c r="O77">
        <v>2</v>
      </c>
      <c r="P77">
        <v>3</v>
      </c>
      <c r="Q77" t="s">
        <v>1556</v>
      </c>
      <c r="R77">
        <v>3</v>
      </c>
      <c r="S77" s="373">
        <f t="shared" si="4"/>
        <v>2.6666666666666665</v>
      </c>
      <c r="U77" s="163" t="s">
        <v>144</v>
      </c>
      <c r="V77">
        <v>1</v>
      </c>
    </row>
    <row r="78" spans="6:22">
      <c r="N78" s="163" t="s">
        <v>144</v>
      </c>
      <c r="O78">
        <v>2</v>
      </c>
      <c r="P78">
        <v>1</v>
      </c>
      <c r="Q78">
        <v>2</v>
      </c>
      <c r="R78">
        <v>2</v>
      </c>
      <c r="S78" s="373">
        <f t="shared" si="4"/>
        <v>1.75</v>
      </c>
      <c r="U78" s="163" t="s">
        <v>145</v>
      </c>
      <c r="V78">
        <v>4</v>
      </c>
    </row>
    <row r="79" spans="6:22">
      <c r="N79" s="163" t="s">
        <v>145</v>
      </c>
      <c r="O79">
        <v>2</v>
      </c>
      <c r="P79">
        <v>1</v>
      </c>
      <c r="Q79" t="s">
        <v>1556</v>
      </c>
      <c r="R79">
        <v>2</v>
      </c>
      <c r="S79" s="373">
        <f t="shared" si="4"/>
        <v>1.6666666666666667</v>
      </c>
      <c r="U79" s="163" t="s">
        <v>146</v>
      </c>
      <c r="V79">
        <v>5</v>
      </c>
    </row>
    <row r="80" spans="6:22">
      <c r="N80" s="163" t="s">
        <v>146</v>
      </c>
      <c r="O80">
        <v>1</v>
      </c>
      <c r="P80">
        <v>2</v>
      </c>
      <c r="Q80" t="s">
        <v>1556</v>
      </c>
      <c r="R80">
        <v>1</v>
      </c>
      <c r="S80" s="373">
        <f t="shared" si="4"/>
        <v>1.3333333333333333</v>
      </c>
      <c r="U80" s="163" t="s">
        <v>147</v>
      </c>
      <c r="V80">
        <v>3</v>
      </c>
    </row>
    <row r="81" spans="14:22">
      <c r="N81" s="163" t="s">
        <v>147</v>
      </c>
      <c r="O81">
        <v>2</v>
      </c>
      <c r="P81">
        <v>2</v>
      </c>
      <c r="Q81" t="s">
        <v>1556</v>
      </c>
      <c r="R81">
        <v>2</v>
      </c>
      <c r="S81" s="373">
        <f t="shared" si="4"/>
        <v>2</v>
      </c>
      <c r="U81" s="163" t="s">
        <v>148</v>
      </c>
      <c r="V81">
        <v>4</v>
      </c>
    </row>
    <row r="82" spans="14:22">
      <c r="N82" s="163" t="s">
        <v>148</v>
      </c>
      <c r="O82">
        <v>2</v>
      </c>
      <c r="P82">
        <v>2</v>
      </c>
      <c r="Q82" t="s">
        <v>1556</v>
      </c>
      <c r="R82">
        <v>1</v>
      </c>
      <c r="S82" s="373">
        <f t="shared" si="4"/>
        <v>1.6666666666666667</v>
      </c>
      <c r="U82" s="163" t="s">
        <v>125</v>
      </c>
      <c r="V82">
        <v>4</v>
      </c>
    </row>
    <row r="83" spans="14:22">
      <c r="N83" s="163" t="s">
        <v>125</v>
      </c>
      <c r="O83">
        <v>1</v>
      </c>
      <c r="P83">
        <v>2</v>
      </c>
      <c r="Q83" t="s">
        <v>1556</v>
      </c>
      <c r="R83">
        <v>2</v>
      </c>
      <c r="S83" s="373">
        <f t="shared" si="4"/>
        <v>1.6666666666666667</v>
      </c>
      <c r="U83" s="163" t="s">
        <v>116</v>
      </c>
      <c r="V83">
        <v>4</v>
      </c>
    </row>
    <row r="84" spans="14:22">
      <c r="N84" s="163" t="s">
        <v>116</v>
      </c>
      <c r="O84">
        <v>2</v>
      </c>
      <c r="P84">
        <v>2</v>
      </c>
      <c r="Q84">
        <v>0</v>
      </c>
      <c r="R84">
        <v>0</v>
      </c>
      <c r="S84" s="373">
        <f t="shared" si="4"/>
        <v>1</v>
      </c>
      <c r="U84" s="163" t="s">
        <v>104</v>
      </c>
      <c r="V84">
        <v>3</v>
      </c>
    </row>
    <row r="85" spans="14:22">
      <c r="N85" s="163" t="s">
        <v>104</v>
      </c>
      <c r="O85">
        <v>3</v>
      </c>
      <c r="P85">
        <v>1</v>
      </c>
      <c r="Q85">
        <v>1</v>
      </c>
      <c r="R85">
        <v>0</v>
      </c>
      <c r="S85" s="373">
        <f t="shared" si="4"/>
        <v>1.25</v>
      </c>
      <c r="U85" s="163" t="s">
        <v>95</v>
      </c>
      <c r="V85">
        <v>4</v>
      </c>
    </row>
    <row r="86" spans="14:22">
      <c r="N86" s="163" t="s">
        <v>95</v>
      </c>
      <c r="O86">
        <v>1</v>
      </c>
      <c r="P86">
        <v>1</v>
      </c>
      <c r="Q86" t="s">
        <v>1556</v>
      </c>
      <c r="R86">
        <v>3</v>
      </c>
      <c r="S86" s="373">
        <f t="shared" si="4"/>
        <v>1.6666666666666667</v>
      </c>
      <c r="U86" s="163" t="s">
        <v>85</v>
      </c>
      <c r="V86">
        <v>1</v>
      </c>
    </row>
    <row r="87" spans="14:22">
      <c r="N87" s="163" t="s">
        <v>85</v>
      </c>
      <c r="O87">
        <v>4</v>
      </c>
      <c r="P87">
        <v>1</v>
      </c>
      <c r="Q87" t="s">
        <v>1556</v>
      </c>
      <c r="R87">
        <v>3</v>
      </c>
      <c r="S87" s="373">
        <f t="shared" si="4"/>
        <v>2.6666666666666665</v>
      </c>
      <c r="U87" s="163" t="s">
        <v>66</v>
      </c>
      <c r="V87">
        <v>5</v>
      </c>
    </row>
    <row r="88" spans="14:22">
      <c r="N88" s="163" t="s">
        <v>66</v>
      </c>
      <c r="O88">
        <v>1</v>
      </c>
      <c r="P88">
        <v>1</v>
      </c>
      <c r="Q88" t="s">
        <v>1556</v>
      </c>
      <c r="R88">
        <v>2</v>
      </c>
      <c r="S88" s="373">
        <f t="shared" si="4"/>
        <v>1.3333333333333333</v>
      </c>
      <c r="U88" s="163" t="s">
        <v>65</v>
      </c>
      <c r="V88">
        <v>3</v>
      </c>
    </row>
    <row r="89" spans="14:22">
      <c r="N89" s="163" t="s">
        <v>65</v>
      </c>
      <c r="O89">
        <v>3</v>
      </c>
      <c r="P89">
        <v>2</v>
      </c>
      <c r="Q89" t="s">
        <v>1556</v>
      </c>
      <c r="R89">
        <v>1</v>
      </c>
      <c r="S89" s="373">
        <f t="shared" si="4"/>
        <v>2</v>
      </c>
      <c r="U89" s="163" t="s">
        <v>60</v>
      </c>
      <c r="V89">
        <v>3</v>
      </c>
    </row>
    <row r="90" spans="14:22">
      <c r="N90" s="163" t="s">
        <v>60</v>
      </c>
      <c r="O90">
        <v>1</v>
      </c>
      <c r="P90">
        <v>1</v>
      </c>
      <c r="Q90" t="s">
        <v>1556</v>
      </c>
      <c r="R90">
        <v>4</v>
      </c>
      <c r="S90" s="373">
        <f t="shared" si="4"/>
        <v>2</v>
      </c>
      <c r="U90" s="163" t="s">
        <v>35</v>
      </c>
      <c r="V90">
        <v>4</v>
      </c>
    </row>
    <row r="91" spans="14:22">
      <c r="N91" s="163" t="s">
        <v>35</v>
      </c>
      <c r="O91">
        <v>1</v>
      </c>
      <c r="P91" t="s">
        <v>1556</v>
      </c>
      <c r="Q91" t="s">
        <v>1556</v>
      </c>
      <c r="R91">
        <v>4</v>
      </c>
      <c r="S91" s="373">
        <f t="shared" si="4"/>
        <v>2.5</v>
      </c>
      <c r="U91" s="163" t="s">
        <v>11</v>
      </c>
      <c r="V91">
        <v>2</v>
      </c>
    </row>
    <row r="92" spans="14:22">
      <c r="N92" s="163" t="s">
        <v>11</v>
      </c>
      <c r="O92">
        <v>2</v>
      </c>
      <c r="P92">
        <v>1</v>
      </c>
      <c r="Q92">
        <v>1</v>
      </c>
      <c r="R92">
        <v>1</v>
      </c>
      <c r="S92" s="373">
        <f t="shared" si="4"/>
        <v>1.25</v>
      </c>
      <c r="U92" s="163" t="s">
        <v>198</v>
      </c>
      <c r="V92" t="s">
        <v>1556</v>
      </c>
    </row>
    <row r="93" spans="14:22">
      <c r="N93" s="163" t="s">
        <v>198</v>
      </c>
      <c r="O93" t="s">
        <v>1556</v>
      </c>
      <c r="P93" t="s">
        <v>1556</v>
      </c>
      <c r="Q93" t="s">
        <v>1556</v>
      </c>
      <c r="R93" s="72" t="s">
        <v>1556</v>
      </c>
      <c r="S93" s="41"/>
      <c r="U93" s="163" t="s">
        <v>184</v>
      </c>
      <c r="V93">
        <v>3</v>
      </c>
    </row>
    <row r="94" spans="14:22">
      <c r="N94" s="163" t="s">
        <v>184</v>
      </c>
      <c r="O94" t="s">
        <v>1556</v>
      </c>
      <c r="P94" t="s">
        <v>1556</v>
      </c>
      <c r="Q94" t="s">
        <v>1556</v>
      </c>
      <c r="R94" s="72">
        <v>8</v>
      </c>
      <c r="S94" s="41"/>
      <c r="U94" s="163" t="s">
        <v>563</v>
      </c>
      <c r="V94" t="s">
        <v>1556</v>
      </c>
    </row>
    <row r="95" spans="14:22">
      <c r="N95" s="163" t="s">
        <v>563</v>
      </c>
      <c r="O95" t="s">
        <v>1556</v>
      </c>
      <c r="P95" t="s">
        <v>1556</v>
      </c>
      <c r="Q95" t="s">
        <v>1556</v>
      </c>
      <c r="R95" s="72" t="s">
        <v>1556</v>
      </c>
      <c r="S95" s="41"/>
      <c r="U95" s="163" t="s">
        <v>1742</v>
      </c>
      <c r="V95">
        <v>9</v>
      </c>
    </row>
    <row r="96" spans="14:22">
      <c r="N96" s="64" t="s">
        <v>1742</v>
      </c>
      <c r="O96" s="556" t="s">
        <v>1556</v>
      </c>
      <c r="P96" s="556" t="s">
        <v>1556</v>
      </c>
      <c r="Q96" s="556" t="s">
        <v>1556</v>
      </c>
      <c r="R96" s="556">
        <v>2</v>
      </c>
      <c r="S96" s="774"/>
      <c r="U96" s="273" t="s">
        <v>2056</v>
      </c>
      <c r="V96" s="20">
        <v>8</v>
      </c>
    </row>
    <row r="97" spans="4:26">
      <c r="N97" s="64" t="s">
        <v>2056</v>
      </c>
      <c r="O97" s="556" t="s">
        <v>1556</v>
      </c>
      <c r="P97" s="556" t="s">
        <v>1556</v>
      </c>
      <c r="Q97" s="556" t="s">
        <v>1556</v>
      </c>
      <c r="R97" s="556">
        <v>3</v>
      </c>
      <c r="S97" s="774"/>
      <c r="U97" s="163" t="s">
        <v>333</v>
      </c>
      <c r="V97" s="41">
        <f>AVERAGE(V59:V95)</f>
        <v>4.4571428571428573</v>
      </c>
    </row>
    <row r="98" spans="4:26">
      <c r="N98" s="570" t="s">
        <v>1495</v>
      </c>
      <c r="O98" s="357">
        <f>AVERAGE(O60:O97)</f>
        <v>1.8181818181818181</v>
      </c>
      <c r="P98" s="357">
        <f>AVERAGE(P60:P97)</f>
        <v>1.4827586206896552</v>
      </c>
      <c r="Q98" s="357">
        <f>AVERAGE(Q60:Q97)</f>
        <v>0.81818181818181823</v>
      </c>
      <c r="R98" s="357">
        <f>AVERAGE(R60:R97)</f>
        <v>1.5555555555555556</v>
      </c>
      <c r="S98" s="105"/>
      <c r="U98" s="163" t="s">
        <v>1531</v>
      </c>
      <c r="V98" s="41">
        <f>STDEV(V59:V95)</f>
        <v>1.9754799438119746</v>
      </c>
    </row>
    <row r="99" spans="4:26">
      <c r="N99" s="374" t="s">
        <v>1560</v>
      </c>
      <c r="O99">
        <f>MIN(O60:Q97)</f>
        <v>0</v>
      </c>
      <c r="Q99" s="375" t="s">
        <v>1560</v>
      </c>
      <c r="R99" s="42">
        <f>MIN(R60:R97)</f>
        <v>0</v>
      </c>
      <c r="U99" s="163" t="s">
        <v>1277</v>
      </c>
      <c r="V99">
        <f>MODE(V59:V95)</f>
        <v>5</v>
      </c>
    </row>
    <row r="100" spans="4:26">
      <c r="N100" s="374" t="s">
        <v>1561</v>
      </c>
      <c r="O100">
        <f>MAX(O60:Q97)</f>
        <v>5</v>
      </c>
      <c r="Q100" s="375" t="s">
        <v>1561</v>
      </c>
      <c r="R100" s="42">
        <f>MAX(R60:R97)</f>
        <v>8</v>
      </c>
      <c r="U100" s="163" t="s">
        <v>1559</v>
      </c>
      <c r="V100">
        <f>MIN(V59:V95)</f>
        <v>1</v>
      </c>
    </row>
    <row r="101" spans="4:26">
      <c r="N101" s="374" t="s">
        <v>1277</v>
      </c>
      <c r="O101">
        <f>MODE(O60:Q97)</f>
        <v>1</v>
      </c>
      <c r="U101" s="163" t="s">
        <v>1558</v>
      </c>
      <c r="V101">
        <f>MAX(V59:V95)</f>
        <v>9</v>
      </c>
    </row>
    <row r="102" spans="4:26">
      <c r="N102" s="773"/>
    </row>
    <row r="104" spans="4:26">
      <c r="D104" s="35" t="s">
        <v>1741</v>
      </c>
    </row>
    <row r="106" spans="4:26" ht="72" customHeight="1">
      <c r="D106" s="1701" t="s">
        <v>1904</v>
      </c>
      <c r="E106" s="1701"/>
      <c r="F106" s="1701"/>
      <c r="G106" s="1701"/>
      <c r="H106" s="1701"/>
      <c r="I106" s="1701"/>
      <c r="J106" s="1701"/>
      <c r="K106" s="1701"/>
      <c r="L106" s="426"/>
    </row>
    <row r="108" spans="4:26">
      <c r="D108" s="299" t="s">
        <v>1053</v>
      </c>
      <c r="E108" s="82" t="s">
        <v>2008</v>
      </c>
      <c r="F108" s="355" t="s">
        <v>1845</v>
      </c>
      <c r="G108" s="355" t="s">
        <v>21</v>
      </c>
      <c r="H108" s="355" t="s">
        <v>1861</v>
      </c>
      <c r="I108" s="355" t="s">
        <v>1847</v>
      </c>
      <c r="J108" s="355" t="s">
        <v>1899</v>
      </c>
      <c r="K108" s="355" t="s">
        <v>1873</v>
      </c>
      <c r="L108" s="355" t="s">
        <v>1897</v>
      </c>
      <c r="M108" s="355" t="s">
        <v>1867</v>
      </c>
      <c r="N108" s="355" t="s">
        <v>1901</v>
      </c>
      <c r="O108" s="355" t="s">
        <v>71</v>
      </c>
      <c r="P108" s="355" t="s">
        <v>49</v>
      </c>
      <c r="Q108" s="355" t="s">
        <v>1850</v>
      </c>
      <c r="R108" s="355" t="s">
        <v>1900</v>
      </c>
    </row>
    <row r="109" spans="4:26">
      <c r="E109" s="163" t="s">
        <v>1902</v>
      </c>
      <c r="F109">
        <f>COUNTIF($E$114:$P$151, "*"&amp;F108&amp;"*")</f>
        <v>188</v>
      </c>
      <c r="G109">
        <f>COUNTIF($E$114:$P$151, "*"&amp;G108&amp;"*")</f>
        <v>152</v>
      </c>
      <c r="H109">
        <f>COUNTIF($E$114:$P$151, "*"&amp;H108&amp;"*")</f>
        <v>48</v>
      </c>
      <c r="I109">
        <f>COUNTIF($E$114:$P$151, "*"&amp;I108&amp;"*")</f>
        <v>28</v>
      </c>
      <c r="J109">
        <f>COUNTIF($E$114:$P$151, "*Clue*")</f>
        <v>20</v>
      </c>
      <c r="K109">
        <f>COUNTIF($E$114:$P$151, "*"&amp;K108&amp;"*")</f>
        <v>17</v>
      </c>
      <c r="L109">
        <f>COUNTIF($E$114:$P$151, "*"&amp;L108&amp;"*")</f>
        <v>5</v>
      </c>
      <c r="M109">
        <f>COUNTIF($E$114:$P$151, "*"&amp;M108&amp;"*")</f>
        <v>5</v>
      </c>
      <c r="N109">
        <f>COUNTIF($E$114:$P$151, "*Bag*")</f>
        <v>5</v>
      </c>
      <c r="O109">
        <f>COUNTIF($E$114:$P$151, "*"&amp;O108&amp;"*")</f>
        <v>5</v>
      </c>
      <c r="P109">
        <f>COUNTIF($E$114:$P$151, "*"&amp;P108&amp;"*")</f>
        <v>5</v>
      </c>
      <c r="Q109">
        <f>COUNTIF($E$114:$P$151, "*"&amp;Q108&amp;"*")</f>
        <v>4</v>
      </c>
      <c r="R109">
        <f>COUNTIF($E$114:$P$151, "*Passport*")</f>
        <v>4</v>
      </c>
    </row>
    <row r="110" spans="4:26">
      <c r="E110" s="163" t="s">
        <v>195</v>
      </c>
      <c r="F110" s="392">
        <f>F$109/SUM($F$109:$R$109)</f>
        <v>0.38683127572016462</v>
      </c>
      <c r="G110" s="392">
        <f t="shared" ref="G110:R110" si="5">G$109/SUM($F$109:$R$109)</f>
        <v>0.31275720164609055</v>
      </c>
      <c r="H110" s="392">
        <f t="shared" si="5"/>
        <v>9.8765432098765427E-2</v>
      </c>
      <c r="I110" s="392">
        <f t="shared" si="5"/>
        <v>5.7613168724279837E-2</v>
      </c>
      <c r="J110" s="392">
        <f t="shared" si="5"/>
        <v>4.1152263374485597E-2</v>
      </c>
      <c r="K110" s="392">
        <f t="shared" si="5"/>
        <v>3.4979423868312758E-2</v>
      </c>
      <c r="L110" s="392">
        <f t="shared" si="5"/>
        <v>1.0288065843621399E-2</v>
      </c>
      <c r="M110" s="392">
        <f t="shared" si="5"/>
        <v>1.0288065843621399E-2</v>
      </c>
      <c r="N110" s="392">
        <f t="shared" si="5"/>
        <v>1.0288065843621399E-2</v>
      </c>
      <c r="O110" s="392">
        <f t="shared" si="5"/>
        <v>1.0288065843621399E-2</v>
      </c>
      <c r="P110" s="392">
        <f t="shared" si="5"/>
        <v>1.0288065843621399E-2</v>
      </c>
      <c r="Q110" s="392">
        <f t="shared" si="5"/>
        <v>8.23045267489712E-3</v>
      </c>
      <c r="R110" s="392">
        <f t="shared" si="5"/>
        <v>8.23045267489712E-3</v>
      </c>
      <c r="U110" s="148"/>
      <c r="V110" s="148"/>
    </row>
    <row r="111" spans="4:26">
      <c r="E111" s="163" t="s">
        <v>1903</v>
      </c>
      <c r="F111" s="41">
        <f>F109/37</f>
        <v>5.0810810810810807</v>
      </c>
      <c r="G111" s="41">
        <f>G109/37</f>
        <v>4.1081081081081079</v>
      </c>
      <c r="H111" s="41">
        <f t="shared" ref="H111:R111" si="6">H109/37</f>
        <v>1.2972972972972974</v>
      </c>
      <c r="I111" s="41">
        <f t="shared" si="6"/>
        <v>0.7567567567567568</v>
      </c>
      <c r="J111" s="41">
        <f t="shared" si="6"/>
        <v>0.54054054054054057</v>
      </c>
      <c r="K111" s="41">
        <f t="shared" si="6"/>
        <v>0.45945945945945948</v>
      </c>
      <c r="L111" s="41">
        <f t="shared" si="6"/>
        <v>0.13513513513513514</v>
      </c>
      <c r="M111" s="41">
        <f t="shared" si="6"/>
        <v>0.13513513513513514</v>
      </c>
      <c r="N111" s="41">
        <f>N109/37</f>
        <v>0.13513513513513514</v>
      </c>
      <c r="O111" s="41">
        <f t="shared" si="6"/>
        <v>0.13513513513513514</v>
      </c>
      <c r="P111" s="41">
        <f t="shared" si="6"/>
        <v>0.13513513513513514</v>
      </c>
      <c r="Q111" s="41">
        <f t="shared" si="6"/>
        <v>0.10810810810810811</v>
      </c>
      <c r="R111" s="41">
        <f t="shared" si="6"/>
        <v>0.10810810810810811</v>
      </c>
      <c r="U111" s="296"/>
      <c r="V111" s="148"/>
    </row>
    <row r="112" spans="4:26">
      <c r="R112" s="148"/>
      <c r="S112" s="148"/>
      <c r="T112" s="148"/>
      <c r="U112" s="148"/>
      <c r="V112" s="148"/>
      <c r="W112" s="148"/>
      <c r="X112" s="148"/>
      <c r="Y112" s="148"/>
      <c r="Z112" s="148"/>
    </row>
    <row r="113" spans="4:26">
      <c r="D113" s="424" t="s">
        <v>183</v>
      </c>
      <c r="E113" s="20" t="s">
        <v>1</v>
      </c>
      <c r="F113" s="20" t="s">
        <v>2</v>
      </c>
      <c r="G113" s="20" t="s">
        <v>3</v>
      </c>
      <c r="H113" s="20" t="s">
        <v>4</v>
      </c>
      <c r="I113" s="20" t="s">
        <v>5</v>
      </c>
      <c r="J113" s="20" t="s">
        <v>6</v>
      </c>
      <c r="K113" s="20" t="s">
        <v>7</v>
      </c>
      <c r="L113" s="20" t="s">
        <v>8</v>
      </c>
      <c r="M113" s="20" t="s">
        <v>9</v>
      </c>
      <c r="N113" s="20" t="s">
        <v>10</v>
      </c>
      <c r="O113" s="20" t="s">
        <v>36</v>
      </c>
      <c r="P113" s="20" t="s">
        <v>37</v>
      </c>
      <c r="R113" s="148"/>
      <c r="S113" s="148"/>
      <c r="T113" s="296"/>
      <c r="U113" s="148"/>
      <c r="V113" s="148"/>
      <c r="W113" s="148"/>
      <c r="X113" s="296"/>
      <c r="Y113" s="429"/>
      <c r="Z113" s="429"/>
    </row>
    <row r="114" spans="4:26" ht="31.5">
      <c r="D114" s="294" t="s">
        <v>126</v>
      </c>
      <c r="E114" s="433" t="s">
        <v>21</v>
      </c>
      <c r="F114" s="433" t="s">
        <v>1884</v>
      </c>
      <c r="G114" s="434" t="s">
        <v>1859</v>
      </c>
      <c r="H114" s="433" t="s">
        <v>1880</v>
      </c>
      <c r="I114" s="433" t="s">
        <v>21</v>
      </c>
      <c r="J114" s="433" t="s">
        <v>1896</v>
      </c>
      <c r="K114" s="433" t="s">
        <v>21</v>
      </c>
      <c r="L114" s="434" t="s">
        <v>1892</v>
      </c>
      <c r="M114" s="433" t="s">
        <v>1845</v>
      </c>
      <c r="N114" s="433" t="s">
        <v>1861</v>
      </c>
      <c r="O114" s="433" t="s">
        <v>21</v>
      </c>
      <c r="P114" s="433" t="s">
        <v>1861</v>
      </c>
      <c r="R114" s="296"/>
      <c r="S114" s="296"/>
      <c r="T114" s="148"/>
      <c r="U114" s="148"/>
      <c r="V114" s="148"/>
      <c r="W114" s="148"/>
      <c r="X114" s="148"/>
      <c r="Y114" s="148"/>
      <c r="Z114" s="148"/>
    </row>
    <row r="115" spans="4:26" ht="31.5">
      <c r="D115" s="294" t="s">
        <v>127</v>
      </c>
      <c r="E115" s="433" t="s">
        <v>1845</v>
      </c>
      <c r="F115" s="433" t="s">
        <v>21</v>
      </c>
      <c r="G115" s="433" t="s">
        <v>21</v>
      </c>
      <c r="H115" s="433" t="s">
        <v>21</v>
      </c>
      <c r="I115" s="433" t="s">
        <v>21</v>
      </c>
      <c r="J115" s="433" t="s">
        <v>1894</v>
      </c>
      <c r="K115" s="434" t="s">
        <v>1895</v>
      </c>
      <c r="L115" s="433" t="s">
        <v>1845</v>
      </c>
      <c r="M115" s="433" t="s">
        <v>1845</v>
      </c>
      <c r="N115" s="433" t="s">
        <v>21</v>
      </c>
      <c r="O115" s="434" t="s">
        <v>1859</v>
      </c>
      <c r="P115" s="433" t="s">
        <v>21</v>
      </c>
      <c r="R115" s="148"/>
      <c r="S115" s="148"/>
      <c r="T115" s="148"/>
      <c r="U115" s="148"/>
      <c r="V115" s="148"/>
      <c r="W115" s="148"/>
      <c r="X115" s="148"/>
      <c r="Y115" s="429"/>
      <c r="Z115" s="148"/>
    </row>
    <row r="116" spans="4:26">
      <c r="D116" s="294" t="s">
        <v>128</v>
      </c>
      <c r="E116" s="433" t="s">
        <v>21</v>
      </c>
      <c r="F116" s="433" t="s">
        <v>21</v>
      </c>
      <c r="G116" s="433" t="s">
        <v>1865</v>
      </c>
      <c r="H116" s="433" t="s">
        <v>1854</v>
      </c>
      <c r="I116" s="433" t="s">
        <v>21</v>
      </c>
      <c r="J116" s="433" t="s">
        <v>1861</v>
      </c>
      <c r="K116" s="433" t="s">
        <v>21</v>
      </c>
      <c r="L116" s="433" t="s">
        <v>21</v>
      </c>
      <c r="M116" s="433" t="s">
        <v>1845</v>
      </c>
      <c r="N116" s="433" t="s">
        <v>21</v>
      </c>
      <c r="O116" s="433" t="s">
        <v>1894</v>
      </c>
      <c r="P116" s="433" t="s">
        <v>1861</v>
      </c>
      <c r="R116" s="148"/>
      <c r="S116" s="148"/>
      <c r="T116" s="148"/>
      <c r="U116" s="148"/>
      <c r="V116" s="148"/>
      <c r="W116" s="148"/>
      <c r="X116" s="148"/>
      <c r="Y116" s="148"/>
      <c r="Z116" s="148"/>
    </row>
    <row r="117" spans="4:26" ht="31.5">
      <c r="D117" s="294" t="s">
        <v>129</v>
      </c>
      <c r="E117" s="433" t="s">
        <v>1861</v>
      </c>
      <c r="F117" s="433" t="s">
        <v>1845</v>
      </c>
      <c r="G117" s="433" t="s">
        <v>21</v>
      </c>
      <c r="H117" s="433" t="s">
        <v>21</v>
      </c>
      <c r="I117" s="433" t="s">
        <v>1861</v>
      </c>
      <c r="J117" s="433" t="s">
        <v>21</v>
      </c>
      <c r="K117" s="433" t="s">
        <v>1845</v>
      </c>
      <c r="L117" s="433" t="s">
        <v>1845</v>
      </c>
      <c r="M117" s="433" t="s">
        <v>21</v>
      </c>
      <c r="N117" s="434" t="s">
        <v>1859</v>
      </c>
      <c r="O117" s="433" t="s">
        <v>1861</v>
      </c>
      <c r="P117" s="434" t="s">
        <v>1859</v>
      </c>
      <c r="R117" s="148"/>
      <c r="S117" s="148"/>
      <c r="T117" s="148"/>
      <c r="U117" s="148"/>
      <c r="V117" s="148"/>
      <c r="W117" s="296"/>
      <c r="X117" s="148"/>
      <c r="Y117" s="148"/>
      <c r="Z117" s="148"/>
    </row>
    <row r="118" spans="4:26" ht="31.5">
      <c r="D118" s="294" t="s">
        <v>130</v>
      </c>
      <c r="E118" s="433" t="s">
        <v>21</v>
      </c>
      <c r="F118" s="433" t="s">
        <v>1845</v>
      </c>
      <c r="G118" s="434" t="s">
        <v>1892</v>
      </c>
      <c r="H118" s="434" t="s">
        <v>1892</v>
      </c>
      <c r="I118" s="433" t="s">
        <v>1845</v>
      </c>
      <c r="J118" s="433" t="s">
        <v>1893</v>
      </c>
      <c r="K118" s="433" t="s">
        <v>1861</v>
      </c>
      <c r="L118" s="433" t="s">
        <v>1845</v>
      </c>
      <c r="M118" s="433" t="s">
        <v>1865</v>
      </c>
      <c r="N118" s="433" t="s">
        <v>1861</v>
      </c>
      <c r="O118" s="433" t="s">
        <v>1845</v>
      </c>
      <c r="P118" s="433" t="s">
        <v>1845</v>
      </c>
      <c r="R118" s="296"/>
      <c r="S118" s="148"/>
      <c r="T118" s="148"/>
      <c r="U118" s="148"/>
      <c r="V118" s="148"/>
      <c r="W118" s="148"/>
      <c r="X118" s="148"/>
      <c r="Y118" s="148"/>
      <c r="Z118" s="148"/>
    </row>
    <row r="119" spans="4:26" ht="31.5">
      <c r="D119" s="294" t="s">
        <v>131</v>
      </c>
      <c r="E119" s="434" t="s">
        <v>1859</v>
      </c>
      <c r="F119" s="434" t="s">
        <v>1859</v>
      </c>
      <c r="G119" s="433" t="s">
        <v>1845</v>
      </c>
      <c r="H119" s="433" t="s">
        <v>21</v>
      </c>
      <c r="I119" s="433" t="s">
        <v>21</v>
      </c>
      <c r="J119" s="433" t="s">
        <v>1861</v>
      </c>
      <c r="K119" s="433" t="s">
        <v>21</v>
      </c>
      <c r="L119" s="433" t="s">
        <v>1845</v>
      </c>
      <c r="M119" s="433" t="s">
        <v>1854</v>
      </c>
      <c r="N119" s="433" t="s">
        <v>1850</v>
      </c>
      <c r="O119" s="434" t="s">
        <v>1859</v>
      </c>
      <c r="P119" s="433"/>
      <c r="R119" s="148"/>
      <c r="S119" s="148"/>
      <c r="T119" s="148"/>
      <c r="U119" s="148"/>
      <c r="V119" s="148"/>
      <c r="W119" s="148"/>
      <c r="X119" s="148"/>
      <c r="Y119" s="148"/>
      <c r="Z119" s="148"/>
    </row>
    <row r="120" spans="4:26" ht="31.5">
      <c r="D120" s="294" t="s">
        <v>132</v>
      </c>
      <c r="E120" s="433" t="s">
        <v>1873</v>
      </c>
      <c r="F120" s="433" t="s">
        <v>1873</v>
      </c>
      <c r="G120" s="433" t="s">
        <v>21</v>
      </c>
      <c r="H120" s="433" t="s">
        <v>1845</v>
      </c>
      <c r="I120" s="433" t="s">
        <v>1845</v>
      </c>
      <c r="J120" s="434" t="s">
        <v>1857</v>
      </c>
      <c r="K120" s="433" t="s">
        <v>21</v>
      </c>
      <c r="L120" s="433" t="s">
        <v>1861</v>
      </c>
      <c r="M120" s="433" t="s">
        <v>21</v>
      </c>
      <c r="N120" s="434" t="s">
        <v>1869</v>
      </c>
      <c r="O120" s="433" t="s">
        <v>1861</v>
      </c>
      <c r="P120" s="433" t="s">
        <v>21</v>
      </c>
      <c r="R120" s="148"/>
      <c r="S120" s="148"/>
      <c r="T120" s="148"/>
      <c r="U120" s="148"/>
      <c r="V120" s="296"/>
      <c r="W120" s="148"/>
      <c r="X120" s="148"/>
      <c r="Y120" s="148"/>
      <c r="Z120" s="148"/>
    </row>
    <row r="121" spans="4:26">
      <c r="D121" s="294" t="s">
        <v>133</v>
      </c>
      <c r="E121" s="433" t="s">
        <v>1861</v>
      </c>
      <c r="F121" s="433" t="s">
        <v>21</v>
      </c>
      <c r="G121" s="433" t="s">
        <v>1845</v>
      </c>
      <c r="H121" s="433" t="s">
        <v>1861</v>
      </c>
      <c r="I121" s="433" t="s">
        <v>1845</v>
      </c>
      <c r="J121" s="433" t="s">
        <v>1845</v>
      </c>
      <c r="K121" s="433" t="s">
        <v>21</v>
      </c>
      <c r="L121" s="433" t="s">
        <v>21</v>
      </c>
      <c r="M121" s="433" t="s">
        <v>21</v>
      </c>
      <c r="N121" s="433" t="s">
        <v>21</v>
      </c>
      <c r="O121" s="433" t="s">
        <v>1845</v>
      </c>
      <c r="P121" s="433"/>
      <c r="R121" s="148"/>
      <c r="S121" s="148"/>
      <c r="T121" s="148"/>
      <c r="U121" s="429"/>
      <c r="V121" s="148"/>
      <c r="W121" s="148"/>
      <c r="X121" s="148"/>
      <c r="Y121" s="148"/>
      <c r="Z121" s="148"/>
    </row>
    <row r="122" spans="4:26">
      <c r="D122" s="294" t="s">
        <v>134</v>
      </c>
      <c r="E122" s="433" t="s">
        <v>1878</v>
      </c>
      <c r="F122" s="433" t="s">
        <v>21</v>
      </c>
      <c r="G122" s="433" t="s">
        <v>1845</v>
      </c>
      <c r="H122" s="433" t="s">
        <v>21</v>
      </c>
      <c r="I122" s="433" t="s">
        <v>1850</v>
      </c>
      <c r="J122" s="433" t="s">
        <v>21</v>
      </c>
      <c r="K122" s="433" t="s">
        <v>1845</v>
      </c>
      <c r="L122" s="433" t="s">
        <v>1845</v>
      </c>
      <c r="M122" s="433" t="s">
        <v>21</v>
      </c>
      <c r="N122" s="433" t="s">
        <v>1873</v>
      </c>
      <c r="O122" s="433" t="s">
        <v>1845</v>
      </c>
      <c r="P122" s="433" t="s">
        <v>21</v>
      </c>
      <c r="R122" s="148"/>
      <c r="S122" s="429"/>
      <c r="T122" s="148"/>
      <c r="U122" s="425"/>
      <c r="V122" s="148"/>
      <c r="W122" s="148"/>
      <c r="X122" s="148"/>
      <c r="Y122" s="296"/>
      <c r="Z122" s="148"/>
    </row>
    <row r="123" spans="4:26" ht="31.5">
      <c r="D123" s="294" t="s">
        <v>135</v>
      </c>
      <c r="E123" s="434" t="s">
        <v>1892</v>
      </c>
      <c r="F123" s="433" t="s">
        <v>21</v>
      </c>
      <c r="G123" s="433" t="s">
        <v>21</v>
      </c>
      <c r="H123" s="433" t="s">
        <v>1845</v>
      </c>
      <c r="I123" s="433" t="s">
        <v>1845</v>
      </c>
      <c r="J123" s="433" t="s">
        <v>21</v>
      </c>
      <c r="K123" s="433" t="s">
        <v>1845</v>
      </c>
      <c r="L123" s="433" t="s">
        <v>1845</v>
      </c>
      <c r="M123" s="433" t="s">
        <v>21</v>
      </c>
      <c r="N123" s="433" t="s">
        <v>1861</v>
      </c>
      <c r="O123" s="433" t="s">
        <v>1861</v>
      </c>
      <c r="P123" s="433"/>
      <c r="R123" s="429"/>
      <c r="S123" s="429"/>
      <c r="T123" s="429"/>
      <c r="U123" s="429"/>
      <c r="V123" s="429"/>
      <c r="W123" s="148"/>
      <c r="X123" s="148"/>
      <c r="Y123" s="148"/>
      <c r="Z123" s="296"/>
    </row>
    <row r="124" spans="4:26">
      <c r="D124" s="294" t="s">
        <v>136</v>
      </c>
      <c r="E124" s="433" t="s">
        <v>1878</v>
      </c>
      <c r="F124" s="433" t="s">
        <v>21</v>
      </c>
      <c r="G124" s="433" t="s">
        <v>21</v>
      </c>
      <c r="H124" s="433" t="s">
        <v>1845</v>
      </c>
      <c r="I124" s="433" t="s">
        <v>1845</v>
      </c>
      <c r="J124" s="433" t="s">
        <v>21</v>
      </c>
      <c r="K124" s="433" t="s">
        <v>21</v>
      </c>
      <c r="L124" s="433" t="s">
        <v>1891</v>
      </c>
      <c r="M124" s="433" t="s">
        <v>21</v>
      </c>
      <c r="N124" s="433" t="s">
        <v>21</v>
      </c>
      <c r="O124" s="433" t="s">
        <v>1845</v>
      </c>
      <c r="P124" s="433" t="s">
        <v>1861</v>
      </c>
      <c r="R124" s="429"/>
      <c r="S124" s="148"/>
      <c r="T124" s="429"/>
      <c r="U124" s="296"/>
      <c r="V124" s="425"/>
      <c r="W124" s="148"/>
      <c r="X124" s="148"/>
      <c r="Y124" s="296"/>
      <c r="Z124" s="296"/>
    </row>
    <row r="125" spans="4:26" ht="31.5">
      <c r="D125" s="294" t="s">
        <v>137</v>
      </c>
      <c r="E125" s="433" t="s">
        <v>1845</v>
      </c>
      <c r="F125" s="433" t="s">
        <v>1884</v>
      </c>
      <c r="G125" s="433" t="s">
        <v>1845</v>
      </c>
      <c r="H125" s="433" t="s">
        <v>1847</v>
      </c>
      <c r="I125" s="434" t="s">
        <v>1859</v>
      </c>
      <c r="J125" s="433" t="s">
        <v>21</v>
      </c>
      <c r="K125" s="433" t="s">
        <v>21</v>
      </c>
      <c r="L125" s="434" t="s">
        <v>1890</v>
      </c>
      <c r="M125" s="433" t="s">
        <v>21</v>
      </c>
      <c r="N125" s="433" t="s">
        <v>1861</v>
      </c>
      <c r="O125" s="433"/>
      <c r="P125" s="433"/>
      <c r="R125" s="148"/>
      <c r="S125" s="148"/>
      <c r="T125" s="148"/>
      <c r="U125" s="429"/>
      <c r="V125" s="148"/>
      <c r="W125" s="429"/>
      <c r="X125" s="429"/>
      <c r="Y125" s="429"/>
      <c r="Z125" s="429"/>
    </row>
    <row r="126" spans="4:26" ht="31.5">
      <c r="D126" s="294" t="s">
        <v>138</v>
      </c>
      <c r="E126" s="433" t="s">
        <v>1861</v>
      </c>
      <c r="F126" s="433" t="s">
        <v>1884</v>
      </c>
      <c r="G126" s="433" t="s">
        <v>1887</v>
      </c>
      <c r="H126" s="433" t="s">
        <v>1861</v>
      </c>
      <c r="I126" s="433" t="s">
        <v>1861</v>
      </c>
      <c r="J126" s="433" t="s">
        <v>21</v>
      </c>
      <c r="K126" s="433" t="s">
        <v>1845</v>
      </c>
      <c r="L126" s="433" t="s">
        <v>1865</v>
      </c>
      <c r="M126" s="434" t="s">
        <v>1888</v>
      </c>
      <c r="N126" s="434" t="s">
        <v>1889</v>
      </c>
      <c r="O126" s="433"/>
      <c r="P126" s="433"/>
      <c r="R126" s="425"/>
      <c r="S126" s="148"/>
      <c r="T126" s="429"/>
      <c r="U126" s="148"/>
      <c r="V126" s="429"/>
      <c r="W126" s="425"/>
      <c r="X126" s="425"/>
      <c r="Y126" s="425"/>
      <c r="Z126" s="425"/>
    </row>
    <row r="127" spans="4:26" ht="31.5">
      <c r="D127" s="294" t="s">
        <v>139</v>
      </c>
      <c r="E127" s="433" t="s">
        <v>1861</v>
      </c>
      <c r="F127" s="433" t="s">
        <v>1845</v>
      </c>
      <c r="G127" s="433" t="s">
        <v>21</v>
      </c>
      <c r="H127" s="433" t="s">
        <v>1847</v>
      </c>
      <c r="I127" s="433" t="s">
        <v>21</v>
      </c>
      <c r="J127" s="433" t="s">
        <v>1861</v>
      </c>
      <c r="K127" s="433" t="s">
        <v>21</v>
      </c>
      <c r="L127" s="434" t="s">
        <v>1885</v>
      </c>
      <c r="M127" s="434" t="s">
        <v>1861</v>
      </c>
      <c r="N127" s="433" t="s">
        <v>1845</v>
      </c>
      <c r="O127" s="434" t="s">
        <v>1886</v>
      </c>
      <c r="P127" s="433"/>
      <c r="R127" s="148"/>
      <c r="S127" s="148"/>
      <c r="T127" s="148"/>
      <c r="U127" s="425"/>
      <c r="V127" s="148"/>
      <c r="W127" s="429"/>
      <c r="X127" s="148"/>
      <c r="Y127" s="429"/>
      <c r="Z127" s="296"/>
    </row>
    <row r="128" spans="4:26">
      <c r="D128" s="294" t="s">
        <v>140</v>
      </c>
      <c r="E128" s="433" t="s">
        <v>1845</v>
      </c>
      <c r="F128" s="433" t="s">
        <v>1845</v>
      </c>
      <c r="G128" s="433" t="s">
        <v>1845</v>
      </c>
      <c r="H128" s="433" t="s">
        <v>1872</v>
      </c>
      <c r="I128" s="433" t="s">
        <v>21</v>
      </c>
      <c r="J128" s="433" t="s">
        <v>1845</v>
      </c>
      <c r="K128" s="433" t="s">
        <v>1845</v>
      </c>
      <c r="L128" s="433" t="s">
        <v>1861</v>
      </c>
      <c r="M128" s="433" t="s">
        <v>1861</v>
      </c>
      <c r="N128" s="433" t="s">
        <v>1861</v>
      </c>
      <c r="O128" s="433" t="s">
        <v>1845</v>
      </c>
      <c r="P128" s="433"/>
      <c r="R128" s="148"/>
      <c r="S128" s="296"/>
      <c r="T128" s="148"/>
      <c r="U128" s="425"/>
      <c r="V128" s="148"/>
      <c r="W128" s="429"/>
      <c r="X128" s="429"/>
      <c r="Y128" s="429"/>
      <c r="Z128" s="296"/>
    </row>
    <row r="129" spans="4:28" ht="31.5">
      <c r="D129" s="294" t="s">
        <v>141</v>
      </c>
      <c r="E129" s="433" t="s">
        <v>1845</v>
      </c>
      <c r="F129" s="433" t="s">
        <v>1884</v>
      </c>
      <c r="G129" s="433" t="s">
        <v>1845</v>
      </c>
      <c r="H129" s="434" t="s">
        <v>1859</v>
      </c>
      <c r="I129" s="434" t="s">
        <v>1860</v>
      </c>
      <c r="J129" s="434" t="s">
        <v>1859</v>
      </c>
      <c r="K129" s="434" t="s">
        <v>1854</v>
      </c>
      <c r="L129" s="434" t="s">
        <v>21</v>
      </c>
      <c r="M129" s="434" t="s">
        <v>1847</v>
      </c>
      <c r="N129" s="434" t="s">
        <v>1859</v>
      </c>
      <c r="O129" s="434" t="s">
        <v>21</v>
      </c>
      <c r="P129" s="433"/>
      <c r="R129" s="296"/>
      <c r="S129" s="148"/>
      <c r="T129" s="148"/>
      <c r="U129" s="429"/>
      <c r="V129" s="429"/>
      <c r="W129" s="425"/>
      <c r="X129" s="148"/>
      <c r="Y129" s="425"/>
      <c r="Z129" s="429"/>
    </row>
    <row r="130" spans="4:28" ht="31.5">
      <c r="D130" s="294" t="s">
        <v>142</v>
      </c>
      <c r="E130" s="433" t="s">
        <v>1878</v>
      </c>
      <c r="F130" s="433" t="s">
        <v>1884</v>
      </c>
      <c r="G130" s="433" t="s">
        <v>21</v>
      </c>
      <c r="H130" s="433" t="s">
        <v>1845</v>
      </c>
      <c r="I130" s="433" t="s">
        <v>21</v>
      </c>
      <c r="J130" s="433" t="s">
        <v>1845</v>
      </c>
      <c r="K130" s="433" t="s">
        <v>1854</v>
      </c>
      <c r="L130" s="433" t="s">
        <v>21</v>
      </c>
      <c r="M130" s="434" t="s">
        <v>1876</v>
      </c>
      <c r="N130" s="434" t="s">
        <v>1857</v>
      </c>
      <c r="O130" s="433" t="s">
        <v>21</v>
      </c>
      <c r="P130" s="433"/>
      <c r="R130" s="429"/>
      <c r="S130" s="429"/>
      <c r="T130" s="148"/>
      <c r="U130" s="429"/>
      <c r="V130" s="429"/>
      <c r="W130" s="148"/>
      <c r="X130" s="148"/>
      <c r="Y130" s="148"/>
      <c r="Z130" s="425"/>
    </row>
    <row r="131" spans="4:28" ht="31.5">
      <c r="D131" s="294" t="s">
        <v>143</v>
      </c>
      <c r="E131" s="434" t="s">
        <v>1859</v>
      </c>
      <c r="F131" s="433" t="s">
        <v>1845</v>
      </c>
      <c r="G131" s="433" t="s">
        <v>1845</v>
      </c>
      <c r="H131" s="434" t="s">
        <v>1882</v>
      </c>
      <c r="I131" s="434" t="s">
        <v>1860</v>
      </c>
      <c r="J131" s="433" t="s">
        <v>1845</v>
      </c>
      <c r="K131" s="433" t="s">
        <v>1845</v>
      </c>
      <c r="L131" s="433" t="s">
        <v>1861</v>
      </c>
      <c r="M131" s="434" t="s">
        <v>1883</v>
      </c>
      <c r="N131" s="433" t="s">
        <v>1854</v>
      </c>
      <c r="O131" s="433" t="s">
        <v>1845</v>
      </c>
      <c r="P131" s="433"/>
      <c r="R131" s="429"/>
      <c r="S131" s="425"/>
      <c r="T131" s="148"/>
      <c r="U131" s="429"/>
      <c r="V131" s="425"/>
      <c r="W131" s="429"/>
      <c r="X131" s="148"/>
      <c r="Y131" s="148"/>
      <c r="Z131" s="296"/>
      <c r="AA131" s="296"/>
      <c r="AB131" s="429"/>
    </row>
    <row r="132" spans="4:28" ht="31.5">
      <c r="D132" s="294" t="s">
        <v>144</v>
      </c>
      <c r="E132" s="433" t="s">
        <v>1878</v>
      </c>
      <c r="F132" s="433" t="s">
        <v>1879</v>
      </c>
      <c r="G132" s="433" t="s">
        <v>1861</v>
      </c>
      <c r="H132" s="433" t="s">
        <v>1845</v>
      </c>
      <c r="I132" s="433" t="s">
        <v>1880</v>
      </c>
      <c r="J132" s="434" t="s">
        <v>1859</v>
      </c>
      <c r="K132" s="433" t="s">
        <v>1881</v>
      </c>
      <c r="L132" s="434" t="s">
        <v>1859</v>
      </c>
      <c r="M132" s="434" t="s">
        <v>1860</v>
      </c>
      <c r="N132" s="433" t="s">
        <v>21</v>
      </c>
      <c r="O132" s="433" t="s">
        <v>21</v>
      </c>
      <c r="P132" s="433"/>
      <c r="R132" s="429"/>
      <c r="S132" s="296"/>
      <c r="T132" s="148"/>
      <c r="U132" s="148"/>
      <c r="V132" s="148"/>
      <c r="W132" s="429"/>
      <c r="X132" s="429"/>
      <c r="Y132" s="429"/>
      <c r="Z132" s="429"/>
      <c r="AA132" s="296"/>
      <c r="AB132" s="425"/>
    </row>
    <row r="133" spans="4:28" ht="31.5">
      <c r="D133" s="294" t="s">
        <v>145</v>
      </c>
      <c r="E133" s="433" t="s">
        <v>1877</v>
      </c>
      <c r="F133" s="434" t="s">
        <v>1852</v>
      </c>
      <c r="G133" s="433" t="s">
        <v>1845</v>
      </c>
      <c r="H133" s="433" t="s">
        <v>21</v>
      </c>
      <c r="I133" s="433" t="s">
        <v>21</v>
      </c>
      <c r="J133" s="433" t="s">
        <v>1865</v>
      </c>
      <c r="K133" s="433" t="s">
        <v>1845</v>
      </c>
      <c r="L133" s="433" t="s">
        <v>1861</v>
      </c>
      <c r="M133" s="434" t="s">
        <v>1866</v>
      </c>
      <c r="N133" s="433" t="s">
        <v>1861</v>
      </c>
      <c r="O133" s="433" t="s">
        <v>1867</v>
      </c>
      <c r="P133" s="433"/>
      <c r="R133" s="425"/>
      <c r="S133" s="148"/>
      <c r="T133" s="425"/>
      <c r="U133" s="148"/>
      <c r="V133" s="425"/>
      <c r="W133" s="429"/>
      <c r="X133" s="429"/>
      <c r="Y133" s="296"/>
      <c r="Z133" s="429"/>
      <c r="AA133" s="429"/>
      <c r="AB133" s="429"/>
    </row>
    <row r="134" spans="4:28" ht="31.5">
      <c r="D134" s="294" t="s">
        <v>146</v>
      </c>
      <c r="E134" s="434" t="s">
        <v>1869</v>
      </c>
      <c r="F134" s="433" t="s">
        <v>21</v>
      </c>
      <c r="G134" s="433" t="s">
        <v>21</v>
      </c>
      <c r="H134" s="434" t="s">
        <v>1859</v>
      </c>
      <c r="I134" s="433" t="s">
        <v>1845</v>
      </c>
      <c r="J134" s="433" t="s">
        <v>1861</v>
      </c>
      <c r="K134" s="433" t="s">
        <v>1872</v>
      </c>
      <c r="L134" s="433" t="s">
        <v>1872</v>
      </c>
      <c r="M134" s="434" t="s">
        <v>1876</v>
      </c>
      <c r="N134" s="434" t="s">
        <v>1852</v>
      </c>
      <c r="O134" s="433" t="s">
        <v>1861</v>
      </c>
      <c r="P134" s="433"/>
      <c r="R134" s="296"/>
      <c r="S134" s="148"/>
      <c r="T134" s="148"/>
      <c r="U134" s="296"/>
      <c r="V134" s="296"/>
      <c r="W134" s="425"/>
      <c r="X134" s="296"/>
      <c r="Y134" s="148"/>
      <c r="Z134" s="429"/>
      <c r="AA134" s="296"/>
      <c r="AB134" s="429"/>
    </row>
    <row r="135" spans="4:28" ht="47.25">
      <c r="D135" s="294" t="s">
        <v>147</v>
      </c>
      <c r="E135" s="433" t="s">
        <v>1845</v>
      </c>
      <c r="F135" s="433" t="s">
        <v>1845</v>
      </c>
      <c r="G135" s="433" t="s">
        <v>1873</v>
      </c>
      <c r="H135" s="434" t="s">
        <v>1874</v>
      </c>
      <c r="I135" s="433" t="s">
        <v>1845</v>
      </c>
      <c r="J135" s="433" t="s">
        <v>1845</v>
      </c>
      <c r="K135" s="433" t="s">
        <v>1845</v>
      </c>
      <c r="L135" s="433" t="s">
        <v>1845</v>
      </c>
      <c r="M135" s="433" t="s">
        <v>1873</v>
      </c>
      <c r="N135" s="434" t="s">
        <v>1875</v>
      </c>
      <c r="O135" s="434" t="s">
        <v>1859</v>
      </c>
      <c r="P135" s="433"/>
      <c r="R135" s="148"/>
      <c r="S135" s="296"/>
      <c r="T135" s="148"/>
      <c r="U135" s="148"/>
      <c r="V135" s="296"/>
      <c r="W135" s="425"/>
      <c r="X135" s="425"/>
      <c r="Y135" s="429"/>
      <c r="Z135" s="425"/>
      <c r="AA135" s="429"/>
      <c r="AB135" s="425"/>
    </row>
    <row r="136" spans="4:28" ht="31.5">
      <c r="D136" s="294" t="s">
        <v>148</v>
      </c>
      <c r="E136" s="433" t="s">
        <v>1845</v>
      </c>
      <c r="F136" s="434" t="s">
        <v>1859</v>
      </c>
      <c r="G136" s="433" t="s">
        <v>21</v>
      </c>
      <c r="H136" s="433" t="s">
        <v>1845</v>
      </c>
      <c r="I136" s="434" t="s">
        <v>1860</v>
      </c>
      <c r="J136" s="433" t="s">
        <v>1845</v>
      </c>
      <c r="K136" s="433" t="s">
        <v>1845</v>
      </c>
      <c r="L136" s="434" t="s">
        <v>1862</v>
      </c>
      <c r="M136" s="433" t="s">
        <v>1845</v>
      </c>
      <c r="N136" s="433" t="s">
        <v>1845</v>
      </c>
      <c r="O136" s="433" t="s">
        <v>1845</v>
      </c>
      <c r="P136" s="433"/>
      <c r="R136" s="148"/>
      <c r="S136" s="148"/>
      <c r="T136" s="148"/>
      <c r="U136" s="429"/>
      <c r="V136" s="148"/>
      <c r="W136" s="148"/>
      <c r="X136" s="148"/>
      <c r="Y136" s="296"/>
      <c r="Z136" s="429"/>
      <c r="AA136" s="296"/>
      <c r="AB136" s="425"/>
    </row>
    <row r="137" spans="4:28" ht="31.5">
      <c r="D137" s="294" t="s">
        <v>125</v>
      </c>
      <c r="E137" s="433" t="s">
        <v>1845</v>
      </c>
      <c r="F137" s="434" t="s">
        <v>1868</v>
      </c>
      <c r="G137" s="433" t="s">
        <v>21</v>
      </c>
      <c r="H137" s="433" t="s">
        <v>1845</v>
      </c>
      <c r="I137" s="433" t="s">
        <v>21</v>
      </c>
      <c r="J137" s="434" t="s">
        <v>1859</v>
      </c>
      <c r="K137" s="434" t="s">
        <v>1869</v>
      </c>
      <c r="L137" s="433" t="s">
        <v>21</v>
      </c>
      <c r="M137" s="433" t="s">
        <v>1845</v>
      </c>
      <c r="N137" s="434" t="s">
        <v>1870</v>
      </c>
      <c r="O137" s="433" t="s">
        <v>1845</v>
      </c>
      <c r="P137" s="433"/>
      <c r="R137" s="296"/>
      <c r="S137" s="148"/>
      <c r="T137" s="148"/>
      <c r="U137" s="429"/>
      <c r="V137" s="296"/>
      <c r="W137" s="148"/>
      <c r="X137" s="148"/>
      <c r="Y137" s="296"/>
      <c r="Z137" s="296"/>
      <c r="AA137" s="429"/>
      <c r="AB137" s="425"/>
    </row>
    <row r="138" spans="4:28" ht="31.5">
      <c r="D138" s="294" t="s">
        <v>116</v>
      </c>
      <c r="E138" s="434" t="s">
        <v>1857</v>
      </c>
      <c r="F138" s="433" t="s">
        <v>21</v>
      </c>
      <c r="G138" s="434" t="s">
        <v>1864</v>
      </c>
      <c r="H138" s="433" t="s">
        <v>1845</v>
      </c>
      <c r="I138" s="434" t="s">
        <v>1860</v>
      </c>
      <c r="J138" s="434" t="s">
        <v>21</v>
      </c>
      <c r="K138" s="434" t="s">
        <v>21</v>
      </c>
      <c r="L138" s="433" t="s">
        <v>1845</v>
      </c>
      <c r="M138" s="434" t="s">
        <v>1865</v>
      </c>
      <c r="N138" s="433" t="s">
        <v>1845</v>
      </c>
      <c r="O138" s="434" t="s">
        <v>1866</v>
      </c>
      <c r="P138" s="433"/>
      <c r="R138" s="296"/>
      <c r="S138" s="429"/>
      <c r="T138" s="148"/>
      <c r="U138" s="148"/>
      <c r="V138" s="429"/>
      <c r="W138" s="148"/>
      <c r="X138" s="296"/>
      <c r="Y138" s="148"/>
      <c r="Z138" s="296"/>
      <c r="AA138" s="148"/>
      <c r="AB138" s="296"/>
    </row>
    <row r="139" spans="4:28" ht="31.5">
      <c r="D139" s="294" t="s">
        <v>104</v>
      </c>
      <c r="E139" s="434" t="s">
        <v>1860</v>
      </c>
      <c r="F139" s="433" t="s">
        <v>21</v>
      </c>
      <c r="G139" s="433" t="s">
        <v>21</v>
      </c>
      <c r="H139" s="433" t="s">
        <v>1861</v>
      </c>
      <c r="I139" s="434" t="s">
        <v>1852</v>
      </c>
      <c r="J139" s="433" t="s">
        <v>21</v>
      </c>
      <c r="K139" s="433" t="s">
        <v>21</v>
      </c>
      <c r="L139" s="434" t="s">
        <v>1862</v>
      </c>
      <c r="M139" s="433" t="s">
        <v>1845</v>
      </c>
      <c r="N139" s="434" t="s">
        <v>1863</v>
      </c>
      <c r="O139" s="434" t="s">
        <v>1859</v>
      </c>
      <c r="P139" s="433"/>
      <c r="R139" s="425"/>
      <c r="S139" s="429"/>
      <c r="T139" s="429"/>
      <c r="U139" s="296"/>
      <c r="V139" s="429"/>
      <c r="W139" s="148"/>
      <c r="X139" s="296"/>
      <c r="Y139" s="296"/>
      <c r="Z139" s="296"/>
      <c r="AA139" s="296"/>
      <c r="AB139" s="296"/>
    </row>
    <row r="140" spans="4:28" ht="31.5">
      <c r="D140" s="294" t="s">
        <v>95</v>
      </c>
      <c r="E140" s="433" t="s">
        <v>1845</v>
      </c>
      <c r="F140" s="434" t="s">
        <v>1859</v>
      </c>
      <c r="G140" s="433" t="s">
        <v>21</v>
      </c>
      <c r="H140" s="433" t="s">
        <v>1845</v>
      </c>
      <c r="I140" s="434" t="s">
        <v>1846</v>
      </c>
      <c r="J140" s="433" t="s">
        <v>1845</v>
      </c>
      <c r="K140" s="433" t="s">
        <v>1845</v>
      </c>
      <c r="L140" s="434" t="s">
        <v>1859</v>
      </c>
      <c r="M140" s="434" t="s">
        <v>1862</v>
      </c>
      <c r="N140" s="433" t="s">
        <v>1845</v>
      </c>
      <c r="O140" s="434" t="s">
        <v>1859</v>
      </c>
      <c r="P140" s="433"/>
      <c r="R140" s="148"/>
      <c r="S140" s="296"/>
      <c r="T140" s="296"/>
      <c r="U140" s="429"/>
      <c r="V140" s="148"/>
      <c r="W140" s="429"/>
      <c r="X140" s="429"/>
      <c r="Y140" s="429"/>
      <c r="Z140" s="296"/>
      <c r="AA140" s="429"/>
      <c r="AB140" s="429"/>
    </row>
    <row r="141" spans="4:28" ht="47.25">
      <c r="D141" s="294" t="s">
        <v>85</v>
      </c>
      <c r="E141" s="433" t="s">
        <v>1845</v>
      </c>
      <c r="F141" s="433" t="s">
        <v>21</v>
      </c>
      <c r="G141" s="433" t="s">
        <v>1845</v>
      </c>
      <c r="H141" s="434" t="s">
        <v>1852</v>
      </c>
      <c r="I141" s="433" t="s">
        <v>1845</v>
      </c>
      <c r="J141" s="433" t="s">
        <v>1845</v>
      </c>
      <c r="K141" s="434" t="s">
        <v>1856</v>
      </c>
      <c r="L141" s="433" t="s">
        <v>21</v>
      </c>
      <c r="M141" s="434" t="s">
        <v>1857</v>
      </c>
      <c r="N141" s="433" t="s">
        <v>1847</v>
      </c>
      <c r="O141" s="434" t="s">
        <v>1858</v>
      </c>
      <c r="P141" s="433"/>
      <c r="R141" s="148"/>
      <c r="S141" s="296"/>
      <c r="T141" s="429"/>
      <c r="U141" s="425"/>
      <c r="V141" s="148"/>
      <c r="W141" s="429"/>
      <c r="X141" s="429"/>
      <c r="Y141" s="296"/>
      <c r="Z141" s="429"/>
      <c r="AA141" s="429"/>
      <c r="AB141" s="429"/>
    </row>
    <row r="142" spans="4:28" ht="31.5">
      <c r="D142" s="294" t="s">
        <v>66</v>
      </c>
      <c r="E142" s="434" t="s">
        <v>1851</v>
      </c>
      <c r="F142" s="433" t="s">
        <v>21</v>
      </c>
      <c r="G142" s="433" t="s">
        <v>1847</v>
      </c>
      <c r="H142" s="433" t="s">
        <v>1845</v>
      </c>
      <c r="I142" s="434" t="s">
        <v>1852</v>
      </c>
      <c r="J142" s="433" t="s">
        <v>1847</v>
      </c>
      <c r="K142" s="434" t="s">
        <v>1845</v>
      </c>
      <c r="L142" s="434" t="s">
        <v>1853</v>
      </c>
      <c r="M142" s="434" t="s">
        <v>1854</v>
      </c>
      <c r="N142" s="434" t="s">
        <v>1867</v>
      </c>
      <c r="O142" s="434" t="s">
        <v>1855</v>
      </c>
      <c r="P142" s="433"/>
      <c r="R142" s="296"/>
      <c r="S142" s="429"/>
      <c r="T142" s="425"/>
      <c r="U142" s="429"/>
      <c r="V142" s="148"/>
      <c r="W142" s="148"/>
      <c r="X142" s="296"/>
      <c r="Y142" s="148"/>
      <c r="Z142" s="148"/>
      <c r="AA142" s="148"/>
      <c r="AB142" s="148"/>
    </row>
    <row r="143" spans="4:28" ht="31.5">
      <c r="D143" s="294" t="s">
        <v>65</v>
      </c>
      <c r="E143" s="434" t="s">
        <v>1871</v>
      </c>
      <c r="F143" s="433" t="s">
        <v>1845</v>
      </c>
      <c r="G143" s="433" t="s">
        <v>21</v>
      </c>
      <c r="H143" s="433" t="s">
        <v>1845</v>
      </c>
      <c r="I143" s="433" t="s">
        <v>1845</v>
      </c>
      <c r="J143" s="433" t="s">
        <v>1847</v>
      </c>
      <c r="K143" s="433" t="s">
        <v>1845</v>
      </c>
      <c r="L143" s="433" t="s">
        <v>1845</v>
      </c>
      <c r="M143" s="434" t="s">
        <v>1872</v>
      </c>
      <c r="N143" s="433" t="s">
        <v>1845</v>
      </c>
      <c r="O143" s="433" t="s">
        <v>1845</v>
      </c>
      <c r="P143" s="433"/>
      <c r="R143" s="148"/>
      <c r="S143" s="429"/>
      <c r="T143" s="429"/>
      <c r="U143" s="148"/>
      <c r="V143" s="429"/>
      <c r="W143" s="429"/>
      <c r="X143" s="296"/>
      <c r="Y143" s="296"/>
      <c r="Z143" s="429"/>
      <c r="AA143" s="425"/>
      <c r="AB143" s="148"/>
    </row>
    <row r="144" spans="4:28" ht="31.5">
      <c r="D144" s="294" t="s">
        <v>60</v>
      </c>
      <c r="E144" s="434" t="s">
        <v>1859</v>
      </c>
      <c r="F144" s="433" t="s">
        <v>1845</v>
      </c>
      <c r="G144" s="433" t="s">
        <v>1845</v>
      </c>
      <c r="H144" s="433" t="s">
        <v>1845</v>
      </c>
      <c r="I144" s="433" t="s">
        <v>1845</v>
      </c>
      <c r="J144" s="433" t="s">
        <v>1845</v>
      </c>
      <c r="K144" s="433" t="s">
        <v>21</v>
      </c>
      <c r="L144" s="434" t="s">
        <v>1847</v>
      </c>
      <c r="M144" s="433" t="s">
        <v>1845</v>
      </c>
      <c r="N144" s="433" t="s">
        <v>1847</v>
      </c>
      <c r="O144" s="433" t="s">
        <v>1861</v>
      </c>
      <c r="P144" s="433"/>
      <c r="R144" s="148"/>
      <c r="S144" s="429"/>
      <c r="T144" s="429"/>
      <c r="V144" s="425"/>
      <c r="W144" s="429"/>
      <c r="X144" s="296"/>
      <c r="Y144" s="429"/>
      <c r="Z144" s="429"/>
      <c r="AA144" s="148"/>
      <c r="AB144" s="148"/>
    </row>
    <row r="145" spans="4:29" ht="31.5">
      <c r="D145" s="294" t="s">
        <v>35</v>
      </c>
      <c r="E145" s="433" t="s">
        <v>1845</v>
      </c>
      <c r="F145" s="434" t="s">
        <v>1846</v>
      </c>
      <c r="G145" s="434" t="s">
        <v>1848</v>
      </c>
      <c r="H145" s="433" t="s">
        <v>1845</v>
      </c>
      <c r="I145" s="433" t="s">
        <v>21</v>
      </c>
      <c r="J145" s="433" t="s">
        <v>21</v>
      </c>
      <c r="K145" s="434" t="s">
        <v>1849</v>
      </c>
      <c r="L145" s="433" t="s">
        <v>1850</v>
      </c>
      <c r="M145" s="433" t="s">
        <v>1847</v>
      </c>
      <c r="N145" s="433" t="s">
        <v>1898</v>
      </c>
      <c r="O145" s="433"/>
      <c r="P145" s="433"/>
      <c r="R145" s="148"/>
      <c r="S145" s="148"/>
      <c r="T145" s="148"/>
      <c r="V145" s="148"/>
      <c r="W145" s="429"/>
      <c r="X145" s="296"/>
      <c r="Y145" s="429"/>
      <c r="Z145" s="429"/>
      <c r="AA145" s="429"/>
      <c r="AB145" s="429"/>
    </row>
    <row r="146" spans="4:29" ht="31.5">
      <c r="D146" s="294" t="s">
        <v>11</v>
      </c>
      <c r="E146" s="433" t="s">
        <v>1845</v>
      </c>
      <c r="F146" s="434" t="s">
        <v>1852</v>
      </c>
      <c r="G146" s="433" t="s">
        <v>1845</v>
      </c>
      <c r="H146" s="434" t="s">
        <v>1852</v>
      </c>
      <c r="I146" s="433" t="s">
        <v>21</v>
      </c>
      <c r="J146" s="433" t="s">
        <v>1845</v>
      </c>
      <c r="K146" s="434" t="s">
        <v>1861</v>
      </c>
      <c r="L146" s="434" t="s">
        <v>1851</v>
      </c>
      <c r="M146" s="433" t="s">
        <v>1845</v>
      </c>
      <c r="N146" s="434" t="s">
        <v>1859</v>
      </c>
      <c r="O146" s="433"/>
      <c r="P146" s="433"/>
      <c r="W146" s="429"/>
      <c r="X146" s="425"/>
      <c r="Y146" s="429"/>
      <c r="Z146" s="429"/>
      <c r="AA146" s="429"/>
      <c r="AB146" s="148"/>
      <c r="AC146" s="148"/>
    </row>
    <row r="147" spans="4:29" ht="31.5">
      <c r="D147" s="294" t="s">
        <v>198</v>
      </c>
      <c r="E147" s="434" t="s">
        <v>1861</v>
      </c>
      <c r="F147" s="433" t="s">
        <v>1845</v>
      </c>
      <c r="G147" s="434" t="s">
        <v>1859</v>
      </c>
      <c r="H147" s="433" t="s">
        <v>1845</v>
      </c>
      <c r="I147" s="433" t="s">
        <v>1867</v>
      </c>
      <c r="J147" s="433" t="s">
        <v>21</v>
      </c>
      <c r="K147" s="434" t="s">
        <v>21</v>
      </c>
      <c r="L147" s="433" t="s">
        <v>1845</v>
      </c>
      <c r="M147" s="433" t="s">
        <v>1845</v>
      </c>
      <c r="N147" s="433"/>
      <c r="O147" s="433"/>
      <c r="P147" s="433"/>
      <c r="W147" s="148"/>
      <c r="X147" s="148"/>
      <c r="Y147" s="148"/>
      <c r="Z147" s="148"/>
      <c r="AA147" s="148"/>
      <c r="AB147" s="148"/>
      <c r="AC147" s="148"/>
    </row>
    <row r="148" spans="4:29" ht="31.5">
      <c r="D148" s="294" t="s">
        <v>184</v>
      </c>
      <c r="E148" s="433" t="s">
        <v>1861</v>
      </c>
      <c r="F148" s="433" t="s">
        <v>1845</v>
      </c>
      <c r="G148" s="433" t="s">
        <v>1845</v>
      </c>
      <c r="H148" s="434" t="s">
        <v>1859</v>
      </c>
      <c r="I148" s="433" t="s">
        <v>1845</v>
      </c>
      <c r="J148" s="433" t="s">
        <v>1861</v>
      </c>
      <c r="K148" s="434" t="s">
        <v>1897</v>
      </c>
      <c r="L148" s="433" t="s">
        <v>21</v>
      </c>
      <c r="M148" s="433" t="s">
        <v>21</v>
      </c>
      <c r="N148" s="433" t="s">
        <v>1861</v>
      </c>
      <c r="O148" s="433" t="s">
        <v>21</v>
      </c>
      <c r="P148" s="433"/>
      <c r="AC148" s="148"/>
    </row>
    <row r="149" spans="4:29" ht="31.5">
      <c r="D149" s="294" t="s">
        <v>563</v>
      </c>
      <c r="E149" s="433" t="s">
        <v>21</v>
      </c>
      <c r="F149" s="433" t="s">
        <v>1873</v>
      </c>
      <c r="G149" s="433" t="s">
        <v>1845</v>
      </c>
      <c r="H149" s="433" t="s">
        <v>1845</v>
      </c>
      <c r="I149" s="434" t="s">
        <v>1859</v>
      </c>
      <c r="J149" s="433" t="s">
        <v>1861</v>
      </c>
      <c r="K149" s="434" t="s">
        <v>1859</v>
      </c>
      <c r="L149" s="433" t="s">
        <v>21</v>
      </c>
      <c r="M149" s="433" t="s">
        <v>1845</v>
      </c>
      <c r="N149" s="433" t="s">
        <v>1861</v>
      </c>
      <c r="O149" s="433"/>
      <c r="P149" s="433"/>
    </row>
    <row r="150" spans="4:29" ht="31.5">
      <c r="D150" s="294" t="s">
        <v>1742</v>
      </c>
      <c r="E150" s="434" t="s">
        <v>1979</v>
      </c>
      <c r="F150" s="433" t="s">
        <v>1845</v>
      </c>
      <c r="G150" s="433" t="s">
        <v>1845</v>
      </c>
      <c r="H150" s="434" t="s">
        <v>1980</v>
      </c>
      <c r="I150" s="434" t="s">
        <v>1883</v>
      </c>
      <c r="J150" s="434" t="s">
        <v>1981</v>
      </c>
      <c r="K150" s="433" t="s">
        <v>1845</v>
      </c>
      <c r="L150" s="433" t="s">
        <v>1854</v>
      </c>
      <c r="M150" s="434" t="s">
        <v>2022</v>
      </c>
      <c r="N150" s="433" t="s">
        <v>2021</v>
      </c>
      <c r="O150" s="433" t="s">
        <v>2021</v>
      </c>
      <c r="P150" s="433"/>
    </row>
    <row r="151" spans="4:29" ht="31.5">
      <c r="D151" s="294" t="s">
        <v>2056</v>
      </c>
      <c r="E151" s="434" t="s">
        <v>2586</v>
      </c>
      <c r="F151" s="433" t="s">
        <v>1845</v>
      </c>
      <c r="G151" s="434" t="s">
        <v>2587</v>
      </c>
      <c r="H151" s="434" t="s">
        <v>1845</v>
      </c>
      <c r="I151" s="433" t="s">
        <v>1845</v>
      </c>
      <c r="J151" s="433" t="s">
        <v>1861</v>
      </c>
      <c r="K151" s="434" t="s">
        <v>2588</v>
      </c>
      <c r="L151" s="433" t="s">
        <v>1845</v>
      </c>
      <c r="M151" s="433" t="s">
        <v>1845</v>
      </c>
      <c r="N151" s="433" t="s">
        <v>2021</v>
      </c>
      <c r="O151" s="433" t="s">
        <v>1845</v>
      </c>
      <c r="P151" s="433"/>
    </row>
  </sheetData>
  <mergeCells count="6">
    <mergeCell ref="U56:V57"/>
    <mergeCell ref="D106:K106"/>
    <mergeCell ref="B4:E4"/>
    <mergeCell ref="B6:K6"/>
    <mergeCell ref="G56:I56"/>
    <mergeCell ref="J56:L56"/>
  </mergeCells>
  <phoneticPr fontId="3" type="noConversion"/>
  <pageMargins left="0.7" right="0.7" top="0.75" bottom="0.75" header="0.3" footer="0.3"/>
  <drawing r:id="rId1"/>
  <tableParts count="6">
    <tablePart r:id="rId2"/>
    <tablePart r:id="rId3"/>
    <tablePart r:id="rId4"/>
    <tablePart r:id="rId5"/>
    <tablePart r:id="rId6"/>
    <tablePart r:id="rId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45E7-763E-384F-8625-720B26B921BE}">
  <sheetPr codeName="Sheet16">
    <tabColor rgb="FFACFFA5"/>
  </sheetPr>
  <dimension ref="A2:UT615"/>
  <sheetViews>
    <sheetView topLeftCell="AQ1" zoomScale="69" zoomScaleNormal="69" workbookViewId="0">
      <selection activeCell="BB467" sqref="BB11:BC467"/>
    </sheetView>
  </sheetViews>
  <sheetFormatPr defaultColWidth="11" defaultRowHeight="15.75"/>
  <cols>
    <col min="1" max="1" width="4.375" customWidth="1"/>
    <col min="2" max="2" width="20" bestFit="1" customWidth="1"/>
    <col min="3" max="3" width="5.875" bestFit="1" customWidth="1"/>
    <col min="4" max="4" width="5.875" customWidth="1"/>
    <col min="5" max="5" width="5.375" customWidth="1"/>
    <col min="6" max="6" width="5.875" bestFit="1" customWidth="1"/>
    <col min="7" max="8" width="6.875" bestFit="1" customWidth="1"/>
    <col min="9" max="9" width="6.375" bestFit="1" customWidth="1"/>
    <col min="10" max="10" width="6.5" bestFit="1" customWidth="1"/>
    <col min="11" max="11" width="7.125" customWidth="1"/>
    <col min="12" max="14" width="6.875" bestFit="1" customWidth="1"/>
    <col min="15" max="15" width="6.5" bestFit="1" customWidth="1"/>
    <col min="16" max="16" width="7" customWidth="1"/>
    <col min="18" max="18" width="21.875" bestFit="1" customWidth="1"/>
    <col min="19" max="19" width="4.5" bestFit="1" customWidth="1"/>
    <col min="20" max="20" width="4.5" customWidth="1"/>
    <col min="21" max="21" width="5.875" bestFit="1" customWidth="1"/>
    <col min="37" max="37" width="12.125" bestFit="1" customWidth="1"/>
  </cols>
  <sheetData>
    <row r="2" spans="2:566">
      <c r="UT2" t="s">
        <v>329</v>
      </c>
    </row>
    <row r="3" spans="2:566" ht="33.75">
      <c r="B3" s="1758" t="s">
        <v>1438</v>
      </c>
      <c r="C3" s="1758"/>
      <c r="D3" s="1758"/>
      <c r="E3" s="1758"/>
      <c r="F3" s="1758"/>
      <c r="G3" s="1758"/>
    </row>
    <row r="5" spans="2:566">
      <c r="B5" t="s">
        <v>2079</v>
      </c>
    </row>
    <row r="6" spans="2:566" ht="16.5" thickBot="1">
      <c r="B6" s="58"/>
      <c r="C6" s="58"/>
      <c r="D6" s="58"/>
      <c r="E6" s="58"/>
      <c r="F6" s="58"/>
      <c r="G6" s="58"/>
      <c r="H6" s="58"/>
      <c r="I6" s="58"/>
      <c r="J6" s="58"/>
    </row>
    <row r="7" spans="2:566">
      <c r="C7" s="700" t="s">
        <v>2464</v>
      </c>
      <c r="D7" s="701"/>
      <c r="E7" s="701"/>
      <c r="F7" s="701"/>
      <c r="G7" s="701"/>
      <c r="H7" s="701"/>
      <c r="I7" s="701"/>
      <c r="J7" s="701"/>
      <c r="K7" s="702"/>
      <c r="R7" s="1757" t="s">
        <v>2879</v>
      </c>
      <c r="S7" s="1757"/>
      <c r="T7" s="1757"/>
      <c r="U7" s="1757"/>
      <c r="V7" s="714"/>
      <c r="W7" s="714"/>
    </row>
    <row r="8" spans="2:566">
      <c r="B8" s="58"/>
      <c r="C8" s="703"/>
      <c r="D8" s="58" t="s">
        <v>2465</v>
      </c>
      <c r="E8" s="58"/>
      <c r="F8" s="58"/>
      <c r="G8" s="58"/>
      <c r="H8" s="58"/>
      <c r="I8" s="58"/>
      <c r="J8" s="58"/>
      <c r="K8" s="704"/>
      <c r="R8" t="s">
        <v>2475</v>
      </c>
      <c r="AC8" s="1757" t="s">
        <v>2476</v>
      </c>
      <c r="AD8" s="1757"/>
      <c r="AE8" s="1757"/>
      <c r="AF8" s="1757"/>
      <c r="AG8" s="714"/>
      <c r="AH8" s="714"/>
    </row>
    <row r="9" spans="2:566" ht="21.75" thickBot="1">
      <c r="B9" s="58"/>
      <c r="C9" s="705"/>
      <c r="D9" s="58" t="s">
        <v>2466</v>
      </c>
      <c r="E9" s="58"/>
      <c r="F9" s="58"/>
      <c r="G9" s="58"/>
      <c r="H9" s="58"/>
      <c r="I9" s="58"/>
      <c r="J9" s="58"/>
      <c r="K9" s="704"/>
      <c r="R9" s="1502" t="s">
        <v>2811</v>
      </c>
      <c r="S9" s="745" t="s">
        <v>329</v>
      </c>
      <c r="T9" s="745" t="s">
        <v>2794</v>
      </c>
      <c r="U9" s="746" t="s">
        <v>2080</v>
      </c>
      <c r="AC9" s="1" t="s">
        <v>126</v>
      </c>
      <c r="AH9" s="1"/>
      <c r="AY9" s="558" t="s">
        <v>2880</v>
      </c>
    </row>
    <row r="10" spans="2:566" ht="18.75" thickTop="1">
      <c r="B10" s="58"/>
      <c r="C10" s="706"/>
      <c r="D10" s="58" t="s">
        <v>2796</v>
      </c>
      <c r="E10" s="58"/>
      <c r="F10" s="58"/>
      <c r="G10" s="58"/>
      <c r="H10" s="58"/>
      <c r="I10" s="58"/>
      <c r="J10" s="58"/>
      <c r="K10" s="704"/>
      <c r="R10" s="747" t="s">
        <v>2437</v>
      </c>
      <c r="S10">
        <v>36</v>
      </c>
      <c r="T10" s="717">
        <v>7</v>
      </c>
      <c r="U10" s="399">
        <v>1.4545454545454546</v>
      </c>
      <c r="AC10" s="649" t="s">
        <v>1440</v>
      </c>
      <c r="AF10" t="s">
        <v>2080</v>
      </c>
      <c r="AH10" s="713"/>
      <c r="AK10" s="41"/>
      <c r="AY10" t="s">
        <v>2860</v>
      </c>
      <c r="AZ10" t="s">
        <v>2861</v>
      </c>
      <c r="BA10" t="s">
        <v>2877</v>
      </c>
    </row>
    <row r="11" spans="2:566">
      <c r="B11" s="58"/>
      <c r="C11" s="1583"/>
      <c r="D11" s="58" t="s">
        <v>2469</v>
      </c>
      <c r="E11" s="58"/>
      <c r="F11" s="58"/>
      <c r="G11" s="58"/>
      <c r="H11" s="58"/>
      <c r="I11" s="58"/>
      <c r="J11" s="58"/>
      <c r="K11" s="704"/>
      <c r="R11" s="748" t="s">
        <v>2170</v>
      </c>
      <c r="S11">
        <v>9</v>
      </c>
      <c r="T11" s="718">
        <v>6</v>
      </c>
      <c r="U11" s="399">
        <v>1.6923076923076923</v>
      </c>
      <c r="AC11" s="661" t="s">
        <v>2081</v>
      </c>
      <c r="AD11">
        <v>1</v>
      </c>
      <c r="AE11">
        <v>5</v>
      </c>
      <c r="AF11">
        <v>2.4615384615384617</v>
      </c>
      <c r="AH11" s="713"/>
      <c r="AY11">
        <v>1</v>
      </c>
      <c r="AZ11">
        <v>1</v>
      </c>
      <c r="BA11" t="s">
        <v>2081</v>
      </c>
    </row>
    <row r="12" spans="2:566">
      <c r="B12" s="58"/>
      <c r="C12" s="707"/>
      <c r="D12" s="58" t="s">
        <v>2468</v>
      </c>
      <c r="E12" s="58"/>
      <c r="F12" s="58"/>
      <c r="G12" s="58"/>
      <c r="H12" s="58"/>
      <c r="I12" s="58"/>
      <c r="J12" s="58"/>
      <c r="K12" s="704"/>
      <c r="R12" s="749" t="s">
        <v>2558</v>
      </c>
      <c r="S12">
        <v>38</v>
      </c>
      <c r="T12" s="718">
        <v>7</v>
      </c>
      <c r="U12" s="399">
        <v>1.75</v>
      </c>
      <c r="AC12" s="645" t="s">
        <v>2082</v>
      </c>
      <c r="AD12">
        <v>1</v>
      </c>
      <c r="AE12">
        <v>3</v>
      </c>
      <c r="AF12">
        <v>2.3846153846153846</v>
      </c>
      <c r="AY12">
        <v>1</v>
      </c>
      <c r="AZ12">
        <v>2</v>
      </c>
      <c r="BA12" t="s">
        <v>2089</v>
      </c>
    </row>
    <row r="13" spans="2:566">
      <c r="B13" s="58"/>
      <c r="C13" s="707"/>
      <c r="D13" s="58" t="s">
        <v>2467</v>
      </c>
      <c r="E13" s="58"/>
      <c r="F13" s="58"/>
      <c r="G13" s="58"/>
      <c r="H13" s="58"/>
      <c r="I13" s="58"/>
      <c r="J13" s="58"/>
      <c r="K13" s="704"/>
      <c r="R13" s="749" t="s">
        <v>2272</v>
      </c>
      <c r="S13">
        <v>20</v>
      </c>
      <c r="T13" s="718">
        <v>8</v>
      </c>
      <c r="U13" s="399">
        <v>1.8333333333333333</v>
      </c>
      <c r="AC13" s="645" t="s">
        <v>2083</v>
      </c>
      <c r="AD13">
        <v>1</v>
      </c>
      <c r="AE13">
        <v>1</v>
      </c>
      <c r="AF13">
        <v>2.7692307692307692</v>
      </c>
      <c r="AH13" s="743"/>
      <c r="AY13">
        <v>1</v>
      </c>
      <c r="AZ13">
        <v>3</v>
      </c>
      <c r="BA13" t="s">
        <v>2084</v>
      </c>
    </row>
    <row r="14" spans="2:566">
      <c r="B14" s="58"/>
      <c r="C14" s="708"/>
      <c r="D14" s="58" t="s">
        <v>2473</v>
      </c>
      <c r="H14" s="58"/>
      <c r="I14" s="58"/>
      <c r="J14" s="58"/>
      <c r="K14" s="704"/>
      <c r="R14" s="1579" t="s">
        <v>2226</v>
      </c>
      <c r="S14">
        <v>15</v>
      </c>
      <c r="T14" s="718">
        <v>7</v>
      </c>
      <c r="U14" s="399">
        <v>2</v>
      </c>
      <c r="AC14" s="645" t="s">
        <v>2084</v>
      </c>
      <c r="AD14">
        <v>1</v>
      </c>
      <c r="AE14">
        <v>3</v>
      </c>
      <c r="AF14">
        <v>3.3636363636363638</v>
      </c>
      <c r="AH14" s="743"/>
      <c r="AY14">
        <v>1</v>
      </c>
      <c r="AZ14">
        <v>4</v>
      </c>
      <c r="BA14" t="s">
        <v>2083</v>
      </c>
    </row>
    <row r="15" spans="2:566">
      <c r="B15" s="58"/>
      <c r="C15" s="708"/>
      <c r="D15" s="58" t="s">
        <v>2470</v>
      </c>
      <c r="H15" s="58"/>
      <c r="I15" s="58"/>
      <c r="J15" s="58"/>
      <c r="K15" s="704"/>
      <c r="R15" s="1489" t="s">
        <v>2340</v>
      </c>
      <c r="S15">
        <v>27</v>
      </c>
      <c r="T15" s="718">
        <v>7</v>
      </c>
      <c r="U15" s="399">
        <v>2.0833333333333335</v>
      </c>
      <c r="AC15" s="645" t="s">
        <v>2085</v>
      </c>
      <c r="AD15">
        <v>1</v>
      </c>
      <c r="AE15">
        <v>0</v>
      </c>
      <c r="AF15">
        <v>5.7777777777777777</v>
      </c>
      <c r="AH15" s="743"/>
      <c r="AY15">
        <v>1</v>
      </c>
      <c r="AZ15">
        <v>5</v>
      </c>
      <c r="BA15" t="s">
        <v>2084</v>
      </c>
    </row>
    <row r="16" spans="2:566">
      <c r="B16" s="58"/>
      <c r="C16" s="708"/>
      <c r="D16" s="58" t="s">
        <v>2471</v>
      </c>
      <c r="H16" s="58"/>
      <c r="I16" s="58"/>
      <c r="J16" s="58"/>
      <c r="K16" s="704"/>
      <c r="R16" s="1580" t="s">
        <v>2400</v>
      </c>
      <c r="S16">
        <v>33</v>
      </c>
      <c r="T16" s="718">
        <v>5</v>
      </c>
      <c r="U16" s="399">
        <v>2.0909090909090908</v>
      </c>
      <c r="AC16" s="645" t="s">
        <v>2086</v>
      </c>
      <c r="AD16">
        <v>1</v>
      </c>
      <c r="AE16">
        <v>0</v>
      </c>
      <c r="AF16">
        <v>6.4285714285714288</v>
      </c>
      <c r="AH16" s="681"/>
      <c r="AY16">
        <v>1</v>
      </c>
      <c r="AZ16">
        <v>6</v>
      </c>
      <c r="BA16" t="s">
        <v>2082</v>
      </c>
    </row>
    <row r="17" spans="1:53">
      <c r="B17" s="58"/>
      <c r="C17" s="708"/>
      <c r="D17" s="58"/>
      <c r="H17" s="58"/>
      <c r="I17" s="58"/>
      <c r="J17" s="58"/>
      <c r="K17" s="704"/>
      <c r="R17" s="747" t="s">
        <v>2139</v>
      </c>
      <c r="S17">
        <v>6</v>
      </c>
      <c r="T17" s="718">
        <v>4</v>
      </c>
      <c r="U17" s="399">
        <v>2.1666666666666665</v>
      </c>
      <c r="AC17" s="645"/>
      <c r="AH17" s="713"/>
      <c r="AY17">
        <v>1</v>
      </c>
      <c r="AZ17">
        <v>7</v>
      </c>
      <c r="BA17" t="s">
        <v>2082</v>
      </c>
    </row>
    <row r="18" spans="1:53">
      <c r="B18" s="58"/>
      <c r="C18" s="708"/>
      <c r="D18" s="58" t="s">
        <v>2472</v>
      </c>
      <c r="H18" s="58"/>
      <c r="I18" s="58"/>
      <c r="J18" s="58"/>
      <c r="K18" s="704"/>
      <c r="R18" s="748" t="s">
        <v>2301</v>
      </c>
      <c r="S18">
        <v>24</v>
      </c>
      <c r="T18" s="718">
        <v>6</v>
      </c>
      <c r="U18" s="399">
        <v>2.1666666666666665</v>
      </c>
      <c r="AC18" s="645" t="s">
        <v>2088</v>
      </c>
      <c r="AD18">
        <v>1</v>
      </c>
      <c r="AE18">
        <v>0</v>
      </c>
      <c r="AF18">
        <v>6.5</v>
      </c>
      <c r="AH18" s="644"/>
      <c r="AY18">
        <v>1</v>
      </c>
      <c r="AZ18">
        <v>8</v>
      </c>
      <c r="BA18" t="s">
        <v>2084</v>
      </c>
    </row>
    <row r="19" spans="1:53" ht="16.5" thickBot="1">
      <c r="C19" s="709" t="s">
        <v>2474</v>
      </c>
      <c r="D19" s="710"/>
      <c r="E19" s="711"/>
      <c r="F19" s="711"/>
      <c r="G19" s="711"/>
      <c r="H19" s="711"/>
      <c r="I19" s="711"/>
      <c r="J19" s="711"/>
      <c r="K19" s="712"/>
      <c r="R19" s="750" t="s">
        <v>2273</v>
      </c>
      <c r="S19">
        <v>20</v>
      </c>
      <c r="T19" s="718">
        <v>3</v>
      </c>
      <c r="U19" s="399">
        <v>2.25</v>
      </c>
      <c r="AC19" s="645" t="s">
        <v>2089</v>
      </c>
      <c r="AD19">
        <v>1</v>
      </c>
      <c r="AE19">
        <v>1</v>
      </c>
      <c r="AF19">
        <v>5</v>
      </c>
      <c r="AH19" s="713"/>
      <c r="AY19">
        <v>1</v>
      </c>
      <c r="AZ19">
        <v>9</v>
      </c>
      <c r="BA19" t="s">
        <v>2081</v>
      </c>
    </row>
    <row r="20" spans="1:53" ht="21">
      <c r="B20" s="1" t="s">
        <v>126</v>
      </c>
      <c r="R20" s="748" t="s">
        <v>2391</v>
      </c>
      <c r="S20">
        <v>32</v>
      </c>
      <c r="T20" s="718">
        <v>4</v>
      </c>
      <c r="U20" s="399">
        <v>2.2727272727272729</v>
      </c>
      <c r="AC20" s="645" t="s">
        <v>2090</v>
      </c>
      <c r="AD20">
        <v>1</v>
      </c>
      <c r="AE20">
        <v>0</v>
      </c>
      <c r="AF20">
        <v>8</v>
      </c>
      <c r="AH20" s="644"/>
      <c r="AY20">
        <v>1</v>
      </c>
      <c r="AZ20">
        <v>10</v>
      </c>
      <c r="BA20" t="s">
        <v>2081</v>
      </c>
    </row>
    <row r="21" spans="1:53" ht="21" customHeight="1">
      <c r="A21" t="s">
        <v>329</v>
      </c>
      <c r="B21" s="649" t="s">
        <v>1440</v>
      </c>
      <c r="C21" s="646" t="s">
        <v>2795</v>
      </c>
      <c r="D21" s="646" t="s">
        <v>2798</v>
      </c>
      <c r="E21" s="646" t="s">
        <v>2799</v>
      </c>
      <c r="F21" s="646" t="s">
        <v>2800</v>
      </c>
      <c r="G21" s="646" t="s">
        <v>2801</v>
      </c>
      <c r="H21" s="646" t="s">
        <v>2802</v>
      </c>
      <c r="I21" s="646" t="s">
        <v>2803</v>
      </c>
      <c r="J21" s="646" t="s">
        <v>2804</v>
      </c>
      <c r="K21" s="646" t="s">
        <v>2805</v>
      </c>
      <c r="L21" s="646" t="s">
        <v>2806</v>
      </c>
      <c r="M21" s="646" t="s">
        <v>2807</v>
      </c>
      <c r="N21" s="646" t="s">
        <v>2808</v>
      </c>
      <c r="O21" s="646" t="s">
        <v>2810</v>
      </c>
      <c r="P21" s="647" t="s">
        <v>2080</v>
      </c>
      <c r="R21" s="749" t="s">
        <v>2150</v>
      </c>
      <c r="S21">
        <v>7</v>
      </c>
      <c r="T21" s="718">
        <v>5</v>
      </c>
      <c r="U21" s="399">
        <v>2.3076923076923075</v>
      </c>
      <c r="AC21" s="645" t="s">
        <v>2091</v>
      </c>
      <c r="AD21">
        <v>1</v>
      </c>
      <c r="AE21">
        <v>0</v>
      </c>
      <c r="AF21">
        <v>11</v>
      </c>
      <c r="AH21" s="681"/>
      <c r="AY21">
        <v>1</v>
      </c>
      <c r="AZ21">
        <v>11</v>
      </c>
      <c r="BA21" t="s">
        <v>2082</v>
      </c>
    </row>
    <row r="22" spans="1:53">
      <c r="A22">
        <v>1</v>
      </c>
      <c r="B22" s="661" t="s">
        <v>2081</v>
      </c>
      <c r="C22" s="1491">
        <v>1</v>
      </c>
      <c r="D22">
        <v>3</v>
      </c>
      <c r="E22">
        <v>3</v>
      </c>
      <c r="F22">
        <v>6</v>
      </c>
      <c r="G22">
        <v>4</v>
      </c>
      <c r="H22">
        <v>3</v>
      </c>
      <c r="I22">
        <v>3</v>
      </c>
      <c r="J22">
        <v>3</v>
      </c>
      <c r="K22" s="13">
        <v>1</v>
      </c>
      <c r="L22" s="13">
        <v>1</v>
      </c>
      <c r="M22">
        <v>2</v>
      </c>
      <c r="N22" s="13">
        <v>1</v>
      </c>
      <c r="O22" s="699">
        <v>1</v>
      </c>
      <c r="P22" s="648">
        <f>AVERAGE(C22:O22)</f>
        <v>2.4615384615384617</v>
      </c>
      <c r="R22" s="750" t="s">
        <v>2215</v>
      </c>
      <c r="S22">
        <v>14</v>
      </c>
      <c r="T22" s="718">
        <v>5</v>
      </c>
      <c r="U22" s="399">
        <v>2.3333333333333335</v>
      </c>
      <c r="AE22">
        <v>0</v>
      </c>
      <c r="AY22">
        <v>1</v>
      </c>
      <c r="AZ22">
        <v>12</v>
      </c>
      <c r="BA22" t="s">
        <v>2081</v>
      </c>
    </row>
    <row r="23" spans="1:53" ht="21">
      <c r="A23">
        <v>1</v>
      </c>
      <c r="B23" s="645" t="s">
        <v>2082</v>
      </c>
      <c r="C23">
        <v>3</v>
      </c>
      <c r="D23">
        <v>4</v>
      </c>
      <c r="E23">
        <v>2</v>
      </c>
      <c r="F23">
        <v>4</v>
      </c>
      <c r="G23">
        <v>5</v>
      </c>
      <c r="H23" s="13">
        <v>1</v>
      </c>
      <c r="I23" s="676">
        <v>1</v>
      </c>
      <c r="J23">
        <v>2</v>
      </c>
      <c r="K23">
        <v>2</v>
      </c>
      <c r="L23">
        <v>2</v>
      </c>
      <c r="M23" s="13">
        <v>1</v>
      </c>
      <c r="N23">
        <v>2</v>
      </c>
      <c r="O23">
        <v>2</v>
      </c>
      <c r="P23" s="648">
        <f t="shared" ref="P23:P32" si="0">AVERAGE(C23:O23)</f>
        <v>2.3846153846153846</v>
      </c>
      <c r="R23" s="748" t="s">
        <v>2563</v>
      </c>
      <c r="S23">
        <v>38</v>
      </c>
      <c r="T23" s="718">
        <v>4</v>
      </c>
      <c r="U23" s="399">
        <v>2.3333333333333335</v>
      </c>
      <c r="AC23" s="1" t="s">
        <v>127</v>
      </c>
      <c r="AE23">
        <v>0</v>
      </c>
      <c r="AH23" s="743"/>
      <c r="AY23">
        <v>1</v>
      </c>
      <c r="AZ23" t="s">
        <v>2810</v>
      </c>
      <c r="BA23" t="s">
        <v>2081</v>
      </c>
    </row>
    <row r="24" spans="1:53" ht="18">
      <c r="A24">
        <v>1</v>
      </c>
      <c r="B24" s="645" t="s">
        <v>2083</v>
      </c>
      <c r="C24">
        <v>2</v>
      </c>
      <c r="D24">
        <v>2</v>
      </c>
      <c r="E24">
        <v>4</v>
      </c>
      <c r="F24" s="13">
        <v>1</v>
      </c>
      <c r="G24">
        <v>2</v>
      </c>
      <c r="H24">
        <v>2</v>
      </c>
      <c r="I24">
        <v>2</v>
      </c>
      <c r="J24">
        <v>4</v>
      </c>
      <c r="K24" s="34">
        <v>4</v>
      </c>
      <c r="L24" s="651">
        <v>4</v>
      </c>
      <c r="M24">
        <v>3</v>
      </c>
      <c r="N24" s="651">
        <v>3</v>
      </c>
      <c r="O24">
        <v>3</v>
      </c>
      <c r="P24" s="648">
        <f t="shared" si="0"/>
        <v>2.7692307692307692</v>
      </c>
      <c r="R24" s="747" t="s">
        <v>2402</v>
      </c>
      <c r="S24">
        <v>33</v>
      </c>
      <c r="T24" s="718">
        <v>3</v>
      </c>
      <c r="U24" s="399">
        <v>2.3636363636363638</v>
      </c>
      <c r="AC24" s="649" t="s">
        <v>1440</v>
      </c>
      <c r="AE24">
        <v>0</v>
      </c>
      <c r="AF24" t="s">
        <v>2080</v>
      </c>
      <c r="AH24" s="681"/>
      <c r="AY24">
        <v>2</v>
      </c>
      <c r="AZ24">
        <v>1</v>
      </c>
      <c r="BA24" t="s">
        <v>2093</v>
      </c>
    </row>
    <row r="25" spans="1:53">
      <c r="A25">
        <v>1</v>
      </c>
      <c r="B25" s="645" t="s">
        <v>2084</v>
      </c>
      <c r="C25">
        <v>9</v>
      </c>
      <c r="D25">
        <v>5</v>
      </c>
      <c r="E25" s="676">
        <v>1</v>
      </c>
      <c r="F25">
        <v>2</v>
      </c>
      <c r="G25" s="13">
        <v>1</v>
      </c>
      <c r="H25">
        <v>4</v>
      </c>
      <c r="I25">
        <v>4</v>
      </c>
      <c r="J25" s="13">
        <v>1</v>
      </c>
      <c r="K25">
        <v>3</v>
      </c>
      <c r="L25">
        <v>3</v>
      </c>
      <c r="M25" s="650">
        <v>4</v>
      </c>
      <c r="N25" s="12"/>
      <c r="O25" s="12"/>
      <c r="P25" s="648">
        <f t="shared" si="0"/>
        <v>3.3636363636363638</v>
      </c>
      <c r="R25" s="750" t="s">
        <v>2082</v>
      </c>
      <c r="S25">
        <v>1</v>
      </c>
      <c r="T25" s="718">
        <v>3</v>
      </c>
      <c r="U25" s="399">
        <v>2.3846153846153846</v>
      </c>
      <c r="AC25" s="661" t="s">
        <v>2092</v>
      </c>
      <c r="AD25">
        <v>2</v>
      </c>
      <c r="AE25">
        <v>3</v>
      </c>
      <c r="AF25">
        <v>3.3846153846153846</v>
      </c>
      <c r="AH25" s="681"/>
      <c r="AY25">
        <v>2</v>
      </c>
      <c r="AZ25">
        <v>2</v>
      </c>
      <c r="BA25" t="s">
        <v>2099</v>
      </c>
    </row>
    <row r="26" spans="1:53">
      <c r="A26">
        <v>1</v>
      </c>
      <c r="B26" s="645" t="s">
        <v>2085</v>
      </c>
      <c r="C26">
        <v>10</v>
      </c>
      <c r="D26">
        <v>8</v>
      </c>
      <c r="E26">
        <v>8</v>
      </c>
      <c r="F26">
        <v>3</v>
      </c>
      <c r="G26">
        <v>3</v>
      </c>
      <c r="H26">
        <v>5</v>
      </c>
      <c r="I26">
        <v>5</v>
      </c>
      <c r="J26" s="651">
        <v>5</v>
      </c>
      <c r="K26" s="650">
        <v>5</v>
      </c>
      <c r="L26" s="12"/>
      <c r="M26" s="12"/>
      <c r="N26" s="1490">
        <v>0</v>
      </c>
      <c r="O26" s="12"/>
      <c r="P26" s="648">
        <f t="shared" si="0"/>
        <v>5.2</v>
      </c>
      <c r="R26" s="747" t="s">
        <v>2294</v>
      </c>
      <c r="S26">
        <v>22</v>
      </c>
      <c r="T26" s="718">
        <v>5</v>
      </c>
      <c r="U26" s="399">
        <v>2.4166666666666665</v>
      </c>
      <c r="AC26" s="645" t="s">
        <v>2093</v>
      </c>
      <c r="AD26">
        <v>2</v>
      </c>
      <c r="AE26">
        <v>3</v>
      </c>
      <c r="AF26">
        <v>2.5384615384615383</v>
      </c>
      <c r="AH26" s="644"/>
      <c r="AY26">
        <v>2</v>
      </c>
      <c r="AZ26">
        <v>3</v>
      </c>
      <c r="BA26" t="s">
        <v>2095</v>
      </c>
    </row>
    <row r="27" spans="1:53">
      <c r="A27">
        <v>1</v>
      </c>
      <c r="B27" s="645" t="s">
        <v>2086</v>
      </c>
      <c r="C27">
        <v>4</v>
      </c>
      <c r="D27">
        <v>9</v>
      </c>
      <c r="E27">
        <v>7</v>
      </c>
      <c r="F27">
        <v>7</v>
      </c>
      <c r="G27">
        <v>6</v>
      </c>
      <c r="H27" s="651">
        <v>6</v>
      </c>
      <c r="I27" s="650">
        <v>6</v>
      </c>
      <c r="J27" s="12"/>
      <c r="K27" s="12"/>
      <c r="L27" s="1490">
        <v>0</v>
      </c>
      <c r="M27" s="12"/>
      <c r="N27" s="12"/>
      <c r="O27" s="12"/>
      <c r="P27" s="648">
        <f t="shared" si="0"/>
        <v>5.625</v>
      </c>
      <c r="R27" s="747" t="s">
        <v>2352</v>
      </c>
      <c r="S27">
        <v>28</v>
      </c>
      <c r="T27" s="718">
        <v>5</v>
      </c>
      <c r="U27" s="399">
        <v>2.4166666666666665</v>
      </c>
      <c r="AC27" s="645" t="s">
        <v>2094</v>
      </c>
      <c r="AD27">
        <v>2</v>
      </c>
      <c r="AE27">
        <v>2</v>
      </c>
      <c r="AF27">
        <v>3.6923076923076925</v>
      </c>
      <c r="AH27" s="713"/>
      <c r="AY27">
        <v>2</v>
      </c>
      <c r="AZ27">
        <v>4</v>
      </c>
      <c r="BA27" t="s">
        <v>2095</v>
      </c>
    </row>
    <row r="28" spans="1:53">
      <c r="A28">
        <v>1</v>
      </c>
      <c r="B28" s="645" t="s">
        <v>2087</v>
      </c>
      <c r="C28">
        <v>8</v>
      </c>
      <c r="D28">
        <v>7</v>
      </c>
      <c r="E28">
        <v>6</v>
      </c>
      <c r="F28">
        <v>5</v>
      </c>
      <c r="G28" s="650">
        <v>7</v>
      </c>
      <c r="H28" s="12"/>
      <c r="I28" s="12"/>
      <c r="J28" s="1490">
        <v>0</v>
      </c>
      <c r="K28" s="12"/>
      <c r="L28" s="12"/>
      <c r="M28" s="12"/>
      <c r="N28" s="12"/>
      <c r="O28" s="12"/>
      <c r="P28" s="648">
        <f t="shared" si="0"/>
        <v>5.5</v>
      </c>
      <c r="R28" s="749" t="s">
        <v>2128</v>
      </c>
      <c r="S28">
        <v>31</v>
      </c>
      <c r="T28" s="718">
        <v>3</v>
      </c>
      <c r="U28" s="399">
        <v>2.4166666666666665</v>
      </c>
      <c r="AC28" s="645" t="s">
        <v>2095</v>
      </c>
      <c r="AD28">
        <v>2</v>
      </c>
      <c r="AE28">
        <v>3</v>
      </c>
      <c r="AF28">
        <v>4</v>
      </c>
      <c r="AH28" s="681"/>
      <c r="AY28">
        <v>2</v>
      </c>
      <c r="AZ28">
        <v>5</v>
      </c>
      <c r="BA28" t="s">
        <v>2092</v>
      </c>
    </row>
    <row r="29" spans="1:53">
      <c r="A29">
        <v>1</v>
      </c>
      <c r="B29" s="645" t="s">
        <v>2088</v>
      </c>
      <c r="C29">
        <v>7</v>
      </c>
      <c r="D29">
        <v>6</v>
      </c>
      <c r="E29">
        <v>5</v>
      </c>
      <c r="F29" s="650">
        <v>8</v>
      </c>
      <c r="G29" s="12"/>
      <c r="H29" s="12"/>
      <c r="I29" s="1490">
        <v>0</v>
      </c>
      <c r="J29" s="12"/>
      <c r="K29" s="12"/>
      <c r="L29" s="12"/>
      <c r="M29" s="12"/>
      <c r="N29" s="12"/>
      <c r="O29" s="12"/>
      <c r="P29" s="648">
        <f t="shared" si="0"/>
        <v>5.2</v>
      </c>
      <c r="R29" s="749" t="s">
        <v>2450</v>
      </c>
      <c r="S29">
        <v>37</v>
      </c>
      <c r="T29" s="718">
        <v>5</v>
      </c>
      <c r="U29" s="399">
        <v>2.4166666666666665</v>
      </c>
      <c r="AC29" s="645" t="s">
        <v>2096</v>
      </c>
      <c r="AD29">
        <v>2</v>
      </c>
      <c r="AE29">
        <v>1</v>
      </c>
      <c r="AF29">
        <v>3.8888888888888888</v>
      </c>
      <c r="AH29" s="713"/>
      <c r="AY29">
        <v>2</v>
      </c>
      <c r="AZ29">
        <v>6</v>
      </c>
      <c r="BA29" t="s">
        <v>2097</v>
      </c>
    </row>
    <row r="30" spans="1:53">
      <c r="A30">
        <v>1</v>
      </c>
      <c r="B30" s="645" t="s">
        <v>2089</v>
      </c>
      <c r="C30">
        <v>5</v>
      </c>
      <c r="D30" s="676">
        <v>1</v>
      </c>
      <c r="E30" s="650">
        <v>9</v>
      </c>
      <c r="F30" s="12"/>
      <c r="G30" s="12"/>
      <c r="H30" s="1492">
        <v>0</v>
      </c>
      <c r="I30" s="12"/>
      <c r="J30" s="12"/>
      <c r="K30" s="12"/>
      <c r="L30" s="12"/>
      <c r="M30" s="12"/>
      <c r="N30" s="12"/>
      <c r="O30" s="12"/>
      <c r="P30" s="648">
        <f t="shared" si="0"/>
        <v>3.75</v>
      </c>
      <c r="R30" s="748" t="s">
        <v>2204</v>
      </c>
      <c r="S30">
        <v>13</v>
      </c>
      <c r="T30" s="718">
        <v>7</v>
      </c>
      <c r="U30" s="399">
        <v>2.4545454545454546</v>
      </c>
      <c r="AC30" s="645" t="s">
        <v>2097</v>
      </c>
      <c r="AD30">
        <v>2</v>
      </c>
      <c r="AE30">
        <v>1</v>
      </c>
      <c r="AF30">
        <v>4.1428571428571432</v>
      </c>
      <c r="AH30" s="713"/>
      <c r="AY30">
        <v>2</v>
      </c>
      <c r="AZ30">
        <v>7</v>
      </c>
      <c r="BA30" t="s">
        <v>2096</v>
      </c>
    </row>
    <row r="31" spans="1:53">
      <c r="A31">
        <v>1</v>
      </c>
      <c r="B31" s="645" t="s">
        <v>2090</v>
      </c>
      <c r="C31">
        <v>6</v>
      </c>
      <c r="D31" s="650">
        <v>10</v>
      </c>
      <c r="E31" s="12"/>
      <c r="F31" s="12"/>
      <c r="G31" s="1492"/>
      <c r="H31" s="12"/>
      <c r="I31" s="12"/>
      <c r="J31" s="12"/>
      <c r="K31" s="12"/>
      <c r="L31" s="12"/>
      <c r="M31" s="12"/>
      <c r="N31" s="12"/>
      <c r="O31" s="12"/>
      <c r="P31" s="648">
        <f t="shared" si="0"/>
        <v>8</v>
      </c>
      <c r="R31" s="749" t="s">
        <v>2081</v>
      </c>
      <c r="S31">
        <v>1</v>
      </c>
      <c r="T31" s="718">
        <v>5</v>
      </c>
      <c r="U31" s="399">
        <v>2.4615384615384617</v>
      </c>
      <c r="AC31" s="645" t="s">
        <v>2098</v>
      </c>
      <c r="AD31">
        <v>2</v>
      </c>
      <c r="AE31">
        <v>0</v>
      </c>
      <c r="AF31">
        <v>5.8</v>
      </c>
      <c r="AH31" s="743"/>
      <c r="AY31">
        <v>2</v>
      </c>
      <c r="AZ31">
        <v>8</v>
      </c>
      <c r="BA31" t="s">
        <v>2095</v>
      </c>
    </row>
    <row r="32" spans="1:53">
      <c r="A32">
        <v>1</v>
      </c>
      <c r="B32" s="645" t="s">
        <v>2091</v>
      </c>
      <c r="C32" s="650">
        <v>11</v>
      </c>
      <c r="D32" s="12"/>
      <c r="E32" s="12"/>
      <c r="F32" s="12"/>
      <c r="G32" s="12"/>
      <c r="H32" s="12"/>
      <c r="I32" s="12"/>
      <c r="J32" s="12"/>
      <c r="K32" s="12"/>
      <c r="L32" s="12"/>
      <c r="M32" s="12"/>
      <c r="N32" s="12"/>
      <c r="O32" s="12"/>
      <c r="P32" s="648">
        <f t="shared" si="0"/>
        <v>11</v>
      </c>
      <c r="R32" s="749" t="s">
        <v>2128</v>
      </c>
      <c r="S32">
        <v>5</v>
      </c>
      <c r="T32" s="718">
        <v>6</v>
      </c>
      <c r="U32" s="399">
        <v>2.4615384615384617</v>
      </c>
      <c r="AC32" s="645" t="s">
        <v>2099</v>
      </c>
      <c r="AD32">
        <v>2</v>
      </c>
      <c r="AE32">
        <v>1</v>
      </c>
      <c r="AF32">
        <v>4.25</v>
      </c>
      <c r="AH32" s="743"/>
      <c r="AY32">
        <v>2</v>
      </c>
      <c r="AZ32">
        <v>9</v>
      </c>
      <c r="BA32" t="s">
        <v>2092</v>
      </c>
    </row>
    <row r="33" spans="1:54">
      <c r="B33" t="s">
        <v>2877</v>
      </c>
      <c r="R33" s="748" t="s">
        <v>2169</v>
      </c>
      <c r="S33">
        <v>9</v>
      </c>
      <c r="T33" s="718">
        <v>5</v>
      </c>
      <c r="U33" s="399">
        <v>2.4615384615384617</v>
      </c>
      <c r="AC33" s="645" t="s">
        <v>2100</v>
      </c>
      <c r="AD33">
        <v>2</v>
      </c>
      <c r="AE33">
        <v>0</v>
      </c>
      <c r="AF33">
        <v>9</v>
      </c>
      <c r="AH33" s="644"/>
      <c r="AY33">
        <v>2</v>
      </c>
      <c r="AZ33">
        <v>10</v>
      </c>
      <c r="BA33" t="s">
        <v>2094</v>
      </c>
    </row>
    <row r="34" spans="1:54" ht="21">
      <c r="B34" s="1" t="s">
        <v>127</v>
      </c>
      <c r="R34" s="750" t="s">
        <v>2180</v>
      </c>
      <c r="S34">
        <v>10</v>
      </c>
      <c r="T34" s="718">
        <v>4</v>
      </c>
      <c r="U34" s="399">
        <v>2.5</v>
      </c>
      <c r="AC34" s="645" t="s">
        <v>2101</v>
      </c>
      <c r="AD34">
        <v>2</v>
      </c>
      <c r="AE34">
        <v>0</v>
      </c>
      <c r="AF34">
        <v>7</v>
      </c>
      <c r="AH34" s="743"/>
      <c r="AY34">
        <v>2</v>
      </c>
      <c r="AZ34">
        <v>11</v>
      </c>
      <c r="BA34" t="s">
        <v>2093</v>
      </c>
    </row>
    <row r="35" spans="1:54" ht="21" customHeight="1">
      <c r="B35" s="649" t="s">
        <v>1440</v>
      </c>
      <c r="C35" s="646" t="s">
        <v>2795</v>
      </c>
      <c r="D35" s="646" t="s">
        <v>2798</v>
      </c>
      <c r="E35" s="646" t="s">
        <v>2799</v>
      </c>
      <c r="F35" s="646" t="s">
        <v>2800</v>
      </c>
      <c r="G35" s="646" t="s">
        <v>2801</v>
      </c>
      <c r="H35" s="646" t="s">
        <v>2802</v>
      </c>
      <c r="I35" s="646" t="s">
        <v>2803</v>
      </c>
      <c r="J35" s="646" t="s">
        <v>2804</v>
      </c>
      <c r="K35" s="646" t="s">
        <v>2805</v>
      </c>
      <c r="L35" s="646" t="s">
        <v>2806</v>
      </c>
      <c r="M35" s="646" t="s">
        <v>2807</v>
      </c>
      <c r="N35" s="646" t="s">
        <v>2808</v>
      </c>
      <c r="O35" s="646" t="s">
        <v>2810</v>
      </c>
      <c r="P35" s="647" t="s">
        <v>2080</v>
      </c>
      <c r="R35" s="1489" t="s">
        <v>2093</v>
      </c>
      <c r="S35">
        <v>2</v>
      </c>
      <c r="T35" s="718">
        <v>3</v>
      </c>
      <c r="U35" s="399">
        <v>2.5384615384615383</v>
      </c>
      <c r="AC35" s="644" t="s">
        <v>2102</v>
      </c>
      <c r="AD35">
        <v>2</v>
      </c>
      <c r="AE35">
        <v>0</v>
      </c>
      <c r="AF35">
        <v>11</v>
      </c>
      <c r="AH35" s="743"/>
      <c r="AY35">
        <v>2</v>
      </c>
      <c r="AZ35">
        <v>12</v>
      </c>
      <c r="BA35" t="s">
        <v>2093</v>
      </c>
      <c r="BB35" t="s">
        <v>2094</v>
      </c>
    </row>
    <row r="36" spans="1:54">
      <c r="A36">
        <v>2</v>
      </c>
      <c r="B36" s="661" t="s">
        <v>2092</v>
      </c>
      <c r="C36" s="37">
        <v>6</v>
      </c>
      <c r="D36">
        <v>2</v>
      </c>
      <c r="E36">
        <v>7</v>
      </c>
      <c r="F36">
        <v>7</v>
      </c>
      <c r="G36" s="13">
        <v>1</v>
      </c>
      <c r="H36" s="651">
        <v>6</v>
      </c>
      <c r="I36">
        <v>2</v>
      </c>
      <c r="J36">
        <v>2</v>
      </c>
      <c r="K36" s="676">
        <v>1</v>
      </c>
      <c r="L36">
        <v>3</v>
      </c>
      <c r="M36">
        <v>3</v>
      </c>
      <c r="N36" s="651">
        <v>4</v>
      </c>
      <c r="O36" s="699">
        <v>1</v>
      </c>
      <c r="P36" s="648">
        <f>AVERAGE(C36:O36)</f>
        <v>3.4615384615384617</v>
      </c>
      <c r="R36" s="748" t="s">
        <v>2364</v>
      </c>
      <c r="S36">
        <v>29</v>
      </c>
      <c r="T36" s="718">
        <v>2</v>
      </c>
      <c r="U36" s="399">
        <v>2.5454545454545454</v>
      </c>
      <c r="AE36">
        <v>0</v>
      </c>
      <c r="AH36" s="644"/>
      <c r="AY36">
        <v>2</v>
      </c>
      <c r="AZ36" t="s">
        <v>2810</v>
      </c>
      <c r="BA36" t="s">
        <v>2092</v>
      </c>
    </row>
    <row r="37" spans="1:54" ht="21">
      <c r="A37">
        <v>2</v>
      </c>
      <c r="B37" s="645" t="s">
        <v>2093</v>
      </c>
      <c r="C37" s="13">
        <v>1</v>
      </c>
      <c r="D37">
        <v>3</v>
      </c>
      <c r="E37">
        <v>2</v>
      </c>
      <c r="F37">
        <v>3</v>
      </c>
      <c r="G37">
        <v>3</v>
      </c>
      <c r="H37">
        <v>5</v>
      </c>
      <c r="I37">
        <v>3</v>
      </c>
      <c r="J37">
        <v>4</v>
      </c>
      <c r="K37">
        <v>3</v>
      </c>
      <c r="L37">
        <v>2</v>
      </c>
      <c r="M37" s="676">
        <v>1</v>
      </c>
      <c r="N37" s="13">
        <v>1</v>
      </c>
      <c r="O37">
        <v>2</v>
      </c>
      <c r="P37" s="648">
        <f t="shared" ref="P37:P46" si="1">AVERAGE(C37:O37)</f>
        <v>2.5384615384615383</v>
      </c>
      <c r="R37" s="750" t="s">
        <v>2389</v>
      </c>
      <c r="S37">
        <v>32</v>
      </c>
      <c r="T37" s="718">
        <v>4</v>
      </c>
      <c r="U37" s="399">
        <v>2.5454545454545454</v>
      </c>
      <c r="AC37" s="1" t="s">
        <v>128</v>
      </c>
      <c r="AE37">
        <v>0</v>
      </c>
      <c r="AH37" s="681"/>
      <c r="AY37">
        <v>3</v>
      </c>
      <c r="AZ37">
        <v>1</v>
      </c>
      <c r="BA37" t="s">
        <v>2105</v>
      </c>
    </row>
    <row r="38" spans="1:54" ht="18">
      <c r="A38">
        <v>2</v>
      </c>
      <c r="B38" s="645" t="s">
        <v>2094</v>
      </c>
      <c r="C38">
        <v>4</v>
      </c>
      <c r="D38">
        <v>9</v>
      </c>
      <c r="E38">
        <v>5</v>
      </c>
      <c r="F38">
        <v>4</v>
      </c>
      <c r="G38">
        <v>4</v>
      </c>
      <c r="H38">
        <v>3</v>
      </c>
      <c r="I38">
        <v>5</v>
      </c>
      <c r="J38" s="651">
        <v>5</v>
      </c>
      <c r="K38">
        <v>2</v>
      </c>
      <c r="L38" s="676">
        <v>1</v>
      </c>
      <c r="M38">
        <v>2</v>
      </c>
      <c r="N38" s="13">
        <v>1</v>
      </c>
      <c r="O38">
        <v>3</v>
      </c>
      <c r="P38" s="648">
        <f t="shared" si="1"/>
        <v>3.6923076923076925</v>
      </c>
      <c r="R38" s="750" t="s">
        <v>2239</v>
      </c>
      <c r="S38">
        <v>16</v>
      </c>
      <c r="T38" s="718">
        <v>4</v>
      </c>
      <c r="U38" s="399">
        <v>2.5833333333333335</v>
      </c>
      <c r="AC38" s="649" t="s">
        <v>1440</v>
      </c>
      <c r="AE38">
        <v>0</v>
      </c>
      <c r="AF38" t="s">
        <v>2080</v>
      </c>
      <c r="AH38" s="713"/>
      <c r="AY38">
        <v>3</v>
      </c>
      <c r="AZ38">
        <v>2</v>
      </c>
      <c r="BA38" t="s">
        <v>2106</v>
      </c>
    </row>
    <row r="39" spans="1:54">
      <c r="A39">
        <v>2</v>
      </c>
      <c r="B39" s="645" t="s">
        <v>2095</v>
      </c>
      <c r="C39">
        <v>8</v>
      </c>
      <c r="D39">
        <v>7</v>
      </c>
      <c r="E39" s="13">
        <v>1</v>
      </c>
      <c r="F39" s="676">
        <v>1</v>
      </c>
      <c r="G39">
        <v>6</v>
      </c>
      <c r="H39">
        <v>4</v>
      </c>
      <c r="I39">
        <v>4</v>
      </c>
      <c r="J39" s="13">
        <v>1</v>
      </c>
      <c r="K39">
        <v>4</v>
      </c>
      <c r="L39" s="651">
        <v>4</v>
      </c>
      <c r="M39" s="650">
        <v>4</v>
      </c>
      <c r="N39" s="1490">
        <v>0</v>
      </c>
      <c r="O39" s="12"/>
      <c r="P39" s="648">
        <f t="shared" si="1"/>
        <v>3.6666666666666665</v>
      </c>
      <c r="R39" s="750" t="s">
        <v>2307</v>
      </c>
      <c r="S39">
        <v>23</v>
      </c>
      <c r="T39" s="718">
        <v>3</v>
      </c>
      <c r="U39" s="399">
        <v>2.5833333333333335</v>
      </c>
      <c r="AC39" s="661" t="s">
        <v>2103</v>
      </c>
      <c r="AD39">
        <v>3</v>
      </c>
      <c r="AE39">
        <v>2</v>
      </c>
      <c r="AF39">
        <v>2.6923076923076925</v>
      </c>
      <c r="AH39" s="644"/>
      <c r="AY39">
        <v>3</v>
      </c>
      <c r="AZ39">
        <v>3</v>
      </c>
      <c r="BA39" t="s">
        <v>2106</v>
      </c>
    </row>
    <row r="40" spans="1:54">
      <c r="A40">
        <v>2</v>
      </c>
      <c r="B40" s="645" t="s">
        <v>2096</v>
      </c>
      <c r="C40">
        <v>9</v>
      </c>
      <c r="D40">
        <v>5</v>
      </c>
      <c r="E40">
        <v>3</v>
      </c>
      <c r="F40">
        <v>2</v>
      </c>
      <c r="G40">
        <v>5</v>
      </c>
      <c r="H40">
        <v>2</v>
      </c>
      <c r="I40" s="676">
        <v>1</v>
      </c>
      <c r="J40">
        <v>3</v>
      </c>
      <c r="K40" s="650">
        <v>5</v>
      </c>
      <c r="L40" s="1490">
        <v>0</v>
      </c>
      <c r="M40" s="12"/>
      <c r="N40" s="1490">
        <v>0</v>
      </c>
      <c r="O40" s="12"/>
      <c r="P40" s="648">
        <f t="shared" si="1"/>
        <v>3.1818181818181817</v>
      </c>
      <c r="R40" s="750" t="s">
        <v>2318</v>
      </c>
      <c r="S40">
        <v>25</v>
      </c>
      <c r="T40" s="718">
        <v>5</v>
      </c>
      <c r="U40" s="399">
        <v>2.5833333333333335</v>
      </c>
      <c r="AC40" s="645" t="s">
        <v>2104</v>
      </c>
      <c r="AD40">
        <v>3</v>
      </c>
      <c r="AE40">
        <v>3</v>
      </c>
      <c r="AF40">
        <v>4.5384615384615383</v>
      </c>
      <c r="AH40" s="681"/>
      <c r="AY40">
        <v>3</v>
      </c>
      <c r="AZ40">
        <v>4</v>
      </c>
      <c r="BA40" t="s">
        <v>2105</v>
      </c>
    </row>
    <row r="41" spans="1:54">
      <c r="A41">
        <v>2</v>
      </c>
      <c r="B41" s="645" t="s">
        <v>2097</v>
      </c>
      <c r="C41">
        <v>7</v>
      </c>
      <c r="D41">
        <v>4</v>
      </c>
      <c r="E41">
        <v>4</v>
      </c>
      <c r="F41">
        <v>5</v>
      </c>
      <c r="G41">
        <v>2</v>
      </c>
      <c r="H41" s="13">
        <v>1</v>
      </c>
      <c r="I41" s="650">
        <v>6</v>
      </c>
      <c r="J41" s="1490">
        <v>0</v>
      </c>
      <c r="K41" s="12"/>
      <c r="L41" s="1490">
        <v>0</v>
      </c>
      <c r="M41" s="12"/>
      <c r="N41" s="12"/>
      <c r="O41" s="12"/>
      <c r="P41" s="648">
        <f t="shared" si="1"/>
        <v>3.2222222222222223</v>
      </c>
      <c r="R41" s="748" t="s">
        <v>2374</v>
      </c>
      <c r="S41">
        <v>30</v>
      </c>
      <c r="T41" s="718">
        <v>2</v>
      </c>
      <c r="U41" s="399">
        <v>2.5833333333333335</v>
      </c>
      <c r="AC41" s="645" t="s">
        <v>2105</v>
      </c>
      <c r="AD41">
        <v>3</v>
      </c>
      <c r="AE41">
        <v>3</v>
      </c>
      <c r="AF41">
        <v>2.6923076923076925</v>
      </c>
      <c r="AH41" s="681"/>
      <c r="AY41">
        <v>3</v>
      </c>
      <c r="AZ41">
        <v>5</v>
      </c>
      <c r="BA41" t="s">
        <v>2105</v>
      </c>
    </row>
    <row r="42" spans="1:54">
      <c r="A42">
        <v>2</v>
      </c>
      <c r="B42" s="645" t="s">
        <v>2098</v>
      </c>
      <c r="C42">
        <v>2</v>
      </c>
      <c r="D42">
        <v>6</v>
      </c>
      <c r="E42">
        <v>8</v>
      </c>
      <c r="F42">
        <v>6</v>
      </c>
      <c r="G42" s="650">
        <v>7</v>
      </c>
      <c r="H42" s="12"/>
      <c r="I42" s="1490">
        <v>0</v>
      </c>
      <c r="J42" s="1490">
        <v>0</v>
      </c>
      <c r="K42" s="12"/>
      <c r="L42" s="12"/>
      <c r="M42" s="12"/>
      <c r="N42" s="12"/>
      <c r="O42" s="12"/>
      <c r="P42" s="648">
        <f t="shared" si="1"/>
        <v>4.1428571428571432</v>
      </c>
      <c r="R42" s="748" t="s">
        <v>2354</v>
      </c>
      <c r="S42">
        <v>28</v>
      </c>
      <c r="T42" s="718">
        <v>4</v>
      </c>
      <c r="U42" s="399">
        <v>2.6</v>
      </c>
      <c r="AC42" s="645" t="s">
        <v>2106</v>
      </c>
      <c r="AD42">
        <v>3</v>
      </c>
      <c r="AE42">
        <v>4</v>
      </c>
      <c r="AF42">
        <v>3.0909090909090908</v>
      </c>
      <c r="AH42" s="681"/>
      <c r="AY42">
        <v>3</v>
      </c>
      <c r="AZ42">
        <v>6</v>
      </c>
      <c r="BA42" t="s">
        <v>2104</v>
      </c>
    </row>
    <row r="43" spans="1:54">
      <c r="A43">
        <v>2</v>
      </c>
      <c r="B43" s="645" t="s">
        <v>2099</v>
      </c>
      <c r="C43">
        <v>3</v>
      </c>
      <c r="D43" s="676">
        <v>1</v>
      </c>
      <c r="E43">
        <v>5</v>
      </c>
      <c r="F43" s="650">
        <v>8</v>
      </c>
      <c r="G43" s="12"/>
      <c r="H43" s="1492">
        <v>0</v>
      </c>
      <c r="I43" s="12"/>
      <c r="J43" s="12"/>
      <c r="K43" s="12"/>
      <c r="L43" s="12"/>
      <c r="M43" s="12"/>
      <c r="N43" s="12"/>
      <c r="O43" s="12"/>
      <c r="P43" s="648">
        <f t="shared" si="1"/>
        <v>3.4</v>
      </c>
      <c r="R43" s="748" t="s">
        <v>2205</v>
      </c>
      <c r="S43">
        <v>13</v>
      </c>
      <c r="T43" s="718">
        <v>3</v>
      </c>
      <c r="U43" s="399">
        <v>2.6363636363636362</v>
      </c>
      <c r="AC43" s="645" t="s">
        <v>2107</v>
      </c>
      <c r="AD43">
        <v>3</v>
      </c>
      <c r="AE43">
        <v>1</v>
      </c>
      <c r="AF43">
        <v>4.8</v>
      </c>
      <c r="AH43" s="681"/>
      <c r="AY43">
        <v>3</v>
      </c>
      <c r="AZ43">
        <v>7</v>
      </c>
      <c r="BA43" t="s">
        <v>2103</v>
      </c>
    </row>
    <row r="44" spans="1:54">
      <c r="A44">
        <v>2</v>
      </c>
      <c r="B44" s="645" t="s">
        <v>2100</v>
      </c>
      <c r="C44">
        <v>10</v>
      </c>
      <c r="D44">
        <v>8</v>
      </c>
      <c r="E44" s="650">
        <v>9</v>
      </c>
      <c r="F44" s="12"/>
      <c r="G44" s="1492">
        <v>0</v>
      </c>
      <c r="H44" s="12"/>
      <c r="I44" s="12"/>
      <c r="J44" s="12"/>
      <c r="K44" s="12"/>
      <c r="L44" s="12"/>
      <c r="M44" s="12"/>
      <c r="N44" s="12"/>
      <c r="O44" s="12"/>
      <c r="P44" s="648">
        <f t="shared" si="1"/>
        <v>6.75</v>
      </c>
      <c r="R44" s="749" t="s">
        <v>2264</v>
      </c>
      <c r="S44">
        <v>19</v>
      </c>
      <c r="T44" s="718">
        <v>6</v>
      </c>
      <c r="U44" s="399">
        <v>2.6363636363636362</v>
      </c>
      <c r="AC44" s="645" t="s">
        <v>2108</v>
      </c>
      <c r="AD44">
        <v>3</v>
      </c>
      <c r="AE44">
        <v>0</v>
      </c>
      <c r="AF44">
        <v>5.8571428571428568</v>
      </c>
      <c r="AH44" s="644"/>
      <c r="AY44">
        <v>3</v>
      </c>
      <c r="AZ44">
        <v>8</v>
      </c>
      <c r="BA44" t="s">
        <v>2106</v>
      </c>
    </row>
    <row r="45" spans="1:54">
      <c r="A45">
        <v>2</v>
      </c>
      <c r="B45" s="645" t="s">
        <v>2101</v>
      </c>
      <c r="C45">
        <v>4</v>
      </c>
      <c r="D45" s="650">
        <v>10</v>
      </c>
      <c r="E45" s="12"/>
      <c r="F45" s="12"/>
      <c r="G45" s="12"/>
      <c r="H45" s="12"/>
      <c r="I45" s="12"/>
      <c r="J45" s="12"/>
      <c r="K45" s="12"/>
      <c r="L45" s="12"/>
      <c r="M45" s="12"/>
      <c r="N45" s="12"/>
      <c r="O45" s="12"/>
      <c r="P45" s="648">
        <f t="shared" si="1"/>
        <v>7</v>
      </c>
      <c r="R45" s="748" t="s">
        <v>2095</v>
      </c>
      <c r="S45">
        <v>11</v>
      </c>
      <c r="T45" s="718">
        <v>3</v>
      </c>
      <c r="U45" s="399">
        <v>2.6666666666666665</v>
      </c>
      <c r="AC45" s="645" t="s">
        <v>2109</v>
      </c>
      <c r="AD45">
        <v>3</v>
      </c>
      <c r="AE45">
        <v>0</v>
      </c>
      <c r="AF45">
        <v>5.166666666666667</v>
      </c>
      <c r="AH45" s="644"/>
      <c r="AY45">
        <v>3</v>
      </c>
      <c r="AZ45">
        <v>9</v>
      </c>
      <c r="BA45" t="s">
        <v>2107</v>
      </c>
    </row>
    <row r="46" spans="1:54">
      <c r="A46">
        <v>2</v>
      </c>
      <c r="B46" s="644" t="s">
        <v>2102</v>
      </c>
      <c r="C46" s="652">
        <v>11</v>
      </c>
      <c r="D46" s="12"/>
      <c r="E46" s="12"/>
      <c r="F46" s="12"/>
      <c r="G46" s="12"/>
      <c r="H46" s="12"/>
      <c r="I46" s="12"/>
      <c r="J46" s="12"/>
      <c r="K46" s="12"/>
      <c r="L46" s="12"/>
      <c r="M46" s="12"/>
      <c r="N46" s="12"/>
      <c r="O46" s="12"/>
      <c r="P46" s="648">
        <f t="shared" si="1"/>
        <v>11</v>
      </c>
      <c r="R46" s="747" t="s">
        <v>2103</v>
      </c>
      <c r="S46">
        <v>3</v>
      </c>
      <c r="T46" s="718">
        <v>2</v>
      </c>
      <c r="U46" s="399">
        <v>2.6923076923076925</v>
      </c>
      <c r="AC46" s="645" t="s">
        <v>2110</v>
      </c>
      <c r="AD46">
        <v>3</v>
      </c>
      <c r="AE46">
        <v>0</v>
      </c>
      <c r="AF46">
        <v>5.8</v>
      </c>
      <c r="AH46" s="644"/>
      <c r="AY46">
        <v>3</v>
      </c>
      <c r="AZ46">
        <v>10</v>
      </c>
      <c r="BA46" t="s">
        <v>2106</v>
      </c>
    </row>
    <row r="47" spans="1:54">
      <c r="R47" s="750" t="s">
        <v>2105</v>
      </c>
      <c r="S47">
        <v>3</v>
      </c>
      <c r="T47" s="718">
        <v>3</v>
      </c>
      <c r="U47" s="399">
        <v>2.6923076923076925</v>
      </c>
      <c r="AC47" s="645" t="s">
        <v>2111</v>
      </c>
      <c r="AD47">
        <v>3</v>
      </c>
      <c r="AE47">
        <v>0</v>
      </c>
      <c r="AF47">
        <v>5.75</v>
      </c>
      <c r="AH47" s="743"/>
      <c r="AY47">
        <v>3</v>
      </c>
      <c r="AZ47">
        <v>11</v>
      </c>
      <c r="BA47" t="s">
        <v>2104</v>
      </c>
    </row>
    <row r="48" spans="1:54" ht="21">
      <c r="B48" s="1" t="s">
        <v>128</v>
      </c>
      <c r="C48" s="12"/>
      <c r="D48" s="12"/>
      <c r="E48" s="12"/>
      <c r="F48" s="12"/>
      <c r="G48" s="12"/>
      <c r="H48" s="12"/>
      <c r="I48" s="12"/>
      <c r="J48" s="12"/>
      <c r="K48" s="12"/>
      <c r="L48" s="12"/>
      <c r="M48" s="12">
        <v>4</v>
      </c>
      <c r="N48" s="12"/>
      <c r="O48" s="12"/>
      <c r="P48" s="648"/>
      <c r="R48" s="750" t="s">
        <v>2412</v>
      </c>
      <c r="S48">
        <v>34</v>
      </c>
      <c r="T48" s="718">
        <v>4</v>
      </c>
      <c r="U48" s="399">
        <v>2.7</v>
      </c>
      <c r="AC48" s="644" t="s">
        <v>2112</v>
      </c>
      <c r="AD48">
        <v>3</v>
      </c>
      <c r="AE48">
        <v>0</v>
      </c>
      <c r="AF48">
        <v>9</v>
      </c>
      <c r="AH48" s="644"/>
      <c r="AY48">
        <v>3</v>
      </c>
      <c r="AZ48">
        <v>12</v>
      </c>
      <c r="BA48" t="s">
        <v>2104</v>
      </c>
    </row>
    <row r="49" spans="1:55" ht="18">
      <c r="B49" s="649" t="s">
        <v>1440</v>
      </c>
      <c r="C49" s="646" t="s">
        <v>2795</v>
      </c>
      <c r="D49" s="646" t="s">
        <v>2798</v>
      </c>
      <c r="E49" s="646" t="s">
        <v>2799</v>
      </c>
      <c r="F49" s="646" t="s">
        <v>2800</v>
      </c>
      <c r="G49" s="646" t="s">
        <v>2801</v>
      </c>
      <c r="H49" s="646" t="s">
        <v>2802</v>
      </c>
      <c r="I49" s="646" t="s">
        <v>2803</v>
      </c>
      <c r="J49" s="646" t="s">
        <v>2804</v>
      </c>
      <c r="K49" s="646" t="s">
        <v>2805</v>
      </c>
      <c r="L49" s="646" t="s">
        <v>2806</v>
      </c>
      <c r="M49" s="646" t="s">
        <v>2807</v>
      </c>
      <c r="N49" s="646" t="s">
        <v>2808</v>
      </c>
      <c r="O49" s="646" t="s">
        <v>2810</v>
      </c>
      <c r="P49" s="647" t="s">
        <v>2080</v>
      </c>
      <c r="R49" s="748" t="s">
        <v>2390</v>
      </c>
      <c r="S49">
        <v>32</v>
      </c>
      <c r="T49" s="718">
        <v>2</v>
      </c>
      <c r="U49" s="399">
        <v>2.7272727272727271</v>
      </c>
      <c r="AC49" s="644" t="s">
        <v>2113</v>
      </c>
      <c r="AD49">
        <v>3</v>
      </c>
      <c r="AE49">
        <v>0</v>
      </c>
      <c r="AF49">
        <v>10.5</v>
      </c>
      <c r="AH49" s="713"/>
      <c r="AY49">
        <v>3</v>
      </c>
      <c r="AZ49" t="s">
        <v>2810</v>
      </c>
      <c r="BA49" t="s">
        <v>2103</v>
      </c>
    </row>
    <row r="50" spans="1:55" ht="21" customHeight="1">
      <c r="A50">
        <v>3</v>
      </c>
      <c r="B50" s="661" t="s">
        <v>2103</v>
      </c>
      <c r="C50">
        <v>2</v>
      </c>
      <c r="D50">
        <v>5</v>
      </c>
      <c r="E50">
        <v>3</v>
      </c>
      <c r="F50">
        <v>2</v>
      </c>
      <c r="G50">
        <v>4</v>
      </c>
      <c r="H50">
        <v>2</v>
      </c>
      <c r="I50" s="676">
        <v>1</v>
      </c>
      <c r="J50">
        <v>2</v>
      </c>
      <c r="K50" s="651">
        <v>5</v>
      </c>
      <c r="L50">
        <v>3</v>
      </c>
      <c r="M50">
        <v>2</v>
      </c>
      <c r="N50" s="651">
        <v>3</v>
      </c>
      <c r="O50" s="699">
        <v>1</v>
      </c>
      <c r="P50" s="648">
        <f>AVERAGE(C50:O50)</f>
        <v>2.6923076923076925</v>
      </c>
      <c r="R50" s="748" t="s">
        <v>2401</v>
      </c>
      <c r="S50">
        <v>33</v>
      </c>
      <c r="T50" s="718">
        <v>2</v>
      </c>
      <c r="U50" s="399">
        <v>2.7272727272727271</v>
      </c>
      <c r="AC50" s="644" t="s">
        <v>2114</v>
      </c>
      <c r="AD50">
        <v>3</v>
      </c>
      <c r="AE50">
        <v>0</v>
      </c>
      <c r="AF50">
        <v>12</v>
      </c>
      <c r="AH50" s="681"/>
      <c r="AY50">
        <v>4</v>
      </c>
      <c r="AZ50">
        <v>1</v>
      </c>
      <c r="BA50" t="s">
        <v>2119</v>
      </c>
      <c r="BB50" t="s">
        <v>2123</v>
      </c>
      <c r="BC50" t="s">
        <v>2125</v>
      </c>
    </row>
    <row r="51" spans="1:55">
      <c r="A51">
        <v>3</v>
      </c>
      <c r="B51" s="645" t="s">
        <v>2104</v>
      </c>
      <c r="C51">
        <v>9</v>
      </c>
      <c r="D51">
        <v>10</v>
      </c>
      <c r="E51">
        <v>9</v>
      </c>
      <c r="F51">
        <v>5</v>
      </c>
      <c r="G51">
        <v>6</v>
      </c>
      <c r="H51" s="676">
        <v>1</v>
      </c>
      <c r="I51">
        <v>4</v>
      </c>
      <c r="J51">
        <v>3</v>
      </c>
      <c r="K51">
        <v>4</v>
      </c>
      <c r="L51">
        <v>4</v>
      </c>
      <c r="M51" s="13">
        <v>1</v>
      </c>
      <c r="N51" s="13">
        <v>1</v>
      </c>
      <c r="O51">
        <v>2</v>
      </c>
      <c r="P51" s="648">
        <f t="shared" ref="P51:P61" si="2">AVERAGE(C51:O51)</f>
        <v>4.5384615384615383</v>
      </c>
      <c r="R51" s="750" t="s">
        <v>2150</v>
      </c>
      <c r="S51">
        <v>11</v>
      </c>
      <c r="T51" s="718">
        <v>3</v>
      </c>
      <c r="U51" s="399">
        <v>2.75</v>
      </c>
      <c r="AE51">
        <v>0</v>
      </c>
      <c r="AH51" s="681"/>
      <c r="AY51">
        <v>4</v>
      </c>
      <c r="AZ51">
        <v>2</v>
      </c>
      <c r="BA51" t="s">
        <v>2122</v>
      </c>
    </row>
    <row r="52" spans="1:55" ht="21">
      <c r="A52">
        <v>3</v>
      </c>
      <c r="B52" s="645" t="s">
        <v>2105</v>
      </c>
      <c r="C52" s="676">
        <v>1</v>
      </c>
      <c r="D52">
        <v>6</v>
      </c>
      <c r="E52">
        <v>2</v>
      </c>
      <c r="F52" s="13">
        <v>1</v>
      </c>
      <c r="G52" s="13">
        <v>1</v>
      </c>
      <c r="H52">
        <v>3</v>
      </c>
      <c r="I52">
        <v>5</v>
      </c>
      <c r="J52">
        <v>4</v>
      </c>
      <c r="K52">
        <v>2</v>
      </c>
      <c r="L52">
        <v>2</v>
      </c>
      <c r="M52">
        <v>3</v>
      </c>
      <c r="N52">
        <v>2</v>
      </c>
      <c r="O52">
        <v>3</v>
      </c>
      <c r="P52" s="648">
        <f t="shared" si="2"/>
        <v>2.6923076923076925</v>
      </c>
      <c r="R52" s="747" t="s">
        <v>2217</v>
      </c>
      <c r="S52">
        <v>14</v>
      </c>
      <c r="T52" s="718">
        <v>3</v>
      </c>
      <c r="U52" s="399">
        <v>2.75</v>
      </c>
      <c r="AC52" s="1" t="s">
        <v>129</v>
      </c>
      <c r="AE52">
        <v>0</v>
      </c>
      <c r="AH52" s="644"/>
      <c r="AY52">
        <v>4</v>
      </c>
      <c r="AZ52">
        <v>3</v>
      </c>
      <c r="BA52" t="s">
        <v>2123</v>
      </c>
    </row>
    <row r="53" spans="1:55" ht="18">
      <c r="A53">
        <v>3</v>
      </c>
      <c r="B53" s="645" t="s">
        <v>2106</v>
      </c>
      <c r="C53">
        <v>11</v>
      </c>
      <c r="D53" s="676">
        <v>1</v>
      </c>
      <c r="E53" s="13">
        <v>1</v>
      </c>
      <c r="F53">
        <v>3</v>
      </c>
      <c r="G53">
        <v>3</v>
      </c>
      <c r="H53">
        <v>4</v>
      </c>
      <c r="I53">
        <v>2</v>
      </c>
      <c r="J53" s="13">
        <v>1</v>
      </c>
      <c r="K53">
        <v>3</v>
      </c>
      <c r="L53" s="13">
        <v>1</v>
      </c>
      <c r="M53" s="650">
        <v>4</v>
      </c>
      <c r="N53" s="12"/>
      <c r="O53" s="12"/>
      <c r="P53" s="648">
        <f t="shared" si="2"/>
        <v>3.0909090909090908</v>
      </c>
      <c r="R53" s="748" t="s">
        <v>2352</v>
      </c>
      <c r="S53">
        <v>31</v>
      </c>
      <c r="T53" s="718">
        <v>4</v>
      </c>
      <c r="U53" s="399">
        <v>2.75</v>
      </c>
      <c r="AC53" s="649" t="s">
        <v>1440</v>
      </c>
      <c r="AE53">
        <v>0</v>
      </c>
      <c r="AF53" t="s">
        <v>2080</v>
      </c>
      <c r="AH53" s="644"/>
      <c r="AY53">
        <v>4</v>
      </c>
      <c r="AZ53">
        <v>4</v>
      </c>
      <c r="BA53" t="s">
        <v>2120</v>
      </c>
    </row>
    <row r="54" spans="1:55">
      <c r="A54">
        <v>3</v>
      </c>
      <c r="B54" s="645" t="s">
        <v>2107</v>
      </c>
      <c r="C54">
        <v>5</v>
      </c>
      <c r="D54">
        <v>7</v>
      </c>
      <c r="E54">
        <v>7</v>
      </c>
      <c r="F54">
        <v>6</v>
      </c>
      <c r="G54">
        <v>4</v>
      </c>
      <c r="H54">
        <v>5</v>
      </c>
      <c r="I54">
        <v>3</v>
      </c>
      <c r="J54" s="651">
        <v>5</v>
      </c>
      <c r="K54" s="676">
        <v>1</v>
      </c>
      <c r="L54" s="650">
        <v>5</v>
      </c>
      <c r="M54" s="12"/>
      <c r="N54" s="12"/>
      <c r="O54" s="12"/>
      <c r="P54" s="648">
        <f t="shared" si="2"/>
        <v>4.8</v>
      </c>
      <c r="R54" s="750" t="s">
        <v>2424</v>
      </c>
      <c r="S54">
        <v>35</v>
      </c>
      <c r="T54" s="718">
        <v>5</v>
      </c>
      <c r="U54" s="399">
        <v>2.75</v>
      </c>
      <c r="AC54" s="661" t="s">
        <v>2115</v>
      </c>
      <c r="AD54">
        <v>4</v>
      </c>
      <c r="AE54">
        <v>2</v>
      </c>
      <c r="AF54">
        <v>3.1538461538461537</v>
      </c>
      <c r="AH54" s="681"/>
      <c r="AY54">
        <v>4</v>
      </c>
      <c r="AZ54">
        <v>5</v>
      </c>
      <c r="BA54" t="s">
        <v>2119</v>
      </c>
    </row>
    <row r="55" spans="1:55">
      <c r="A55">
        <v>3</v>
      </c>
      <c r="B55" s="645" t="s">
        <v>2108</v>
      </c>
      <c r="C55">
        <v>7</v>
      </c>
      <c r="D55">
        <v>8</v>
      </c>
      <c r="E55">
        <v>8</v>
      </c>
      <c r="F55">
        <v>4</v>
      </c>
      <c r="G55">
        <v>2</v>
      </c>
      <c r="H55">
        <v>6</v>
      </c>
      <c r="I55" s="650">
        <v>6</v>
      </c>
      <c r="J55" s="12"/>
      <c r="K55" s="12"/>
      <c r="L55" s="12"/>
      <c r="M55" s="12"/>
      <c r="N55" s="12"/>
      <c r="O55" s="12"/>
      <c r="P55" s="648">
        <f t="shared" si="2"/>
        <v>5.8571428571428568</v>
      </c>
      <c r="R55" s="750" t="s">
        <v>2083</v>
      </c>
      <c r="S55">
        <v>1</v>
      </c>
      <c r="T55" s="718">
        <v>1</v>
      </c>
      <c r="U55" s="399">
        <v>2.7692307692307692</v>
      </c>
      <c r="AC55" s="645" t="s">
        <v>2116</v>
      </c>
      <c r="AD55">
        <v>4</v>
      </c>
      <c r="AE55">
        <v>1</v>
      </c>
      <c r="AF55">
        <v>3.8461538461538463</v>
      </c>
      <c r="AH55" s="713"/>
      <c r="AY55">
        <v>4</v>
      </c>
      <c r="AZ55">
        <v>6</v>
      </c>
      <c r="BA55" t="s">
        <v>2117</v>
      </c>
    </row>
    <row r="56" spans="1:55">
      <c r="A56">
        <v>3</v>
      </c>
      <c r="B56" s="645" t="s">
        <v>2109</v>
      </c>
      <c r="C56">
        <v>3</v>
      </c>
      <c r="D56">
        <v>2</v>
      </c>
      <c r="E56">
        <v>4</v>
      </c>
      <c r="F56">
        <v>8</v>
      </c>
      <c r="G56">
        <v>7</v>
      </c>
      <c r="H56" s="650">
        <v>7</v>
      </c>
      <c r="I56" s="12"/>
      <c r="J56" s="12"/>
      <c r="K56" s="12"/>
      <c r="L56" s="12"/>
      <c r="M56" s="12"/>
      <c r="N56" s="12"/>
      <c r="O56" s="12"/>
      <c r="P56" s="648">
        <f t="shared" si="2"/>
        <v>5.166666666666667</v>
      </c>
      <c r="R56" s="748" t="s">
        <v>2287</v>
      </c>
      <c r="S56">
        <v>21</v>
      </c>
      <c r="T56" s="718">
        <v>2</v>
      </c>
      <c r="U56" s="399">
        <v>2.7777777777777777</v>
      </c>
      <c r="AC56" s="645" t="s">
        <v>2117</v>
      </c>
      <c r="AD56">
        <v>4</v>
      </c>
      <c r="AE56">
        <v>4</v>
      </c>
      <c r="AF56">
        <v>4</v>
      </c>
      <c r="AH56" s="644"/>
      <c r="AY56">
        <v>4</v>
      </c>
      <c r="AZ56">
        <v>7</v>
      </c>
      <c r="BA56" t="s">
        <v>2117</v>
      </c>
    </row>
    <row r="57" spans="1:55">
      <c r="A57">
        <v>3</v>
      </c>
      <c r="B57" s="645" t="s">
        <v>2110</v>
      </c>
      <c r="C57">
        <v>4</v>
      </c>
      <c r="D57">
        <v>4</v>
      </c>
      <c r="E57">
        <v>6</v>
      </c>
      <c r="F57">
        <v>7</v>
      </c>
      <c r="G57" s="650">
        <v>8</v>
      </c>
      <c r="H57" s="12"/>
      <c r="I57" s="12"/>
      <c r="J57" s="12"/>
      <c r="K57" s="12"/>
      <c r="L57" s="12"/>
      <c r="M57" s="12"/>
      <c r="N57" s="12"/>
      <c r="O57" s="12"/>
      <c r="P57" s="648">
        <f t="shared" si="2"/>
        <v>5.8</v>
      </c>
      <c r="R57" s="749" t="s">
        <v>2239</v>
      </c>
      <c r="S57">
        <v>24</v>
      </c>
      <c r="T57" s="718">
        <v>2</v>
      </c>
      <c r="U57" s="399">
        <v>2.8</v>
      </c>
      <c r="AC57" s="645" t="s">
        <v>2118</v>
      </c>
      <c r="AD57">
        <v>4</v>
      </c>
      <c r="AE57">
        <v>1</v>
      </c>
      <c r="AF57">
        <v>3.7272727272727271</v>
      </c>
      <c r="AH57" s="681"/>
      <c r="AY57">
        <v>4</v>
      </c>
      <c r="AZ57">
        <v>8</v>
      </c>
      <c r="BA57" t="s">
        <v>2118</v>
      </c>
    </row>
    <row r="58" spans="1:55">
      <c r="A58">
        <v>3</v>
      </c>
      <c r="B58" s="645" t="s">
        <v>2111</v>
      </c>
      <c r="C58">
        <v>6</v>
      </c>
      <c r="D58">
        <v>3</v>
      </c>
      <c r="E58">
        <v>5</v>
      </c>
      <c r="F58" s="650">
        <v>9</v>
      </c>
      <c r="G58" s="12"/>
      <c r="H58" s="12"/>
      <c r="I58" s="12"/>
      <c r="J58" s="12"/>
      <c r="K58" s="12"/>
      <c r="L58" s="12"/>
      <c r="M58" s="12"/>
      <c r="N58" s="12"/>
      <c r="O58" s="12"/>
      <c r="P58" s="648">
        <f t="shared" si="2"/>
        <v>5.75</v>
      </c>
      <c r="R58" s="749" t="s">
        <v>2141</v>
      </c>
      <c r="S58">
        <v>6</v>
      </c>
      <c r="T58" s="718">
        <v>4</v>
      </c>
      <c r="U58" s="399">
        <v>2.8181818181818183</v>
      </c>
      <c r="AC58" s="645" t="s">
        <v>2119</v>
      </c>
      <c r="AD58">
        <v>4</v>
      </c>
      <c r="AE58">
        <v>2</v>
      </c>
      <c r="AF58">
        <v>3.6666666666666665</v>
      </c>
      <c r="AH58" s="681"/>
      <c r="AY58">
        <v>4</v>
      </c>
      <c r="AZ58">
        <v>9</v>
      </c>
      <c r="BA58" t="s">
        <v>2115</v>
      </c>
    </row>
    <row r="59" spans="1:55">
      <c r="A59">
        <v>3</v>
      </c>
      <c r="B59" s="644" t="s">
        <v>2112</v>
      </c>
      <c r="C59" s="653">
        <v>8</v>
      </c>
      <c r="D59">
        <v>9</v>
      </c>
      <c r="E59" s="698">
        <v>10</v>
      </c>
      <c r="F59" s="12"/>
      <c r="G59" s="12"/>
      <c r="H59" s="12"/>
      <c r="I59" s="12"/>
      <c r="J59" s="12"/>
      <c r="K59" s="12"/>
      <c r="L59" s="12"/>
      <c r="M59" s="12"/>
      <c r="N59" s="12"/>
      <c r="O59" s="12"/>
      <c r="P59" s="648">
        <f t="shared" si="2"/>
        <v>9</v>
      </c>
      <c r="R59" s="750" t="s">
        <v>1448</v>
      </c>
      <c r="S59">
        <v>8</v>
      </c>
      <c r="T59" s="718">
        <v>2</v>
      </c>
      <c r="U59" s="399">
        <v>2.8181818181818183</v>
      </c>
      <c r="AC59" s="645" t="s">
        <v>2120</v>
      </c>
      <c r="AD59">
        <v>4</v>
      </c>
      <c r="AE59">
        <v>1</v>
      </c>
      <c r="AF59">
        <v>5.4285714285714288</v>
      </c>
      <c r="AH59" s="644"/>
      <c r="AY59">
        <v>4</v>
      </c>
      <c r="AZ59">
        <v>10</v>
      </c>
      <c r="BA59" t="s">
        <v>2116</v>
      </c>
    </row>
    <row r="60" spans="1:55">
      <c r="A60">
        <v>3</v>
      </c>
      <c r="B60" s="644" t="s">
        <v>2113</v>
      </c>
      <c r="C60" s="653">
        <v>10</v>
      </c>
      <c r="D60" s="650">
        <v>11</v>
      </c>
      <c r="E60" s="12"/>
      <c r="F60" s="12"/>
      <c r="G60" s="12"/>
      <c r="H60" s="12"/>
      <c r="I60" s="12"/>
      <c r="J60" s="12"/>
      <c r="K60" s="12"/>
      <c r="L60" s="12"/>
      <c r="M60" s="12"/>
      <c r="N60" s="12"/>
      <c r="O60" s="12"/>
      <c r="P60" s="648">
        <f t="shared" si="2"/>
        <v>10.5</v>
      </c>
      <c r="R60" s="750" t="s">
        <v>2261</v>
      </c>
      <c r="S60">
        <v>19</v>
      </c>
      <c r="T60" s="718">
        <v>3</v>
      </c>
      <c r="U60" s="399">
        <v>2.8333333333333335</v>
      </c>
      <c r="AC60" s="645" t="s">
        <v>2121</v>
      </c>
      <c r="AD60">
        <v>4</v>
      </c>
      <c r="AE60">
        <v>0</v>
      </c>
      <c r="AF60">
        <v>5.333333333333333</v>
      </c>
      <c r="AH60" s="743"/>
      <c r="AY60">
        <v>4</v>
      </c>
      <c r="AZ60">
        <v>11</v>
      </c>
      <c r="BA60" t="s">
        <v>2117</v>
      </c>
    </row>
    <row r="61" spans="1:55">
      <c r="A61">
        <v>3</v>
      </c>
      <c r="B61" s="644" t="s">
        <v>2114</v>
      </c>
      <c r="C61" s="652">
        <v>12</v>
      </c>
      <c r="D61" s="12"/>
      <c r="E61" s="12"/>
      <c r="F61" s="12"/>
      <c r="G61" s="12"/>
      <c r="H61" s="12"/>
      <c r="I61" s="12"/>
      <c r="J61" s="12"/>
      <c r="K61" s="12"/>
      <c r="L61" s="12"/>
      <c r="M61" s="12"/>
      <c r="N61" s="12"/>
      <c r="O61" s="12"/>
      <c r="P61" s="648">
        <f t="shared" si="2"/>
        <v>12</v>
      </c>
      <c r="R61" s="747" t="s">
        <v>2319</v>
      </c>
      <c r="S61">
        <v>25</v>
      </c>
      <c r="T61" s="718">
        <v>3</v>
      </c>
      <c r="U61" s="399">
        <v>2.8333333333333335</v>
      </c>
      <c r="AC61" s="645" t="s">
        <v>2122</v>
      </c>
      <c r="AD61">
        <v>4</v>
      </c>
      <c r="AE61">
        <v>1</v>
      </c>
      <c r="AF61">
        <v>6.2</v>
      </c>
      <c r="AH61" s="743"/>
      <c r="AY61">
        <v>4</v>
      </c>
      <c r="AZ61">
        <v>12</v>
      </c>
      <c r="BA61" t="s">
        <v>2117</v>
      </c>
    </row>
    <row r="62" spans="1:55">
      <c r="P62" s="648"/>
      <c r="R62" s="748" t="s">
        <v>2375</v>
      </c>
      <c r="S62">
        <v>30</v>
      </c>
      <c r="T62" s="718">
        <v>4</v>
      </c>
      <c r="U62" s="399">
        <v>2.9090909090909092</v>
      </c>
      <c r="AC62" s="645" t="s">
        <v>2123</v>
      </c>
      <c r="AD62">
        <v>4</v>
      </c>
      <c r="AE62">
        <v>2</v>
      </c>
      <c r="AF62">
        <v>5</v>
      </c>
      <c r="AH62" s="681"/>
      <c r="AY62">
        <v>4</v>
      </c>
      <c r="AZ62" t="s">
        <v>2810</v>
      </c>
      <c r="BA62" t="s">
        <v>2115</v>
      </c>
    </row>
    <row r="63" spans="1:55" ht="21">
      <c r="B63" s="1" t="s">
        <v>129</v>
      </c>
      <c r="C63" s="1503"/>
      <c r="D63" s="12"/>
      <c r="E63" s="12"/>
      <c r="F63" s="12"/>
      <c r="G63" s="12"/>
      <c r="H63" s="12"/>
      <c r="I63" s="12"/>
      <c r="J63" s="12"/>
      <c r="K63" s="12"/>
      <c r="L63" s="12"/>
      <c r="M63" s="12"/>
      <c r="N63" s="12"/>
      <c r="O63" s="12"/>
      <c r="P63" s="648"/>
      <c r="R63" s="748" t="s">
        <v>2305</v>
      </c>
      <c r="S63">
        <v>23</v>
      </c>
      <c r="T63" s="718">
        <v>2</v>
      </c>
      <c r="U63" s="399">
        <v>2.9166666666666665</v>
      </c>
      <c r="AC63" s="644" t="s">
        <v>2124</v>
      </c>
      <c r="AD63">
        <v>4</v>
      </c>
      <c r="AE63">
        <v>0</v>
      </c>
      <c r="AF63">
        <v>8.3333333333333339</v>
      </c>
      <c r="AH63" s="681"/>
      <c r="AY63">
        <v>5</v>
      </c>
      <c r="AZ63">
        <v>1</v>
      </c>
      <c r="BA63" t="s">
        <v>2136</v>
      </c>
    </row>
    <row r="64" spans="1:55" ht="18">
      <c r="B64" s="649" t="s">
        <v>1440</v>
      </c>
      <c r="C64" s="646" t="s">
        <v>2795</v>
      </c>
      <c r="D64" s="646" t="s">
        <v>2798</v>
      </c>
      <c r="E64" s="646" t="s">
        <v>2799</v>
      </c>
      <c r="F64" s="646" t="s">
        <v>2800</v>
      </c>
      <c r="G64" s="646" t="s">
        <v>2801</v>
      </c>
      <c r="H64" s="646" t="s">
        <v>2802</v>
      </c>
      <c r="I64" s="646" t="s">
        <v>2803</v>
      </c>
      <c r="J64" s="646" t="s">
        <v>2804</v>
      </c>
      <c r="K64" s="646" t="s">
        <v>2805</v>
      </c>
      <c r="L64" s="646" t="s">
        <v>2806</v>
      </c>
      <c r="M64" s="646" t="s">
        <v>2807</v>
      </c>
      <c r="N64" s="646" t="s">
        <v>2808</v>
      </c>
      <c r="O64" s="646" t="s">
        <v>2810</v>
      </c>
      <c r="P64" s="647" t="s">
        <v>2080</v>
      </c>
      <c r="R64" s="748" t="s">
        <v>2183</v>
      </c>
      <c r="S64">
        <v>11</v>
      </c>
      <c r="T64" s="718">
        <v>4</v>
      </c>
      <c r="U64" s="399">
        <v>2.9230769230769229</v>
      </c>
      <c r="AC64" s="644" t="s">
        <v>2125</v>
      </c>
      <c r="AD64">
        <v>4</v>
      </c>
      <c r="AE64">
        <v>1</v>
      </c>
      <c r="AF64">
        <v>6</v>
      </c>
      <c r="AH64" s="713"/>
      <c r="AY64">
        <v>5</v>
      </c>
      <c r="AZ64">
        <v>2</v>
      </c>
      <c r="BA64" t="s">
        <v>2129</v>
      </c>
    </row>
    <row r="65" spans="1:53" ht="21" customHeight="1">
      <c r="A65">
        <v>4</v>
      </c>
      <c r="B65" s="661" t="s">
        <v>2115</v>
      </c>
      <c r="C65">
        <v>9</v>
      </c>
      <c r="D65">
        <v>2</v>
      </c>
      <c r="E65">
        <v>3</v>
      </c>
      <c r="F65">
        <v>5</v>
      </c>
      <c r="G65">
        <v>4</v>
      </c>
      <c r="H65">
        <v>2</v>
      </c>
      <c r="I65">
        <v>5</v>
      </c>
      <c r="J65">
        <v>2</v>
      </c>
      <c r="K65" s="676">
        <v>1</v>
      </c>
      <c r="L65">
        <v>2</v>
      </c>
      <c r="M65">
        <v>3</v>
      </c>
      <c r="N65">
        <v>2</v>
      </c>
      <c r="O65" s="699">
        <v>1</v>
      </c>
      <c r="P65" s="648">
        <f>AVERAGE(C65:O65)</f>
        <v>3.1538461538461537</v>
      </c>
      <c r="R65" s="748" t="s">
        <v>2151</v>
      </c>
      <c r="S65">
        <v>7</v>
      </c>
      <c r="T65" s="718">
        <v>2</v>
      </c>
      <c r="U65" s="399">
        <v>3</v>
      </c>
      <c r="AC65" s="644" t="s">
        <v>2126</v>
      </c>
      <c r="AD65">
        <v>4</v>
      </c>
      <c r="AE65">
        <v>0</v>
      </c>
      <c r="AF65">
        <v>12</v>
      </c>
      <c r="AH65" s="644"/>
      <c r="AY65">
        <v>5</v>
      </c>
      <c r="AZ65">
        <v>3</v>
      </c>
      <c r="BA65" t="s">
        <v>2128</v>
      </c>
    </row>
    <row r="66" spans="1:53">
      <c r="A66">
        <v>4</v>
      </c>
      <c r="B66" s="645" t="s">
        <v>2116</v>
      </c>
      <c r="C66">
        <v>6</v>
      </c>
      <c r="D66">
        <v>3</v>
      </c>
      <c r="E66">
        <v>8</v>
      </c>
      <c r="F66">
        <v>7</v>
      </c>
      <c r="G66">
        <v>3</v>
      </c>
      <c r="H66">
        <v>3</v>
      </c>
      <c r="I66">
        <v>3</v>
      </c>
      <c r="J66" s="651">
        <v>5</v>
      </c>
      <c r="K66">
        <v>4</v>
      </c>
      <c r="L66" s="13">
        <v>1</v>
      </c>
      <c r="M66">
        <v>2</v>
      </c>
      <c r="N66" s="651">
        <v>3</v>
      </c>
      <c r="O66">
        <v>2</v>
      </c>
      <c r="P66" s="648">
        <f t="shared" ref="P66:P76" si="3">AVERAGE(C66:O66)</f>
        <v>3.8461538461538463</v>
      </c>
      <c r="R66" s="748" t="s">
        <v>2181</v>
      </c>
      <c r="S66">
        <v>10</v>
      </c>
      <c r="T66" s="718">
        <v>2</v>
      </c>
      <c r="U66" s="399">
        <v>3</v>
      </c>
      <c r="AE66">
        <v>0</v>
      </c>
      <c r="AH66" s="644"/>
      <c r="AY66">
        <v>5</v>
      </c>
      <c r="AZ66">
        <v>4</v>
      </c>
      <c r="BA66" t="s">
        <v>2127</v>
      </c>
    </row>
    <row r="67" spans="1:53" ht="21">
      <c r="A67">
        <v>4</v>
      </c>
      <c r="B67" s="645" t="s">
        <v>2117</v>
      </c>
      <c r="C67">
        <v>10</v>
      </c>
      <c r="D67">
        <v>5</v>
      </c>
      <c r="E67">
        <v>7</v>
      </c>
      <c r="F67">
        <v>6</v>
      </c>
      <c r="G67">
        <v>6</v>
      </c>
      <c r="H67" s="13">
        <v>1</v>
      </c>
      <c r="I67" s="13">
        <v>1</v>
      </c>
      <c r="J67">
        <v>4</v>
      </c>
      <c r="K67">
        <v>3</v>
      </c>
      <c r="L67" s="651">
        <v>4</v>
      </c>
      <c r="M67" s="676">
        <v>1</v>
      </c>
      <c r="N67" s="13">
        <v>1</v>
      </c>
      <c r="O67">
        <v>3</v>
      </c>
      <c r="P67" s="648">
        <f t="shared" si="3"/>
        <v>4</v>
      </c>
      <c r="R67" s="750" t="s">
        <v>2198</v>
      </c>
      <c r="S67">
        <v>12</v>
      </c>
      <c r="T67" s="718">
        <v>3</v>
      </c>
      <c r="U67" s="399">
        <v>3</v>
      </c>
      <c r="AC67" s="1" t="s">
        <v>130</v>
      </c>
      <c r="AE67">
        <v>0</v>
      </c>
      <c r="AH67" s="644"/>
      <c r="AY67">
        <v>5</v>
      </c>
      <c r="AZ67">
        <v>5</v>
      </c>
      <c r="BA67" t="s">
        <v>2128</v>
      </c>
    </row>
    <row r="68" spans="1:53" ht="18">
      <c r="A68">
        <v>4</v>
      </c>
      <c r="B68" s="645" t="s">
        <v>2118</v>
      </c>
      <c r="C68">
        <v>7</v>
      </c>
      <c r="D68">
        <v>6</v>
      </c>
      <c r="E68">
        <v>6</v>
      </c>
      <c r="F68">
        <v>2</v>
      </c>
      <c r="G68">
        <v>2</v>
      </c>
      <c r="H68">
        <v>6</v>
      </c>
      <c r="I68">
        <v>2</v>
      </c>
      <c r="J68" s="13">
        <v>1</v>
      </c>
      <c r="K68">
        <v>2</v>
      </c>
      <c r="L68">
        <v>3</v>
      </c>
      <c r="M68" s="650">
        <v>4</v>
      </c>
      <c r="N68" s="12"/>
      <c r="O68" s="12"/>
      <c r="P68" s="648">
        <f t="shared" si="3"/>
        <v>3.7272727272727271</v>
      </c>
      <c r="R68" s="750" t="s">
        <v>2251</v>
      </c>
      <c r="S68">
        <v>17</v>
      </c>
      <c r="T68" s="718">
        <v>4</v>
      </c>
      <c r="U68" s="399">
        <v>3</v>
      </c>
      <c r="AC68" s="649" t="s">
        <v>1440</v>
      </c>
      <c r="AE68">
        <v>0</v>
      </c>
      <c r="AF68" t="s">
        <v>2080</v>
      </c>
      <c r="AH68" s="644"/>
      <c r="AY68">
        <v>5</v>
      </c>
      <c r="AZ68">
        <v>6</v>
      </c>
      <c r="BA68" t="s">
        <v>2128</v>
      </c>
    </row>
    <row r="69" spans="1:53">
      <c r="A69">
        <v>4</v>
      </c>
      <c r="B69" s="645" t="s">
        <v>2119</v>
      </c>
      <c r="C69" s="13">
        <v>1</v>
      </c>
      <c r="D69">
        <v>8</v>
      </c>
      <c r="E69">
        <v>5</v>
      </c>
      <c r="F69">
        <v>2</v>
      </c>
      <c r="G69" s="13">
        <v>1</v>
      </c>
      <c r="H69">
        <v>4</v>
      </c>
      <c r="I69">
        <v>4</v>
      </c>
      <c r="J69">
        <v>3</v>
      </c>
      <c r="K69" s="650">
        <v>5</v>
      </c>
      <c r="L69" s="12"/>
      <c r="M69" s="12"/>
      <c r="N69" s="12"/>
      <c r="O69" s="12"/>
      <c r="P69" s="648">
        <f t="shared" si="3"/>
        <v>3.6666666666666665</v>
      </c>
      <c r="R69" s="750" t="s">
        <v>2301</v>
      </c>
      <c r="S69">
        <v>22</v>
      </c>
      <c r="T69" s="718">
        <v>2</v>
      </c>
      <c r="U69" s="399">
        <v>3</v>
      </c>
      <c r="AC69" s="661" t="s">
        <v>2127</v>
      </c>
      <c r="AD69">
        <v>5</v>
      </c>
      <c r="AE69">
        <v>4</v>
      </c>
      <c r="AF69">
        <v>3.3846153846153846</v>
      </c>
      <c r="AH69" s="644"/>
      <c r="AY69">
        <v>5</v>
      </c>
      <c r="AZ69">
        <v>7</v>
      </c>
      <c r="BA69" t="s">
        <v>2127</v>
      </c>
    </row>
    <row r="70" spans="1:53">
      <c r="A70">
        <v>4</v>
      </c>
      <c r="B70" s="645" t="s">
        <v>2120</v>
      </c>
      <c r="C70">
        <v>11</v>
      </c>
      <c r="D70">
        <v>4</v>
      </c>
      <c r="E70">
        <v>4</v>
      </c>
      <c r="F70" s="676">
        <v>1</v>
      </c>
      <c r="G70">
        <v>7</v>
      </c>
      <c r="H70">
        <v>5</v>
      </c>
      <c r="I70" s="650">
        <v>6</v>
      </c>
      <c r="J70" s="12"/>
      <c r="K70" s="12"/>
      <c r="L70" s="12"/>
      <c r="M70" s="12"/>
      <c r="N70" s="12"/>
      <c r="O70" s="12"/>
      <c r="P70" s="648">
        <f t="shared" si="3"/>
        <v>5.4285714285714288</v>
      </c>
      <c r="R70" s="749" t="s">
        <v>2439</v>
      </c>
      <c r="S70">
        <v>36</v>
      </c>
      <c r="T70" s="718">
        <v>3</v>
      </c>
      <c r="U70" s="399">
        <v>3</v>
      </c>
      <c r="AC70" s="645" t="s">
        <v>2128</v>
      </c>
      <c r="AD70">
        <v>5</v>
      </c>
      <c r="AE70">
        <v>6</v>
      </c>
      <c r="AF70">
        <v>2.4615384615384617</v>
      </c>
      <c r="AH70" s="681"/>
      <c r="AY70">
        <v>5</v>
      </c>
      <c r="AZ70">
        <v>8</v>
      </c>
      <c r="BA70" t="s">
        <v>2128</v>
      </c>
    </row>
    <row r="71" spans="1:53">
      <c r="A71">
        <v>4</v>
      </c>
      <c r="B71" s="645" t="s">
        <v>2121</v>
      </c>
      <c r="C71" s="34">
        <v>4</v>
      </c>
      <c r="D71">
        <v>10</v>
      </c>
      <c r="E71">
        <v>2</v>
      </c>
      <c r="F71">
        <v>4</v>
      </c>
      <c r="G71">
        <v>5</v>
      </c>
      <c r="H71" s="650">
        <v>7</v>
      </c>
      <c r="I71" s="12"/>
      <c r="J71" s="12"/>
      <c r="K71" s="12"/>
      <c r="L71" s="12"/>
      <c r="M71" s="12"/>
      <c r="N71" s="12"/>
      <c r="O71" s="12"/>
      <c r="P71" s="648">
        <f t="shared" si="3"/>
        <v>5.333333333333333</v>
      </c>
      <c r="R71" s="747" t="s">
        <v>2452</v>
      </c>
      <c r="S71">
        <v>37</v>
      </c>
      <c r="T71" s="718">
        <v>3</v>
      </c>
      <c r="U71" s="399">
        <v>3</v>
      </c>
      <c r="AC71" s="645" t="s">
        <v>2129</v>
      </c>
      <c r="AD71">
        <v>5</v>
      </c>
      <c r="AE71">
        <v>2</v>
      </c>
      <c r="AF71">
        <v>3.3076923076923075</v>
      </c>
      <c r="AH71" s="681"/>
      <c r="AY71">
        <v>5</v>
      </c>
      <c r="AZ71">
        <v>9</v>
      </c>
      <c r="BA71" t="s">
        <v>2128</v>
      </c>
    </row>
    <row r="72" spans="1:53">
      <c r="A72">
        <v>4</v>
      </c>
      <c r="B72" s="645" t="s">
        <v>2122</v>
      </c>
      <c r="C72">
        <v>5</v>
      </c>
      <c r="D72" s="676">
        <v>1</v>
      </c>
      <c r="E72">
        <v>9</v>
      </c>
      <c r="F72">
        <v>8</v>
      </c>
      <c r="G72" s="650">
        <v>8</v>
      </c>
      <c r="H72" s="12"/>
      <c r="I72" s="12"/>
      <c r="J72" s="12"/>
      <c r="K72" s="12"/>
      <c r="L72" s="12"/>
      <c r="M72" s="12"/>
      <c r="N72" s="12"/>
      <c r="O72" s="12"/>
      <c r="P72" s="648">
        <f t="shared" si="3"/>
        <v>6.2</v>
      </c>
      <c r="R72" s="750" t="s">
        <v>2249</v>
      </c>
      <c r="S72">
        <v>17</v>
      </c>
      <c r="T72" s="718">
        <v>5</v>
      </c>
      <c r="U72" s="399">
        <v>3.0833333333333335</v>
      </c>
      <c r="AC72" s="645" t="s">
        <v>2130</v>
      </c>
      <c r="AD72">
        <v>5</v>
      </c>
      <c r="AE72">
        <v>0</v>
      </c>
      <c r="AF72">
        <v>4.166666666666667</v>
      </c>
      <c r="AH72" s="681"/>
      <c r="AY72">
        <v>5</v>
      </c>
      <c r="AZ72">
        <v>10</v>
      </c>
      <c r="BA72" t="s">
        <v>2128</v>
      </c>
    </row>
    <row r="73" spans="1:53">
      <c r="A73">
        <v>4</v>
      </c>
      <c r="B73" s="645" t="s">
        <v>2123</v>
      </c>
      <c r="C73" s="13">
        <v>1</v>
      </c>
      <c r="D73">
        <v>9</v>
      </c>
      <c r="E73" s="676">
        <v>1</v>
      </c>
      <c r="F73" s="650">
        <v>9</v>
      </c>
      <c r="G73" s="12"/>
      <c r="H73" s="12"/>
      <c r="I73" s="12"/>
      <c r="J73" s="12"/>
      <c r="K73" s="12"/>
      <c r="L73" s="12"/>
      <c r="M73" s="12"/>
      <c r="N73" s="12"/>
      <c r="O73" s="12"/>
      <c r="P73" s="648">
        <f t="shared" si="3"/>
        <v>5</v>
      </c>
      <c r="R73" s="748" t="s">
        <v>2328</v>
      </c>
      <c r="S73">
        <v>26</v>
      </c>
      <c r="T73" s="718">
        <v>3</v>
      </c>
      <c r="U73" s="399">
        <v>3.0833333333333335</v>
      </c>
      <c r="AC73" s="645" t="s">
        <v>2131</v>
      </c>
      <c r="AD73">
        <v>5</v>
      </c>
      <c r="AE73">
        <v>0</v>
      </c>
      <c r="AF73">
        <v>5.8</v>
      </c>
      <c r="AH73" s="743"/>
      <c r="AY73">
        <v>5</v>
      </c>
      <c r="AZ73">
        <v>11</v>
      </c>
      <c r="BA73" t="s">
        <v>2127</v>
      </c>
    </row>
    <row r="74" spans="1:53">
      <c r="A74">
        <v>4</v>
      </c>
      <c r="B74" s="644" t="s">
        <v>2124</v>
      </c>
      <c r="C74" s="653">
        <v>8</v>
      </c>
      <c r="D74">
        <v>7</v>
      </c>
      <c r="E74" s="650">
        <v>10</v>
      </c>
      <c r="F74" s="12"/>
      <c r="G74" s="12"/>
      <c r="H74" s="12"/>
      <c r="I74" s="12"/>
      <c r="J74" s="12"/>
      <c r="K74" s="12"/>
      <c r="L74" s="12"/>
      <c r="M74" s="12"/>
      <c r="N74" s="12"/>
      <c r="O74" s="12"/>
      <c r="P74" s="648">
        <f t="shared" si="3"/>
        <v>8.3333333333333339</v>
      </c>
      <c r="R74" s="748" t="s">
        <v>2362</v>
      </c>
      <c r="S74">
        <v>29</v>
      </c>
      <c r="T74" s="718">
        <v>3</v>
      </c>
      <c r="U74" s="399">
        <v>3.0833333333333335</v>
      </c>
      <c r="AC74" s="645" t="s">
        <v>2132</v>
      </c>
      <c r="AD74">
        <v>5</v>
      </c>
      <c r="AE74">
        <v>0</v>
      </c>
      <c r="AF74">
        <v>3.7142857142857144</v>
      </c>
      <c r="AH74" s="713"/>
      <c r="AY74">
        <v>5</v>
      </c>
      <c r="AZ74">
        <v>12</v>
      </c>
      <c r="BA74" t="s">
        <v>2129</v>
      </c>
    </row>
    <row r="75" spans="1:53">
      <c r="A75">
        <v>4</v>
      </c>
      <c r="B75" s="644" t="s">
        <v>2125</v>
      </c>
      <c r="C75" s="655">
        <v>1</v>
      </c>
      <c r="D75" s="650">
        <v>11</v>
      </c>
      <c r="E75" s="12"/>
      <c r="F75" s="12"/>
      <c r="G75" s="12"/>
      <c r="H75" s="12"/>
      <c r="I75" s="12"/>
      <c r="J75" s="12"/>
      <c r="K75" s="12"/>
      <c r="L75" s="12"/>
      <c r="M75" s="12"/>
      <c r="N75" s="12">
        <v>4</v>
      </c>
      <c r="O75" s="12"/>
      <c r="P75" s="648">
        <f t="shared" si="3"/>
        <v>5.333333333333333</v>
      </c>
      <c r="R75" s="750" t="s">
        <v>2106</v>
      </c>
      <c r="S75">
        <v>3</v>
      </c>
      <c r="T75" s="718">
        <v>4</v>
      </c>
      <c r="U75" s="399">
        <v>3.0909090909090908</v>
      </c>
      <c r="AC75" s="645" t="s">
        <v>2133</v>
      </c>
      <c r="AD75">
        <v>5</v>
      </c>
      <c r="AE75">
        <v>0</v>
      </c>
      <c r="AF75">
        <v>5.333333333333333</v>
      </c>
      <c r="AH75" s="681"/>
      <c r="AY75">
        <v>5</v>
      </c>
      <c r="AZ75" t="s">
        <v>2810</v>
      </c>
      <c r="BA75" t="s">
        <v>2127</v>
      </c>
    </row>
    <row r="76" spans="1:53">
      <c r="A76">
        <v>4</v>
      </c>
      <c r="B76" s="644" t="s">
        <v>2126</v>
      </c>
      <c r="C76" s="652">
        <v>12</v>
      </c>
      <c r="D76" s="12"/>
      <c r="E76" s="12"/>
      <c r="F76" s="12"/>
      <c r="G76" s="12"/>
      <c r="H76" s="12"/>
      <c r="I76" s="12"/>
      <c r="J76" s="12"/>
      <c r="K76" s="12"/>
      <c r="L76" s="12"/>
      <c r="M76" s="12"/>
      <c r="N76" s="12"/>
      <c r="O76" s="12"/>
      <c r="P76" s="648">
        <f t="shared" si="3"/>
        <v>12</v>
      </c>
      <c r="R76" s="748" t="s">
        <v>2229</v>
      </c>
      <c r="S76">
        <v>15</v>
      </c>
      <c r="T76" s="718">
        <v>2</v>
      </c>
      <c r="U76" s="399">
        <v>3.0909090909090908</v>
      </c>
      <c r="AC76" s="645" t="s">
        <v>2134</v>
      </c>
      <c r="AD76">
        <v>5</v>
      </c>
      <c r="AE76">
        <v>0</v>
      </c>
      <c r="AF76">
        <v>5.25</v>
      </c>
      <c r="AH76" s="644"/>
      <c r="AY76">
        <v>6</v>
      </c>
      <c r="AZ76">
        <v>1</v>
      </c>
      <c r="BA76" t="s">
        <v>2141</v>
      </c>
    </row>
    <row r="77" spans="1:53">
      <c r="R77" s="748" t="s">
        <v>2453</v>
      </c>
      <c r="S77">
        <v>37</v>
      </c>
      <c r="T77" s="718">
        <v>2</v>
      </c>
      <c r="U77" s="399">
        <v>3.0909090909090908</v>
      </c>
      <c r="AC77" s="644" t="s">
        <v>2135</v>
      </c>
      <c r="AD77">
        <v>5</v>
      </c>
      <c r="AE77">
        <v>0</v>
      </c>
      <c r="AF77">
        <v>7.333333333333333</v>
      </c>
      <c r="AH77" s="644"/>
      <c r="AY77">
        <v>6</v>
      </c>
      <c r="AZ77">
        <v>2</v>
      </c>
      <c r="BA77" t="s">
        <v>2139</v>
      </c>
    </row>
    <row r="78" spans="1:53" ht="21">
      <c r="B78" s="1" t="s">
        <v>130</v>
      </c>
      <c r="C78" s="12"/>
      <c r="D78" s="12"/>
      <c r="E78" s="12"/>
      <c r="F78" s="12"/>
      <c r="G78" s="12"/>
      <c r="H78" s="12"/>
      <c r="I78" s="12"/>
      <c r="J78" s="12"/>
      <c r="K78" s="12"/>
      <c r="L78" s="12"/>
      <c r="M78" s="12"/>
      <c r="N78" s="12"/>
      <c r="O78" s="12"/>
      <c r="P78" s="648"/>
      <c r="R78" s="750" t="s">
        <v>2162</v>
      </c>
      <c r="S78">
        <v>8</v>
      </c>
      <c r="T78" s="718">
        <v>3</v>
      </c>
      <c r="U78" s="399">
        <v>3.1</v>
      </c>
      <c r="AC78" s="644" t="s">
        <v>2136</v>
      </c>
      <c r="AD78">
        <v>5</v>
      </c>
      <c r="AE78">
        <v>1</v>
      </c>
      <c r="AF78">
        <v>5.5</v>
      </c>
      <c r="AH78" s="681"/>
      <c r="AY78">
        <v>6</v>
      </c>
      <c r="AZ78">
        <v>3</v>
      </c>
      <c r="BA78" t="s">
        <v>2141</v>
      </c>
    </row>
    <row r="79" spans="1:53" ht="21" customHeight="1">
      <c r="B79" s="649" t="s">
        <v>1440</v>
      </c>
      <c r="C79" s="646" t="s">
        <v>2795</v>
      </c>
      <c r="D79" s="646" t="s">
        <v>2798</v>
      </c>
      <c r="E79" s="646" t="s">
        <v>2799</v>
      </c>
      <c r="F79" s="646" t="s">
        <v>2800</v>
      </c>
      <c r="G79" s="646" t="s">
        <v>2801</v>
      </c>
      <c r="H79" s="646" t="s">
        <v>2802</v>
      </c>
      <c r="I79" s="646" t="s">
        <v>2803</v>
      </c>
      <c r="J79" s="646" t="s">
        <v>2804</v>
      </c>
      <c r="K79" s="646" t="s">
        <v>2805</v>
      </c>
      <c r="L79" s="646" t="s">
        <v>2806</v>
      </c>
      <c r="M79" s="646" t="s">
        <v>2807</v>
      </c>
      <c r="N79" s="646" t="s">
        <v>2808</v>
      </c>
      <c r="O79" s="646" t="s">
        <v>2810</v>
      </c>
      <c r="P79" s="647" t="s">
        <v>2080</v>
      </c>
      <c r="R79" s="749" t="s">
        <v>2207</v>
      </c>
      <c r="S79">
        <v>13</v>
      </c>
      <c r="T79" s="718">
        <v>1</v>
      </c>
      <c r="U79" s="399">
        <v>3.1</v>
      </c>
      <c r="AC79" s="644" t="s">
        <v>2137</v>
      </c>
      <c r="AD79">
        <v>5</v>
      </c>
      <c r="AE79">
        <v>0</v>
      </c>
      <c r="AF79">
        <v>11</v>
      </c>
      <c r="AH79" s="644"/>
      <c r="AY79">
        <v>6</v>
      </c>
      <c r="AZ79">
        <v>4</v>
      </c>
      <c r="BA79" t="s">
        <v>2139</v>
      </c>
    </row>
    <row r="80" spans="1:53">
      <c r="A80">
        <v>5</v>
      </c>
      <c r="B80" s="661" t="s">
        <v>2127</v>
      </c>
      <c r="C80">
        <v>8</v>
      </c>
      <c r="D80">
        <v>8</v>
      </c>
      <c r="E80">
        <v>7</v>
      </c>
      <c r="F80" s="13">
        <v>1</v>
      </c>
      <c r="G80">
        <v>4</v>
      </c>
      <c r="H80">
        <v>2</v>
      </c>
      <c r="I80" s="13">
        <v>1</v>
      </c>
      <c r="J80">
        <v>3</v>
      </c>
      <c r="K80">
        <v>2</v>
      </c>
      <c r="L80">
        <v>4</v>
      </c>
      <c r="M80" s="659">
        <v>1</v>
      </c>
      <c r="N80">
        <v>2</v>
      </c>
      <c r="O80" s="699">
        <v>1</v>
      </c>
      <c r="P80" s="648">
        <f>AVERAGE(C80:O80)</f>
        <v>3.3846153846153846</v>
      </c>
      <c r="R80" s="749" t="s">
        <v>2321</v>
      </c>
      <c r="S80">
        <v>25</v>
      </c>
      <c r="T80" s="718">
        <v>2</v>
      </c>
      <c r="U80" s="399">
        <v>3.1111111111111112</v>
      </c>
      <c r="AE80">
        <v>0</v>
      </c>
      <c r="AH80" s="644"/>
      <c r="AY80">
        <v>6</v>
      </c>
      <c r="AZ80">
        <v>5</v>
      </c>
      <c r="BA80" t="s">
        <v>2138</v>
      </c>
    </row>
    <row r="81" spans="1:58" ht="21">
      <c r="A81">
        <v>5</v>
      </c>
      <c r="B81" s="645" t="s">
        <v>2128</v>
      </c>
      <c r="C81">
        <v>7</v>
      </c>
      <c r="D81">
        <v>6</v>
      </c>
      <c r="E81" s="13">
        <v>1</v>
      </c>
      <c r="F81">
        <v>2</v>
      </c>
      <c r="G81" s="676">
        <v>1</v>
      </c>
      <c r="H81" s="13">
        <v>1</v>
      </c>
      <c r="I81">
        <v>2</v>
      </c>
      <c r="J81" s="13">
        <v>1</v>
      </c>
      <c r="K81" s="13">
        <v>1</v>
      </c>
      <c r="L81" s="13">
        <v>1</v>
      </c>
      <c r="M81" s="658">
        <v>4</v>
      </c>
      <c r="N81">
        <v>3</v>
      </c>
      <c r="O81">
        <v>2</v>
      </c>
      <c r="P81" s="648">
        <f t="shared" ref="P81:P90" si="4">AVERAGE(C81:O81)</f>
        <v>2.4615384615384617</v>
      </c>
      <c r="R81" s="748" t="s">
        <v>2115</v>
      </c>
      <c r="S81">
        <v>4</v>
      </c>
      <c r="T81" s="718">
        <v>2</v>
      </c>
      <c r="U81" s="399">
        <v>3.1538461538461537</v>
      </c>
      <c r="AC81" s="1" t="s">
        <v>131</v>
      </c>
      <c r="AE81">
        <v>0</v>
      </c>
      <c r="AH81" s="681"/>
      <c r="AY81">
        <v>6</v>
      </c>
      <c r="AZ81">
        <v>6</v>
      </c>
      <c r="BA81" t="s">
        <v>2142</v>
      </c>
      <c r="BF81" s="35"/>
    </row>
    <row r="82" spans="1:58" ht="18">
      <c r="A82">
        <v>5</v>
      </c>
      <c r="B82" s="645" t="s">
        <v>2129</v>
      </c>
      <c r="C82">
        <v>6</v>
      </c>
      <c r="D82" s="13">
        <v>1</v>
      </c>
      <c r="E82">
        <v>3</v>
      </c>
      <c r="F82">
        <v>5</v>
      </c>
      <c r="G82">
        <v>3</v>
      </c>
      <c r="H82">
        <v>4</v>
      </c>
      <c r="I82">
        <v>4</v>
      </c>
      <c r="J82">
        <v>2</v>
      </c>
      <c r="K82" s="651">
        <v>5</v>
      </c>
      <c r="L82">
        <v>3</v>
      </c>
      <c r="M82">
        <v>3</v>
      </c>
      <c r="N82" s="13">
        <v>1</v>
      </c>
      <c r="O82">
        <v>3</v>
      </c>
      <c r="P82" s="648">
        <f t="shared" si="4"/>
        <v>3.3076923076923075</v>
      </c>
      <c r="R82" s="748" t="s">
        <v>2149</v>
      </c>
      <c r="S82">
        <v>7</v>
      </c>
      <c r="T82" s="718">
        <v>3</v>
      </c>
      <c r="U82" s="399">
        <v>3.1538461538461537</v>
      </c>
      <c r="AC82" s="649" t="s">
        <v>1440</v>
      </c>
      <c r="AE82">
        <v>0</v>
      </c>
      <c r="AF82" t="s">
        <v>2080</v>
      </c>
      <c r="AH82" s="743"/>
      <c r="AY82">
        <v>6</v>
      </c>
      <c r="AZ82">
        <v>7</v>
      </c>
      <c r="BA82" t="s">
        <v>2140</v>
      </c>
    </row>
    <row r="83" spans="1:58">
      <c r="A83">
        <v>5</v>
      </c>
      <c r="B83" s="645" t="s">
        <v>2130</v>
      </c>
      <c r="C83">
        <v>3</v>
      </c>
      <c r="D83">
        <v>4</v>
      </c>
      <c r="E83">
        <v>6</v>
      </c>
      <c r="F83">
        <v>6</v>
      </c>
      <c r="G83" s="651">
        <v>7</v>
      </c>
      <c r="H83">
        <v>6</v>
      </c>
      <c r="I83">
        <v>3</v>
      </c>
      <c r="J83">
        <v>4</v>
      </c>
      <c r="K83">
        <v>3</v>
      </c>
      <c r="L83">
        <v>2</v>
      </c>
      <c r="M83">
        <v>2</v>
      </c>
      <c r="N83" s="650">
        <v>4</v>
      </c>
      <c r="O83" s="12"/>
      <c r="P83" s="648">
        <f t="shared" si="4"/>
        <v>4.166666666666667</v>
      </c>
      <c r="R83" s="748" t="s">
        <v>2186</v>
      </c>
      <c r="S83">
        <v>10</v>
      </c>
      <c r="T83" s="718">
        <v>2</v>
      </c>
      <c r="U83" s="399">
        <v>3.1666666666666665</v>
      </c>
      <c r="AC83" s="661" t="s">
        <v>2138</v>
      </c>
      <c r="AD83">
        <v>6</v>
      </c>
      <c r="AE83">
        <v>2</v>
      </c>
      <c r="AF83">
        <v>3.6666666666666665</v>
      </c>
      <c r="AH83" s="743"/>
      <c r="AY83">
        <v>6</v>
      </c>
      <c r="AZ83">
        <v>8</v>
      </c>
      <c r="BA83" t="s">
        <v>2141</v>
      </c>
    </row>
    <row r="84" spans="1:58">
      <c r="A84">
        <v>5</v>
      </c>
      <c r="B84" s="645" t="s">
        <v>2131</v>
      </c>
      <c r="C84">
        <v>9</v>
      </c>
      <c r="D84">
        <v>9</v>
      </c>
      <c r="E84">
        <v>5</v>
      </c>
      <c r="F84">
        <v>7</v>
      </c>
      <c r="G84">
        <v>6</v>
      </c>
      <c r="H84">
        <v>3</v>
      </c>
      <c r="I84">
        <v>5</v>
      </c>
      <c r="J84" s="651">
        <v>5</v>
      </c>
      <c r="K84">
        <v>4</v>
      </c>
      <c r="L84" s="650">
        <v>5</v>
      </c>
      <c r="M84" s="12"/>
      <c r="N84" s="12"/>
      <c r="O84" s="1490">
        <v>0</v>
      </c>
      <c r="P84" s="648">
        <f t="shared" si="4"/>
        <v>5.2727272727272725</v>
      </c>
      <c r="R84" s="750" t="s">
        <v>2227</v>
      </c>
      <c r="S84">
        <v>15</v>
      </c>
      <c r="T84" s="718">
        <v>2</v>
      </c>
      <c r="U84" s="399">
        <v>3.1666666666666665</v>
      </c>
      <c r="AC84" s="645" t="s">
        <v>2139</v>
      </c>
      <c r="AD84">
        <v>6</v>
      </c>
      <c r="AE84">
        <v>4</v>
      </c>
      <c r="AF84">
        <v>2.1666666666666665</v>
      </c>
      <c r="AH84" s="644"/>
      <c r="AY84">
        <v>6</v>
      </c>
      <c r="AZ84">
        <v>9</v>
      </c>
      <c r="BA84" t="s">
        <v>2139</v>
      </c>
    </row>
    <row r="85" spans="1:58">
      <c r="A85">
        <v>5</v>
      </c>
      <c r="B85" s="645" t="s">
        <v>2132</v>
      </c>
      <c r="C85">
        <v>5</v>
      </c>
      <c r="D85">
        <v>2</v>
      </c>
      <c r="E85">
        <v>2</v>
      </c>
      <c r="F85">
        <v>4</v>
      </c>
      <c r="G85">
        <v>2</v>
      </c>
      <c r="H85">
        <v>5</v>
      </c>
      <c r="I85" s="650">
        <v>6</v>
      </c>
      <c r="J85" s="12"/>
      <c r="K85" s="12"/>
      <c r="L85" s="1490">
        <v>0</v>
      </c>
      <c r="M85" s="12"/>
      <c r="N85" s="12"/>
      <c r="O85" s="12"/>
      <c r="P85" s="648">
        <f t="shared" si="4"/>
        <v>3.25</v>
      </c>
      <c r="R85" s="750" t="s">
        <v>2250</v>
      </c>
      <c r="S85">
        <v>17</v>
      </c>
      <c r="T85" s="718">
        <v>1</v>
      </c>
      <c r="U85" s="399">
        <v>3.1666666666666665</v>
      </c>
      <c r="AC85" s="645" t="s">
        <v>2140</v>
      </c>
      <c r="AD85">
        <v>6</v>
      </c>
      <c r="AE85">
        <v>1</v>
      </c>
      <c r="AF85">
        <v>4.583333333333333</v>
      </c>
      <c r="AH85" s="644"/>
      <c r="AY85">
        <v>6</v>
      </c>
      <c r="AZ85">
        <v>10</v>
      </c>
      <c r="BA85" t="s">
        <v>2141</v>
      </c>
    </row>
    <row r="86" spans="1:58">
      <c r="A86">
        <v>5</v>
      </c>
      <c r="B86" s="645" t="s">
        <v>2133</v>
      </c>
      <c r="C86">
        <v>2</v>
      </c>
      <c r="D86">
        <v>7</v>
      </c>
      <c r="E86">
        <v>8</v>
      </c>
      <c r="F86">
        <v>3</v>
      </c>
      <c r="G86">
        <v>5</v>
      </c>
      <c r="H86" s="650">
        <v>7</v>
      </c>
      <c r="I86" s="12"/>
      <c r="J86" s="12"/>
      <c r="K86" s="1490">
        <v>0</v>
      </c>
      <c r="L86" s="12"/>
      <c r="M86" s="12"/>
      <c r="N86" s="12"/>
      <c r="O86" s="12"/>
      <c r="P86" s="648">
        <f t="shared" si="4"/>
        <v>4.5714285714285712</v>
      </c>
      <c r="R86" s="747" t="s">
        <v>2285</v>
      </c>
      <c r="S86">
        <v>21</v>
      </c>
      <c r="T86" s="718">
        <v>3</v>
      </c>
      <c r="U86" s="399">
        <v>3.1666666666666665</v>
      </c>
      <c r="AC86" s="645" t="s">
        <v>2141</v>
      </c>
      <c r="AD86">
        <v>6</v>
      </c>
      <c r="AE86">
        <v>4</v>
      </c>
      <c r="AF86">
        <v>2.8181818181818183</v>
      </c>
      <c r="AH86" s="644"/>
      <c r="AY86">
        <v>6</v>
      </c>
      <c r="AZ86">
        <v>11</v>
      </c>
      <c r="BA86" t="s">
        <v>2139</v>
      </c>
    </row>
    <row r="87" spans="1:58">
      <c r="A87">
        <v>5</v>
      </c>
      <c r="B87" s="645" t="s">
        <v>2134</v>
      </c>
      <c r="C87">
        <v>4</v>
      </c>
      <c r="D87">
        <v>5</v>
      </c>
      <c r="E87">
        <v>4</v>
      </c>
      <c r="F87" s="650">
        <v>8</v>
      </c>
      <c r="G87" s="12"/>
      <c r="H87" s="12"/>
      <c r="I87" s="1490">
        <v>0</v>
      </c>
      <c r="J87" s="12"/>
      <c r="K87" s="12"/>
      <c r="L87" s="12"/>
      <c r="M87" s="12"/>
      <c r="N87" s="12">
        <v>4</v>
      </c>
      <c r="O87" s="12"/>
      <c r="P87" s="648">
        <f t="shared" si="4"/>
        <v>4.166666666666667</v>
      </c>
      <c r="R87" s="750" t="s">
        <v>2329</v>
      </c>
      <c r="S87">
        <v>26</v>
      </c>
      <c r="T87" s="718">
        <v>2</v>
      </c>
      <c r="U87" s="399">
        <v>3.1666666666666665</v>
      </c>
      <c r="AC87" s="645" t="s">
        <v>2142</v>
      </c>
      <c r="AD87">
        <v>6</v>
      </c>
      <c r="AE87">
        <v>1</v>
      </c>
      <c r="AF87">
        <v>4.333333333333333</v>
      </c>
      <c r="AH87" s="681"/>
      <c r="AY87">
        <v>6</v>
      </c>
      <c r="AZ87" t="s">
        <v>2810</v>
      </c>
      <c r="BA87" t="s">
        <v>2138</v>
      </c>
    </row>
    <row r="88" spans="1:58">
      <c r="A88">
        <v>5</v>
      </c>
      <c r="B88" s="644" t="s">
        <v>2135</v>
      </c>
      <c r="C88" s="653">
        <v>10</v>
      </c>
      <c r="D88">
        <v>3</v>
      </c>
      <c r="E88" s="650">
        <v>9</v>
      </c>
      <c r="F88" s="12"/>
      <c r="G88" s="12"/>
      <c r="H88" s="1490">
        <v>0</v>
      </c>
      <c r="I88" s="12"/>
      <c r="J88" s="12"/>
      <c r="K88" s="12"/>
      <c r="L88" s="12"/>
      <c r="M88" s="12"/>
      <c r="N88" s="12"/>
      <c r="O88" s="12"/>
      <c r="P88" s="648">
        <f t="shared" si="4"/>
        <v>5.5</v>
      </c>
      <c r="R88" s="748" t="s">
        <v>2350</v>
      </c>
      <c r="S88">
        <v>28</v>
      </c>
      <c r="T88" s="718">
        <v>2</v>
      </c>
      <c r="U88" s="399">
        <v>3.1666666666666665</v>
      </c>
      <c r="AC88" s="645" t="s">
        <v>2143</v>
      </c>
      <c r="AD88">
        <v>6</v>
      </c>
      <c r="AE88">
        <v>0</v>
      </c>
      <c r="AF88">
        <v>3.625</v>
      </c>
      <c r="AH88" s="681"/>
      <c r="AY88">
        <v>7</v>
      </c>
      <c r="AZ88">
        <v>1</v>
      </c>
      <c r="BA88" t="s">
        <v>2157</v>
      </c>
    </row>
    <row r="89" spans="1:58">
      <c r="A89">
        <v>5</v>
      </c>
      <c r="B89" s="644" t="s">
        <v>2136</v>
      </c>
      <c r="C89" s="655">
        <v>1</v>
      </c>
      <c r="D89" s="650">
        <v>10</v>
      </c>
      <c r="E89" s="12"/>
      <c r="F89" s="12"/>
      <c r="G89" s="12"/>
      <c r="H89" s="12"/>
      <c r="I89" s="12"/>
      <c r="J89" s="12"/>
      <c r="K89" s="12"/>
      <c r="L89" s="12"/>
      <c r="M89" s="12"/>
      <c r="N89" s="12"/>
      <c r="O89" s="12"/>
      <c r="P89" s="648">
        <f t="shared" si="4"/>
        <v>5.5</v>
      </c>
      <c r="R89" s="749" t="s">
        <v>2426</v>
      </c>
      <c r="S89">
        <v>35</v>
      </c>
      <c r="T89" s="718">
        <v>1</v>
      </c>
      <c r="U89" s="399">
        <v>3.1666666666666665</v>
      </c>
      <c r="AC89" s="645" t="s">
        <v>2144</v>
      </c>
      <c r="AD89">
        <v>6</v>
      </c>
      <c r="AE89">
        <v>0</v>
      </c>
      <c r="AF89">
        <v>5.833333333333333</v>
      </c>
      <c r="AH89" s="713"/>
      <c r="AY89">
        <v>7</v>
      </c>
      <c r="AZ89">
        <v>2</v>
      </c>
      <c r="BA89" t="s">
        <v>2150</v>
      </c>
    </row>
    <row r="90" spans="1:58">
      <c r="A90">
        <v>5</v>
      </c>
      <c r="B90" s="644" t="s">
        <v>2137</v>
      </c>
      <c r="C90" s="652">
        <v>11</v>
      </c>
      <c r="D90" s="12"/>
      <c r="E90" s="12"/>
      <c r="F90" s="12"/>
      <c r="G90" s="12"/>
      <c r="H90" s="12"/>
      <c r="I90" s="12"/>
      <c r="J90" s="12"/>
      <c r="K90" s="12"/>
      <c r="L90" s="12"/>
      <c r="M90" s="12"/>
      <c r="N90" s="12"/>
      <c r="O90" s="12"/>
      <c r="P90" s="648">
        <f t="shared" si="4"/>
        <v>11</v>
      </c>
      <c r="R90" s="750" t="s">
        <v>2160</v>
      </c>
      <c r="S90">
        <v>8</v>
      </c>
      <c r="T90" s="718">
        <v>3</v>
      </c>
      <c r="U90" s="399">
        <v>3.1818181818181817</v>
      </c>
      <c r="AC90" s="645" t="s">
        <v>2145</v>
      </c>
      <c r="AD90">
        <v>6</v>
      </c>
      <c r="AE90">
        <v>0</v>
      </c>
      <c r="AF90">
        <v>8</v>
      </c>
      <c r="AH90" s="681"/>
      <c r="AY90">
        <v>7</v>
      </c>
      <c r="AZ90">
        <v>3</v>
      </c>
      <c r="BA90" t="s">
        <v>2153</v>
      </c>
    </row>
    <row r="91" spans="1:58">
      <c r="C91" s="1503"/>
      <c r="D91" s="12"/>
      <c r="E91" s="12"/>
      <c r="F91" s="12"/>
      <c r="G91" s="12"/>
      <c r="H91" s="12"/>
      <c r="I91" s="12"/>
      <c r="J91" s="12"/>
      <c r="K91" s="12"/>
      <c r="L91" s="12"/>
      <c r="M91" s="12"/>
      <c r="N91" s="12"/>
      <c r="O91" s="12"/>
      <c r="P91" s="648"/>
      <c r="R91" s="750" t="s">
        <v>2193</v>
      </c>
      <c r="S91">
        <v>12</v>
      </c>
      <c r="T91" s="718">
        <v>3</v>
      </c>
      <c r="U91" s="399">
        <v>3.1818181818181817</v>
      </c>
      <c r="AC91" s="644" t="s">
        <v>2146</v>
      </c>
      <c r="AD91">
        <v>6</v>
      </c>
      <c r="AE91">
        <v>0</v>
      </c>
      <c r="AF91">
        <v>7</v>
      </c>
      <c r="AH91" s="644"/>
      <c r="AY91">
        <v>7</v>
      </c>
      <c r="AZ91">
        <v>4</v>
      </c>
      <c r="BA91" t="s">
        <v>2150</v>
      </c>
    </row>
    <row r="92" spans="1:58" ht="21">
      <c r="B92" s="1" t="s">
        <v>131</v>
      </c>
      <c r="C92" s="1503"/>
      <c r="D92" s="12"/>
      <c r="E92" s="12"/>
      <c r="F92" s="12"/>
      <c r="G92" s="12"/>
      <c r="H92" s="12"/>
      <c r="I92" s="12"/>
      <c r="J92" s="12"/>
      <c r="K92" s="12"/>
      <c r="L92" s="12"/>
      <c r="M92" s="12"/>
      <c r="N92" s="12"/>
      <c r="O92" s="12"/>
      <c r="P92" s="648"/>
      <c r="R92" s="748" t="s">
        <v>2438</v>
      </c>
      <c r="S92">
        <v>36</v>
      </c>
      <c r="T92" s="718">
        <v>1</v>
      </c>
      <c r="U92" s="399">
        <v>3.1818181818181817</v>
      </c>
      <c r="AC92" s="644" t="s">
        <v>2147</v>
      </c>
      <c r="AD92">
        <v>6</v>
      </c>
      <c r="AE92">
        <v>0</v>
      </c>
      <c r="AF92">
        <v>9</v>
      </c>
      <c r="AH92" s="743"/>
      <c r="AY92">
        <v>7</v>
      </c>
      <c r="AZ92">
        <v>5</v>
      </c>
      <c r="BA92" t="s">
        <v>2155</v>
      </c>
    </row>
    <row r="93" spans="1:58" ht="21" customHeight="1">
      <c r="B93" s="649" t="s">
        <v>1440</v>
      </c>
      <c r="C93" s="646" t="s">
        <v>2795</v>
      </c>
      <c r="D93" s="646" t="s">
        <v>2798</v>
      </c>
      <c r="E93" s="646" t="s">
        <v>2799</v>
      </c>
      <c r="F93" s="646" t="s">
        <v>2800</v>
      </c>
      <c r="G93" s="646" t="s">
        <v>2801</v>
      </c>
      <c r="H93" s="646" t="s">
        <v>2802</v>
      </c>
      <c r="I93" s="646" t="s">
        <v>2803</v>
      </c>
      <c r="J93" s="646" t="s">
        <v>2804</v>
      </c>
      <c r="K93" s="646" t="s">
        <v>2805</v>
      </c>
      <c r="L93" s="646" t="s">
        <v>2806</v>
      </c>
      <c r="M93" s="646" t="s">
        <v>2807</v>
      </c>
      <c r="N93" s="20"/>
      <c r="O93" s="646" t="s">
        <v>2810</v>
      </c>
      <c r="P93" s="647" t="s">
        <v>2080</v>
      </c>
      <c r="R93" s="748" t="s">
        <v>2344</v>
      </c>
      <c r="S93">
        <v>27</v>
      </c>
      <c r="T93" s="718">
        <v>2</v>
      </c>
      <c r="U93" s="399">
        <v>3.2222222222222223</v>
      </c>
      <c r="AC93" s="644" t="s">
        <v>2148</v>
      </c>
      <c r="AD93">
        <v>6</v>
      </c>
      <c r="AE93">
        <v>0</v>
      </c>
      <c r="AF93">
        <v>11</v>
      </c>
      <c r="AH93" s="681"/>
      <c r="AY93">
        <v>7</v>
      </c>
      <c r="AZ93">
        <v>6</v>
      </c>
      <c r="BA93" t="s">
        <v>2151</v>
      </c>
    </row>
    <row r="94" spans="1:58">
      <c r="A94">
        <v>6</v>
      </c>
      <c r="B94" s="661" t="s">
        <v>2138</v>
      </c>
      <c r="C94">
        <v>4</v>
      </c>
      <c r="D94">
        <v>8</v>
      </c>
      <c r="E94">
        <v>6</v>
      </c>
      <c r="F94">
        <v>5</v>
      </c>
      <c r="G94" s="13">
        <v>1</v>
      </c>
      <c r="H94">
        <v>6</v>
      </c>
      <c r="I94">
        <v>2</v>
      </c>
      <c r="J94" s="657">
        <v>4</v>
      </c>
      <c r="K94">
        <v>3</v>
      </c>
      <c r="L94" s="656">
        <v>2</v>
      </c>
      <c r="M94">
        <v>2</v>
      </c>
      <c r="O94" s="699">
        <v>1</v>
      </c>
      <c r="P94" s="648">
        <f>AVERAGE(C94:O94)</f>
        <v>3.6666666666666665</v>
      </c>
      <c r="R94" s="748" t="s">
        <v>2208</v>
      </c>
      <c r="S94">
        <v>13</v>
      </c>
      <c r="T94" s="718">
        <v>0</v>
      </c>
      <c r="U94" s="399">
        <v>3.25</v>
      </c>
      <c r="AE94">
        <v>0</v>
      </c>
      <c r="AH94" s="681"/>
      <c r="AY94">
        <v>7</v>
      </c>
      <c r="AZ94">
        <v>7</v>
      </c>
      <c r="BA94" t="s">
        <v>2150</v>
      </c>
    </row>
    <row r="95" spans="1:58" ht="21">
      <c r="A95">
        <v>6</v>
      </c>
      <c r="B95" s="645" t="s">
        <v>2139</v>
      </c>
      <c r="C95">
        <v>2</v>
      </c>
      <c r="D95" s="13">
        <v>1</v>
      </c>
      <c r="E95">
        <v>2</v>
      </c>
      <c r="F95" s="13">
        <v>1</v>
      </c>
      <c r="G95">
        <v>4</v>
      </c>
      <c r="H95">
        <v>2</v>
      </c>
      <c r="I95">
        <v>4</v>
      </c>
      <c r="J95">
        <v>3</v>
      </c>
      <c r="K95" s="13">
        <v>1</v>
      </c>
      <c r="L95">
        <v>3</v>
      </c>
      <c r="M95" s="13">
        <v>1</v>
      </c>
      <c r="O95">
        <v>2</v>
      </c>
      <c r="P95" s="648">
        <f>AVERAGE(C95:O95)</f>
        <v>2.1666666666666665</v>
      </c>
      <c r="R95" s="748" t="s">
        <v>2254</v>
      </c>
      <c r="S95">
        <v>18</v>
      </c>
      <c r="T95" s="718">
        <v>3</v>
      </c>
      <c r="U95" s="399">
        <v>3.25</v>
      </c>
      <c r="AC95" s="1" t="s">
        <v>132</v>
      </c>
      <c r="AE95">
        <v>0</v>
      </c>
      <c r="AH95" s="644"/>
      <c r="AY95">
        <v>7</v>
      </c>
      <c r="AZ95">
        <v>8</v>
      </c>
      <c r="BA95" t="s">
        <v>2150</v>
      </c>
    </row>
    <row r="96" spans="1:58" ht="18">
      <c r="A96">
        <v>6</v>
      </c>
      <c r="B96" s="645" t="s">
        <v>2140</v>
      </c>
      <c r="C96">
        <v>7</v>
      </c>
      <c r="D96">
        <v>6</v>
      </c>
      <c r="E96">
        <v>5</v>
      </c>
      <c r="F96">
        <v>6</v>
      </c>
      <c r="G96">
        <v>6</v>
      </c>
      <c r="H96">
        <v>5</v>
      </c>
      <c r="I96" s="676">
        <v>1</v>
      </c>
      <c r="J96" s="656">
        <v>5</v>
      </c>
      <c r="K96">
        <v>4</v>
      </c>
      <c r="L96" s="658">
        <v>4</v>
      </c>
      <c r="M96">
        <v>3</v>
      </c>
      <c r="O96">
        <v>3</v>
      </c>
      <c r="P96" s="648">
        <f>AVERAGE(C96:O96)</f>
        <v>4.583333333333333</v>
      </c>
      <c r="R96" s="750" t="s">
        <v>2161</v>
      </c>
      <c r="S96">
        <v>8</v>
      </c>
      <c r="T96" s="718">
        <v>1</v>
      </c>
      <c r="U96" s="399">
        <v>3.2727272727272729</v>
      </c>
      <c r="AC96" s="649" t="s">
        <v>1440</v>
      </c>
      <c r="AE96">
        <v>0</v>
      </c>
      <c r="AF96" t="s">
        <v>2080</v>
      </c>
      <c r="AH96" s="644"/>
      <c r="AY96">
        <v>7</v>
      </c>
      <c r="AZ96">
        <v>9</v>
      </c>
      <c r="BA96" t="s">
        <v>2149</v>
      </c>
    </row>
    <row r="97" spans="1:53">
      <c r="A97">
        <v>6</v>
      </c>
      <c r="B97" s="645" t="s">
        <v>2141</v>
      </c>
      <c r="C97" s="13">
        <v>1</v>
      </c>
      <c r="D97">
        <v>4</v>
      </c>
      <c r="E97" s="13">
        <v>1</v>
      </c>
      <c r="F97">
        <v>4</v>
      </c>
      <c r="G97">
        <v>3</v>
      </c>
      <c r="H97">
        <v>4</v>
      </c>
      <c r="I97" s="651">
        <v>6</v>
      </c>
      <c r="J97" s="13">
        <v>1</v>
      </c>
      <c r="K97">
        <v>2</v>
      </c>
      <c r="L97" s="13">
        <v>1</v>
      </c>
      <c r="M97" s="650">
        <v>4</v>
      </c>
      <c r="N97" s="12"/>
      <c r="O97" s="12"/>
      <c r="P97" s="648">
        <f>AVERAGE(C97:N97)</f>
        <v>2.8181818181818183</v>
      </c>
      <c r="R97" s="750" t="s">
        <v>2183</v>
      </c>
      <c r="S97">
        <v>10</v>
      </c>
      <c r="T97" s="718">
        <v>2</v>
      </c>
      <c r="U97" s="399">
        <v>3.2727272727272729</v>
      </c>
      <c r="AC97" s="661" t="s">
        <v>2149</v>
      </c>
      <c r="AD97">
        <v>7</v>
      </c>
      <c r="AE97">
        <v>3</v>
      </c>
      <c r="AF97">
        <v>3.1538461538461537</v>
      </c>
      <c r="AH97" s="644"/>
      <c r="AY97">
        <v>7</v>
      </c>
      <c r="AZ97">
        <v>10</v>
      </c>
      <c r="BA97" t="s">
        <v>2149</v>
      </c>
    </row>
    <row r="98" spans="1:53">
      <c r="A98">
        <v>6</v>
      </c>
      <c r="B98" s="645" t="s">
        <v>2142</v>
      </c>
      <c r="C98">
        <v>6</v>
      </c>
      <c r="D98">
        <v>5</v>
      </c>
      <c r="E98">
        <v>7</v>
      </c>
      <c r="F98">
        <v>3</v>
      </c>
      <c r="G98">
        <v>7</v>
      </c>
      <c r="H98" s="676">
        <v>1</v>
      </c>
      <c r="I98">
        <v>3</v>
      </c>
      <c r="J98">
        <v>2</v>
      </c>
      <c r="K98" s="650">
        <v>5</v>
      </c>
      <c r="L98" s="12"/>
      <c r="M98" s="12"/>
      <c r="N98" s="1490"/>
      <c r="O98" s="12"/>
      <c r="P98" s="648">
        <f>AVERAGE(C98:N98)</f>
        <v>4.333333333333333</v>
      </c>
      <c r="R98" s="750" t="s">
        <v>2286</v>
      </c>
      <c r="S98">
        <v>21</v>
      </c>
      <c r="T98" s="718">
        <v>2</v>
      </c>
      <c r="U98" s="399">
        <v>3.2727272727272729</v>
      </c>
      <c r="AC98" s="645" t="s">
        <v>2150</v>
      </c>
      <c r="AD98">
        <v>7</v>
      </c>
      <c r="AE98">
        <v>5</v>
      </c>
      <c r="AF98">
        <v>2.3076923076923075</v>
      </c>
      <c r="AH98" s="644"/>
      <c r="AY98">
        <v>7</v>
      </c>
      <c r="AZ98">
        <v>11</v>
      </c>
      <c r="BA98" t="s">
        <v>2150</v>
      </c>
    </row>
    <row r="99" spans="1:53">
      <c r="A99">
        <v>6</v>
      </c>
      <c r="B99" s="645" t="s">
        <v>2143</v>
      </c>
      <c r="C99">
        <v>5</v>
      </c>
      <c r="D99">
        <v>2</v>
      </c>
      <c r="E99">
        <v>4</v>
      </c>
      <c r="F99">
        <v>2</v>
      </c>
      <c r="G99">
        <v>2</v>
      </c>
      <c r="H99">
        <v>3</v>
      </c>
      <c r="I99">
        <v>5</v>
      </c>
      <c r="J99" s="650">
        <v>6</v>
      </c>
      <c r="K99" s="1490">
        <v>0</v>
      </c>
      <c r="L99" s="12"/>
      <c r="M99" s="1490">
        <v>0</v>
      </c>
      <c r="N99" s="12"/>
      <c r="O99" s="12"/>
      <c r="P99" s="648">
        <f>AVERAGE(C99:N99)</f>
        <v>2.9</v>
      </c>
      <c r="R99" s="748" t="s">
        <v>2353</v>
      </c>
      <c r="S99">
        <v>28</v>
      </c>
      <c r="T99" s="718">
        <v>0</v>
      </c>
      <c r="U99" s="399">
        <v>3.2727272727272729</v>
      </c>
      <c r="AC99" s="645" t="s">
        <v>2151</v>
      </c>
      <c r="AD99">
        <v>7</v>
      </c>
      <c r="AE99">
        <v>2</v>
      </c>
      <c r="AF99">
        <v>3</v>
      </c>
      <c r="AH99" s="681"/>
      <c r="AY99">
        <v>7</v>
      </c>
      <c r="AZ99">
        <v>12</v>
      </c>
      <c r="BA99" t="s">
        <v>2151</v>
      </c>
    </row>
    <row r="100" spans="1:53">
      <c r="A100">
        <v>6</v>
      </c>
      <c r="B100" s="645" t="s">
        <v>2144</v>
      </c>
      <c r="C100">
        <v>10</v>
      </c>
      <c r="D100">
        <v>3</v>
      </c>
      <c r="E100">
        <v>3</v>
      </c>
      <c r="F100">
        <v>7</v>
      </c>
      <c r="G100">
        <v>5</v>
      </c>
      <c r="H100" s="650">
        <v>7</v>
      </c>
      <c r="I100" s="12"/>
      <c r="J100" s="1490">
        <v>0</v>
      </c>
      <c r="K100" s="1490">
        <v>0</v>
      </c>
      <c r="L100" s="12"/>
      <c r="M100" s="12"/>
      <c r="N100" s="12">
        <v>4</v>
      </c>
      <c r="O100" s="12"/>
      <c r="P100" s="648">
        <f>AVERAGE(C100:O100)</f>
        <v>4.333333333333333</v>
      </c>
      <c r="R100" s="749" t="s">
        <v>2414</v>
      </c>
      <c r="S100">
        <v>34</v>
      </c>
      <c r="T100" s="718">
        <v>3</v>
      </c>
      <c r="U100" s="399">
        <v>3.3</v>
      </c>
      <c r="AC100" s="645" t="s">
        <v>2152</v>
      </c>
      <c r="AD100">
        <v>7</v>
      </c>
      <c r="AE100">
        <v>0</v>
      </c>
      <c r="AF100">
        <v>5.3636363636363633</v>
      </c>
      <c r="AH100" s="681"/>
      <c r="AY100">
        <v>7</v>
      </c>
      <c r="AZ100" t="s">
        <v>2810</v>
      </c>
      <c r="BA100" t="s">
        <v>2149</v>
      </c>
    </row>
    <row r="101" spans="1:53">
      <c r="A101">
        <v>6</v>
      </c>
      <c r="B101" s="645" t="s">
        <v>2145</v>
      </c>
      <c r="C101">
        <v>9</v>
      </c>
      <c r="D101">
        <v>7</v>
      </c>
      <c r="E101">
        <v>8</v>
      </c>
      <c r="F101" s="651">
        <v>8</v>
      </c>
      <c r="G101" s="650">
        <v>8</v>
      </c>
      <c r="H101" s="12"/>
      <c r="I101" s="1490">
        <v>0</v>
      </c>
      <c r="J101" s="1490">
        <v>0</v>
      </c>
      <c r="K101" s="12"/>
      <c r="L101" s="12"/>
      <c r="M101" s="12"/>
      <c r="N101" s="12"/>
      <c r="O101" s="12"/>
      <c r="P101" s="648">
        <f>AVERAGE(C101:O101)</f>
        <v>5.7142857142857144</v>
      </c>
      <c r="R101" s="750" t="s">
        <v>2129</v>
      </c>
      <c r="S101">
        <v>5</v>
      </c>
      <c r="T101" s="718">
        <v>2</v>
      </c>
      <c r="U101" s="399">
        <v>3.3076923076923075</v>
      </c>
      <c r="AC101" s="645" t="s">
        <v>2153</v>
      </c>
      <c r="AD101">
        <v>7</v>
      </c>
      <c r="AE101">
        <v>1</v>
      </c>
      <c r="AF101">
        <v>4.1111111111111107</v>
      </c>
      <c r="AH101" s="681"/>
      <c r="AY101">
        <v>8</v>
      </c>
      <c r="AZ101">
        <v>1</v>
      </c>
      <c r="BA101" t="s">
        <v>2162</v>
      </c>
    </row>
    <row r="102" spans="1:53">
      <c r="A102">
        <v>6</v>
      </c>
      <c r="B102" s="644" t="s">
        <v>2146</v>
      </c>
      <c r="C102" s="653">
        <v>3</v>
      </c>
      <c r="D102">
        <v>9</v>
      </c>
      <c r="E102" s="650">
        <v>9</v>
      </c>
      <c r="F102" s="12"/>
      <c r="G102" s="12"/>
      <c r="H102" s="1490">
        <v>0</v>
      </c>
      <c r="I102" s="12"/>
      <c r="J102" s="12"/>
      <c r="K102" s="12"/>
      <c r="L102" s="12"/>
      <c r="M102" s="12"/>
      <c r="N102" s="12"/>
      <c r="O102" s="12"/>
      <c r="P102" s="648">
        <f>AVERAGE(C102:O102)</f>
        <v>5.25</v>
      </c>
      <c r="R102" s="747" t="s">
        <v>2218</v>
      </c>
      <c r="S102">
        <v>18</v>
      </c>
      <c r="T102" s="718">
        <v>1</v>
      </c>
      <c r="U102" s="399">
        <v>3.3333333333333335</v>
      </c>
      <c r="AC102" s="645" t="s">
        <v>2154</v>
      </c>
      <c r="AD102">
        <v>7</v>
      </c>
      <c r="AE102">
        <v>0</v>
      </c>
      <c r="AF102">
        <v>4.7142857142857144</v>
      </c>
      <c r="AH102" s="644"/>
      <c r="AY102">
        <v>8</v>
      </c>
      <c r="AZ102">
        <v>2</v>
      </c>
      <c r="BA102" t="s">
        <v>2161</v>
      </c>
    </row>
    <row r="103" spans="1:53">
      <c r="A103">
        <v>6</v>
      </c>
      <c r="B103" s="644" t="s">
        <v>2147</v>
      </c>
      <c r="C103" s="653">
        <v>8</v>
      </c>
      <c r="D103" s="650">
        <v>10</v>
      </c>
      <c r="E103" s="12"/>
      <c r="F103" s="12"/>
      <c r="G103" s="12"/>
      <c r="H103" s="12"/>
      <c r="I103" s="12"/>
      <c r="J103" s="12"/>
      <c r="K103" s="12"/>
      <c r="L103" s="12"/>
      <c r="M103" s="12"/>
      <c r="N103" s="12"/>
      <c r="O103" s="12"/>
      <c r="P103" s="648">
        <f>AVERAGE(C103:O103)</f>
        <v>9</v>
      </c>
      <c r="R103" s="748" t="s">
        <v>2330</v>
      </c>
      <c r="S103">
        <v>26</v>
      </c>
      <c r="T103" s="718">
        <v>3</v>
      </c>
      <c r="U103" s="399">
        <v>3.3333333333333335</v>
      </c>
      <c r="AC103" s="645" t="s">
        <v>2155</v>
      </c>
      <c r="AD103">
        <v>7</v>
      </c>
      <c r="AE103">
        <v>1</v>
      </c>
      <c r="AF103">
        <v>5</v>
      </c>
      <c r="AH103" s="743"/>
      <c r="AY103">
        <v>8</v>
      </c>
      <c r="AZ103">
        <v>3</v>
      </c>
      <c r="BA103" t="s">
        <v>2160</v>
      </c>
    </row>
    <row r="104" spans="1:53">
      <c r="A104">
        <v>6</v>
      </c>
      <c r="B104" s="644" t="s">
        <v>2148</v>
      </c>
      <c r="C104" s="652">
        <v>11</v>
      </c>
      <c r="D104" s="12"/>
      <c r="E104" s="12"/>
      <c r="F104" s="12"/>
      <c r="G104" s="12"/>
      <c r="H104" s="12"/>
      <c r="I104" s="12"/>
      <c r="J104" s="12"/>
      <c r="K104" s="12"/>
      <c r="L104" s="12"/>
      <c r="M104" s="12"/>
      <c r="N104" s="12"/>
      <c r="O104" s="12"/>
      <c r="P104" s="648">
        <f>AVERAGE(C104:O104)</f>
        <v>11</v>
      </c>
      <c r="R104" s="748" t="s">
        <v>2339</v>
      </c>
      <c r="S104">
        <v>27</v>
      </c>
      <c r="T104" s="718">
        <v>1</v>
      </c>
      <c r="U104" s="399">
        <v>3.3333333333333335</v>
      </c>
      <c r="AC104" s="645" t="s">
        <v>2156</v>
      </c>
      <c r="AD104">
        <v>7</v>
      </c>
      <c r="AE104">
        <v>0</v>
      </c>
      <c r="AF104">
        <v>6.5</v>
      </c>
      <c r="AH104" s="681"/>
      <c r="AY104">
        <v>8</v>
      </c>
      <c r="AZ104">
        <v>4</v>
      </c>
      <c r="BA104" t="s">
        <v>2160</v>
      </c>
    </row>
    <row r="105" spans="1:53">
      <c r="C105" s="1503"/>
      <c r="D105" s="12"/>
      <c r="E105" s="12"/>
      <c r="F105" s="12"/>
      <c r="G105" s="12"/>
      <c r="H105" s="12"/>
      <c r="I105" s="12"/>
      <c r="J105" s="12"/>
      <c r="K105" s="12"/>
      <c r="L105" s="12"/>
      <c r="M105" s="12"/>
      <c r="N105" s="12"/>
      <c r="O105" s="12"/>
      <c r="P105" s="648"/>
      <c r="R105" s="750" t="s">
        <v>2084</v>
      </c>
      <c r="S105">
        <v>1</v>
      </c>
      <c r="T105" s="718">
        <v>3</v>
      </c>
      <c r="U105" s="399">
        <v>3.3636363636363638</v>
      </c>
      <c r="AC105" s="644" t="s">
        <v>2157</v>
      </c>
      <c r="AD105">
        <v>7</v>
      </c>
      <c r="AE105">
        <v>1</v>
      </c>
      <c r="AF105">
        <v>5.333333333333333</v>
      </c>
      <c r="AH105" s="713"/>
      <c r="AY105">
        <v>8</v>
      </c>
      <c r="AZ105">
        <v>5</v>
      </c>
      <c r="BA105" t="s">
        <v>2163</v>
      </c>
    </row>
    <row r="106" spans="1:53" ht="21">
      <c r="B106" s="1" t="s">
        <v>132</v>
      </c>
      <c r="C106" s="1503"/>
      <c r="D106" s="12"/>
      <c r="E106" s="12"/>
      <c r="F106" s="12"/>
      <c r="G106" s="12"/>
      <c r="H106" s="12"/>
      <c r="I106" s="12"/>
      <c r="J106" s="12"/>
      <c r="K106" s="12"/>
      <c r="L106" s="12"/>
      <c r="M106" s="12"/>
      <c r="N106" s="12"/>
      <c r="O106" s="12"/>
      <c r="P106" s="648"/>
      <c r="R106" s="749" t="s">
        <v>2243</v>
      </c>
      <c r="S106">
        <v>16</v>
      </c>
      <c r="T106" s="718">
        <v>1</v>
      </c>
      <c r="U106" s="399">
        <v>3.375</v>
      </c>
      <c r="AC106" s="644" t="s">
        <v>2158</v>
      </c>
      <c r="AD106">
        <v>7</v>
      </c>
      <c r="AE106">
        <v>0</v>
      </c>
      <c r="AF106">
        <v>9.5</v>
      </c>
      <c r="AH106" s="644"/>
      <c r="AY106">
        <v>8</v>
      </c>
      <c r="AZ106">
        <v>6</v>
      </c>
      <c r="BA106" t="s">
        <v>2163</v>
      </c>
    </row>
    <row r="107" spans="1:53" ht="21" customHeight="1">
      <c r="B107" s="649" t="s">
        <v>1440</v>
      </c>
      <c r="C107" s="646" t="s">
        <v>2795</v>
      </c>
      <c r="D107" s="646" t="s">
        <v>2798</v>
      </c>
      <c r="E107" s="646" t="s">
        <v>2799</v>
      </c>
      <c r="F107" s="646" t="s">
        <v>2800</v>
      </c>
      <c r="G107" s="646" t="s">
        <v>2801</v>
      </c>
      <c r="H107" s="646" t="s">
        <v>2802</v>
      </c>
      <c r="I107" s="646" t="s">
        <v>2803</v>
      </c>
      <c r="J107" s="646" t="s">
        <v>2804</v>
      </c>
      <c r="K107" s="646" t="s">
        <v>2805</v>
      </c>
      <c r="L107" s="646" t="s">
        <v>2806</v>
      </c>
      <c r="M107" s="646" t="s">
        <v>2807</v>
      </c>
      <c r="N107" s="646" t="s">
        <v>2808</v>
      </c>
      <c r="O107" s="646" t="s">
        <v>2810</v>
      </c>
      <c r="P107" s="647" t="s">
        <v>2080</v>
      </c>
      <c r="R107" s="749" t="s">
        <v>2416</v>
      </c>
      <c r="S107">
        <v>34</v>
      </c>
      <c r="T107" s="718">
        <v>2</v>
      </c>
      <c r="U107" s="399">
        <v>3.375</v>
      </c>
      <c r="AC107" s="644" t="s">
        <v>2159</v>
      </c>
      <c r="AD107">
        <v>7</v>
      </c>
      <c r="AE107">
        <v>0</v>
      </c>
      <c r="AF107">
        <v>11</v>
      </c>
      <c r="AH107" s="644"/>
      <c r="AY107">
        <v>8</v>
      </c>
      <c r="AZ107">
        <v>7</v>
      </c>
      <c r="BA107" t="s">
        <v>2162</v>
      </c>
    </row>
    <row r="108" spans="1:53">
      <c r="A108">
        <v>7</v>
      </c>
      <c r="B108" s="661" t="s">
        <v>2149</v>
      </c>
      <c r="C108">
        <v>8</v>
      </c>
      <c r="D108">
        <v>4</v>
      </c>
      <c r="E108">
        <v>2</v>
      </c>
      <c r="F108">
        <v>3</v>
      </c>
      <c r="G108">
        <v>6</v>
      </c>
      <c r="H108">
        <v>3</v>
      </c>
      <c r="I108">
        <v>3</v>
      </c>
      <c r="J108">
        <v>3</v>
      </c>
      <c r="K108" s="676">
        <v>1</v>
      </c>
      <c r="L108" s="13">
        <v>1</v>
      </c>
      <c r="M108">
        <v>3</v>
      </c>
      <c r="N108" s="651">
        <v>3</v>
      </c>
      <c r="O108" s="699">
        <v>1</v>
      </c>
      <c r="P108" s="648">
        <f>AVERAGE(C108:O108)</f>
        <v>3.1538461538461537</v>
      </c>
      <c r="R108" s="750" t="s">
        <v>2092</v>
      </c>
      <c r="S108">
        <v>2</v>
      </c>
      <c r="T108" s="718">
        <v>3</v>
      </c>
      <c r="U108" s="399">
        <v>3.3846153846153846</v>
      </c>
      <c r="AE108">
        <v>0</v>
      </c>
      <c r="AH108" s="681"/>
      <c r="AY108">
        <v>8</v>
      </c>
      <c r="AZ108">
        <v>8</v>
      </c>
      <c r="BA108" t="s">
        <v>2162</v>
      </c>
    </row>
    <row r="109" spans="1:53" ht="21">
      <c r="A109">
        <v>7</v>
      </c>
      <c r="B109" s="645" t="s">
        <v>2150</v>
      </c>
      <c r="C109">
        <v>3</v>
      </c>
      <c r="D109" s="13">
        <v>1</v>
      </c>
      <c r="E109">
        <v>5</v>
      </c>
      <c r="F109" s="13">
        <v>1</v>
      </c>
      <c r="G109">
        <v>5</v>
      </c>
      <c r="H109">
        <v>2</v>
      </c>
      <c r="I109" s="13">
        <v>1</v>
      </c>
      <c r="J109" s="13">
        <v>1</v>
      </c>
      <c r="K109">
        <v>3</v>
      </c>
      <c r="L109">
        <v>3</v>
      </c>
      <c r="M109" s="659">
        <v>1</v>
      </c>
      <c r="N109">
        <v>2</v>
      </c>
      <c r="O109">
        <v>2</v>
      </c>
      <c r="P109" s="648">
        <f t="shared" ref="P109:P118" si="5">AVERAGE(C109:O109)</f>
        <v>2.3076923076923075</v>
      </c>
      <c r="R109" s="748" t="s">
        <v>2127</v>
      </c>
      <c r="S109">
        <v>5</v>
      </c>
      <c r="T109" s="718">
        <v>4</v>
      </c>
      <c r="U109" s="399">
        <v>3.3846153846153846</v>
      </c>
      <c r="AC109" s="1" t="s">
        <v>133</v>
      </c>
      <c r="AE109">
        <v>0</v>
      </c>
      <c r="AH109" s="743"/>
      <c r="AY109">
        <v>8</v>
      </c>
      <c r="AZ109">
        <v>9</v>
      </c>
      <c r="BA109" t="s">
        <v>1448</v>
      </c>
    </row>
    <row r="110" spans="1:53" ht="18">
      <c r="A110">
        <v>7</v>
      </c>
      <c r="B110" s="645" t="s">
        <v>2151</v>
      </c>
      <c r="C110">
        <v>10</v>
      </c>
      <c r="D110">
        <v>2</v>
      </c>
      <c r="E110">
        <v>4</v>
      </c>
      <c r="F110">
        <v>4</v>
      </c>
      <c r="G110">
        <v>2</v>
      </c>
      <c r="H110" s="13">
        <v>1</v>
      </c>
      <c r="I110">
        <v>2</v>
      </c>
      <c r="J110" s="656">
        <v>2</v>
      </c>
      <c r="K110">
        <v>2</v>
      </c>
      <c r="L110" s="651">
        <v>4</v>
      </c>
      <c r="M110" s="657">
        <v>2</v>
      </c>
      <c r="N110" s="13">
        <v>1</v>
      </c>
      <c r="O110">
        <v>3</v>
      </c>
      <c r="P110" s="648">
        <f t="shared" si="5"/>
        <v>3</v>
      </c>
      <c r="R110" s="750" t="s">
        <v>2365</v>
      </c>
      <c r="S110">
        <v>29</v>
      </c>
      <c r="T110" s="718">
        <v>2</v>
      </c>
      <c r="U110" s="399">
        <v>3.4</v>
      </c>
      <c r="AC110" s="649" t="s">
        <v>1440</v>
      </c>
      <c r="AE110">
        <v>0</v>
      </c>
      <c r="AF110" t="s">
        <v>2080</v>
      </c>
      <c r="AH110" s="743"/>
      <c r="AY110">
        <v>8</v>
      </c>
      <c r="AZ110">
        <v>10</v>
      </c>
      <c r="BA110" t="s">
        <v>2160</v>
      </c>
    </row>
    <row r="111" spans="1:53">
      <c r="A111">
        <v>7</v>
      </c>
      <c r="B111" s="645" t="s">
        <v>2152</v>
      </c>
      <c r="C111">
        <v>6</v>
      </c>
      <c r="D111">
        <v>7</v>
      </c>
      <c r="E111">
        <v>7</v>
      </c>
      <c r="F111">
        <v>7</v>
      </c>
      <c r="G111" s="651">
        <v>7</v>
      </c>
      <c r="H111">
        <v>5</v>
      </c>
      <c r="I111">
        <v>5</v>
      </c>
      <c r="J111" s="651">
        <v>5</v>
      </c>
      <c r="K111">
        <v>4</v>
      </c>
      <c r="L111">
        <v>2</v>
      </c>
      <c r="M111" s="650">
        <v>4</v>
      </c>
      <c r="N111" s="12">
        <v>4</v>
      </c>
      <c r="O111" s="12"/>
      <c r="P111" s="648">
        <f t="shared" si="5"/>
        <v>5.25</v>
      </c>
      <c r="R111" s="747" t="s">
        <v>2274</v>
      </c>
      <c r="S111">
        <v>20</v>
      </c>
      <c r="T111" s="718">
        <v>0</v>
      </c>
      <c r="U111" s="399">
        <v>3.4166666666666665</v>
      </c>
      <c r="AC111" s="661" t="s">
        <v>1448</v>
      </c>
      <c r="AD111">
        <v>8</v>
      </c>
      <c r="AE111">
        <v>2</v>
      </c>
      <c r="AF111">
        <v>2.8181818181818183</v>
      </c>
      <c r="AH111" s="681"/>
      <c r="AY111">
        <v>8</v>
      </c>
      <c r="AZ111">
        <v>11</v>
      </c>
      <c r="BA111" t="s">
        <v>2160</v>
      </c>
    </row>
    <row r="112" spans="1:53">
      <c r="A112">
        <v>7</v>
      </c>
      <c r="B112" s="645" t="s">
        <v>2153</v>
      </c>
      <c r="C112">
        <v>5</v>
      </c>
      <c r="D112">
        <v>5</v>
      </c>
      <c r="E112" s="13">
        <v>1</v>
      </c>
      <c r="F112">
        <v>5</v>
      </c>
      <c r="G112">
        <v>4</v>
      </c>
      <c r="H112">
        <v>4</v>
      </c>
      <c r="I112">
        <v>4</v>
      </c>
      <c r="J112">
        <v>4</v>
      </c>
      <c r="K112" s="650">
        <v>5</v>
      </c>
      <c r="L112" s="12"/>
      <c r="M112" s="12"/>
      <c r="N112" s="1490">
        <v>0</v>
      </c>
      <c r="O112" s="12"/>
      <c r="P112" s="648">
        <f t="shared" si="5"/>
        <v>3.7</v>
      </c>
      <c r="R112" s="748" t="s">
        <v>2306</v>
      </c>
      <c r="S112">
        <v>23</v>
      </c>
      <c r="T112" s="718">
        <v>3</v>
      </c>
      <c r="U112" s="399">
        <v>3.4166666666666665</v>
      </c>
      <c r="AC112" s="645" t="s">
        <v>2160</v>
      </c>
      <c r="AD112">
        <v>8</v>
      </c>
      <c r="AE112">
        <v>3</v>
      </c>
      <c r="AF112">
        <v>3.1818181818181817</v>
      </c>
      <c r="AH112" s="644"/>
      <c r="AY112">
        <v>8</v>
      </c>
      <c r="AZ112" t="s">
        <v>2810</v>
      </c>
      <c r="BA112" t="s">
        <v>1448</v>
      </c>
    </row>
    <row r="113" spans="1:53">
      <c r="A113">
        <v>7</v>
      </c>
      <c r="B113" s="645" t="s">
        <v>2154</v>
      </c>
      <c r="C113">
        <v>4</v>
      </c>
      <c r="D113">
        <v>9</v>
      </c>
      <c r="E113">
        <v>3</v>
      </c>
      <c r="F113">
        <v>2</v>
      </c>
      <c r="G113">
        <v>3</v>
      </c>
      <c r="H113">
        <v>6</v>
      </c>
      <c r="I113" s="650">
        <v>6</v>
      </c>
      <c r="J113" s="12"/>
      <c r="K113" s="1490">
        <v>0</v>
      </c>
      <c r="L113" s="1490">
        <v>0</v>
      </c>
      <c r="M113" s="1490">
        <v>0</v>
      </c>
      <c r="N113" s="1490">
        <v>0</v>
      </c>
      <c r="O113" s="1490">
        <v>0</v>
      </c>
      <c r="P113" s="648">
        <f t="shared" si="5"/>
        <v>2.75</v>
      </c>
      <c r="R113" s="748" t="s">
        <v>2372</v>
      </c>
      <c r="S113">
        <v>30</v>
      </c>
      <c r="T113" s="718">
        <v>2</v>
      </c>
      <c r="U113" s="399">
        <v>3.4166666666666665</v>
      </c>
      <c r="AC113" s="645" t="s">
        <v>2161</v>
      </c>
      <c r="AD113">
        <v>8</v>
      </c>
      <c r="AE113">
        <v>1</v>
      </c>
      <c r="AF113">
        <v>3.2727272727272729</v>
      </c>
      <c r="AH113" s="681"/>
      <c r="AY113">
        <v>9</v>
      </c>
      <c r="AZ113">
        <v>1</v>
      </c>
      <c r="BA113" t="s">
        <v>2170</v>
      </c>
    </row>
    <row r="114" spans="1:53">
      <c r="A114">
        <v>7</v>
      </c>
      <c r="B114" s="645" t="s">
        <v>2155</v>
      </c>
      <c r="C114">
        <v>7</v>
      </c>
      <c r="D114">
        <v>3</v>
      </c>
      <c r="E114">
        <v>6</v>
      </c>
      <c r="F114">
        <v>6</v>
      </c>
      <c r="G114" s="13">
        <v>1</v>
      </c>
      <c r="H114" s="650">
        <v>7</v>
      </c>
      <c r="I114" s="12"/>
      <c r="J114" s="1490">
        <v>0</v>
      </c>
      <c r="K114" s="1490">
        <v>0</v>
      </c>
      <c r="L114" s="12"/>
      <c r="M114" s="12"/>
      <c r="N114" s="12"/>
      <c r="O114" s="12"/>
      <c r="P114" s="648">
        <f t="shared" si="5"/>
        <v>3.75</v>
      </c>
      <c r="R114" s="750" t="s">
        <v>2194</v>
      </c>
      <c r="S114">
        <v>12</v>
      </c>
      <c r="T114" s="718">
        <v>3</v>
      </c>
      <c r="U114" s="399">
        <v>3.4545454545454546</v>
      </c>
      <c r="AC114" s="645" t="s">
        <v>2162</v>
      </c>
      <c r="AD114">
        <v>8</v>
      </c>
      <c r="AE114">
        <v>3</v>
      </c>
      <c r="AF114">
        <v>3.1</v>
      </c>
      <c r="AH114" s="713"/>
      <c r="AY114">
        <v>9</v>
      </c>
      <c r="AZ114">
        <v>2</v>
      </c>
      <c r="BA114" t="s">
        <v>2169</v>
      </c>
    </row>
    <row r="115" spans="1:53">
      <c r="A115">
        <v>7</v>
      </c>
      <c r="B115" s="645" t="s">
        <v>2156</v>
      </c>
      <c r="C115">
        <v>2</v>
      </c>
      <c r="D115">
        <v>8</v>
      </c>
      <c r="E115">
        <v>8</v>
      </c>
      <c r="F115" s="650">
        <v>8</v>
      </c>
      <c r="G115" s="12"/>
      <c r="H115" s="12"/>
      <c r="I115" s="1490">
        <v>0</v>
      </c>
      <c r="J115" s="1490">
        <v>0</v>
      </c>
      <c r="K115" s="12"/>
      <c r="L115" s="12"/>
      <c r="M115" s="12"/>
      <c r="N115" s="12"/>
      <c r="O115" s="12"/>
      <c r="P115" s="648">
        <f t="shared" si="5"/>
        <v>4.333333333333333</v>
      </c>
      <c r="R115" s="748" t="s">
        <v>2234</v>
      </c>
      <c r="S115">
        <v>18</v>
      </c>
      <c r="T115" s="718">
        <v>4</v>
      </c>
      <c r="U115" s="399">
        <v>3.4545454545454546</v>
      </c>
      <c r="AC115" s="645" t="s">
        <v>2163</v>
      </c>
      <c r="AD115">
        <v>8</v>
      </c>
      <c r="AE115">
        <v>2</v>
      </c>
      <c r="AF115">
        <v>4.125</v>
      </c>
      <c r="AH115" s="644"/>
      <c r="AY115">
        <v>9</v>
      </c>
      <c r="AZ115">
        <v>3</v>
      </c>
      <c r="BA115" t="s">
        <v>2170</v>
      </c>
    </row>
    <row r="116" spans="1:53">
      <c r="A116">
        <v>7</v>
      </c>
      <c r="B116" s="644" t="s">
        <v>2157</v>
      </c>
      <c r="C116" s="655">
        <v>1</v>
      </c>
      <c r="D116">
        <v>6</v>
      </c>
      <c r="E116" s="650">
        <v>9</v>
      </c>
      <c r="F116" s="12"/>
      <c r="G116" s="12"/>
      <c r="H116" s="1490">
        <v>0</v>
      </c>
      <c r="I116" s="12"/>
      <c r="J116" s="12"/>
      <c r="K116" s="12"/>
      <c r="L116" s="12"/>
      <c r="M116" s="12"/>
      <c r="N116" s="12"/>
      <c r="O116" s="12"/>
      <c r="P116" s="648">
        <f t="shared" si="5"/>
        <v>4</v>
      </c>
      <c r="R116" s="748" t="s">
        <v>2373</v>
      </c>
      <c r="S116">
        <v>30</v>
      </c>
      <c r="T116" s="718">
        <v>2</v>
      </c>
      <c r="U116" s="399">
        <v>3.5</v>
      </c>
      <c r="AC116" s="645" t="s">
        <v>2164</v>
      </c>
      <c r="AD116">
        <v>8</v>
      </c>
      <c r="AE116">
        <v>0</v>
      </c>
      <c r="AF116">
        <v>5.5</v>
      </c>
      <c r="AH116" s="644"/>
      <c r="AY116">
        <v>9</v>
      </c>
      <c r="AZ116">
        <v>4</v>
      </c>
      <c r="BA116" t="s">
        <v>2170</v>
      </c>
    </row>
    <row r="117" spans="1:53">
      <c r="A117">
        <v>7</v>
      </c>
      <c r="B117" s="644" t="s">
        <v>2158</v>
      </c>
      <c r="C117" s="653">
        <v>9</v>
      </c>
      <c r="D117" s="650">
        <v>10</v>
      </c>
      <c r="E117" s="12"/>
      <c r="F117" s="12"/>
      <c r="G117" s="1492">
        <v>0</v>
      </c>
      <c r="H117" s="12"/>
      <c r="I117" s="12"/>
      <c r="J117" s="12"/>
      <c r="K117" s="12"/>
      <c r="L117" s="12"/>
      <c r="M117" s="12"/>
      <c r="N117" s="12"/>
      <c r="O117" s="12"/>
      <c r="P117" s="648">
        <f t="shared" si="5"/>
        <v>6.333333333333333</v>
      </c>
      <c r="R117" s="750" t="s">
        <v>2220</v>
      </c>
      <c r="S117">
        <v>14</v>
      </c>
      <c r="T117" s="718">
        <v>1</v>
      </c>
      <c r="U117" s="399">
        <v>3.5714285714285716</v>
      </c>
      <c r="AC117" s="645" t="s">
        <v>2165</v>
      </c>
      <c r="AD117">
        <v>8</v>
      </c>
      <c r="AE117">
        <v>0</v>
      </c>
      <c r="AF117">
        <v>4.75</v>
      </c>
      <c r="AH117" s="681"/>
      <c r="AY117">
        <v>9</v>
      </c>
      <c r="AZ117">
        <v>5</v>
      </c>
      <c r="BA117" t="s">
        <v>2169</v>
      </c>
    </row>
    <row r="118" spans="1:53">
      <c r="A118">
        <v>7</v>
      </c>
      <c r="B118" s="644" t="s">
        <v>2159</v>
      </c>
      <c r="C118" s="652">
        <v>11</v>
      </c>
      <c r="D118" s="12"/>
      <c r="E118" s="12"/>
      <c r="F118" s="12"/>
      <c r="G118" s="12"/>
      <c r="H118" s="12"/>
      <c r="I118" s="12"/>
      <c r="J118" s="12"/>
      <c r="K118" s="12"/>
      <c r="L118" s="12"/>
      <c r="M118" s="12"/>
      <c r="N118" s="12"/>
      <c r="O118" s="12"/>
      <c r="P118" s="648">
        <f t="shared" si="5"/>
        <v>11</v>
      </c>
      <c r="R118" s="750" t="s">
        <v>2262</v>
      </c>
      <c r="S118">
        <v>19</v>
      </c>
      <c r="T118" s="718">
        <v>1</v>
      </c>
      <c r="U118" s="399">
        <v>3.5833333333333335</v>
      </c>
      <c r="AC118" s="645" t="s">
        <v>2166</v>
      </c>
      <c r="AD118">
        <v>8</v>
      </c>
      <c r="AE118">
        <v>0</v>
      </c>
      <c r="AF118">
        <v>7</v>
      </c>
      <c r="AH118" s="644"/>
      <c r="AY118">
        <v>9</v>
      </c>
      <c r="AZ118">
        <v>6</v>
      </c>
      <c r="BA118" t="s">
        <v>2170</v>
      </c>
    </row>
    <row r="119" spans="1:53">
      <c r="C119" s="1503"/>
      <c r="D119" s="12"/>
      <c r="E119" s="12"/>
      <c r="F119" s="12"/>
      <c r="G119" s="12"/>
      <c r="H119" s="12"/>
      <c r="I119" s="12"/>
      <c r="J119" s="12"/>
      <c r="K119" s="12"/>
      <c r="L119" s="12"/>
      <c r="M119" s="12"/>
      <c r="N119" s="12"/>
      <c r="O119" s="12"/>
      <c r="P119" s="660"/>
      <c r="R119" s="749" t="s">
        <v>2284</v>
      </c>
      <c r="S119">
        <v>21</v>
      </c>
      <c r="T119" s="718">
        <v>2</v>
      </c>
      <c r="U119" s="399">
        <v>3.5833333333333335</v>
      </c>
      <c r="AC119" s="644" t="s">
        <v>2167</v>
      </c>
      <c r="AD119">
        <v>8</v>
      </c>
      <c r="AE119">
        <v>0</v>
      </c>
      <c r="AF119">
        <v>6.5</v>
      </c>
      <c r="AH119" s="644"/>
      <c r="AY119">
        <v>9</v>
      </c>
      <c r="AZ119">
        <v>7</v>
      </c>
      <c r="BA119" t="s">
        <v>2170</v>
      </c>
    </row>
    <row r="120" spans="1:53" ht="21">
      <c r="B120" s="1" t="s">
        <v>133</v>
      </c>
      <c r="C120" s="1503"/>
      <c r="D120" s="12"/>
      <c r="E120" s="12"/>
      <c r="F120" s="12"/>
      <c r="G120" s="12"/>
      <c r="H120" s="12"/>
      <c r="I120" s="12"/>
      <c r="J120" s="12"/>
      <c r="K120" s="12"/>
      <c r="L120" s="12"/>
      <c r="M120" s="12"/>
      <c r="N120" s="12"/>
      <c r="O120" s="12"/>
      <c r="P120" s="660"/>
      <c r="R120" s="748" t="s">
        <v>2458</v>
      </c>
      <c r="S120">
        <v>37</v>
      </c>
      <c r="T120" s="718">
        <v>1</v>
      </c>
      <c r="U120" s="399">
        <v>3.6</v>
      </c>
      <c r="AC120" s="644" t="s">
        <v>2168</v>
      </c>
      <c r="AD120">
        <v>8</v>
      </c>
      <c r="AE120">
        <v>0</v>
      </c>
      <c r="AF120">
        <v>10</v>
      </c>
      <c r="AH120" s="681"/>
      <c r="AY120">
        <v>9</v>
      </c>
      <c r="AZ120">
        <v>8</v>
      </c>
      <c r="BA120" t="s">
        <v>2173</v>
      </c>
    </row>
    <row r="121" spans="1:53" ht="18">
      <c r="B121" s="649" t="s">
        <v>1440</v>
      </c>
      <c r="C121" s="646" t="s">
        <v>2795</v>
      </c>
      <c r="D121" s="646" t="s">
        <v>2798</v>
      </c>
      <c r="E121" s="646" t="s">
        <v>2799</v>
      </c>
      <c r="F121" s="646" t="s">
        <v>2800</v>
      </c>
      <c r="G121" s="646" t="s">
        <v>2801</v>
      </c>
      <c r="H121" s="646" t="s">
        <v>2802</v>
      </c>
      <c r="I121" s="646" t="s">
        <v>2803</v>
      </c>
      <c r="J121" s="646" t="s">
        <v>2804</v>
      </c>
      <c r="K121" s="646" t="s">
        <v>2805</v>
      </c>
      <c r="L121" s="646" t="s">
        <v>2806</v>
      </c>
      <c r="M121" s="646" t="s">
        <v>2807</v>
      </c>
      <c r="N121" s="646"/>
      <c r="O121" s="646" t="s">
        <v>2810</v>
      </c>
      <c r="P121" s="647" t="s">
        <v>2080</v>
      </c>
      <c r="R121" s="748" t="s">
        <v>2192</v>
      </c>
      <c r="S121">
        <v>11</v>
      </c>
      <c r="T121" s="718">
        <v>1</v>
      </c>
      <c r="U121" s="399">
        <v>3.6153846153846154</v>
      </c>
      <c r="AC121" s="644"/>
      <c r="AE121">
        <v>0</v>
      </c>
      <c r="AH121" s="681"/>
      <c r="AY121">
        <v>9</v>
      </c>
      <c r="AZ121">
        <v>9</v>
      </c>
      <c r="BA121" t="s">
        <v>2170</v>
      </c>
    </row>
    <row r="122" spans="1:53" ht="21">
      <c r="A122">
        <v>8</v>
      </c>
      <c r="B122" s="661" t="s">
        <v>1448</v>
      </c>
      <c r="C122">
        <v>9</v>
      </c>
      <c r="D122">
        <v>2</v>
      </c>
      <c r="E122">
        <v>2</v>
      </c>
      <c r="F122">
        <v>3</v>
      </c>
      <c r="G122">
        <v>4</v>
      </c>
      <c r="H122">
        <v>2</v>
      </c>
      <c r="I122">
        <v>3</v>
      </c>
      <c r="J122">
        <v>2</v>
      </c>
      <c r="K122" s="659">
        <v>1</v>
      </c>
      <c r="L122">
        <v>3</v>
      </c>
      <c r="M122">
        <v>2</v>
      </c>
      <c r="N122" s="12"/>
      <c r="O122" s="699">
        <v>1</v>
      </c>
      <c r="P122" s="648">
        <f>AVERAGE(C122:N122)</f>
        <v>3</v>
      </c>
      <c r="R122" s="748" t="s">
        <v>2143</v>
      </c>
      <c r="S122">
        <v>6</v>
      </c>
      <c r="T122" s="718">
        <v>0</v>
      </c>
      <c r="U122" s="399">
        <v>3.625</v>
      </c>
      <c r="AC122" s="1" t="s">
        <v>134</v>
      </c>
      <c r="AE122">
        <v>0</v>
      </c>
      <c r="AH122" s="743"/>
      <c r="AY122">
        <v>9</v>
      </c>
      <c r="AZ122">
        <v>10</v>
      </c>
      <c r="BA122" t="s">
        <v>2171</v>
      </c>
    </row>
    <row r="123" spans="1:53" ht="18">
      <c r="A123">
        <v>8</v>
      </c>
      <c r="B123" s="645" t="s">
        <v>2160</v>
      </c>
      <c r="C123">
        <v>7</v>
      </c>
      <c r="D123">
        <v>6</v>
      </c>
      <c r="E123" s="13">
        <v>1</v>
      </c>
      <c r="F123" s="13">
        <v>1</v>
      </c>
      <c r="G123">
        <v>3</v>
      </c>
      <c r="H123">
        <v>3</v>
      </c>
      <c r="I123" s="651">
        <v>5</v>
      </c>
      <c r="J123">
        <v>4</v>
      </c>
      <c r="K123">
        <v>2</v>
      </c>
      <c r="L123" s="13">
        <v>1</v>
      </c>
      <c r="M123" s="13">
        <v>1</v>
      </c>
      <c r="N123" s="12"/>
      <c r="O123">
        <v>2</v>
      </c>
      <c r="P123" s="648">
        <f>AVERAGE(C123:O123)</f>
        <v>3</v>
      </c>
      <c r="R123" s="749" t="s">
        <v>2197</v>
      </c>
      <c r="S123">
        <v>12</v>
      </c>
      <c r="T123" s="718">
        <v>0</v>
      </c>
      <c r="U123" s="399">
        <v>3.625</v>
      </c>
      <c r="AC123" s="649" t="s">
        <v>1440</v>
      </c>
      <c r="AE123">
        <v>0</v>
      </c>
      <c r="AF123" t="s">
        <v>2080</v>
      </c>
      <c r="AH123" s="644"/>
      <c r="AY123">
        <v>9</v>
      </c>
      <c r="AZ123">
        <v>11</v>
      </c>
      <c r="BA123" t="s">
        <v>2169</v>
      </c>
    </row>
    <row r="124" spans="1:53">
      <c r="A124">
        <v>8</v>
      </c>
      <c r="B124" s="645" t="s">
        <v>2161</v>
      </c>
      <c r="C124">
        <v>3</v>
      </c>
      <c r="D124" s="13">
        <v>1</v>
      </c>
      <c r="E124">
        <v>5</v>
      </c>
      <c r="F124">
        <v>5</v>
      </c>
      <c r="G124">
        <v>2</v>
      </c>
      <c r="H124" s="657">
        <v>5</v>
      </c>
      <c r="I124">
        <v>2</v>
      </c>
      <c r="J124">
        <v>3</v>
      </c>
      <c r="K124" s="658">
        <v>4</v>
      </c>
      <c r="L124">
        <v>2</v>
      </c>
      <c r="M124">
        <v>3</v>
      </c>
      <c r="N124" s="12"/>
      <c r="O124">
        <v>3</v>
      </c>
      <c r="P124" s="648">
        <f>AVERAGE(C124:O124)</f>
        <v>3.1666666666666665</v>
      </c>
      <c r="R124" s="750" t="s">
        <v>2119</v>
      </c>
      <c r="S124">
        <v>4</v>
      </c>
      <c r="T124" s="718">
        <v>2</v>
      </c>
      <c r="U124" s="399">
        <v>3.6666666666666665</v>
      </c>
      <c r="AC124" s="661" t="s">
        <v>2169</v>
      </c>
      <c r="AD124">
        <v>9</v>
      </c>
      <c r="AE124">
        <v>5</v>
      </c>
      <c r="AF124">
        <v>2.4615384615384617</v>
      </c>
      <c r="AH124" s="644"/>
      <c r="AY124">
        <v>9</v>
      </c>
      <c r="AZ124">
        <v>12</v>
      </c>
      <c r="BA124" t="s">
        <v>2169</v>
      </c>
    </row>
    <row r="125" spans="1:53">
      <c r="A125">
        <v>8</v>
      </c>
      <c r="B125" s="645" t="s">
        <v>2162</v>
      </c>
      <c r="C125" s="13">
        <v>1</v>
      </c>
      <c r="D125">
        <v>3</v>
      </c>
      <c r="E125">
        <v>4</v>
      </c>
      <c r="F125">
        <v>4</v>
      </c>
      <c r="G125" s="651">
        <v>6</v>
      </c>
      <c r="H125">
        <v>4</v>
      </c>
      <c r="I125" s="13">
        <v>1</v>
      </c>
      <c r="J125" s="13">
        <v>1</v>
      </c>
      <c r="K125">
        <v>3</v>
      </c>
      <c r="L125" s="651">
        <v>4</v>
      </c>
      <c r="M125" s="650">
        <v>4</v>
      </c>
      <c r="N125" s="12"/>
      <c r="O125" s="12"/>
      <c r="P125" s="648">
        <f ca="1">AVERAGE(C125:P125)</f>
        <v>3.1</v>
      </c>
      <c r="R125" s="748" t="s">
        <v>2138</v>
      </c>
      <c r="S125">
        <v>6</v>
      </c>
      <c r="T125" s="718">
        <v>2</v>
      </c>
      <c r="U125" s="399">
        <v>3.6666666666666665</v>
      </c>
      <c r="AC125" s="645" t="s">
        <v>2170</v>
      </c>
      <c r="AD125">
        <v>9</v>
      </c>
      <c r="AE125">
        <v>6</v>
      </c>
      <c r="AF125">
        <v>1.6923076923076923</v>
      </c>
      <c r="AH125" s="644"/>
      <c r="AY125">
        <v>9</v>
      </c>
      <c r="AZ125">
        <v>13</v>
      </c>
      <c r="BA125" t="s">
        <v>2169</v>
      </c>
    </row>
    <row r="126" spans="1:53">
      <c r="A126">
        <v>8</v>
      </c>
      <c r="B126" s="645" t="s">
        <v>2163</v>
      </c>
      <c r="C126">
        <v>6</v>
      </c>
      <c r="D126">
        <v>8</v>
      </c>
      <c r="E126">
        <v>6</v>
      </c>
      <c r="F126">
        <v>2</v>
      </c>
      <c r="G126" s="676">
        <v>1</v>
      </c>
      <c r="H126" s="659">
        <v>1</v>
      </c>
      <c r="I126">
        <v>4</v>
      </c>
      <c r="J126" s="650">
        <v>5</v>
      </c>
      <c r="K126" s="12"/>
      <c r="L126" s="12"/>
      <c r="M126" s="12"/>
      <c r="N126" s="12"/>
      <c r="O126" s="12"/>
      <c r="P126" s="648">
        <f t="shared" ref="P126:P131" si="6">AVERAGE(C126:O126)</f>
        <v>4.125</v>
      </c>
      <c r="R126" s="748" t="s">
        <v>2407</v>
      </c>
      <c r="S126">
        <v>33</v>
      </c>
      <c r="T126" s="718">
        <v>1</v>
      </c>
      <c r="U126" s="399">
        <v>3.6666666666666665</v>
      </c>
      <c r="AC126" s="645" t="s">
        <v>2171</v>
      </c>
      <c r="AD126">
        <v>9</v>
      </c>
      <c r="AE126">
        <v>1</v>
      </c>
      <c r="AF126">
        <v>4.2307692307692308</v>
      </c>
      <c r="AH126" s="743"/>
      <c r="AY126">
        <v>10</v>
      </c>
      <c r="AZ126">
        <v>1</v>
      </c>
      <c r="BA126" t="s">
        <v>2180</v>
      </c>
    </row>
    <row r="127" spans="1:53">
      <c r="A127">
        <v>8</v>
      </c>
      <c r="B127" s="645" t="s">
        <v>2164</v>
      </c>
      <c r="C127">
        <v>2</v>
      </c>
      <c r="D127">
        <v>7</v>
      </c>
      <c r="E127">
        <v>7</v>
      </c>
      <c r="F127">
        <v>6</v>
      </c>
      <c r="G127">
        <v>5</v>
      </c>
      <c r="H127" s="650">
        <v>6</v>
      </c>
      <c r="I127" s="12"/>
      <c r="J127" s="12"/>
      <c r="K127" s="1490"/>
      <c r="L127" s="1490"/>
      <c r="M127" s="1490"/>
      <c r="N127" s="12"/>
      <c r="O127" s="12"/>
      <c r="P127" s="648">
        <f t="shared" si="6"/>
        <v>5.5</v>
      </c>
      <c r="R127" s="748" t="s">
        <v>2094</v>
      </c>
      <c r="S127">
        <v>2</v>
      </c>
      <c r="T127" s="718">
        <v>2</v>
      </c>
      <c r="U127" s="399">
        <v>3.6923076923076925</v>
      </c>
      <c r="AC127" s="645" t="s">
        <v>2172</v>
      </c>
      <c r="AD127">
        <v>9</v>
      </c>
      <c r="AE127">
        <v>0</v>
      </c>
      <c r="AF127">
        <v>3.8181818181818183</v>
      </c>
      <c r="AH127" s="681"/>
      <c r="AY127">
        <v>10</v>
      </c>
      <c r="AZ127">
        <v>2</v>
      </c>
      <c r="BA127" t="s">
        <v>2186</v>
      </c>
    </row>
    <row r="128" spans="1:53">
      <c r="A128">
        <v>8</v>
      </c>
      <c r="B128" s="645" t="s">
        <v>2165</v>
      </c>
      <c r="C128">
        <v>5</v>
      </c>
      <c r="D128">
        <v>4</v>
      </c>
      <c r="E128">
        <v>3</v>
      </c>
      <c r="F128" s="650">
        <v>7</v>
      </c>
      <c r="G128" s="12"/>
      <c r="H128" s="12"/>
      <c r="I128" s="12"/>
      <c r="J128" s="1490"/>
      <c r="K128" s="1490"/>
      <c r="L128" s="12"/>
      <c r="M128" s="12"/>
      <c r="N128" s="12"/>
      <c r="O128" s="12"/>
      <c r="P128" s="648">
        <f t="shared" si="6"/>
        <v>4.75</v>
      </c>
      <c r="R128" s="748" t="s">
        <v>2196</v>
      </c>
      <c r="S128">
        <v>12</v>
      </c>
      <c r="T128" s="718">
        <v>0</v>
      </c>
      <c r="U128" s="399">
        <v>3.7</v>
      </c>
      <c r="AC128" s="645" t="s">
        <v>2173</v>
      </c>
      <c r="AD128">
        <v>9</v>
      </c>
      <c r="AE128">
        <v>1</v>
      </c>
      <c r="AF128">
        <v>4.8888888888888893</v>
      </c>
      <c r="AH128" s="644"/>
      <c r="AY128">
        <v>10</v>
      </c>
      <c r="AZ128">
        <v>3</v>
      </c>
      <c r="BA128" t="s">
        <v>2184</v>
      </c>
    </row>
    <row r="129" spans="1:58">
      <c r="A129">
        <v>8</v>
      </c>
      <c r="B129" s="645" t="s">
        <v>2166</v>
      </c>
      <c r="C129">
        <v>8</v>
      </c>
      <c r="D129">
        <v>5</v>
      </c>
      <c r="E129" s="650">
        <v>8</v>
      </c>
      <c r="F129" s="12"/>
      <c r="G129" s="12"/>
      <c r="H129" s="12"/>
      <c r="I129" s="1490"/>
      <c r="J129" s="1490"/>
      <c r="K129" s="12"/>
      <c r="L129" s="12"/>
      <c r="M129" s="12"/>
      <c r="N129" s="12"/>
      <c r="O129" s="12"/>
      <c r="P129" s="648">
        <f t="shared" si="6"/>
        <v>7</v>
      </c>
      <c r="R129" s="750" t="s">
        <v>2132</v>
      </c>
      <c r="S129">
        <v>5</v>
      </c>
      <c r="T129" s="718">
        <v>0</v>
      </c>
      <c r="U129" s="399">
        <v>3.7142857142857144</v>
      </c>
      <c r="AC129" s="645" t="s">
        <v>2174</v>
      </c>
      <c r="AD129">
        <v>9</v>
      </c>
      <c r="AE129">
        <v>0</v>
      </c>
      <c r="AF129">
        <v>4.7142857142857144</v>
      </c>
      <c r="AH129" s="644"/>
      <c r="AY129">
        <v>10</v>
      </c>
      <c r="AZ129">
        <v>4</v>
      </c>
      <c r="BA129" t="s">
        <v>2181</v>
      </c>
    </row>
    <row r="130" spans="1:58">
      <c r="A130">
        <v>8</v>
      </c>
      <c r="B130" s="644" t="s">
        <v>2167</v>
      </c>
      <c r="C130" s="653">
        <v>4</v>
      </c>
      <c r="D130" s="650">
        <v>9</v>
      </c>
      <c r="E130" s="12"/>
      <c r="F130" s="12"/>
      <c r="G130" s="12"/>
      <c r="H130" s="1490"/>
      <c r="I130" s="12"/>
      <c r="J130" s="12"/>
      <c r="K130" s="12"/>
      <c r="L130" s="12"/>
      <c r="M130" s="12"/>
      <c r="N130" s="12"/>
      <c r="O130" s="12"/>
      <c r="P130" s="648">
        <f t="shared" si="6"/>
        <v>6.5</v>
      </c>
      <c r="R130" s="748" t="s">
        <v>2118</v>
      </c>
      <c r="S130">
        <v>4</v>
      </c>
      <c r="T130" s="718">
        <v>1</v>
      </c>
      <c r="U130" s="399">
        <v>3.7272727272727271</v>
      </c>
      <c r="AC130" s="645" t="s">
        <v>2175</v>
      </c>
      <c r="AD130">
        <v>9</v>
      </c>
      <c r="AE130">
        <v>0</v>
      </c>
      <c r="AF130">
        <v>5.833333333333333</v>
      </c>
      <c r="AH130" s="644"/>
      <c r="AY130">
        <v>10</v>
      </c>
      <c r="AZ130">
        <v>5</v>
      </c>
      <c r="BA130" t="s">
        <v>2186</v>
      </c>
    </row>
    <row r="131" spans="1:58">
      <c r="A131">
        <v>8</v>
      </c>
      <c r="B131" s="644" t="s">
        <v>2168</v>
      </c>
      <c r="C131" s="652">
        <v>10</v>
      </c>
      <c r="D131" s="12"/>
      <c r="E131" s="12"/>
      <c r="F131" s="12"/>
      <c r="G131" s="1492"/>
      <c r="H131" s="12"/>
      <c r="I131" s="12"/>
      <c r="J131" s="12"/>
      <c r="K131" s="12"/>
      <c r="L131" s="12"/>
      <c r="M131" s="12"/>
      <c r="N131" s="12"/>
      <c r="O131" s="12"/>
      <c r="P131" s="648">
        <f t="shared" si="6"/>
        <v>10</v>
      </c>
      <c r="R131" s="750" t="s">
        <v>2308</v>
      </c>
      <c r="S131">
        <v>24</v>
      </c>
      <c r="T131" s="718">
        <v>1</v>
      </c>
      <c r="U131" s="399">
        <v>3.7272727272727271</v>
      </c>
      <c r="AC131" s="645" t="s">
        <v>2176</v>
      </c>
      <c r="AD131">
        <v>9</v>
      </c>
      <c r="AE131">
        <v>0</v>
      </c>
      <c r="AF131">
        <v>7.8</v>
      </c>
      <c r="AH131" s="644"/>
      <c r="AY131">
        <v>10</v>
      </c>
      <c r="AZ131">
        <v>6</v>
      </c>
      <c r="BA131" t="s">
        <v>2185</v>
      </c>
    </row>
    <row r="132" spans="1:58">
      <c r="B132" s="644"/>
      <c r="N132" s="1493"/>
      <c r="P132" s="660"/>
      <c r="R132" s="750" t="s">
        <v>2229</v>
      </c>
      <c r="S132">
        <v>18</v>
      </c>
      <c r="T132" s="718">
        <v>2</v>
      </c>
      <c r="U132" s="399">
        <v>3.75</v>
      </c>
      <c r="AC132" s="644" t="s">
        <v>2177</v>
      </c>
      <c r="AD132">
        <v>9</v>
      </c>
      <c r="AE132">
        <v>0</v>
      </c>
      <c r="AF132">
        <v>6.25</v>
      </c>
      <c r="AH132" s="681"/>
      <c r="AY132">
        <v>10</v>
      </c>
      <c r="AZ132">
        <v>7</v>
      </c>
      <c r="BA132" t="s">
        <v>2183</v>
      </c>
    </row>
    <row r="133" spans="1:58" ht="21">
      <c r="B133" s="1" t="s">
        <v>134</v>
      </c>
      <c r="C133" s="1503"/>
      <c r="D133" s="12"/>
      <c r="E133" s="12"/>
      <c r="F133" s="12"/>
      <c r="G133" s="12"/>
      <c r="H133" s="12"/>
      <c r="I133" s="12"/>
      <c r="J133" s="12"/>
      <c r="K133" s="12"/>
      <c r="L133" s="12"/>
      <c r="M133" s="12"/>
      <c r="N133" s="12"/>
      <c r="O133" s="12"/>
      <c r="P133" s="660"/>
      <c r="R133" s="750" t="s">
        <v>2302</v>
      </c>
      <c r="S133">
        <v>22</v>
      </c>
      <c r="T133" s="718">
        <v>1</v>
      </c>
      <c r="U133" s="399">
        <v>3.75</v>
      </c>
      <c r="AC133" s="644" t="s">
        <v>2178</v>
      </c>
      <c r="AD133">
        <v>9</v>
      </c>
      <c r="AE133">
        <v>0</v>
      </c>
      <c r="AF133">
        <v>10</v>
      </c>
      <c r="AH133" s="644"/>
      <c r="AY133">
        <v>10</v>
      </c>
      <c r="AZ133">
        <v>8</v>
      </c>
      <c r="BA133" t="s">
        <v>2183</v>
      </c>
    </row>
    <row r="134" spans="1:58" ht="21" customHeight="1">
      <c r="B134" s="649" t="s">
        <v>1440</v>
      </c>
      <c r="C134" s="646" t="s">
        <v>2795</v>
      </c>
      <c r="D134" s="646" t="s">
        <v>2798</v>
      </c>
      <c r="E134" s="646" t="s">
        <v>2799</v>
      </c>
      <c r="F134" s="646" t="s">
        <v>2800</v>
      </c>
      <c r="G134" s="646" t="s">
        <v>2801</v>
      </c>
      <c r="H134" s="646" t="s">
        <v>2802</v>
      </c>
      <c r="I134" s="646" t="s">
        <v>2803</v>
      </c>
      <c r="J134" s="646" t="s">
        <v>2804</v>
      </c>
      <c r="K134" s="646" t="s">
        <v>2805</v>
      </c>
      <c r="L134" s="646" t="s">
        <v>2806</v>
      </c>
      <c r="M134" s="646" t="s">
        <v>2807</v>
      </c>
      <c r="N134" s="646" t="s">
        <v>2808</v>
      </c>
      <c r="O134" s="646" t="s">
        <v>2809</v>
      </c>
      <c r="P134" s="647" t="s">
        <v>2080</v>
      </c>
      <c r="R134" s="750" t="s">
        <v>2274</v>
      </c>
      <c r="S134">
        <v>24</v>
      </c>
      <c r="T134" s="718">
        <v>3</v>
      </c>
      <c r="U134" s="399">
        <v>3.75</v>
      </c>
      <c r="AC134" s="644" t="s">
        <v>2179</v>
      </c>
      <c r="AD134">
        <v>9</v>
      </c>
      <c r="AE134">
        <v>0</v>
      </c>
      <c r="AF134">
        <v>11</v>
      </c>
      <c r="AH134" s="681"/>
      <c r="AY134">
        <v>10</v>
      </c>
      <c r="AZ134">
        <v>9</v>
      </c>
      <c r="BA134" t="s">
        <v>2180</v>
      </c>
      <c r="BF134" s="35"/>
    </row>
    <row r="135" spans="1:58">
      <c r="A135">
        <v>9</v>
      </c>
      <c r="B135" s="661" t="s">
        <v>2169</v>
      </c>
      <c r="C135">
        <v>2</v>
      </c>
      <c r="D135" s="13">
        <v>1</v>
      </c>
      <c r="E135">
        <v>4</v>
      </c>
      <c r="F135">
        <v>2</v>
      </c>
      <c r="G135" s="13">
        <v>1</v>
      </c>
      <c r="H135">
        <v>2</v>
      </c>
      <c r="I135">
        <v>5</v>
      </c>
      <c r="J135" s="651">
        <v>5</v>
      </c>
      <c r="K135">
        <v>3</v>
      </c>
      <c r="L135" s="662">
        <v>4</v>
      </c>
      <c r="M135" s="676">
        <v>1</v>
      </c>
      <c r="N135" s="13">
        <v>1</v>
      </c>
      <c r="O135" s="699">
        <v>1</v>
      </c>
      <c r="P135" s="648">
        <f>AVERAGE(C135:O135)</f>
        <v>2.4615384615384617</v>
      </c>
      <c r="R135" s="750" t="s">
        <v>2333</v>
      </c>
      <c r="S135">
        <v>26</v>
      </c>
      <c r="T135" s="718">
        <v>1</v>
      </c>
      <c r="U135" s="399">
        <v>3.75</v>
      </c>
      <c r="AE135">
        <v>0</v>
      </c>
      <c r="AH135" s="681"/>
      <c r="AY135">
        <v>10</v>
      </c>
      <c r="AZ135">
        <v>10</v>
      </c>
      <c r="BA135" t="s">
        <v>2180</v>
      </c>
    </row>
    <row r="136" spans="1:58" ht="21">
      <c r="A136">
        <v>9</v>
      </c>
      <c r="B136" s="645" t="s">
        <v>2170</v>
      </c>
      <c r="C136" s="13">
        <v>1</v>
      </c>
      <c r="D136">
        <v>2</v>
      </c>
      <c r="E136" s="13">
        <v>1</v>
      </c>
      <c r="F136" s="13">
        <v>1</v>
      </c>
      <c r="G136">
        <v>2</v>
      </c>
      <c r="H136" s="13">
        <v>1</v>
      </c>
      <c r="I136" s="13">
        <v>1</v>
      </c>
      <c r="J136">
        <v>4</v>
      </c>
      <c r="K136" s="13">
        <v>1</v>
      </c>
      <c r="L136">
        <v>2</v>
      </c>
      <c r="M136" s="656">
        <v>2</v>
      </c>
      <c r="N136">
        <v>2</v>
      </c>
      <c r="O136">
        <v>2</v>
      </c>
      <c r="P136" s="648">
        <f t="shared" ref="P136:P145" si="7">AVERAGE(C136:O136)</f>
        <v>1.6923076923076923</v>
      </c>
      <c r="R136" s="748" t="s">
        <v>2413</v>
      </c>
      <c r="S136">
        <v>34</v>
      </c>
      <c r="T136" s="718">
        <v>1</v>
      </c>
      <c r="U136" s="399">
        <v>3.8</v>
      </c>
      <c r="AC136" s="1" t="s">
        <v>135</v>
      </c>
      <c r="AE136">
        <v>0</v>
      </c>
      <c r="AH136" s="681"/>
      <c r="AY136">
        <v>10</v>
      </c>
      <c r="AZ136">
        <v>11</v>
      </c>
      <c r="BA136" t="s">
        <v>2181</v>
      </c>
    </row>
    <row r="137" spans="1:58" ht="18">
      <c r="A137">
        <v>9</v>
      </c>
      <c r="B137" s="645" t="s">
        <v>2171</v>
      </c>
      <c r="C137">
        <v>7</v>
      </c>
      <c r="D137">
        <v>5</v>
      </c>
      <c r="E137">
        <v>3</v>
      </c>
      <c r="F137">
        <v>7</v>
      </c>
      <c r="G137">
        <v>7</v>
      </c>
      <c r="H137">
        <v>6</v>
      </c>
      <c r="I137">
        <v>3</v>
      </c>
      <c r="J137" s="656">
        <v>3</v>
      </c>
      <c r="K137">
        <v>4</v>
      </c>
      <c r="L137" s="13">
        <v>1</v>
      </c>
      <c r="M137" s="657">
        <v>3</v>
      </c>
      <c r="N137" s="651">
        <v>3</v>
      </c>
      <c r="O137">
        <v>3</v>
      </c>
      <c r="P137" s="648">
        <f t="shared" si="7"/>
        <v>4.2307692307692308</v>
      </c>
      <c r="R137" s="750" t="s">
        <v>2454</v>
      </c>
      <c r="S137">
        <v>37</v>
      </c>
      <c r="T137" s="718">
        <v>2</v>
      </c>
      <c r="U137" s="399">
        <v>3.8</v>
      </c>
      <c r="AC137" s="649" t="s">
        <v>1440</v>
      </c>
      <c r="AE137">
        <v>0</v>
      </c>
      <c r="AF137" t="s">
        <v>2080</v>
      </c>
      <c r="AH137" s="681"/>
      <c r="AY137">
        <v>10</v>
      </c>
      <c r="AZ137" t="s">
        <v>2810</v>
      </c>
      <c r="BA137" t="s">
        <v>2180</v>
      </c>
    </row>
    <row r="138" spans="1:58">
      <c r="A138">
        <v>9</v>
      </c>
      <c r="B138" s="645" t="s">
        <v>2172</v>
      </c>
      <c r="C138">
        <v>6</v>
      </c>
      <c r="D138">
        <v>3</v>
      </c>
      <c r="E138">
        <v>8</v>
      </c>
      <c r="F138">
        <v>6</v>
      </c>
      <c r="G138">
        <v>3</v>
      </c>
      <c r="H138">
        <v>3</v>
      </c>
      <c r="I138">
        <v>2</v>
      </c>
      <c r="J138">
        <v>2</v>
      </c>
      <c r="K138">
        <v>2</v>
      </c>
      <c r="L138" s="657">
        <v>3</v>
      </c>
      <c r="M138" s="650">
        <v>4</v>
      </c>
      <c r="N138" s="12"/>
      <c r="O138" s="12"/>
      <c r="P138" s="648">
        <f t="shared" si="7"/>
        <v>3.8181818181818183</v>
      </c>
      <c r="R138" s="750" t="s">
        <v>2172</v>
      </c>
      <c r="S138">
        <v>9</v>
      </c>
      <c r="T138" s="718">
        <v>0</v>
      </c>
      <c r="U138" s="399">
        <v>3.8181818181818183</v>
      </c>
      <c r="AC138" s="661" t="s">
        <v>2180</v>
      </c>
      <c r="AD138">
        <v>10</v>
      </c>
      <c r="AE138">
        <v>4</v>
      </c>
      <c r="AF138">
        <v>2.5</v>
      </c>
      <c r="AH138" s="681"/>
      <c r="AY138">
        <v>11</v>
      </c>
      <c r="AZ138">
        <v>1</v>
      </c>
      <c r="BA138" t="s">
        <v>2150</v>
      </c>
    </row>
    <row r="139" spans="1:58">
      <c r="A139">
        <v>9</v>
      </c>
      <c r="B139" s="645" t="s">
        <v>2173</v>
      </c>
      <c r="C139">
        <v>8</v>
      </c>
      <c r="D139">
        <v>9</v>
      </c>
      <c r="E139">
        <v>5</v>
      </c>
      <c r="F139">
        <v>4</v>
      </c>
      <c r="G139">
        <v>4</v>
      </c>
      <c r="H139">
        <v>4</v>
      </c>
      <c r="I139">
        <v>4</v>
      </c>
      <c r="J139" s="13">
        <v>1</v>
      </c>
      <c r="K139" s="650">
        <v>5</v>
      </c>
      <c r="L139" s="12"/>
      <c r="M139" s="12"/>
      <c r="N139" s="1490">
        <v>0</v>
      </c>
      <c r="O139" s="12"/>
      <c r="P139" s="648">
        <f t="shared" si="7"/>
        <v>4.4000000000000004</v>
      </c>
      <c r="R139" s="748" t="s">
        <v>2308</v>
      </c>
      <c r="S139">
        <v>23</v>
      </c>
      <c r="T139" s="718">
        <v>2</v>
      </c>
      <c r="U139" s="399">
        <v>3.8181818181818183</v>
      </c>
      <c r="AC139" s="645" t="s">
        <v>2181</v>
      </c>
      <c r="AD139">
        <v>10</v>
      </c>
      <c r="AE139">
        <v>2</v>
      </c>
      <c r="AF139">
        <v>3</v>
      </c>
      <c r="AH139" s="644"/>
      <c r="AY139">
        <v>11</v>
      </c>
      <c r="AZ139">
        <v>2</v>
      </c>
      <c r="BA139" t="s">
        <v>2150</v>
      </c>
    </row>
    <row r="140" spans="1:58">
      <c r="A140">
        <v>9</v>
      </c>
      <c r="B140" s="645" t="s">
        <v>2174</v>
      </c>
      <c r="C140">
        <v>5</v>
      </c>
      <c r="D140">
        <v>7</v>
      </c>
      <c r="E140">
        <v>2</v>
      </c>
      <c r="F140">
        <v>3</v>
      </c>
      <c r="G140" s="656">
        <v>5</v>
      </c>
      <c r="H140">
        <v>5</v>
      </c>
      <c r="I140" s="650">
        <v>6</v>
      </c>
      <c r="J140" s="12"/>
      <c r="K140" s="1490">
        <v>0</v>
      </c>
      <c r="L140" s="1490">
        <v>0</v>
      </c>
      <c r="M140" s="1490">
        <v>0</v>
      </c>
      <c r="N140" s="1490">
        <v>0</v>
      </c>
      <c r="O140" s="1490">
        <v>0</v>
      </c>
      <c r="P140" s="648">
        <f t="shared" si="7"/>
        <v>2.75</v>
      </c>
      <c r="R140" s="748" t="s">
        <v>2383</v>
      </c>
      <c r="S140">
        <v>31</v>
      </c>
      <c r="T140" s="718">
        <v>0</v>
      </c>
      <c r="U140" s="399">
        <v>3.8181818181818183</v>
      </c>
      <c r="AC140" s="645" t="s">
        <v>2182</v>
      </c>
      <c r="AD140">
        <v>10</v>
      </c>
      <c r="AE140">
        <v>0</v>
      </c>
      <c r="AF140">
        <v>5</v>
      </c>
      <c r="AH140" s="681"/>
      <c r="AY140">
        <v>11</v>
      </c>
      <c r="AZ140">
        <v>3</v>
      </c>
      <c r="BA140" t="s">
        <v>2150</v>
      </c>
    </row>
    <row r="141" spans="1:58">
      <c r="A141">
        <v>9</v>
      </c>
      <c r="B141" s="645" t="s">
        <v>2175</v>
      </c>
      <c r="C141">
        <v>4</v>
      </c>
      <c r="D141">
        <v>4</v>
      </c>
      <c r="E141" s="651">
        <v>9</v>
      </c>
      <c r="F141">
        <v>5</v>
      </c>
      <c r="G141">
        <v>6</v>
      </c>
      <c r="H141" s="650">
        <v>7</v>
      </c>
      <c r="I141" s="12"/>
      <c r="J141" s="1490">
        <v>0</v>
      </c>
      <c r="K141" s="1490">
        <v>0</v>
      </c>
      <c r="L141" s="12"/>
      <c r="M141" s="12"/>
      <c r="N141" s="12"/>
      <c r="O141" s="12"/>
      <c r="P141" s="648">
        <f t="shared" si="7"/>
        <v>4.375</v>
      </c>
      <c r="R141" s="748" t="s">
        <v>2116</v>
      </c>
      <c r="S141">
        <v>4</v>
      </c>
      <c r="T141" s="718">
        <v>1</v>
      </c>
      <c r="U141" s="399">
        <v>3.8461538461538463</v>
      </c>
      <c r="AC141" s="645" t="s">
        <v>2183</v>
      </c>
      <c r="AD141">
        <v>10</v>
      </c>
      <c r="AE141">
        <v>2</v>
      </c>
      <c r="AF141">
        <v>3.2727272727272729</v>
      </c>
      <c r="AH141" s="681"/>
      <c r="AY141">
        <v>11</v>
      </c>
      <c r="AZ141">
        <v>4</v>
      </c>
      <c r="BA141" t="s">
        <v>2095</v>
      </c>
    </row>
    <row r="142" spans="1:58">
      <c r="A142">
        <v>9</v>
      </c>
      <c r="B142" s="645" t="s">
        <v>2176</v>
      </c>
      <c r="C142">
        <v>9</v>
      </c>
      <c r="D142">
        <v>8</v>
      </c>
      <c r="E142">
        <v>6</v>
      </c>
      <c r="F142">
        <v>8</v>
      </c>
      <c r="G142" s="663">
        <v>8</v>
      </c>
      <c r="H142" s="12"/>
      <c r="I142" s="1490">
        <v>0</v>
      </c>
      <c r="J142" s="1490">
        <v>0</v>
      </c>
      <c r="K142" s="12"/>
      <c r="L142" s="12"/>
      <c r="M142" s="12"/>
      <c r="N142" s="12"/>
      <c r="O142" s="12"/>
      <c r="P142" s="648">
        <f t="shared" si="7"/>
        <v>5.5714285714285712</v>
      </c>
      <c r="R142" s="748" t="s">
        <v>2564</v>
      </c>
      <c r="S142">
        <v>38</v>
      </c>
      <c r="T142" s="718">
        <v>1</v>
      </c>
      <c r="U142" s="399">
        <v>3.8571428571428572</v>
      </c>
      <c r="AC142" s="645" t="s">
        <v>2184</v>
      </c>
      <c r="AD142">
        <v>10</v>
      </c>
      <c r="AE142">
        <v>1</v>
      </c>
      <c r="AF142">
        <v>4.666666666666667</v>
      </c>
      <c r="AH142" s="644"/>
      <c r="AY142">
        <v>11</v>
      </c>
      <c r="AZ142">
        <v>5</v>
      </c>
      <c r="BA142" t="s">
        <v>2132</v>
      </c>
    </row>
    <row r="143" spans="1:58">
      <c r="A143">
        <v>9</v>
      </c>
      <c r="B143" s="644" t="s">
        <v>2177</v>
      </c>
      <c r="C143" s="653">
        <v>3</v>
      </c>
      <c r="D143">
        <v>6</v>
      </c>
      <c r="E143">
        <v>7</v>
      </c>
      <c r="F143" s="650">
        <v>9</v>
      </c>
      <c r="G143" s="12"/>
      <c r="H143" s="1490">
        <v>0</v>
      </c>
      <c r="I143" s="1490">
        <v>0</v>
      </c>
      <c r="J143" s="12"/>
      <c r="K143" s="12"/>
      <c r="L143" s="12"/>
      <c r="M143" s="12"/>
      <c r="N143" s="12"/>
      <c r="O143" s="12"/>
      <c r="P143" s="648">
        <f t="shared" si="7"/>
        <v>4.166666666666667</v>
      </c>
      <c r="R143" s="748" t="s">
        <v>2096</v>
      </c>
      <c r="S143">
        <v>2</v>
      </c>
      <c r="T143" s="718">
        <v>1</v>
      </c>
      <c r="U143" s="399">
        <v>3.8888888888888888</v>
      </c>
      <c r="AC143" s="645" t="s">
        <v>2185</v>
      </c>
      <c r="AD143">
        <v>10</v>
      </c>
      <c r="AE143">
        <v>1</v>
      </c>
      <c r="AF143">
        <v>6.125</v>
      </c>
      <c r="AH143" s="681"/>
      <c r="AY143">
        <v>11</v>
      </c>
      <c r="AZ143">
        <v>6</v>
      </c>
      <c r="BA143" t="s">
        <v>2132</v>
      </c>
    </row>
    <row r="144" spans="1:58">
      <c r="A144">
        <v>9</v>
      </c>
      <c r="B144" s="644" t="s">
        <v>2178</v>
      </c>
      <c r="C144" s="653">
        <v>10</v>
      </c>
      <c r="D144" s="650">
        <v>10</v>
      </c>
      <c r="E144" s="12"/>
      <c r="F144" s="12"/>
      <c r="G144" s="1492">
        <v>0</v>
      </c>
      <c r="H144" s="12"/>
      <c r="I144" s="12"/>
      <c r="J144" s="12"/>
      <c r="K144" s="12"/>
      <c r="L144" s="12"/>
      <c r="M144" s="12"/>
      <c r="N144" s="12"/>
      <c r="O144" s="12"/>
      <c r="P144" s="648">
        <f t="shared" si="7"/>
        <v>6.666666666666667</v>
      </c>
      <c r="R144" s="748" t="s">
        <v>2216</v>
      </c>
      <c r="S144">
        <v>14</v>
      </c>
      <c r="T144" s="718">
        <v>1</v>
      </c>
      <c r="U144" s="399">
        <v>3.9166666666666665</v>
      </c>
      <c r="AC144" s="645" t="s">
        <v>2186</v>
      </c>
      <c r="AD144">
        <v>10</v>
      </c>
      <c r="AE144">
        <v>2</v>
      </c>
      <c r="AF144">
        <v>3.1666666666666665</v>
      </c>
      <c r="AH144" s="644"/>
      <c r="AY144">
        <v>11</v>
      </c>
      <c r="AZ144">
        <v>7</v>
      </c>
      <c r="BA144" t="s">
        <v>2183</v>
      </c>
    </row>
    <row r="145" spans="1:54">
      <c r="A145">
        <v>9</v>
      </c>
      <c r="B145" s="644" t="s">
        <v>2179</v>
      </c>
      <c r="C145" s="652">
        <v>11</v>
      </c>
      <c r="D145" s="12"/>
      <c r="E145" s="12"/>
      <c r="F145" s="12"/>
      <c r="G145" s="12"/>
      <c r="H145" s="12"/>
      <c r="I145" s="12"/>
      <c r="J145" s="12"/>
      <c r="K145" s="12"/>
      <c r="L145" s="12"/>
      <c r="M145" s="12"/>
      <c r="N145" s="12"/>
      <c r="O145" s="12"/>
      <c r="P145" s="648">
        <f t="shared" si="7"/>
        <v>11</v>
      </c>
      <c r="R145" s="750" t="s">
        <v>2095</v>
      </c>
      <c r="S145">
        <v>2</v>
      </c>
      <c r="T145" s="718">
        <v>3</v>
      </c>
      <c r="U145" s="399">
        <v>4</v>
      </c>
      <c r="AC145" s="645" t="s">
        <v>2187</v>
      </c>
      <c r="AD145">
        <v>10</v>
      </c>
      <c r="AE145">
        <v>0</v>
      </c>
      <c r="AF145">
        <v>7</v>
      </c>
      <c r="AH145" s="644"/>
      <c r="AY145">
        <v>11</v>
      </c>
      <c r="AZ145">
        <v>8</v>
      </c>
      <c r="BA145" t="s">
        <v>2095</v>
      </c>
      <c r="BB145" t="s">
        <v>2149</v>
      </c>
    </row>
    <row r="146" spans="1:54">
      <c r="P146" s="660"/>
      <c r="R146" s="750" t="s">
        <v>2117</v>
      </c>
      <c r="S146">
        <v>4</v>
      </c>
      <c r="T146" s="718">
        <v>4</v>
      </c>
      <c r="U146" s="399">
        <v>4</v>
      </c>
      <c r="AC146" s="644" t="s">
        <v>2188</v>
      </c>
      <c r="AD146">
        <v>10</v>
      </c>
      <c r="AE146">
        <v>0</v>
      </c>
      <c r="AF146">
        <v>4.666666666666667</v>
      </c>
      <c r="AH146" s="644"/>
      <c r="AY146">
        <v>11</v>
      </c>
      <c r="AZ146">
        <v>9</v>
      </c>
      <c r="BA146" t="s">
        <v>2183</v>
      </c>
    </row>
    <row r="147" spans="1:54" ht="21">
      <c r="B147" s="1" t="s">
        <v>135</v>
      </c>
      <c r="C147" s="1503"/>
      <c r="D147" s="12"/>
      <c r="E147" s="12"/>
      <c r="F147" s="12"/>
      <c r="G147" s="12"/>
      <c r="H147" s="12"/>
      <c r="I147" s="12"/>
      <c r="J147" s="12"/>
      <c r="K147" s="12"/>
      <c r="L147" s="12"/>
      <c r="M147" s="12"/>
      <c r="N147" s="12"/>
      <c r="O147" s="12"/>
      <c r="P147" s="660"/>
      <c r="R147" s="747" t="s">
        <v>2242</v>
      </c>
      <c r="S147">
        <v>16</v>
      </c>
      <c r="T147" s="718">
        <v>0</v>
      </c>
      <c r="U147" s="399">
        <v>4</v>
      </c>
      <c r="AC147" s="644" t="s">
        <v>2189</v>
      </c>
      <c r="AD147">
        <v>10</v>
      </c>
      <c r="AE147">
        <v>0</v>
      </c>
      <c r="AF147">
        <v>8</v>
      </c>
      <c r="AH147" s="644"/>
      <c r="AY147">
        <v>11</v>
      </c>
      <c r="AZ147">
        <v>10</v>
      </c>
      <c r="BA147" t="s">
        <v>2095</v>
      </c>
    </row>
    <row r="148" spans="1:54" ht="18">
      <c r="B148" s="649" t="s">
        <v>1440</v>
      </c>
      <c r="C148" s="646" t="s">
        <v>2795</v>
      </c>
      <c r="D148" s="646" t="s">
        <v>2798</v>
      </c>
      <c r="E148" s="646" t="s">
        <v>2799</v>
      </c>
      <c r="F148" s="646" t="s">
        <v>2800</v>
      </c>
      <c r="G148" s="646" t="s">
        <v>2801</v>
      </c>
      <c r="H148" s="646" t="s">
        <v>2802</v>
      </c>
      <c r="I148" s="646" t="s">
        <v>2803</v>
      </c>
      <c r="J148" s="646" t="s">
        <v>2804</v>
      </c>
      <c r="K148" s="646" t="s">
        <v>2805</v>
      </c>
      <c r="L148" s="646" t="s">
        <v>2806</v>
      </c>
      <c r="M148" s="646" t="s">
        <v>2807</v>
      </c>
      <c r="N148" s="646"/>
      <c r="O148" s="646" t="s">
        <v>2810</v>
      </c>
      <c r="P148" s="647" t="s">
        <v>2080</v>
      </c>
      <c r="R148" s="750" t="s">
        <v>2365</v>
      </c>
      <c r="S148">
        <v>31</v>
      </c>
      <c r="T148" s="718">
        <v>2</v>
      </c>
      <c r="U148" s="399">
        <v>4</v>
      </c>
      <c r="AC148" s="644" t="s">
        <v>2190</v>
      </c>
      <c r="AD148">
        <v>10</v>
      </c>
      <c r="AE148">
        <v>0</v>
      </c>
      <c r="AF148">
        <v>11</v>
      </c>
      <c r="AH148" s="644"/>
      <c r="AY148">
        <v>11</v>
      </c>
      <c r="AZ148">
        <v>11</v>
      </c>
      <c r="BA148" t="s">
        <v>2183</v>
      </c>
    </row>
    <row r="149" spans="1:54" ht="21" customHeight="1">
      <c r="A149">
        <v>10</v>
      </c>
      <c r="B149" s="661" t="s">
        <v>2180</v>
      </c>
      <c r="C149" s="13">
        <v>1</v>
      </c>
      <c r="D149">
        <v>2</v>
      </c>
      <c r="E149">
        <v>2</v>
      </c>
      <c r="F149">
        <v>3</v>
      </c>
      <c r="G149">
        <v>6</v>
      </c>
      <c r="H149">
        <v>6</v>
      </c>
      <c r="I149">
        <v>2</v>
      </c>
      <c r="J149" s="34">
        <v>2</v>
      </c>
      <c r="K149" s="13">
        <v>1</v>
      </c>
      <c r="L149" s="13">
        <v>1</v>
      </c>
      <c r="M149">
        <v>3</v>
      </c>
      <c r="O149" s="699">
        <v>1</v>
      </c>
      <c r="P149" s="648">
        <f>AVERAGE(C149:O149)</f>
        <v>2.5</v>
      </c>
      <c r="R149" s="748" t="s">
        <v>2320</v>
      </c>
      <c r="S149">
        <v>25</v>
      </c>
      <c r="T149" s="718">
        <v>1</v>
      </c>
      <c r="U149" s="399">
        <v>4.083333333333333</v>
      </c>
      <c r="AC149" s="645" t="s">
        <v>2191</v>
      </c>
      <c r="AD149">
        <v>10</v>
      </c>
      <c r="AE149">
        <v>0</v>
      </c>
      <c r="AF149">
        <v>12</v>
      </c>
      <c r="AH149" s="681"/>
      <c r="AY149">
        <v>11</v>
      </c>
      <c r="AZ149">
        <v>12</v>
      </c>
      <c r="BA149" t="s">
        <v>2183</v>
      </c>
    </row>
    <row r="150" spans="1:54">
      <c r="A150">
        <v>10</v>
      </c>
      <c r="B150" s="645" t="s">
        <v>2181</v>
      </c>
      <c r="C150">
        <v>5</v>
      </c>
      <c r="D150">
        <v>6</v>
      </c>
      <c r="E150">
        <v>3</v>
      </c>
      <c r="F150" s="13">
        <v>1</v>
      </c>
      <c r="G150">
        <v>3</v>
      </c>
      <c r="H150">
        <v>3</v>
      </c>
      <c r="I150">
        <v>3</v>
      </c>
      <c r="J150" s="34">
        <v>3</v>
      </c>
      <c r="K150">
        <v>3</v>
      </c>
      <c r="L150">
        <v>3</v>
      </c>
      <c r="M150" s="13">
        <v>1</v>
      </c>
      <c r="O150">
        <v>2</v>
      </c>
      <c r="P150" s="648">
        <f>AVERAGE(C150:O150)</f>
        <v>3</v>
      </c>
      <c r="R150" s="748" t="s">
        <v>2361</v>
      </c>
      <c r="S150">
        <v>29</v>
      </c>
      <c r="T150" s="718">
        <v>2</v>
      </c>
      <c r="U150" s="399">
        <v>4.083333333333333</v>
      </c>
      <c r="AE150">
        <v>0</v>
      </c>
      <c r="AH150" s="681"/>
      <c r="AY150">
        <v>11</v>
      </c>
      <c r="AZ150" t="s">
        <v>2810</v>
      </c>
      <c r="BA150" t="s">
        <v>2192</v>
      </c>
    </row>
    <row r="151" spans="1:54" ht="21">
      <c r="A151">
        <v>10</v>
      </c>
      <c r="B151" s="645" t="s">
        <v>2182</v>
      </c>
      <c r="C151">
        <v>9</v>
      </c>
      <c r="D151">
        <v>9</v>
      </c>
      <c r="E151">
        <v>6</v>
      </c>
      <c r="F151">
        <v>6</v>
      </c>
      <c r="G151">
        <v>5</v>
      </c>
      <c r="H151">
        <v>4</v>
      </c>
      <c r="I151">
        <v>5</v>
      </c>
      <c r="J151">
        <v>5</v>
      </c>
      <c r="K151">
        <v>4</v>
      </c>
      <c r="L151" s="657">
        <v>2</v>
      </c>
      <c r="M151">
        <v>2</v>
      </c>
      <c r="O151">
        <v>3</v>
      </c>
      <c r="P151" s="648">
        <f>AVERAGE(C151:O151)</f>
        <v>5</v>
      </c>
      <c r="R151" s="750" t="s">
        <v>2427</v>
      </c>
      <c r="S151">
        <v>35</v>
      </c>
      <c r="T151" s="718">
        <v>2</v>
      </c>
      <c r="U151" s="399">
        <v>4.0909090909090908</v>
      </c>
      <c r="AC151" s="1" t="s">
        <v>136</v>
      </c>
      <c r="AE151">
        <v>0</v>
      </c>
      <c r="AH151" s="713"/>
      <c r="AY151">
        <v>12</v>
      </c>
      <c r="AZ151">
        <v>1</v>
      </c>
      <c r="BA151" t="s">
        <v>2198</v>
      </c>
    </row>
    <row r="152" spans="1:54" ht="18">
      <c r="A152">
        <v>10</v>
      </c>
      <c r="B152" s="645" t="s">
        <v>2183</v>
      </c>
      <c r="C152">
        <v>4</v>
      </c>
      <c r="D152">
        <v>5</v>
      </c>
      <c r="E152">
        <v>4</v>
      </c>
      <c r="F152">
        <v>7</v>
      </c>
      <c r="G152">
        <v>2</v>
      </c>
      <c r="H152">
        <v>2</v>
      </c>
      <c r="I152" s="13">
        <v>1</v>
      </c>
      <c r="J152" s="13">
        <v>1</v>
      </c>
      <c r="K152">
        <v>2</v>
      </c>
      <c r="L152" s="662">
        <v>4</v>
      </c>
      <c r="M152" s="650">
        <v>4</v>
      </c>
      <c r="N152" s="12"/>
      <c r="O152" s="12"/>
      <c r="P152" s="648">
        <f>AVERAGE(C152:N152)</f>
        <v>3.2727272727272729</v>
      </c>
      <c r="R152" s="748" t="s">
        <v>2153</v>
      </c>
      <c r="S152">
        <v>7</v>
      </c>
      <c r="T152" s="718">
        <v>1</v>
      </c>
      <c r="U152" s="399">
        <v>4.1111111111111107</v>
      </c>
      <c r="AC152" s="649" t="s">
        <v>1440</v>
      </c>
      <c r="AE152">
        <v>0</v>
      </c>
      <c r="AF152" t="s">
        <v>2080</v>
      </c>
      <c r="AH152" s="681"/>
      <c r="AY152">
        <v>12</v>
      </c>
      <c r="AZ152">
        <v>2</v>
      </c>
      <c r="BA152" t="s">
        <v>2200</v>
      </c>
    </row>
    <row r="153" spans="1:54">
      <c r="A153">
        <v>10</v>
      </c>
      <c r="B153" s="645" t="s">
        <v>2184</v>
      </c>
      <c r="C153">
        <v>7</v>
      </c>
      <c r="D153">
        <v>8</v>
      </c>
      <c r="E153" s="13">
        <v>1</v>
      </c>
      <c r="F153">
        <v>4</v>
      </c>
      <c r="G153">
        <v>4</v>
      </c>
      <c r="H153">
        <v>5</v>
      </c>
      <c r="I153">
        <v>4</v>
      </c>
      <c r="J153">
        <v>4</v>
      </c>
      <c r="K153" s="650">
        <v>5</v>
      </c>
      <c r="L153" s="12"/>
      <c r="M153" s="1490">
        <v>0</v>
      </c>
      <c r="N153" s="1490">
        <v>0</v>
      </c>
      <c r="O153" s="12"/>
      <c r="P153" s="648">
        <f>AVERAGE(C153:N153)</f>
        <v>3.8181818181818183</v>
      </c>
      <c r="R153" s="750" t="s">
        <v>2163</v>
      </c>
      <c r="S153">
        <v>8</v>
      </c>
      <c r="T153" s="718">
        <v>2</v>
      </c>
      <c r="U153" s="399">
        <v>4.125</v>
      </c>
      <c r="AC153" s="661" t="s">
        <v>2192</v>
      </c>
      <c r="AD153">
        <v>11</v>
      </c>
      <c r="AE153">
        <v>1</v>
      </c>
      <c r="AF153">
        <v>3.6153846153846154</v>
      </c>
      <c r="AH153" s="644"/>
      <c r="AY153">
        <v>12</v>
      </c>
      <c r="AZ153">
        <v>3</v>
      </c>
      <c r="BA153" t="s">
        <v>2198</v>
      </c>
    </row>
    <row r="154" spans="1:54">
      <c r="A154">
        <v>10</v>
      </c>
      <c r="B154" s="645" t="s">
        <v>2185</v>
      </c>
      <c r="C154">
        <v>10</v>
      </c>
      <c r="D154">
        <v>7</v>
      </c>
      <c r="E154">
        <v>7</v>
      </c>
      <c r="F154">
        <v>5</v>
      </c>
      <c r="G154" s="651">
        <v>7</v>
      </c>
      <c r="H154" s="676">
        <v>1</v>
      </c>
      <c r="I154" s="651">
        <v>6</v>
      </c>
      <c r="J154" s="650">
        <v>6</v>
      </c>
      <c r="K154" s="1490">
        <v>0</v>
      </c>
      <c r="L154" s="1490">
        <v>0</v>
      </c>
      <c r="M154" s="1490">
        <v>0</v>
      </c>
      <c r="N154" s="1490">
        <v>0</v>
      </c>
      <c r="O154" s="12"/>
      <c r="P154" s="648">
        <f t="shared" ref="P154:P160" ca="1" si="8">AVERAGE(C154:P154)</f>
        <v>6.125</v>
      </c>
      <c r="R154" s="748" t="s">
        <v>2288</v>
      </c>
      <c r="S154">
        <v>21</v>
      </c>
      <c r="T154" s="718">
        <v>2</v>
      </c>
      <c r="U154" s="399">
        <v>4.125</v>
      </c>
      <c r="AC154" s="645" t="s">
        <v>2183</v>
      </c>
      <c r="AD154">
        <v>11</v>
      </c>
      <c r="AE154">
        <v>4</v>
      </c>
      <c r="AF154">
        <v>2.9230769230769229</v>
      </c>
      <c r="AH154" s="644"/>
      <c r="AY154">
        <v>12</v>
      </c>
      <c r="AZ154">
        <v>4</v>
      </c>
      <c r="BA154" t="s">
        <v>2198</v>
      </c>
    </row>
    <row r="155" spans="1:54">
      <c r="A155">
        <v>10</v>
      </c>
      <c r="B155" s="645" t="s">
        <v>2186</v>
      </c>
      <c r="C155">
        <v>3</v>
      </c>
      <c r="D155" s="13">
        <v>1</v>
      </c>
      <c r="E155">
        <v>5</v>
      </c>
      <c r="F155">
        <v>2</v>
      </c>
      <c r="G155" s="13">
        <v>1</v>
      </c>
      <c r="H155" s="650">
        <v>7</v>
      </c>
      <c r="I155" s="12"/>
      <c r="J155" s="1490">
        <v>0</v>
      </c>
      <c r="K155" s="1490">
        <v>0</v>
      </c>
      <c r="L155" s="12"/>
      <c r="M155" s="12"/>
      <c r="N155" s="12"/>
      <c r="O155" s="12"/>
      <c r="P155" s="648">
        <f t="shared" ca="1" si="8"/>
        <v>3.1666666666666665</v>
      </c>
      <c r="R155" s="748" t="s">
        <v>2097</v>
      </c>
      <c r="S155">
        <v>2</v>
      </c>
      <c r="T155" s="718">
        <v>1</v>
      </c>
      <c r="U155" s="399">
        <v>4.1428571428571432</v>
      </c>
      <c r="AC155" s="645" t="s">
        <v>2132</v>
      </c>
      <c r="AD155">
        <v>11</v>
      </c>
      <c r="AE155">
        <v>2</v>
      </c>
      <c r="AF155">
        <v>4.1538461538461542</v>
      </c>
      <c r="AH155" s="681"/>
      <c r="AY155">
        <v>12</v>
      </c>
      <c r="AZ155">
        <v>5</v>
      </c>
      <c r="BA155" t="s">
        <v>2193</v>
      </c>
    </row>
    <row r="156" spans="1:54">
      <c r="A156">
        <v>10</v>
      </c>
      <c r="B156" s="645" t="s">
        <v>2187</v>
      </c>
      <c r="C156">
        <v>8</v>
      </c>
      <c r="D156">
        <v>4</v>
      </c>
      <c r="E156">
        <v>8</v>
      </c>
      <c r="F156" s="650">
        <v>8</v>
      </c>
      <c r="G156" s="12"/>
      <c r="H156" s="12"/>
      <c r="I156" s="1490">
        <v>0</v>
      </c>
      <c r="J156" s="1490">
        <v>0</v>
      </c>
      <c r="K156" s="12"/>
      <c r="L156" s="12"/>
      <c r="M156" s="12"/>
      <c r="N156" s="12"/>
      <c r="O156" s="12"/>
      <c r="P156" s="648">
        <f t="shared" ca="1" si="8"/>
        <v>7</v>
      </c>
      <c r="R156" s="748" t="s">
        <v>2300</v>
      </c>
      <c r="S156">
        <v>22</v>
      </c>
      <c r="T156" s="718">
        <v>1</v>
      </c>
      <c r="U156" s="399">
        <v>4.1428571428571432</v>
      </c>
      <c r="AC156" s="645" t="s">
        <v>2095</v>
      </c>
      <c r="AD156">
        <v>11</v>
      </c>
      <c r="AE156">
        <v>3</v>
      </c>
      <c r="AF156">
        <v>2.6666666666666665</v>
      </c>
      <c r="AH156" s="644"/>
      <c r="AY156">
        <v>12</v>
      </c>
      <c r="AZ156">
        <v>6</v>
      </c>
      <c r="BA156" t="s">
        <v>2194</v>
      </c>
    </row>
    <row r="157" spans="1:54">
      <c r="A157">
        <v>10</v>
      </c>
      <c r="B157" s="644" t="s">
        <v>2188</v>
      </c>
      <c r="C157" s="653">
        <v>2</v>
      </c>
      <c r="D157">
        <v>3</v>
      </c>
      <c r="E157" s="650">
        <v>9</v>
      </c>
      <c r="F157" s="12"/>
      <c r="G157" s="12"/>
      <c r="H157" s="1490">
        <v>0</v>
      </c>
      <c r="I157" s="1490">
        <v>0</v>
      </c>
      <c r="J157" s="12"/>
      <c r="K157" s="12"/>
      <c r="L157" s="12"/>
      <c r="M157" s="12"/>
      <c r="N157" s="12"/>
      <c r="O157" s="12"/>
      <c r="P157" s="648">
        <f t="shared" ca="1" si="8"/>
        <v>4.666666666666667</v>
      </c>
      <c r="R157" s="750" t="s">
        <v>2132</v>
      </c>
      <c r="S157">
        <v>11</v>
      </c>
      <c r="T157" s="718">
        <v>2</v>
      </c>
      <c r="U157" s="399">
        <v>4.1538461538461542</v>
      </c>
      <c r="AC157" s="645" t="s">
        <v>2149</v>
      </c>
      <c r="AD157">
        <v>11</v>
      </c>
      <c r="AE157">
        <v>1</v>
      </c>
      <c r="AF157">
        <v>4.333333333333333</v>
      </c>
      <c r="AH157" s="681"/>
      <c r="AY157">
        <v>12</v>
      </c>
      <c r="AZ157">
        <v>7</v>
      </c>
      <c r="BA157" t="s">
        <v>2195</v>
      </c>
    </row>
    <row r="158" spans="1:54">
      <c r="A158">
        <v>10</v>
      </c>
      <c r="B158" s="644" t="s">
        <v>2189</v>
      </c>
      <c r="C158" s="653">
        <v>6</v>
      </c>
      <c r="D158" s="650">
        <v>10</v>
      </c>
      <c r="E158" s="12"/>
      <c r="F158" s="12"/>
      <c r="G158" s="1492">
        <v>0</v>
      </c>
      <c r="H158" s="12"/>
      <c r="I158" s="12"/>
      <c r="J158" s="12"/>
      <c r="K158" s="12"/>
      <c r="L158" s="12"/>
      <c r="M158" s="12"/>
      <c r="N158" s="12"/>
      <c r="O158" s="12"/>
      <c r="P158" s="648">
        <f t="shared" ca="1" si="8"/>
        <v>8</v>
      </c>
      <c r="R158" s="748" t="s">
        <v>2130</v>
      </c>
      <c r="S158">
        <v>5</v>
      </c>
      <c r="T158" s="718">
        <v>0</v>
      </c>
      <c r="U158" s="399">
        <v>4.166666666666667</v>
      </c>
      <c r="AC158" s="645" t="s">
        <v>2083</v>
      </c>
      <c r="AD158">
        <v>11</v>
      </c>
      <c r="AE158">
        <v>0</v>
      </c>
      <c r="AF158">
        <v>5.25</v>
      </c>
      <c r="AH158" s="644"/>
      <c r="AY158">
        <v>12</v>
      </c>
      <c r="AZ158">
        <v>8</v>
      </c>
      <c r="BA158" t="s">
        <v>2193</v>
      </c>
    </row>
    <row r="159" spans="1:54">
      <c r="A159">
        <v>10</v>
      </c>
      <c r="B159" s="644" t="s">
        <v>2190</v>
      </c>
      <c r="C159" s="652">
        <v>11</v>
      </c>
      <c r="D159" s="12"/>
      <c r="E159" s="12"/>
      <c r="F159" s="12"/>
      <c r="G159" s="1492">
        <v>0</v>
      </c>
      <c r="H159" s="12"/>
      <c r="I159" s="12"/>
      <c r="J159" s="12"/>
      <c r="K159" s="12"/>
      <c r="L159" s="12"/>
      <c r="M159" s="12"/>
      <c r="N159" s="12"/>
      <c r="O159" s="12"/>
      <c r="P159" s="648">
        <f t="shared" ca="1" si="8"/>
        <v>11</v>
      </c>
      <c r="R159" s="748" t="s">
        <v>2195</v>
      </c>
      <c r="S159">
        <v>12</v>
      </c>
      <c r="T159" s="718">
        <v>1</v>
      </c>
      <c r="U159" s="399">
        <v>4.1818181818181817</v>
      </c>
      <c r="AC159" s="645" t="s">
        <v>2104</v>
      </c>
      <c r="AD159">
        <v>11</v>
      </c>
      <c r="AE159">
        <v>0</v>
      </c>
      <c r="AF159">
        <v>4.833333333333333</v>
      </c>
      <c r="AH159" s="644"/>
      <c r="AY159">
        <v>12</v>
      </c>
      <c r="AZ159">
        <v>9</v>
      </c>
      <c r="BA159" t="s">
        <v>2194</v>
      </c>
    </row>
    <row r="160" spans="1:54">
      <c r="A160">
        <v>10</v>
      </c>
      <c r="B160" s="645" t="s">
        <v>2191</v>
      </c>
      <c r="C160" s="650">
        <v>12</v>
      </c>
      <c r="D160" s="12"/>
      <c r="E160" s="12"/>
      <c r="F160" s="12"/>
      <c r="G160" s="12"/>
      <c r="H160" s="12"/>
      <c r="I160" s="12"/>
      <c r="J160" s="12"/>
      <c r="K160" s="12"/>
      <c r="L160" s="12"/>
      <c r="M160" s="12"/>
      <c r="N160" s="12">
        <v>4</v>
      </c>
      <c r="O160" s="12"/>
      <c r="P160" s="648">
        <f t="shared" ca="1" si="8"/>
        <v>12</v>
      </c>
      <c r="R160" s="748" t="s">
        <v>2428</v>
      </c>
      <c r="S160">
        <v>35</v>
      </c>
      <c r="T160" s="718">
        <v>0</v>
      </c>
      <c r="U160" s="399">
        <v>4.2</v>
      </c>
      <c r="AC160" s="645" t="s">
        <v>2150</v>
      </c>
      <c r="AD160">
        <v>11</v>
      </c>
      <c r="AE160">
        <v>3</v>
      </c>
      <c r="AF160">
        <v>2.75</v>
      </c>
      <c r="AH160" s="644"/>
      <c r="AY160">
        <v>12</v>
      </c>
      <c r="AZ160">
        <v>10</v>
      </c>
      <c r="BA160" t="s">
        <v>2194</v>
      </c>
    </row>
    <row r="161" spans="1:53">
      <c r="R161" s="748" t="s">
        <v>2230</v>
      </c>
      <c r="S161">
        <v>15</v>
      </c>
      <c r="T161" s="718">
        <v>1</v>
      </c>
      <c r="U161" s="399">
        <v>4.2222222222222223</v>
      </c>
      <c r="AC161" s="644" t="s">
        <v>2185</v>
      </c>
      <c r="AD161">
        <v>11</v>
      </c>
      <c r="AE161">
        <v>0</v>
      </c>
      <c r="AF161">
        <v>9</v>
      </c>
      <c r="AH161" s="681"/>
      <c r="AY161">
        <v>12</v>
      </c>
      <c r="AZ161" t="s">
        <v>2810</v>
      </c>
      <c r="BA161" t="s">
        <v>2193</v>
      </c>
    </row>
    <row r="162" spans="1:53" ht="21">
      <c r="B162" s="1" t="s">
        <v>136</v>
      </c>
      <c r="C162" s="1503"/>
      <c r="D162" s="12"/>
      <c r="E162" s="12"/>
      <c r="F162" s="12"/>
      <c r="G162" s="12"/>
      <c r="H162" s="12"/>
      <c r="I162" s="12"/>
      <c r="J162" s="12"/>
      <c r="K162" s="12"/>
      <c r="L162" s="12"/>
      <c r="M162" s="12"/>
      <c r="N162" s="12"/>
      <c r="O162" s="12"/>
      <c r="R162" s="750" t="s">
        <v>2171</v>
      </c>
      <c r="S162">
        <v>9</v>
      </c>
      <c r="T162" s="718">
        <v>1</v>
      </c>
      <c r="U162" s="399">
        <v>4.2307692307692308</v>
      </c>
      <c r="AC162" s="644" t="s">
        <v>2084</v>
      </c>
      <c r="AD162">
        <v>11</v>
      </c>
      <c r="AE162">
        <v>0</v>
      </c>
      <c r="AF162">
        <v>10</v>
      </c>
      <c r="AH162" s="644"/>
      <c r="AY162">
        <v>13</v>
      </c>
      <c r="AZ162">
        <v>1</v>
      </c>
      <c r="BA162" t="s">
        <v>2204</v>
      </c>
    </row>
    <row r="163" spans="1:53" ht="21" customHeight="1">
      <c r="B163" s="649" t="s">
        <v>1440</v>
      </c>
      <c r="C163" s="646" t="s">
        <v>2795</v>
      </c>
      <c r="D163" s="646" t="s">
        <v>2798</v>
      </c>
      <c r="E163" s="646" t="s">
        <v>2799</v>
      </c>
      <c r="F163" s="646" t="s">
        <v>2800</v>
      </c>
      <c r="G163" s="646" t="s">
        <v>2801</v>
      </c>
      <c r="H163" s="646" t="s">
        <v>2802</v>
      </c>
      <c r="I163" s="646" t="s">
        <v>2803</v>
      </c>
      <c r="J163" s="646" t="s">
        <v>2804</v>
      </c>
      <c r="K163" s="646" t="s">
        <v>2805</v>
      </c>
      <c r="L163" s="646" t="s">
        <v>2806</v>
      </c>
      <c r="M163" s="646" t="s">
        <v>2807</v>
      </c>
      <c r="N163" s="646" t="s">
        <v>2808</v>
      </c>
      <c r="O163" s="646" t="s">
        <v>2810</v>
      </c>
      <c r="P163" s="647" t="s">
        <v>2080</v>
      </c>
      <c r="R163" s="750" t="s">
        <v>2099</v>
      </c>
      <c r="S163">
        <v>2</v>
      </c>
      <c r="T163" s="718">
        <v>1</v>
      </c>
      <c r="U163" s="399">
        <v>4.25</v>
      </c>
      <c r="AC163" s="644" t="s">
        <v>2107</v>
      </c>
      <c r="AD163">
        <v>11</v>
      </c>
      <c r="AE163">
        <v>0</v>
      </c>
      <c r="AF163">
        <v>11</v>
      </c>
      <c r="AH163" s="644"/>
      <c r="AY163">
        <v>13</v>
      </c>
      <c r="AZ163">
        <v>2</v>
      </c>
      <c r="BA163" t="s">
        <v>2205</v>
      </c>
    </row>
    <row r="164" spans="1:53">
      <c r="A164">
        <v>11</v>
      </c>
      <c r="B164" s="661" t="s">
        <v>2192</v>
      </c>
      <c r="C164">
        <v>4</v>
      </c>
      <c r="D164">
        <v>4</v>
      </c>
      <c r="E164">
        <v>3</v>
      </c>
      <c r="F164">
        <v>2</v>
      </c>
      <c r="G164">
        <v>6</v>
      </c>
      <c r="H164">
        <v>5</v>
      </c>
      <c r="I164">
        <v>5</v>
      </c>
      <c r="J164">
        <v>5</v>
      </c>
      <c r="K164" s="657">
        <v>3</v>
      </c>
      <c r="L164" s="651">
        <v>4</v>
      </c>
      <c r="M164" s="657">
        <v>3</v>
      </c>
      <c r="N164">
        <v>2</v>
      </c>
      <c r="O164" s="699">
        <v>1</v>
      </c>
      <c r="P164" s="648">
        <f>AVERAGE(C164:O164)</f>
        <v>3.6153846153846154</v>
      </c>
      <c r="R164" s="750" t="s">
        <v>2228</v>
      </c>
      <c r="S164">
        <v>15</v>
      </c>
      <c r="T164" s="718">
        <v>0</v>
      </c>
      <c r="U164" s="399">
        <v>4.25</v>
      </c>
      <c r="AC164" s="644"/>
      <c r="AE164">
        <v>0</v>
      </c>
      <c r="AH164" s="644"/>
      <c r="AY164">
        <v>13</v>
      </c>
      <c r="AZ164">
        <v>3</v>
      </c>
      <c r="BA164" t="s">
        <v>2205</v>
      </c>
    </row>
    <row r="165" spans="1:53" ht="21">
      <c r="A165">
        <v>11</v>
      </c>
      <c r="B165" s="645" t="s">
        <v>2183</v>
      </c>
      <c r="C165">
        <v>6</v>
      </c>
      <c r="D165">
        <v>6</v>
      </c>
      <c r="E165">
        <v>4</v>
      </c>
      <c r="F165">
        <v>5</v>
      </c>
      <c r="G165">
        <v>2</v>
      </c>
      <c r="H165">
        <v>4</v>
      </c>
      <c r="I165" s="13">
        <v>1</v>
      </c>
      <c r="J165">
        <v>3</v>
      </c>
      <c r="K165" s="659">
        <v>1</v>
      </c>
      <c r="L165">
        <v>2</v>
      </c>
      <c r="M165" s="13">
        <v>1</v>
      </c>
      <c r="N165" s="13">
        <v>1</v>
      </c>
      <c r="O165">
        <v>2</v>
      </c>
      <c r="P165" s="648">
        <f t="shared" ref="P165:P174" si="9">AVERAGE(C165:O165)</f>
        <v>2.9230769230769229</v>
      </c>
      <c r="R165" s="748" t="s">
        <v>2295</v>
      </c>
      <c r="S165">
        <v>22</v>
      </c>
      <c r="T165" s="718">
        <v>3</v>
      </c>
      <c r="U165" s="399">
        <v>4.25</v>
      </c>
      <c r="AC165" s="1" t="s">
        <v>137</v>
      </c>
      <c r="AE165">
        <v>0</v>
      </c>
      <c r="AH165" s="644"/>
      <c r="AY165">
        <v>13</v>
      </c>
      <c r="AZ165">
        <v>4</v>
      </c>
      <c r="BA165" t="s">
        <v>2205</v>
      </c>
    </row>
    <row r="166" spans="1:53" ht="18">
      <c r="A166">
        <v>11</v>
      </c>
      <c r="B166" s="645" t="s">
        <v>2132</v>
      </c>
      <c r="C166">
        <v>8</v>
      </c>
      <c r="D166">
        <v>8</v>
      </c>
      <c r="E166">
        <v>8</v>
      </c>
      <c r="F166">
        <v>7</v>
      </c>
      <c r="G166" s="13">
        <v>1</v>
      </c>
      <c r="H166" s="13">
        <v>1</v>
      </c>
      <c r="I166">
        <v>4</v>
      </c>
      <c r="J166">
        <v>4</v>
      </c>
      <c r="K166">
        <v>2</v>
      </c>
      <c r="L166">
        <v>3</v>
      </c>
      <c r="M166">
        <v>2</v>
      </c>
      <c r="N166">
        <v>3</v>
      </c>
      <c r="O166">
        <v>3</v>
      </c>
      <c r="P166" s="648">
        <f t="shared" si="9"/>
        <v>4.1538461538461542</v>
      </c>
      <c r="R166" s="748" t="s">
        <v>2297</v>
      </c>
      <c r="S166">
        <v>24</v>
      </c>
      <c r="T166" s="718">
        <v>0</v>
      </c>
      <c r="U166" s="399">
        <v>4.25</v>
      </c>
      <c r="AC166" s="649" t="s">
        <v>1440</v>
      </c>
      <c r="AE166">
        <v>0</v>
      </c>
      <c r="AF166" t="s">
        <v>2080</v>
      </c>
      <c r="AH166" s="681"/>
      <c r="AY166">
        <v>13</v>
      </c>
      <c r="AZ166">
        <v>5</v>
      </c>
      <c r="BA166" t="s">
        <v>2204</v>
      </c>
    </row>
    <row r="167" spans="1:53">
      <c r="A167">
        <v>11</v>
      </c>
      <c r="B167" s="645" t="s">
        <v>2095</v>
      </c>
      <c r="C167">
        <v>2</v>
      </c>
      <c r="D167">
        <v>2</v>
      </c>
      <c r="E167">
        <v>5</v>
      </c>
      <c r="F167" s="13">
        <v>1</v>
      </c>
      <c r="G167">
        <v>4</v>
      </c>
      <c r="H167">
        <v>2</v>
      </c>
      <c r="I167">
        <v>2</v>
      </c>
      <c r="J167" s="676">
        <v>1</v>
      </c>
      <c r="K167">
        <v>4</v>
      </c>
      <c r="L167" s="676">
        <v>1</v>
      </c>
      <c r="M167" s="662">
        <v>4</v>
      </c>
      <c r="N167" s="650">
        <v>4</v>
      </c>
      <c r="O167" s="12"/>
      <c r="P167" s="648">
        <f t="shared" si="9"/>
        <v>2.6666666666666665</v>
      </c>
      <c r="R167" s="750" t="s">
        <v>2308</v>
      </c>
      <c r="S167">
        <v>31</v>
      </c>
      <c r="T167" s="718">
        <v>3</v>
      </c>
      <c r="U167" s="399">
        <v>4.25</v>
      </c>
      <c r="AC167" s="661" t="s">
        <v>2193</v>
      </c>
      <c r="AD167">
        <v>12</v>
      </c>
      <c r="AE167">
        <v>3</v>
      </c>
      <c r="AF167">
        <v>3.1818181818181817</v>
      </c>
      <c r="AH167" s="681"/>
      <c r="AY167">
        <v>13</v>
      </c>
      <c r="AZ167">
        <v>6</v>
      </c>
      <c r="BA167" t="s">
        <v>2204</v>
      </c>
    </row>
    <row r="168" spans="1:53">
      <c r="A168">
        <v>11</v>
      </c>
      <c r="B168" s="645" t="s">
        <v>2149</v>
      </c>
      <c r="C168">
        <v>7</v>
      </c>
      <c r="D168">
        <v>5</v>
      </c>
      <c r="E168">
        <v>2</v>
      </c>
      <c r="F168">
        <v>6</v>
      </c>
      <c r="G168">
        <v>7</v>
      </c>
      <c r="H168">
        <v>3</v>
      </c>
      <c r="I168">
        <v>3</v>
      </c>
      <c r="J168" s="676">
        <v>1</v>
      </c>
      <c r="K168">
        <v>5</v>
      </c>
      <c r="L168" s="12"/>
      <c r="M168" s="1490">
        <v>0</v>
      </c>
      <c r="N168" s="1490">
        <v>0</v>
      </c>
      <c r="O168" s="12"/>
      <c r="P168" s="648">
        <f t="shared" si="9"/>
        <v>3.5454545454545454</v>
      </c>
      <c r="R168" s="748" t="s">
        <v>2560</v>
      </c>
      <c r="S168">
        <v>38</v>
      </c>
      <c r="T168" s="718">
        <v>0</v>
      </c>
      <c r="U168" s="399">
        <v>4.25</v>
      </c>
      <c r="AC168" s="645" t="s">
        <v>2194</v>
      </c>
      <c r="AD168">
        <v>12</v>
      </c>
      <c r="AE168">
        <v>3</v>
      </c>
      <c r="AF168">
        <v>3.4545454545454546</v>
      </c>
      <c r="AH168" s="681"/>
      <c r="AY168">
        <v>13</v>
      </c>
      <c r="AZ168">
        <v>7</v>
      </c>
      <c r="BA168" t="s">
        <v>2204</v>
      </c>
    </row>
    <row r="169" spans="1:53">
      <c r="A169">
        <v>11</v>
      </c>
      <c r="B169" s="645" t="s">
        <v>2083</v>
      </c>
      <c r="C169">
        <v>5</v>
      </c>
      <c r="D169">
        <v>3</v>
      </c>
      <c r="E169">
        <v>7</v>
      </c>
      <c r="F169">
        <v>4</v>
      </c>
      <c r="G169">
        <v>5</v>
      </c>
      <c r="H169">
        <v>6</v>
      </c>
      <c r="I169" s="651">
        <v>6</v>
      </c>
      <c r="J169" s="650">
        <v>6</v>
      </c>
      <c r="K169" s="1494">
        <v>0</v>
      </c>
      <c r="L169" s="1490">
        <v>0</v>
      </c>
      <c r="M169" s="1490">
        <v>0</v>
      </c>
      <c r="N169" s="12"/>
      <c r="O169" s="12"/>
      <c r="P169" s="648">
        <f t="shared" si="9"/>
        <v>3.8181818181818183</v>
      </c>
      <c r="R169" s="748" t="s">
        <v>2218</v>
      </c>
      <c r="S169">
        <v>14</v>
      </c>
      <c r="T169" s="718">
        <v>1</v>
      </c>
      <c r="U169" s="399">
        <v>4.2727272727272725</v>
      </c>
      <c r="AC169" s="645" t="s">
        <v>2195</v>
      </c>
      <c r="AD169">
        <v>12</v>
      </c>
      <c r="AE169">
        <v>1</v>
      </c>
      <c r="AF169">
        <v>4.1818181818181817</v>
      </c>
      <c r="AH169" s="681"/>
      <c r="AY169">
        <v>13</v>
      </c>
      <c r="AZ169">
        <v>8</v>
      </c>
      <c r="BA169" t="s">
        <v>2204</v>
      </c>
    </row>
    <row r="170" spans="1:53">
      <c r="A170">
        <v>11</v>
      </c>
      <c r="B170" s="645" t="s">
        <v>2104</v>
      </c>
      <c r="C170">
        <v>3</v>
      </c>
      <c r="D170">
        <v>7</v>
      </c>
      <c r="E170">
        <v>6</v>
      </c>
      <c r="F170">
        <v>3</v>
      </c>
      <c r="G170" s="651">
        <v>3</v>
      </c>
      <c r="H170" s="650">
        <v>7</v>
      </c>
      <c r="I170" s="12"/>
      <c r="J170" s="1490">
        <v>0</v>
      </c>
      <c r="K170" s="1490">
        <v>0</v>
      </c>
      <c r="L170" s="12"/>
      <c r="M170" s="12"/>
      <c r="N170" s="12"/>
      <c r="O170" s="12"/>
      <c r="P170" s="648">
        <f t="shared" si="9"/>
        <v>3.625</v>
      </c>
      <c r="R170" s="749" t="s">
        <v>2267</v>
      </c>
      <c r="S170">
        <v>19</v>
      </c>
      <c r="T170" s="718">
        <v>0</v>
      </c>
      <c r="U170" s="399">
        <v>4.2857142857142856</v>
      </c>
      <c r="AC170" s="645" t="s">
        <v>2196</v>
      </c>
      <c r="AD170">
        <v>12</v>
      </c>
      <c r="AE170">
        <v>0</v>
      </c>
      <c r="AF170">
        <v>3.7</v>
      </c>
      <c r="AH170" s="644"/>
      <c r="AY170">
        <v>13</v>
      </c>
      <c r="AZ170">
        <v>9</v>
      </c>
      <c r="BA170" t="s">
        <v>2207</v>
      </c>
    </row>
    <row r="171" spans="1:53">
      <c r="A171">
        <v>11</v>
      </c>
      <c r="B171" s="645" t="s">
        <v>2150</v>
      </c>
      <c r="C171" s="13">
        <v>1</v>
      </c>
      <c r="D171" s="13">
        <v>1</v>
      </c>
      <c r="E171" s="13">
        <v>1</v>
      </c>
      <c r="F171" s="650">
        <v>8</v>
      </c>
      <c r="G171" s="1495"/>
      <c r="H171" s="1491"/>
      <c r="I171" s="1490">
        <v>0</v>
      </c>
      <c r="J171" s="1490">
        <v>0</v>
      </c>
      <c r="K171" s="12"/>
      <c r="L171" s="12"/>
      <c r="M171" s="12"/>
      <c r="N171" s="12">
        <v>4</v>
      </c>
      <c r="O171" s="12"/>
      <c r="P171" s="648">
        <f t="shared" si="9"/>
        <v>2.1428571428571428</v>
      </c>
      <c r="R171" s="748" t="s">
        <v>2343</v>
      </c>
      <c r="S171">
        <v>27</v>
      </c>
      <c r="T171" s="718">
        <v>1</v>
      </c>
      <c r="U171" s="399">
        <v>4.3</v>
      </c>
      <c r="AC171" s="645" t="s">
        <v>2197</v>
      </c>
      <c r="AD171">
        <v>12</v>
      </c>
      <c r="AE171">
        <v>0</v>
      </c>
      <c r="AF171">
        <v>3.625</v>
      </c>
      <c r="AH171" s="644"/>
      <c r="AY171">
        <v>13</v>
      </c>
      <c r="AZ171">
        <v>10</v>
      </c>
      <c r="BA171" t="s">
        <v>2204</v>
      </c>
    </row>
    <row r="172" spans="1:53">
      <c r="A172">
        <v>11</v>
      </c>
      <c r="B172" s="644" t="s">
        <v>2185</v>
      </c>
      <c r="C172" s="653">
        <v>9</v>
      </c>
      <c r="D172">
        <v>9</v>
      </c>
      <c r="E172" s="650">
        <v>9</v>
      </c>
      <c r="F172" s="12"/>
      <c r="G172" s="12"/>
      <c r="H172" s="1490">
        <v>0</v>
      </c>
      <c r="I172" s="1490">
        <v>0</v>
      </c>
      <c r="J172" s="12"/>
      <c r="K172" s="12"/>
      <c r="L172" s="12"/>
      <c r="M172" s="12"/>
      <c r="N172" s="12"/>
      <c r="O172" s="12"/>
      <c r="P172" s="648">
        <f t="shared" si="9"/>
        <v>5.4</v>
      </c>
      <c r="R172" s="750" t="s">
        <v>2142</v>
      </c>
      <c r="S172">
        <v>6</v>
      </c>
      <c r="T172" s="718">
        <v>1</v>
      </c>
      <c r="U172" s="399">
        <v>4.333333333333333</v>
      </c>
      <c r="AC172" s="645" t="s">
        <v>2198</v>
      </c>
      <c r="AD172">
        <v>12</v>
      </c>
      <c r="AE172">
        <v>3</v>
      </c>
      <c r="AF172">
        <v>3</v>
      </c>
      <c r="AH172" s="681"/>
      <c r="AY172">
        <v>13</v>
      </c>
      <c r="AZ172" t="s">
        <v>2810</v>
      </c>
      <c r="BA172" t="s">
        <v>2204</v>
      </c>
    </row>
    <row r="173" spans="1:53">
      <c r="A173">
        <v>11</v>
      </c>
      <c r="B173" s="644" t="s">
        <v>2084</v>
      </c>
      <c r="C173" s="653">
        <v>10</v>
      </c>
      <c r="D173" s="650">
        <v>10</v>
      </c>
      <c r="E173" s="12"/>
      <c r="F173" s="12"/>
      <c r="G173" s="1492">
        <v>0</v>
      </c>
      <c r="H173" s="12"/>
      <c r="I173" s="12"/>
      <c r="J173" s="12"/>
      <c r="K173" s="12"/>
      <c r="L173" s="12"/>
      <c r="M173" s="12"/>
      <c r="N173" s="12"/>
      <c r="O173" s="12"/>
      <c r="P173" s="648">
        <f t="shared" si="9"/>
        <v>6.666666666666667</v>
      </c>
      <c r="R173" s="750" t="s">
        <v>2149</v>
      </c>
      <c r="S173">
        <v>11</v>
      </c>
      <c r="T173" s="718">
        <v>1</v>
      </c>
      <c r="U173" s="399">
        <v>4.333333333333333</v>
      </c>
      <c r="AC173" s="645" t="s">
        <v>2199</v>
      </c>
      <c r="AD173">
        <v>12</v>
      </c>
      <c r="AE173">
        <v>0</v>
      </c>
      <c r="AF173">
        <v>5.8</v>
      </c>
      <c r="AH173" s="644"/>
      <c r="AY173">
        <v>14</v>
      </c>
      <c r="AZ173">
        <v>1</v>
      </c>
      <c r="BA173" t="s">
        <v>2217</v>
      </c>
    </row>
    <row r="174" spans="1:53">
      <c r="A174">
        <v>11</v>
      </c>
      <c r="B174" s="644" t="s">
        <v>2107</v>
      </c>
      <c r="C174" s="652">
        <v>11</v>
      </c>
      <c r="D174" s="12"/>
      <c r="E174" s="12"/>
      <c r="F174" s="1492">
        <v>0</v>
      </c>
      <c r="G174" s="12"/>
      <c r="H174" s="12"/>
      <c r="I174" s="12"/>
      <c r="J174" s="12"/>
      <c r="K174" s="12"/>
      <c r="L174" s="12"/>
      <c r="M174" s="12"/>
      <c r="N174" s="12"/>
      <c r="O174" s="12"/>
      <c r="P174" s="648">
        <f t="shared" si="9"/>
        <v>5.5</v>
      </c>
      <c r="R174" s="750" t="s">
        <v>2238</v>
      </c>
      <c r="S174">
        <v>16</v>
      </c>
      <c r="T174" s="718">
        <v>2</v>
      </c>
      <c r="U174" s="399">
        <v>4.333333333333333</v>
      </c>
      <c r="AC174" s="645" t="s">
        <v>2200</v>
      </c>
      <c r="AD174">
        <v>12</v>
      </c>
      <c r="AE174">
        <v>1</v>
      </c>
      <c r="AF174">
        <v>5.25</v>
      </c>
      <c r="AH174" s="644"/>
      <c r="AY174">
        <v>14</v>
      </c>
      <c r="AZ174">
        <v>2</v>
      </c>
      <c r="BA174" t="s">
        <v>2215</v>
      </c>
    </row>
    <row r="175" spans="1:53">
      <c r="B175" s="644"/>
      <c r="C175" s="1503"/>
      <c r="D175" s="12"/>
      <c r="E175" s="12"/>
      <c r="F175" s="12"/>
      <c r="G175" s="12"/>
      <c r="H175" s="12"/>
      <c r="I175" s="12"/>
      <c r="J175" s="12"/>
      <c r="K175" s="12"/>
      <c r="L175" s="12"/>
      <c r="M175" s="12"/>
      <c r="N175" s="12"/>
      <c r="O175" s="12"/>
      <c r="P175" s="660"/>
      <c r="R175" s="750" t="s">
        <v>2240</v>
      </c>
      <c r="S175">
        <v>16</v>
      </c>
      <c r="T175" s="718">
        <v>1</v>
      </c>
      <c r="U175" s="399">
        <v>4.333333333333333</v>
      </c>
      <c r="AC175" s="644" t="s">
        <v>2201</v>
      </c>
      <c r="AD175">
        <v>12</v>
      </c>
      <c r="AE175">
        <v>0</v>
      </c>
      <c r="AF175">
        <v>8.3333333333333339</v>
      </c>
      <c r="AH175" s="743"/>
      <c r="AY175">
        <v>14</v>
      </c>
      <c r="AZ175">
        <v>3</v>
      </c>
      <c r="BA175" t="s">
        <v>2220</v>
      </c>
    </row>
    <row r="176" spans="1:53" ht="21">
      <c r="B176" s="1" t="s">
        <v>137</v>
      </c>
      <c r="C176" s="1503"/>
      <c r="D176" s="12"/>
      <c r="E176" s="12"/>
      <c r="F176" s="12"/>
      <c r="G176" s="12"/>
      <c r="H176" s="12"/>
      <c r="I176" s="12"/>
      <c r="J176" s="12"/>
      <c r="K176" s="12"/>
      <c r="L176" s="12"/>
      <c r="M176" s="12"/>
      <c r="N176" s="12"/>
      <c r="O176" s="12"/>
      <c r="P176" s="660"/>
      <c r="R176" s="748" t="s">
        <v>2296</v>
      </c>
      <c r="S176">
        <v>22</v>
      </c>
      <c r="T176" s="718">
        <v>0</v>
      </c>
      <c r="U176" s="399">
        <v>4.333333333333333</v>
      </c>
      <c r="AC176" s="644" t="s">
        <v>2202</v>
      </c>
      <c r="AD176">
        <v>12</v>
      </c>
      <c r="AE176">
        <v>0</v>
      </c>
      <c r="AF176">
        <v>9</v>
      </c>
      <c r="AH176" s="644"/>
      <c r="AY176">
        <v>14</v>
      </c>
      <c r="AZ176">
        <v>4</v>
      </c>
      <c r="BA176" t="s">
        <v>2221</v>
      </c>
    </row>
    <row r="177" spans="1:53" ht="21" customHeight="1">
      <c r="B177" s="649" t="s">
        <v>1440</v>
      </c>
      <c r="C177" s="646" t="s">
        <v>2795</v>
      </c>
      <c r="D177" s="646" t="s">
        <v>2798</v>
      </c>
      <c r="E177" s="646" t="s">
        <v>2799</v>
      </c>
      <c r="F177" s="646" t="s">
        <v>2800</v>
      </c>
      <c r="G177" s="646" t="s">
        <v>2801</v>
      </c>
      <c r="H177" s="646" t="s">
        <v>2802</v>
      </c>
      <c r="I177" s="646" t="s">
        <v>2803</v>
      </c>
      <c r="J177" s="646" t="s">
        <v>2804</v>
      </c>
      <c r="K177" s="646" t="s">
        <v>2805</v>
      </c>
      <c r="L177" s="646" t="s">
        <v>2806</v>
      </c>
      <c r="M177" s="646"/>
      <c r="N177" s="646"/>
      <c r="O177" s="646" t="s">
        <v>2810</v>
      </c>
      <c r="P177" s="647" t="s">
        <v>2080</v>
      </c>
      <c r="R177" s="748" t="s">
        <v>2341</v>
      </c>
      <c r="S177">
        <v>27</v>
      </c>
      <c r="T177" s="718">
        <v>1</v>
      </c>
      <c r="U177" s="399">
        <v>4.333333333333333</v>
      </c>
      <c r="AC177" s="644" t="s">
        <v>2203</v>
      </c>
      <c r="AD177">
        <v>12</v>
      </c>
      <c r="AE177">
        <v>0</v>
      </c>
      <c r="AF177">
        <v>11</v>
      </c>
      <c r="AH177" s="681"/>
      <c r="AY177">
        <v>14</v>
      </c>
      <c r="AZ177">
        <v>5</v>
      </c>
      <c r="BA177" t="s">
        <v>2217</v>
      </c>
    </row>
    <row r="178" spans="1:53">
      <c r="A178">
        <v>12</v>
      </c>
      <c r="B178" s="661" t="s">
        <v>2193</v>
      </c>
      <c r="C178">
        <v>3</v>
      </c>
      <c r="D178">
        <v>6</v>
      </c>
      <c r="E178">
        <v>2</v>
      </c>
      <c r="F178">
        <v>7</v>
      </c>
      <c r="G178" s="13">
        <v>1</v>
      </c>
      <c r="H178">
        <v>4</v>
      </c>
      <c r="I178">
        <v>4</v>
      </c>
      <c r="J178" s="13">
        <v>1</v>
      </c>
      <c r="K178" s="651">
        <v>4</v>
      </c>
      <c r="L178">
        <v>2</v>
      </c>
      <c r="N178" s="12"/>
      <c r="O178" s="699">
        <v>1</v>
      </c>
      <c r="P178" s="648">
        <f>AVERAGE(C178:O178)</f>
        <v>3.1818181818181817</v>
      </c>
      <c r="R178" s="748" t="s">
        <v>2408</v>
      </c>
      <c r="S178">
        <v>33</v>
      </c>
      <c r="T178" s="718">
        <v>0</v>
      </c>
      <c r="U178" s="399">
        <v>4.333333333333333</v>
      </c>
      <c r="AE178">
        <v>0</v>
      </c>
      <c r="AH178" s="681"/>
      <c r="AY178">
        <v>14</v>
      </c>
      <c r="AZ178">
        <v>6</v>
      </c>
      <c r="BA178" t="s">
        <v>2215</v>
      </c>
    </row>
    <row r="179" spans="1:53" ht="21">
      <c r="A179">
        <v>12</v>
      </c>
      <c r="B179" s="645" t="s">
        <v>2194</v>
      </c>
      <c r="C179">
        <v>7</v>
      </c>
      <c r="D179">
        <v>9</v>
      </c>
      <c r="E179">
        <v>5</v>
      </c>
      <c r="F179">
        <v>3</v>
      </c>
      <c r="G179">
        <v>3</v>
      </c>
      <c r="H179" s="13">
        <v>1</v>
      </c>
      <c r="I179">
        <v>3</v>
      </c>
      <c r="J179">
        <v>3</v>
      </c>
      <c r="K179" s="13">
        <v>1</v>
      </c>
      <c r="L179" s="13">
        <v>1</v>
      </c>
      <c r="N179" s="12"/>
      <c r="O179">
        <v>2</v>
      </c>
      <c r="P179" s="648">
        <f>AVERAGE(C179:N179)</f>
        <v>3.6</v>
      </c>
      <c r="R179" s="748" t="s">
        <v>2425</v>
      </c>
      <c r="S179">
        <v>35</v>
      </c>
      <c r="T179" s="718">
        <v>1</v>
      </c>
      <c r="U179" s="399">
        <v>4.333333333333333</v>
      </c>
      <c r="AC179" s="1" t="s">
        <v>138</v>
      </c>
      <c r="AE179">
        <v>0</v>
      </c>
      <c r="AH179" s="681"/>
      <c r="AY179">
        <v>14</v>
      </c>
      <c r="AZ179">
        <v>7</v>
      </c>
      <c r="BA179" t="s">
        <v>2215</v>
      </c>
    </row>
    <row r="180" spans="1:53" ht="18">
      <c r="A180">
        <v>12</v>
      </c>
      <c r="B180" s="645" t="s">
        <v>2195</v>
      </c>
      <c r="C180">
        <v>5</v>
      </c>
      <c r="D180">
        <v>8</v>
      </c>
      <c r="E180">
        <v>6</v>
      </c>
      <c r="F180">
        <v>4</v>
      </c>
      <c r="G180">
        <v>6</v>
      </c>
      <c r="H180">
        <v>5</v>
      </c>
      <c r="I180" s="676">
        <v>1</v>
      </c>
      <c r="J180">
        <v>2</v>
      </c>
      <c r="K180">
        <v>3</v>
      </c>
      <c r="L180">
        <v>3</v>
      </c>
      <c r="N180" s="12"/>
      <c r="O180">
        <v>3</v>
      </c>
      <c r="P180" s="648">
        <f>AVERAGE(C180:O180)</f>
        <v>4.1818181818181817</v>
      </c>
      <c r="R180" s="748" t="s">
        <v>2241</v>
      </c>
      <c r="S180">
        <v>16</v>
      </c>
      <c r="T180" s="718">
        <v>3</v>
      </c>
      <c r="U180" s="399">
        <v>4.3636363636363633</v>
      </c>
      <c r="AC180" s="649" t="s">
        <v>1440</v>
      </c>
      <c r="AE180">
        <v>0</v>
      </c>
      <c r="AF180" t="s">
        <v>2080</v>
      </c>
      <c r="AH180" s="681"/>
      <c r="AY180">
        <v>14</v>
      </c>
      <c r="AZ180">
        <v>8</v>
      </c>
      <c r="BA180" t="s">
        <v>2217</v>
      </c>
    </row>
    <row r="181" spans="1:53">
      <c r="A181">
        <v>12</v>
      </c>
      <c r="B181" s="645" t="s">
        <v>2196</v>
      </c>
      <c r="C181">
        <v>10</v>
      </c>
      <c r="D181">
        <v>2</v>
      </c>
      <c r="E181">
        <v>3</v>
      </c>
      <c r="F181">
        <v>2</v>
      </c>
      <c r="G181">
        <v>5</v>
      </c>
      <c r="H181">
        <v>3</v>
      </c>
      <c r="I181">
        <v>2</v>
      </c>
      <c r="J181">
        <v>4</v>
      </c>
      <c r="K181">
        <v>2</v>
      </c>
      <c r="L181" s="650">
        <v>4</v>
      </c>
      <c r="N181" s="12"/>
      <c r="O181" s="1496"/>
      <c r="P181" s="648">
        <f>AVERAGE(C181:N181)</f>
        <v>3.7</v>
      </c>
      <c r="R181" s="747" t="s">
        <v>2266</v>
      </c>
      <c r="S181">
        <v>19</v>
      </c>
      <c r="T181" s="718">
        <v>0</v>
      </c>
      <c r="U181" s="399">
        <v>4.375</v>
      </c>
      <c r="AC181" s="661" t="s">
        <v>2204</v>
      </c>
      <c r="AD181">
        <v>13</v>
      </c>
      <c r="AE181">
        <v>7</v>
      </c>
      <c r="AF181">
        <v>2.4545454545454546</v>
      </c>
      <c r="AH181" s="644"/>
      <c r="AY181">
        <v>14</v>
      </c>
      <c r="AZ181">
        <v>9</v>
      </c>
      <c r="BA181" t="s">
        <v>2218</v>
      </c>
    </row>
    <row r="182" spans="1:53">
      <c r="A182">
        <v>12</v>
      </c>
      <c r="B182" s="645" t="s">
        <v>2197</v>
      </c>
      <c r="C182">
        <v>2</v>
      </c>
      <c r="D182">
        <v>4</v>
      </c>
      <c r="E182">
        <v>4</v>
      </c>
      <c r="F182">
        <v>5</v>
      </c>
      <c r="G182">
        <v>2</v>
      </c>
      <c r="H182">
        <v>2</v>
      </c>
      <c r="I182" s="651">
        <v>5</v>
      </c>
      <c r="J182" s="666">
        <v>5</v>
      </c>
      <c r="K182" s="12"/>
      <c r="L182" s="12"/>
      <c r="N182" s="12"/>
      <c r="O182" s="1490">
        <v>0</v>
      </c>
      <c r="P182" s="648">
        <f t="shared" ref="P182:P188" si="10">AVERAGE(C182:O182)</f>
        <v>3.2222222222222223</v>
      </c>
      <c r="R182" s="750" t="s">
        <v>2245</v>
      </c>
      <c r="S182">
        <v>16</v>
      </c>
      <c r="T182" s="718">
        <v>0</v>
      </c>
      <c r="U182" s="399">
        <v>4.4000000000000004</v>
      </c>
      <c r="AC182" s="645" t="s">
        <v>2205</v>
      </c>
      <c r="AD182">
        <v>13</v>
      </c>
      <c r="AE182">
        <v>3</v>
      </c>
      <c r="AF182">
        <v>2.6363636363636362</v>
      </c>
      <c r="AH182" s="644"/>
      <c r="AY182">
        <v>14</v>
      </c>
      <c r="AZ182">
        <v>10</v>
      </c>
      <c r="BA182" t="s">
        <v>2216</v>
      </c>
    </row>
    <row r="183" spans="1:53">
      <c r="A183">
        <v>12</v>
      </c>
      <c r="B183" s="645" t="s">
        <v>2198</v>
      </c>
      <c r="C183" s="13">
        <v>1</v>
      </c>
      <c r="D183">
        <v>5</v>
      </c>
      <c r="E183" s="13">
        <v>1</v>
      </c>
      <c r="F183" s="13">
        <v>1</v>
      </c>
      <c r="G183">
        <v>4</v>
      </c>
      <c r="H183" s="650">
        <v>6</v>
      </c>
      <c r="I183" s="12"/>
      <c r="J183" s="12"/>
      <c r="K183" s="1490">
        <v>0</v>
      </c>
      <c r="L183" s="1490">
        <v>0</v>
      </c>
      <c r="N183" s="12">
        <v>4</v>
      </c>
      <c r="O183" s="1490">
        <v>0</v>
      </c>
      <c r="P183" s="648">
        <f t="shared" si="10"/>
        <v>2.2000000000000002</v>
      </c>
      <c r="R183" s="750" t="s">
        <v>2263</v>
      </c>
      <c r="S183">
        <v>19</v>
      </c>
      <c r="T183" s="718">
        <v>2</v>
      </c>
      <c r="U183" s="399">
        <v>4.416666666666667</v>
      </c>
      <c r="AC183" s="645" t="s">
        <v>2206</v>
      </c>
      <c r="AD183">
        <v>13</v>
      </c>
      <c r="AE183">
        <v>0</v>
      </c>
      <c r="AF183">
        <v>5.1818181818181817</v>
      </c>
      <c r="AH183" s="644"/>
      <c r="AY183">
        <v>14</v>
      </c>
      <c r="AZ183">
        <v>11</v>
      </c>
      <c r="BA183" t="s">
        <v>2215</v>
      </c>
    </row>
    <row r="184" spans="1:53">
      <c r="A184">
        <v>12</v>
      </c>
      <c r="B184" s="645" t="s">
        <v>2199</v>
      </c>
      <c r="C184">
        <v>6</v>
      </c>
      <c r="D184">
        <v>3</v>
      </c>
      <c r="E184">
        <v>7</v>
      </c>
      <c r="F184" s="35">
        <v>6</v>
      </c>
      <c r="G184" s="650">
        <v>7</v>
      </c>
      <c r="H184" s="12"/>
      <c r="I184" s="12"/>
      <c r="J184" s="1490">
        <v>0</v>
      </c>
      <c r="K184" s="1490">
        <v>0</v>
      </c>
      <c r="L184" s="12"/>
      <c r="N184" s="12"/>
      <c r="O184" s="12"/>
      <c r="P184" s="648">
        <f t="shared" si="10"/>
        <v>4.1428571428571432</v>
      </c>
      <c r="R184" s="748" t="s">
        <v>2222</v>
      </c>
      <c r="S184">
        <v>14</v>
      </c>
      <c r="T184" s="718">
        <v>0</v>
      </c>
      <c r="U184" s="399">
        <v>4.5</v>
      </c>
      <c r="AC184" s="645" t="s">
        <v>2207</v>
      </c>
      <c r="AD184">
        <v>13</v>
      </c>
      <c r="AE184">
        <v>1</v>
      </c>
      <c r="AF184">
        <v>3.1</v>
      </c>
      <c r="AH184" s="644"/>
      <c r="AY184">
        <v>14</v>
      </c>
      <c r="AZ184" t="s">
        <v>2810</v>
      </c>
      <c r="BA184" t="s">
        <v>2215</v>
      </c>
    </row>
    <row r="185" spans="1:53">
      <c r="A185">
        <v>12</v>
      </c>
      <c r="B185" s="645" t="s">
        <v>2200</v>
      </c>
      <c r="C185">
        <v>4</v>
      </c>
      <c r="D185" s="13">
        <v>1</v>
      </c>
      <c r="E185">
        <v>8</v>
      </c>
      <c r="F185" s="665">
        <v>8</v>
      </c>
      <c r="G185" s="1495"/>
      <c r="H185" s="12"/>
      <c r="I185" s="1490">
        <v>0</v>
      </c>
      <c r="J185" s="1490">
        <v>0</v>
      </c>
      <c r="K185" s="12"/>
      <c r="L185" s="12"/>
      <c r="N185" s="12"/>
      <c r="O185" s="12"/>
      <c r="P185" s="648">
        <f t="shared" si="10"/>
        <v>3.5</v>
      </c>
      <c r="R185" s="748" t="s">
        <v>2317</v>
      </c>
      <c r="S185">
        <v>25</v>
      </c>
      <c r="T185" s="718">
        <v>1</v>
      </c>
      <c r="U185" s="399">
        <v>4.5</v>
      </c>
      <c r="AC185" s="645" t="s">
        <v>2208</v>
      </c>
      <c r="AD185">
        <v>13</v>
      </c>
      <c r="AE185">
        <v>0</v>
      </c>
      <c r="AF185">
        <v>3.25</v>
      </c>
      <c r="AH185" s="644"/>
      <c r="AY185">
        <v>15</v>
      </c>
      <c r="AZ185">
        <v>1</v>
      </c>
      <c r="BA185" t="s">
        <v>2226</v>
      </c>
    </row>
    <row r="186" spans="1:53">
      <c r="A186">
        <v>12</v>
      </c>
      <c r="B186" s="644" t="s">
        <v>2201</v>
      </c>
      <c r="C186" s="653">
        <v>9</v>
      </c>
      <c r="D186">
        <v>7</v>
      </c>
      <c r="E186" s="650">
        <v>9</v>
      </c>
      <c r="F186" s="12"/>
      <c r="G186" s="12"/>
      <c r="H186" s="1490">
        <v>0</v>
      </c>
      <c r="I186" s="1490">
        <v>0</v>
      </c>
      <c r="J186" s="12"/>
      <c r="K186" s="12"/>
      <c r="L186" s="12"/>
      <c r="N186" s="12"/>
      <c r="O186" s="12"/>
      <c r="P186" s="648">
        <f t="shared" si="10"/>
        <v>5</v>
      </c>
      <c r="R186" s="748" t="s">
        <v>2392</v>
      </c>
      <c r="S186">
        <v>32</v>
      </c>
      <c r="T186" s="718">
        <v>1</v>
      </c>
      <c r="U186" s="399">
        <v>4.5</v>
      </c>
      <c r="AC186" s="645" t="s">
        <v>2209</v>
      </c>
      <c r="AD186">
        <v>13</v>
      </c>
      <c r="AE186">
        <v>0</v>
      </c>
      <c r="AF186">
        <v>5.1428571428571432</v>
      </c>
      <c r="AH186" s="713"/>
      <c r="AY186">
        <v>15</v>
      </c>
      <c r="AZ186">
        <v>2</v>
      </c>
      <c r="BA186" t="s">
        <v>2230</v>
      </c>
    </row>
    <row r="187" spans="1:53">
      <c r="A187">
        <v>12</v>
      </c>
      <c r="B187" s="644" t="s">
        <v>2202</v>
      </c>
      <c r="C187" s="653">
        <v>8</v>
      </c>
      <c r="D187" s="650">
        <v>10</v>
      </c>
      <c r="E187" s="12"/>
      <c r="F187" s="12"/>
      <c r="G187" s="1492">
        <v>0</v>
      </c>
      <c r="H187" s="12"/>
      <c r="I187" s="12"/>
      <c r="J187" s="12"/>
      <c r="K187" s="12"/>
      <c r="L187" s="12"/>
      <c r="N187" s="12"/>
      <c r="O187" s="12"/>
      <c r="P187" s="648">
        <f t="shared" si="10"/>
        <v>6</v>
      </c>
      <c r="R187" s="747" t="s">
        <v>2440</v>
      </c>
      <c r="S187">
        <v>36</v>
      </c>
      <c r="T187" s="718">
        <v>0</v>
      </c>
      <c r="U187" s="399">
        <v>4.5</v>
      </c>
      <c r="AC187" s="645" t="s">
        <v>2210</v>
      </c>
      <c r="AD187">
        <v>13</v>
      </c>
      <c r="AE187">
        <v>0</v>
      </c>
      <c r="AF187">
        <v>6.2</v>
      </c>
      <c r="AH187" s="681"/>
      <c r="AY187">
        <v>15</v>
      </c>
      <c r="AZ187">
        <v>3</v>
      </c>
      <c r="BA187" t="s">
        <v>2229</v>
      </c>
    </row>
    <row r="188" spans="1:53">
      <c r="A188">
        <v>12</v>
      </c>
      <c r="B188" s="644" t="s">
        <v>2203</v>
      </c>
      <c r="C188" s="652">
        <v>11</v>
      </c>
      <c r="D188" s="12"/>
      <c r="E188" s="12"/>
      <c r="F188" s="1492">
        <v>0</v>
      </c>
      <c r="G188" s="12"/>
      <c r="H188" s="12"/>
      <c r="I188" s="12"/>
      <c r="J188" s="12"/>
      <c r="K188" s="12"/>
      <c r="L188" s="12"/>
      <c r="N188" s="12"/>
      <c r="O188" s="12"/>
      <c r="P188" s="648">
        <f t="shared" si="10"/>
        <v>5.5</v>
      </c>
      <c r="R188" s="748" t="s">
        <v>2104</v>
      </c>
      <c r="S188">
        <v>3</v>
      </c>
      <c r="T188" s="718">
        <v>3</v>
      </c>
      <c r="U188" s="399">
        <v>4.5384615384615383</v>
      </c>
      <c r="AC188" s="645" t="s">
        <v>2211</v>
      </c>
      <c r="AD188">
        <v>13</v>
      </c>
      <c r="AE188">
        <v>0</v>
      </c>
      <c r="AF188">
        <v>7.75</v>
      </c>
      <c r="AH188" s="681"/>
      <c r="AY188">
        <v>15</v>
      </c>
      <c r="AZ188">
        <v>4</v>
      </c>
      <c r="BA188" t="s">
        <v>2227</v>
      </c>
    </row>
    <row r="189" spans="1:53">
      <c r="C189" s="1503"/>
      <c r="D189" s="12"/>
      <c r="E189" s="12"/>
      <c r="F189" s="12"/>
      <c r="G189" s="12"/>
      <c r="H189" s="12"/>
      <c r="I189" s="12"/>
      <c r="J189" s="12"/>
      <c r="K189" s="12"/>
      <c r="L189" s="12"/>
      <c r="N189" s="12"/>
      <c r="O189" s="12"/>
      <c r="P189" s="648"/>
      <c r="R189" s="748" t="s">
        <v>2239</v>
      </c>
      <c r="S189">
        <v>18</v>
      </c>
      <c r="T189" s="718">
        <v>1</v>
      </c>
      <c r="U189" s="399">
        <v>4.5555555555555554</v>
      </c>
      <c r="AC189" s="644" t="s">
        <v>2212</v>
      </c>
      <c r="AD189">
        <v>13</v>
      </c>
      <c r="AE189">
        <v>0</v>
      </c>
      <c r="AF189">
        <v>5</v>
      </c>
      <c r="AH189" s="644"/>
      <c r="AY189">
        <v>15</v>
      </c>
      <c r="AZ189">
        <v>5</v>
      </c>
      <c r="BA189" t="s">
        <v>2226</v>
      </c>
    </row>
    <row r="190" spans="1:53" ht="21">
      <c r="B190" s="1" t="s">
        <v>138</v>
      </c>
      <c r="C190" s="1503"/>
      <c r="D190" s="12"/>
      <c r="E190" s="12"/>
      <c r="F190" s="12"/>
      <c r="G190" s="12"/>
      <c r="H190" s="12"/>
      <c r="I190" s="12"/>
      <c r="J190" s="12"/>
      <c r="K190" s="12"/>
      <c r="L190" s="12"/>
      <c r="N190" s="12"/>
      <c r="O190" s="12"/>
      <c r="P190" s="648"/>
      <c r="R190" s="748" t="s">
        <v>2140</v>
      </c>
      <c r="S190">
        <v>6</v>
      </c>
      <c r="T190" s="718">
        <v>1</v>
      </c>
      <c r="U190" s="399">
        <v>4.583333333333333</v>
      </c>
      <c r="AC190" s="644" t="s">
        <v>2213</v>
      </c>
      <c r="AD190">
        <v>13</v>
      </c>
      <c r="AE190">
        <v>0</v>
      </c>
      <c r="AF190">
        <v>9.5</v>
      </c>
      <c r="AH190" s="644"/>
      <c r="AY190">
        <v>15</v>
      </c>
      <c r="AZ190">
        <v>6</v>
      </c>
      <c r="BA190" t="s">
        <v>2226</v>
      </c>
    </row>
    <row r="191" spans="1:53" ht="21" customHeight="1">
      <c r="B191" s="649" t="s">
        <v>1440</v>
      </c>
      <c r="C191" s="646" t="s">
        <v>2795</v>
      </c>
      <c r="D191" s="646" t="s">
        <v>2798</v>
      </c>
      <c r="E191" s="646" t="s">
        <v>2799</v>
      </c>
      <c r="F191" s="646" t="s">
        <v>2800</v>
      </c>
      <c r="G191" s="646" t="s">
        <v>2801</v>
      </c>
      <c r="H191" s="646" t="s">
        <v>2802</v>
      </c>
      <c r="I191" s="646" t="s">
        <v>2803</v>
      </c>
      <c r="J191" s="646" t="s">
        <v>2804</v>
      </c>
      <c r="K191" s="646" t="s">
        <v>2805</v>
      </c>
      <c r="L191" s="646" t="s">
        <v>2806</v>
      </c>
      <c r="M191" s="646"/>
      <c r="N191" s="646"/>
      <c r="O191" s="646" t="s">
        <v>2810</v>
      </c>
      <c r="P191" s="647" t="s">
        <v>2080</v>
      </c>
      <c r="R191" s="748" t="s">
        <v>2283</v>
      </c>
      <c r="S191">
        <v>21</v>
      </c>
      <c r="T191" s="718">
        <v>1</v>
      </c>
      <c r="U191" s="399">
        <v>4.583333333333333</v>
      </c>
      <c r="AC191" s="644" t="s">
        <v>2214</v>
      </c>
      <c r="AD191">
        <v>13</v>
      </c>
      <c r="AE191">
        <v>0</v>
      </c>
      <c r="AF191">
        <v>11</v>
      </c>
      <c r="AH191" s="644"/>
      <c r="AY191">
        <v>15</v>
      </c>
      <c r="AZ191">
        <v>7</v>
      </c>
      <c r="BA191" t="s">
        <v>2227</v>
      </c>
    </row>
    <row r="192" spans="1:53">
      <c r="A192">
        <v>13</v>
      </c>
      <c r="B192" s="661" t="s">
        <v>2204</v>
      </c>
      <c r="C192" s="13">
        <v>1</v>
      </c>
      <c r="D192">
        <v>6</v>
      </c>
      <c r="E192">
        <v>6</v>
      </c>
      <c r="F192">
        <v>5</v>
      </c>
      <c r="G192" s="13">
        <v>1</v>
      </c>
      <c r="H192" s="13">
        <v>1</v>
      </c>
      <c r="I192" s="13">
        <v>1</v>
      </c>
      <c r="J192" s="676">
        <v>1</v>
      </c>
      <c r="K192">
        <v>3</v>
      </c>
      <c r="L192" s="13">
        <v>1</v>
      </c>
      <c r="N192" s="12"/>
      <c r="O192" s="699">
        <v>1</v>
      </c>
      <c r="P192" s="648">
        <f>AVERAGE(C192:O192)</f>
        <v>2.4545454545454546</v>
      </c>
      <c r="R192" s="750" t="s">
        <v>2276</v>
      </c>
      <c r="S192">
        <v>20</v>
      </c>
      <c r="T192" s="718">
        <v>1</v>
      </c>
      <c r="U192" s="399">
        <v>4.5999999999999996</v>
      </c>
      <c r="AE192">
        <v>0</v>
      </c>
      <c r="AH192" s="713"/>
      <c r="AY192">
        <v>15</v>
      </c>
      <c r="AZ192">
        <v>8</v>
      </c>
      <c r="BA192" t="s">
        <v>2229</v>
      </c>
    </row>
    <row r="193" spans="1:53" ht="21">
      <c r="A193">
        <v>13</v>
      </c>
      <c r="B193" s="645" t="s">
        <v>2205</v>
      </c>
      <c r="C193">
        <v>2</v>
      </c>
      <c r="D193" s="13">
        <v>1</v>
      </c>
      <c r="E193" s="13">
        <v>1</v>
      </c>
      <c r="F193" s="676">
        <v>1</v>
      </c>
      <c r="G193">
        <v>4</v>
      </c>
      <c r="H193" s="651">
        <v>6</v>
      </c>
      <c r="I193">
        <v>4</v>
      </c>
      <c r="J193">
        <v>3</v>
      </c>
      <c r="K193">
        <v>2</v>
      </c>
      <c r="L193">
        <v>3</v>
      </c>
      <c r="N193" s="12"/>
      <c r="O193">
        <v>2</v>
      </c>
      <c r="P193" s="648">
        <f>AVERAGE(C193:O193)</f>
        <v>2.6363636363636362</v>
      </c>
      <c r="R193" s="750" t="s">
        <v>2254</v>
      </c>
      <c r="S193">
        <v>17</v>
      </c>
      <c r="T193" s="718">
        <v>0</v>
      </c>
      <c r="U193" s="399">
        <v>4.625</v>
      </c>
      <c r="AC193" s="1" t="s">
        <v>139</v>
      </c>
      <c r="AE193">
        <v>0</v>
      </c>
      <c r="AH193" s="644"/>
      <c r="AY193">
        <v>15</v>
      </c>
      <c r="AZ193">
        <v>9</v>
      </c>
      <c r="BA193" t="s">
        <v>2226</v>
      </c>
    </row>
    <row r="194" spans="1:53" ht="18">
      <c r="A194">
        <v>13</v>
      </c>
      <c r="B194" s="645" t="s">
        <v>2206</v>
      </c>
      <c r="C194">
        <v>7</v>
      </c>
      <c r="D194">
        <v>8</v>
      </c>
      <c r="E194">
        <v>7</v>
      </c>
      <c r="F194">
        <v>6</v>
      </c>
      <c r="G194">
        <v>6</v>
      </c>
      <c r="H194">
        <v>5</v>
      </c>
      <c r="I194">
        <v>5</v>
      </c>
      <c r="J194">
        <v>4</v>
      </c>
      <c r="K194" s="651">
        <v>4</v>
      </c>
      <c r="L194">
        <v>2</v>
      </c>
      <c r="N194" s="12"/>
      <c r="O194">
        <v>3</v>
      </c>
      <c r="P194" s="648">
        <f>AVERAGE(C194:O194)</f>
        <v>5.1818181818181817</v>
      </c>
      <c r="R194" s="750" t="s">
        <v>2184</v>
      </c>
      <c r="S194">
        <v>10</v>
      </c>
      <c r="T194" s="718">
        <v>1</v>
      </c>
      <c r="U194" s="399">
        <v>4.666666666666667</v>
      </c>
      <c r="AC194" s="649" t="s">
        <v>1440</v>
      </c>
      <c r="AE194">
        <v>0</v>
      </c>
      <c r="AF194" t="s">
        <v>2080</v>
      </c>
      <c r="AH194" s="644"/>
      <c r="AY194">
        <v>15</v>
      </c>
      <c r="AZ194">
        <v>10</v>
      </c>
      <c r="BA194" t="s">
        <v>2226</v>
      </c>
    </row>
    <row r="195" spans="1:53">
      <c r="A195">
        <v>13</v>
      </c>
      <c r="B195" s="645" t="s">
        <v>2207</v>
      </c>
      <c r="C195">
        <v>6</v>
      </c>
      <c r="D195">
        <v>5</v>
      </c>
      <c r="E195">
        <v>2</v>
      </c>
      <c r="F195">
        <v>4</v>
      </c>
      <c r="G195">
        <v>2</v>
      </c>
      <c r="H195">
        <v>3</v>
      </c>
      <c r="I195">
        <v>2</v>
      </c>
      <c r="J195">
        <v>2</v>
      </c>
      <c r="K195" s="13">
        <v>1</v>
      </c>
      <c r="L195" s="650">
        <v>4</v>
      </c>
      <c r="M195" s="1496"/>
      <c r="N195" s="12">
        <v>4</v>
      </c>
      <c r="O195" s="1490">
        <v>0</v>
      </c>
      <c r="P195" s="648">
        <f>AVERAGE(C195:M195)</f>
        <v>3.1</v>
      </c>
      <c r="R195" s="750" t="s">
        <v>2188</v>
      </c>
      <c r="S195">
        <v>10</v>
      </c>
      <c r="T195" s="718">
        <v>0</v>
      </c>
      <c r="U195" s="399">
        <v>4.666666666666667</v>
      </c>
      <c r="AC195" s="661" t="s">
        <v>2215</v>
      </c>
      <c r="AD195">
        <v>14</v>
      </c>
      <c r="AE195">
        <v>5</v>
      </c>
      <c r="AF195">
        <v>2.3333333333333335</v>
      </c>
      <c r="AH195" s="644"/>
      <c r="AY195">
        <v>15</v>
      </c>
      <c r="AZ195">
        <v>11</v>
      </c>
      <c r="BA195" t="s">
        <v>2226</v>
      </c>
    </row>
    <row r="196" spans="1:53">
      <c r="A196">
        <v>13</v>
      </c>
      <c r="B196" s="645" t="s">
        <v>2208</v>
      </c>
      <c r="C196">
        <v>3</v>
      </c>
      <c r="D196">
        <v>3</v>
      </c>
      <c r="E196">
        <v>3</v>
      </c>
      <c r="F196">
        <v>2</v>
      </c>
      <c r="G196">
        <v>3</v>
      </c>
      <c r="H196">
        <v>4</v>
      </c>
      <c r="I196">
        <v>3</v>
      </c>
      <c r="J196" s="650">
        <v>5</v>
      </c>
      <c r="K196" s="12"/>
      <c r="L196" s="12"/>
      <c r="M196" s="1490">
        <v>0</v>
      </c>
      <c r="N196" s="12"/>
      <c r="O196" s="1490">
        <v>0</v>
      </c>
      <c r="P196" s="648">
        <f>AVERAGE(C196:M196)</f>
        <v>2.8888888888888888</v>
      </c>
      <c r="R196" s="750" t="s">
        <v>2313</v>
      </c>
      <c r="S196">
        <v>23</v>
      </c>
      <c r="T196" s="718">
        <v>1</v>
      </c>
      <c r="U196" s="399">
        <v>4.666666666666667</v>
      </c>
      <c r="AC196" s="645" t="s">
        <v>2216</v>
      </c>
      <c r="AD196">
        <v>14</v>
      </c>
      <c r="AE196">
        <v>1</v>
      </c>
      <c r="AF196">
        <v>3.9166666666666665</v>
      </c>
      <c r="AH196" s="644"/>
      <c r="AY196">
        <v>15</v>
      </c>
      <c r="AZ196" t="s">
        <v>2810</v>
      </c>
      <c r="BA196" t="s">
        <v>2226</v>
      </c>
    </row>
    <row r="197" spans="1:53">
      <c r="A197">
        <v>13</v>
      </c>
      <c r="B197" s="645" t="s">
        <v>2209</v>
      </c>
      <c r="C197">
        <v>5</v>
      </c>
      <c r="D197">
        <v>7</v>
      </c>
      <c r="E197">
        <v>8</v>
      </c>
      <c r="F197">
        <v>3</v>
      </c>
      <c r="G197">
        <v>5</v>
      </c>
      <c r="H197">
        <v>2</v>
      </c>
      <c r="I197" s="650">
        <v>6</v>
      </c>
      <c r="J197" s="12"/>
      <c r="K197" s="1490">
        <v>0</v>
      </c>
      <c r="L197" s="1490">
        <v>0</v>
      </c>
      <c r="M197" s="1490">
        <v>0</v>
      </c>
      <c r="N197" s="12"/>
      <c r="O197" s="1490">
        <v>0</v>
      </c>
      <c r="P197" s="648">
        <f t="shared" ref="P197:P204" si="11">AVERAGE(C197:O197)</f>
        <v>3.2727272727272729</v>
      </c>
      <c r="R197" s="748" t="s">
        <v>2355</v>
      </c>
      <c r="S197">
        <v>28</v>
      </c>
      <c r="T197" s="718">
        <v>1</v>
      </c>
      <c r="U197" s="399">
        <v>4.666666666666667</v>
      </c>
      <c r="AC197" s="645" t="s">
        <v>2217</v>
      </c>
      <c r="AD197">
        <v>14</v>
      </c>
      <c r="AE197">
        <v>3</v>
      </c>
      <c r="AF197">
        <v>2.75</v>
      </c>
      <c r="AH197" s="681"/>
      <c r="AY197">
        <v>16</v>
      </c>
      <c r="AZ197">
        <v>1</v>
      </c>
      <c r="BA197" t="s">
        <v>2244</v>
      </c>
    </row>
    <row r="198" spans="1:53">
      <c r="A198">
        <v>13</v>
      </c>
      <c r="B198" s="645" t="s">
        <v>2210</v>
      </c>
      <c r="C198">
        <v>8</v>
      </c>
      <c r="D198">
        <v>4</v>
      </c>
      <c r="E198">
        <v>5</v>
      </c>
      <c r="F198">
        <v>7</v>
      </c>
      <c r="G198" s="650">
        <v>7</v>
      </c>
      <c r="H198" s="12"/>
      <c r="I198" s="12"/>
      <c r="J198" s="1490">
        <v>0</v>
      </c>
      <c r="K198" s="1490">
        <v>0</v>
      </c>
      <c r="L198" s="12"/>
      <c r="M198" s="12"/>
      <c r="N198" s="12"/>
      <c r="O198" s="1490">
        <v>0</v>
      </c>
      <c r="P198" s="648">
        <f t="shared" si="11"/>
        <v>3.875</v>
      </c>
      <c r="R198" s="748" t="s">
        <v>2369</v>
      </c>
      <c r="S198">
        <v>29</v>
      </c>
      <c r="T198" s="718">
        <v>1</v>
      </c>
      <c r="U198" s="399">
        <v>4.666666666666667</v>
      </c>
      <c r="AC198" s="645" t="s">
        <v>2218</v>
      </c>
      <c r="AD198">
        <v>14</v>
      </c>
      <c r="AE198">
        <v>1</v>
      </c>
      <c r="AF198">
        <v>4.2727272727272725</v>
      </c>
      <c r="AH198" s="681"/>
      <c r="AY198">
        <v>16</v>
      </c>
      <c r="AZ198">
        <v>2</v>
      </c>
      <c r="BA198" t="s">
        <v>2239</v>
      </c>
    </row>
    <row r="199" spans="1:53">
      <c r="A199">
        <v>13</v>
      </c>
      <c r="B199" s="645" t="s">
        <v>2211</v>
      </c>
      <c r="C199">
        <v>10</v>
      </c>
      <c r="D199">
        <v>9</v>
      </c>
      <c r="E199">
        <v>4</v>
      </c>
      <c r="F199" s="668">
        <v>8</v>
      </c>
      <c r="G199" s="1495"/>
      <c r="H199" s="12"/>
      <c r="I199" s="1490">
        <v>0</v>
      </c>
      <c r="J199" s="1490">
        <v>0</v>
      </c>
      <c r="K199" s="12"/>
      <c r="L199" s="12"/>
      <c r="M199" s="12"/>
      <c r="N199" s="12"/>
      <c r="O199" s="1490">
        <v>0</v>
      </c>
      <c r="P199" s="648">
        <f t="shared" si="11"/>
        <v>4.4285714285714288</v>
      </c>
      <c r="R199" s="748" t="s">
        <v>2376</v>
      </c>
      <c r="S199">
        <v>30</v>
      </c>
      <c r="T199" s="718">
        <v>3</v>
      </c>
      <c r="U199" s="399">
        <v>4.666666666666667</v>
      </c>
      <c r="AC199" s="645" t="s">
        <v>2219</v>
      </c>
      <c r="AD199">
        <v>14</v>
      </c>
      <c r="AE199">
        <v>0</v>
      </c>
      <c r="AF199">
        <v>5.2222222222222223</v>
      </c>
      <c r="AH199" s="681"/>
      <c r="AY199">
        <v>16</v>
      </c>
      <c r="AZ199">
        <v>3</v>
      </c>
      <c r="BA199" t="s">
        <v>2239</v>
      </c>
    </row>
    <row r="200" spans="1:53">
      <c r="A200">
        <v>13</v>
      </c>
      <c r="B200" s="644" t="s">
        <v>2212</v>
      </c>
      <c r="C200" s="653">
        <v>4</v>
      </c>
      <c r="D200">
        <v>2</v>
      </c>
      <c r="E200" s="650">
        <v>9</v>
      </c>
      <c r="F200" s="12"/>
      <c r="G200" s="12"/>
      <c r="H200" s="1490">
        <v>0</v>
      </c>
      <c r="I200" s="1490">
        <v>0</v>
      </c>
      <c r="J200" s="12"/>
      <c r="K200" s="12"/>
      <c r="L200" s="12"/>
      <c r="M200" s="12"/>
      <c r="N200" s="12"/>
      <c r="O200" s="1490">
        <v>0</v>
      </c>
      <c r="P200" s="648">
        <f t="shared" si="11"/>
        <v>2.5</v>
      </c>
      <c r="R200" s="748" t="s">
        <v>2559</v>
      </c>
      <c r="S200">
        <v>38</v>
      </c>
      <c r="T200" s="718">
        <v>0</v>
      </c>
      <c r="U200" s="399">
        <v>4.666666666666667</v>
      </c>
      <c r="AC200" s="645" t="s">
        <v>2220</v>
      </c>
      <c r="AD200">
        <v>14</v>
      </c>
      <c r="AE200">
        <v>1</v>
      </c>
      <c r="AF200">
        <v>3.5714285714285716</v>
      </c>
      <c r="AH200" s="681"/>
      <c r="AY200">
        <v>16</v>
      </c>
      <c r="AZ200">
        <v>4</v>
      </c>
      <c r="BA200" t="s">
        <v>2241</v>
      </c>
    </row>
    <row r="201" spans="1:53">
      <c r="A201">
        <v>13</v>
      </c>
      <c r="B201" s="644" t="s">
        <v>2213</v>
      </c>
      <c r="C201" s="653">
        <v>9</v>
      </c>
      <c r="D201" s="650">
        <v>10</v>
      </c>
      <c r="E201" s="12"/>
      <c r="F201" s="12"/>
      <c r="G201" s="1492">
        <v>0</v>
      </c>
      <c r="H201" s="12"/>
      <c r="I201" s="12"/>
      <c r="J201" s="12"/>
      <c r="K201" s="12"/>
      <c r="L201" s="12"/>
      <c r="M201" s="12"/>
      <c r="N201" s="12"/>
      <c r="O201" s="1490">
        <v>0</v>
      </c>
      <c r="P201" s="648">
        <f t="shared" si="11"/>
        <v>4.75</v>
      </c>
      <c r="R201" s="750" t="s">
        <v>2298</v>
      </c>
      <c r="S201">
        <v>22</v>
      </c>
      <c r="T201" s="718">
        <v>0</v>
      </c>
      <c r="U201" s="399">
        <v>4.7</v>
      </c>
      <c r="AC201" s="645" t="s">
        <v>2221</v>
      </c>
      <c r="AD201">
        <v>14</v>
      </c>
      <c r="AE201">
        <v>1</v>
      </c>
      <c r="AF201">
        <v>6.666666666666667</v>
      </c>
      <c r="AH201" s="681"/>
      <c r="AY201">
        <v>16</v>
      </c>
      <c r="AZ201">
        <v>5</v>
      </c>
      <c r="BA201" t="s">
        <v>2241</v>
      </c>
    </row>
    <row r="202" spans="1:53">
      <c r="A202">
        <v>13</v>
      </c>
      <c r="B202" s="644" t="s">
        <v>2214</v>
      </c>
      <c r="C202" s="652">
        <v>11</v>
      </c>
      <c r="D202" s="12"/>
      <c r="E202" s="12"/>
      <c r="F202" s="1492">
        <v>0</v>
      </c>
      <c r="G202" s="12"/>
      <c r="H202" s="12"/>
      <c r="I202" s="12"/>
      <c r="J202" s="12"/>
      <c r="K202" s="12"/>
      <c r="L202" s="12"/>
      <c r="M202" s="12"/>
      <c r="N202" s="12"/>
      <c r="O202" s="1490">
        <v>0</v>
      </c>
      <c r="P202" s="648">
        <f t="shared" si="11"/>
        <v>3.6666666666666665</v>
      </c>
      <c r="R202" s="750" t="s">
        <v>2154</v>
      </c>
      <c r="S202">
        <v>7</v>
      </c>
      <c r="T202" s="718">
        <v>0</v>
      </c>
      <c r="U202" s="399">
        <v>4.7142857142857144</v>
      </c>
      <c r="AC202" s="645" t="s">
        <v>2222</v>
      </c>
      <c r="AD202">
        <v>14</v>
      </c>
      <c r="AE202">
        <v>0</v>
      </c>
      <c r="AF202">
        <v>4.5</v>
      </c>
      <c r="AH202" s="681"/>
      <c r="AY202">
        <v>16</v>
      </c>
      <c r="AZ202">
        <v>6</v>
      </c>
      <c r="BA202" t="s">
        <v>2241</v>
      </c>
    </row>
    <row r="203" spans="1:53">
      <c r="C203" s="1503"/>
      <c r="D203" s="12"/>
      <c r="E203" s="12"/>
      <c r="F203" s="12"/>
      <c r="G203" s="12"/>
      <c r="H203" s="12"/>
      <c r="I203" s="12"/>
      <c r="J203" s="12"/>
      <c r="K203" s="12"/>
      <c r="L203" s="12"/>
      <c r="M203" s="12"/>
      <c r="N203" s="12"/>
      <c r="O203" s="1490">
        <v>0</v>
      </c>
      <c r="P203" s="648">
        <f t="shared" si="11"/>
        <v>0</v>
      </c>
      <c r="R203" s="748" t="s">
        <v>2174</v>
      </c>
      <c r="S203">
        <v>9</v>
      </c>
      <c r="T203" s="718">
        <v>0</v>
      </c>
      <c r="U203" s="399">
        <v>4.7142857142857144</v>
      </c>
      <c r="AC203" s="644" t="s">
        <v>2223</v>
      </c>
      <c r="AD203">
        <v>14</v>
      </c>
      <c r="AE203">
        <v>0</v>
      </c>
      <c r="AF203">
        <v>6.666666666666667</v>
      </c>
      <c r="AH203" s="644"/>
      <c r="AY203">
        <v>16</v>
      </c>
      <c r="AZ203">
        <v>7</v>
      </c>
      <c r="BA203" t="s">
        <v>2243</v>
      </c>
    </row>
    <row r="204" spans="1:53" ht="21">
      <c r="B204" s="1" t="s">
        <v>139</v>
      </c>
      <c r="C204" s="1503"/>
      <c r="D204" s="12"/>
      <c r="E204" s="12"/>
      <c r="F204" s="12"/>
      <c r="G204" s="12"/>
      <c r="H204" s="12"/>
      <c r="I204" s="12"/>
      <c r="J204" s="12"/>
      <c r="K204" s="12"/>
      <c r="L204" s="12"/>
      <c r="M204" s="12"/>
      <c r="N204" s="12"/>
      <c r="O204" s="1490">
        <v>0</v>
      </c>
      <c r="P204" s="648">
        <f t="shared" si="11"/>
        <v>0</v>
      </c>
      <c r="R204" s="750" t="s">
        <v>2561</v>
      </c>
      <c r="S204">
        <v>38</v>
      </c>
      <c r="T204" s="718">
        <v>0</v>
      </c>
      <c r="U204" s="399">
        <v>4.7272727272727275</v>
      </c>
      <c r="AC204" s="644" t="s">
        <v>2224</v>
      </c>
      <c r="AD204">
        <v>14</v>
      </c>
      <c r="AE204">
        <v>0</v>
      </c>
      <c r="AF204">
        <v>9.5</v>
      </c>
      <c r="AH204" s="644"/>
      <c r="AY204">
        <v>16</v>
      </c>
      <c r="AZ204">
        <v>8</v>
      </c>
      <c r="BA204" t="s">
        <v>2239</v>
      </c>
    </row>
    <row r="205" spans="1:53" ht="21" customHeight="1">
      <c r="B205" s="649" t="s">
        <v>1440</v>
      </c>
      <c r="C205" s="646" t="s">
        <v>2795</v>
      </c>
      <c r="D205" s="646" t="s">
        <v>2798</v>
      </c>
      <c r="E205" s="646" t="s">
        <v>2799</v>
      </c>
      <c r="F205" s="646" t="s">
        <v>2800</v>
      </c>
      <c r="G205" s="646" t="s">
        <v>2801</v>
      </c>
      <c r="H205" s="646" t="s">
        <v>2802</v>
      </c>
      <c r="I205" s="646" t="s">
        <v>2803</v>
      </c>
      <c r="J205" s="646" t="s">
        <v>2804</v>
      </c>
      <c r="K205" s="646" t="s">
        <v>2805</v>
      </c>
      <c r="L205" s="646" t="s">
        <v>2806</v>
      </c>
      <c r="M205" s="646" t="s">
        <v>2807</v>
      </c>
      <c r="N205" s="646"/>
      <c r="O205" s="646" t="s">
        <v>2810</v>
      </c>
      <c r="P205" s="647" t="s">
        <v>2080</v>
      </c>
      <c r="R205" s="748" t="s">
        <v>2165</v>
      </c>
      <c r="S205">
        <v>8</v>
      </c>
      <c r="T205" s="718">
        <v>0</v>
      </c>
      <c r="U205" s="399">
        <v>4.75</v>
      </c>
      <c r="AC205" s="644" t="s">
        <v>2225</v>
      </c>
      <c r="AD205">
        <v>14</v>
      </c>
      <c r="AE205">
        <v>0</v>
      </c>
      <c r="AF205">
        <v>11</v>
      </c>
      <c r="AH205" s="681"/>
      <c r="AY205">
        <v>16</v>
      </c>
      <c r="AZ205">
        <v>9</v>
      </c>
      <c r="BA205" t="s">
        <v>2238</v>
      </c>
    </row>
    <row r="206" spans="1:53">
      <c r="A206">
        <v>14</v>
      </c>
      <c r="B206" s="661" t="s">
        <v>2215</v>
      </c>
      <c r="C206">
        <v>2</v>
      </c>
      <c r="D206" s="13">
        <v>1</v>
      </c>
      <c r="E206">
        <v>8</v>
      </c>
      <c r="F206">
        <v>3</v>
      </c>
      <c r="G206">
        <v>2</v>
      </c>
      <c r="H206" s="13">
        <v>1</v>
      </c>
      <c r="I206" s="13">
        <v>1</v>
      </c>
      <c r="J206">
        <v>3</v>
      </c>
      <c r="K206">
        <v>2</v>
      </c>
      <c r="L206">
        <v>3</v>
      </c>
      <c r="M206" s="13">
        <v>1</v>
      </c>
      <c r="O206" s="699">
        <v>1</v>
      </c>
      <c r="P206" s="648">
        <f t="shared" ref="P206:P216" si="12">AVERAGE(C206:O206)</f>
        <v>2.3333333333333335</v>
      </c>
      <c r="R206" s="750" t="s">
        <v>2257</v>
      </c>
      <c r="S206">
        <v>17</v>
      </c>
      <c r="T206" s="718">
        <v>1</v>
      </c>
      <c r="U206" s="399">
        <v>4.75</v>
      </c>
      <c r="AE206">
        <v>0</v>
      </c>
      <c r="AH206" s="644"/>
      <c r="AY206">
        <v>16</v>
      </c>
      <c r="AZ206">
        <v>10</v>
      </c>
      <c r="BA206" t="s">
        <v>2239</v>
      </c>
    </row>
    <row r="207" spans="1:53" ht="21">
      <c r="A207">
        <v>14</v>
      </c>
      <c r="B207" s="645" t="s">
        <v>2216</v>
      </c>
      <c r="C207">
        <v>7</v>
      </c>
      <c r="D207">
        <v>6</v>
      </c>
      <c r="E207">
        <v>7</v>
      </c>
      <c r="F207">
        <v>5</v>
      </c>
      <c r="G207">
        <v>3</v>
      </c>
      <c r="H207">
        <v>5</v>
      </c>
      <c r="I207">
        <v>2</v>
      </c>
      <c r="J207">
        <v>2</v>
      </c>
      <c r="K207">
        <v>4</v>
      </c>
      <c r="L207" s="13">
        <v>1</v>
      </c>
      <c r="M207">
        <v>3</v>
      </c>
      <c r="O207">
        <v>2</v>
      </c>
      <c r="P207" s="648">
        <f t="shared" si="12"/>
        <v>3.9166666666666665</v>
      </c>
      <c r="R207" s="750" t="s">
        <v>2331</v>
      </c>
      <c r="S207">
        <v>26</v>
      </c>
      <c r="T207" s="718">
        <v>1</v>
      </c>
      <c r="U207" s="399">
        <v>4.75</v>
      </c>
      <c r="AC207" s="1" t="s">
        <v>140</v>
      </c>
      <c r="AE207">
        <v>0</v>
      </c>
      <c r="AH207" s="644"/>
      <c r="AY207">
        <v>16</v>
      </c>
      <c r="AZ207">
        <v>11</v>
      </c>
      <c r="BA207" t="s">
        <v>2240</v>
      </c>
    </row>
    <row r="208" spans="1:53" ht="18">
      <c r="A208">
        <v>14</v>
      </c>
      <c r="B208" s="645" t="s">
        <v>2217</v>
      </c>
      <c r="C208" s="13">
        <v>1</v>
      </c>
      <c r="D208">
        <v>4</v>
      </c>
      <c r="E208">
        <v>4</v>
      </c>
      <c r="F208" s="35">
        <v>4</v>
      </c>
      <c r="G208" s="13">
        <v>1</v>
      </c>
      <c r="H208">
        <v>4</v>
      </c>
      <c r="I208">
        <v>4</v>
      </c>
      <c r="J208" s="13">
        <v>1</v>
      </c>
      <c r="K208">
        <v>3</v>
      </c>
      <c r="L208">
        <v>2</v>
      </c>
      <c r="M208">
        <v>2</v>
      </c>
      <c r="O208">
        <v>3</v>
      </c>
      <c r="P208" s="648">
        <f t="shared" si="12"/>
        <v>2.75</v>
      </c>
      <c r="R208" s="750" t="s">
        <v>2366</v>
      </c>
      <c r="S208">
        <v>29</v>
      </c>
      <c r="T208" s="718">
        <v>2</v>
      </c>
      <c r="U208" s="399">
        <v>4.75</v>
      </c>
      <c r="AC208" s="649" t="s">
        <v>1440</v>
      </c>
      <c r="AE208">
        <v>0</v>
      </c>
      <c r="AF208" t="s">
        <v>2080</v>
      </c>
      <c r="AH208" s="681"/>
      <c r="AY208">
        <v>16</v>
      </c>
      <c r="AZ208" t="s">
        <v>2810</v>
      </c>
      <c r="BA208" t="s">
        <v>2238</v>
      </c>
    </row>
    <row r="209" spans="1:53">
      <c r="A209">
        <v>14</v>
      </c>
      <c r="B209" s="645" t="s">
        <v>2218</v>
      </c>
      <c r="C209">
        <v>8</v>
      </c>
      <c r="D209">
        <v>7</v>
      </c>
      <c r="E209">
        <v>3</v>
      </c>
      <c r="F209">
        <v>2</v>
      </c>
      <c r="G209">
        <v>6</v>
      </c>
      <c r="H209">
        <v>3</v>
      </c>
      <c r="I209">
        <v>5</v>
      </c>
      <c r="J209">
        <v>4</v>
      </c>
      <c r="K209" s="13">
        <v>1</v>
      </c>
      <c r="L209" s="651">
        <v>4</v>
      </c>
      <c r="M209" s="669">
        <v>4</v>
      </c>
      <c r="O209" s="12"/>
      <c r="P209" s="648">
        <f t="shared" si="12"/>
        <v>4.2727272727272725</v>
      </c>
      <c r="R209" s="748" t="s">
        <v>2107</v>
      </c>
      <c r="S209">
        <v>3</v>
      </c>
      <c r="T209" s="718">
        <v>1</v>
      </c>
      <c r="U209" s="399">
        <v>4.8</v>
      </c>
      <c r="AC209" s="661" t="s">
        <v>2226</v>
      </c>
      <c r="AD209">
        <v>15</v>
      </c>
      <c r="AE209">
        <v>7</v>
      </c>
      <c r="AF209">
        <v>2</v>
      </c>
      <c r="AH209" s="681"/>
      <c r="AY209">
        <v>17</v>
      </c>
      <c r="AZ209">
        <v>1</v>
      </c>
      <c r="BA209" t="s">
        <v>2251</v>
      </c>
    </row>
    <row r="210" spans="1:53">
      <c r="A210">
        <v>14</v>
      </c>
      <c r="B210" s="645" t="s">
        <v>2219</v>
      </c>
      <c r="C210">
        <v>3</v>
      </c>
      <c r="D210">
        <v>8</v>
      </c>
      <c r="E210">
        <v>5</v>
      </c>
      <c r="F210">
        <v>7</v>
      </c>
      <c r="G210">
        <v>5</v>
      </c>
      <c r="H210">
        <v>6</v>
      </c>
      <c r="I210">
        <v>3</v>
      </c>
      <c r="J210" s="651">
        <v>5</v>
      </c>
      <c r="K210" s="650">
        <v>5</v>
      </c>
      <c r="L210" s="12"/>
      <c r="M210" s="1490">
        <v>0</v>
      </c>
      <c r="O210" s="1490">
        <v>0</v>
      </c>
      <c r="P210" s="648">
        <f t="shared" si="12"/>
        <v>4.2727272727272725</v>
      </c>
      <c r="R210" s="750" t="s">
        <v>2396</v>
      </c>
      <c r="S210">
        <v>32</v>
      </c>
      <c r="T210" s="718">
        <v>0</v>
      </c>
      <c r="U210" s="399">
        <v>4.8</v>
      </c>
      <c r="AC210" s="645" t="s">
        <v>2227</v>
      </c>
      <c r="AD210">
        <v>15</v>
      </c>
      <c r="AE210">
        <v>2</v>
      </c>
      <c r="AF210">
        <v>3.1666666666666665</v>
      </c>
      <c r="AH210" s="644"/>
      <c r="AY210">
        <v>17</v>
      </c>
      <c r="AZ210">
        <v>2</v>
      </c>
      <c r="BA210" t="s">
        <v>2250</v>
      </c>
    </row>
    <row r="211" spans="1:53">
      <c r="A211">
        <v>14</v>
      </c>
      <c r="B211" s="645" t="s">
        <v>2220</v>
      </c>
      <c r="C211">
        <v>4</v>
      </c>
      <c r="D211">
        <v>2</v>
      </c>
      <c r="E211" s="13">
        <v>1</v>
      </c>
      <c r="F211">
        <v>6</v>
      </c>
      <c r="G211">
        <v>4</v>
      </c>
      <c r="H211">
        <v>2</v>
      </c>
      <c r="I211" s="650">
        <v>6</v>
      </c>
      <c r="J211" s="12"/>
      <c r="K211" s="1490">
        <v>0</v>
      </c>
      <c r="L211" s="1490">
        <v>0</v>
      </c>
      <c r="M211" s="1490">
        <v>0</v>
      </c>
      <c r="O211" s="1490">
        <v>0</v>
      </c>
      <c r="P211" s="648">
        <f t="shared" si="12"/>
        <v>2.2727272727272729</v>
      </c>
      <c r="R211" s="748" t="s">
        <v>2104</v>
      </c>
      <c r="S211">
        <v>11</v>
      </c>
      <c r="T211" s="718">
        <v>0</v>
      </c>
      <c r="U211" s="399">
        <v>4.833333333333333</v>
      </c>
      <c r="AC211" s="645" t="s">
        <v>2228</v>
      </c>
      <c r="AD211">
        <v>15</v>
      </c>
      <c r="AE211">
        <v>0</v>
      </c>
      <c r="AF211">
        <v>4.25</v>
      </c>
      <c r="AH211" s="681"/>
      <c r="AY211">
        <v>17</v>
      </c>
      <c r="AZ211">
        <v>3</v>
      </c>
      <c r="BA211" t="s">
        <v>2257</v>
      </c>
    </row>
    <row r="212" spans="1:53">
      <c r="A212">
        <v>14</v>
      </c>
      <c r="B212" s="645" t="s">
        <v>2221</v>
      </c>
      <c r="C212">
        <v>10</v>
      </c>
      <c r="D212">
        <v>9</v>
      </c>
      <c r="E212">
        <v>6</v>
      </c>
      <c r="F212" s="13">
        <v>1</v>
      </c>
      <c r="G212" s="651">
        <v>7</v>
      </c>
      <c r="H212" s="650">
        <v>7</v>
      </c>
      <c r="I212" s="12"/>
      <c r="J212" s="1490">
        <v>0</v>
      </c>
      <c r="K212" s="1490">
        <v>0</v>
      </c>
      <c r="L212" s="12"/>
      <c r="M212" s="12"/>
      <c r="O212" s="12"/>
      <c r="P212" s="648">
        <f t="shared" si="12"/>
        <v>5</v>
      </c>
      <c r="R212" s="750" t="s">
        <v>2363</v>
      </c>
      <c r="S212">
        <v>29</v>
      </c>
      <c r="T212" s="718">
        <v>0</v>
      </c>
      <c r="U212" s="399">
        <v>4.833333333333333</v>
      </c>
      <c r="AC212" s="645" t="s">
        <v>2229</v>
      </c>
      <c r="AD212">
        <v>15</v>
      </c>
      <c r="AE212">
        <v>2</v>
      </c>
      <c r="AF212">
        <v>3.0909090909090908</v>
      </c>
      <c r="AH212" s="644"/>
      <c r="AY212">
        <v>17</v>
      </c>
      <c r="AZ212">
        <v>4</v>
      </c>
      <c r="BA212" t="s">
        <v>2249</v>
      </c>
    </row>
    <row r="213" spans="1:53">
      <c r="A213">
        <v>14</v>
      </c>
      <c r="B213" s="645" t="s">
        <v>2222</v>
      </c>
      <c r="C213">
        <v>5</v>
      </c>
      <c r="D213">
        <v>3</v>
      </c>
      <c r="E213">
        <v>2</v>
      </c>
      <c r="F213" s="665">
        <v>8</v>
      </c>
      <c r="G213" s="1495"/>
      <c r="H213" s="12"/>
      <c r="I213" s="1490">
        <v>0</v>
      </c>
      <c r="J213" s="1490">
        <v>0</v>
      </c>
      <c r="K213" s="12"/>
      <c r="L213" s="12"/>
      <c r="M213" s="12"/>
      <c r="O213" s="12"/>
      <c r="P213" s="648">
        <f t="shared" si="12"/>
        <v>3</v>
      </c>
      <c r="R213" s="748" t="s">
        <v>2367</v>
      </c>
      <c r="S213">
        <v>29</v>
      </c>
      <c r="T213" s="718">
        <v>0</v>
      </c>
      <c r="U213" s="399">
        <v>4.833333333333333</v>
      </c>
      <c r="AC213" s="645" t="s">
        <v>2230</v>
      </c>
      <c r="AD213">
        <v>15</v>
      </c>
      <c r="AE213">
        <v>1</v>
      </c>
      <c r="AF213">
        <v>4.2222222222222223</v>
      </c>
      <c r="AH213" s="681"/>
      <c r="AY213">
        <v>17</v>
      </c>
      <c r="AZ213">
        <v>5</v>
      </c>
      <c r="BA213" t="s">
        <v>2249</v>
      </c>
    </row>
    <row r="214" spans="1:53">
      <c r="A214">
        <v>14</v>
      </c>
      <c r="B214" s="644" t="s">
        <v>2223</v>
      </c>
      <c r="C214" s="653">
        <v>6</v>
      </c>
      <c r="D214">
        <v>5</v>
      </c>
      <c r="E214" s="650">
        <v>9</v>
      </c>
      <c r="F214" s="12"/>
      <c r="G214" s="12"/>
      <c r="H214" s="1490">
        <v>0</v>
      </c>
      <c r="I214" s="1490">
        <v>0</v>
      </c>
      <c r="J214" s="12"/>
      <c r="K214" s="12"/>
      <c r="L214" s="12"/>
      <c r="M214" s="12"/>
      <c r="O214" s="12"/>
      <c r="P214" s="648">
        <f t="shared" si="12"/>
        <v>4</v>
      </c>
      <c r="R214" s="748" t="s">
        <v>2322</v>
      </c>
      <c r="S214">
        <v>25</v>
      </c>
      <c r="T214" s="718">
        <v>0</v>
      </c>
      <c r="U214" s="399">
        <v>4.875</v>
      </c>
      <c r="AC214" s="645" t="s">
        <v>2231</v>
      </c>
      <c r="AD214">
        <v>15</v>
      </c>
      <c r="AE214">
        <v>0</v>
      </c>
      <c r="AF214">
        <v>6.5714285714285712</v>
      </c>
      <c r="AH214" s="681"/>
      <c r="AY214">
        <v>17</v>
      </c>
      <c r="AZ214">
        <v>6</v>
      </c>
      <c r="BA214" t="s">
        <v>2251</v>
      </c>
    </row>
    <row r="215" spans="1:53">
      <c r="A215">
        <v>14</v>
      </c>
      <c r="B215" s="644" t="s">
        <v>2224</v>
      </c>
      <c r="C215" s="653">
        <v>9</v>
      </c>
      <c r="D215" s="650">
        <v>10</v>
      </c>
      <c r="E215" s="12"/>
      <c r="F215" s="12"/>
      <c r="G215" s="1492">
        <v>0</v>
      </c>
      <c r="H215" s="12"/>
      <c r="I215" s="12"/>
      <c r="J215" s="12"/>
      <c r="K215" s="12"/>
      <c r="L215" s="12"/>
      <c r="M215" s="12"/>
      <c r="O215" s="12"/>
      <c r="P215" s="648">
        <f t="shared" si="12"/>
        <v>6.333333333333333</v>
      </c>
      <c r="R215" s="748" t="s">
        <v>2173</v>
      </c>
      <c r="S215">
        <v>9</v>
      </c>
      <c r="T215" s="718">
        <v>1</v>
      </c>
      <c r="U215" s="399">
        <v>4.8888888888888893</v>
      </c>
      <c r="AC215" s="645" t="s">
        <v>2232</v>
      </c>
      <c r="AD215">
        <v>15</v>
      </c>
      <c r="AE215">
        <v>0</v>
      </c>
      <c r="AF215">
        <v>7.666666666666667</v>
      </c>
      <c r="AH215" s="681"/>
      <c r="AY215">
        <v>17</v>
      </c>
      <c r="AZ215">
        <v>7</v>
      </c>
      <c r="BA215" t="s">
        <v>2249</v>
      </c>
    </row>
    <row r="216" spans="1:53">
      <c r="A216">
        <v>14</v>
      </c>
      <c r="B216" s="644" t="s">
        <v>2225</v>
      </c>
      <c r="C216" s="652">
        <v>11</v>
      </c>
      <c r="D216" s="12"/>
      <c r="E216" s="12"/>
      <c r="F216" s="1492">
        <v>0</v>
      </c>
      <c r="G216" s="12"/>
      <c r="H216" s="12"/>
      <c r="I216" s="12"/>
      <c r="J216" s="12"/>
      <c r="K216" s="12"/>
      <c r="L216" s="12"/>
      <c r="M216" s="12"/>
      <c r="O216" s="12"/>
      <c r="P216" s="648">
        <f t="shared" si="12"/>
        <v>5.5</v>
      </c>
      <c r="R216" s="748" t="s">
        <v>2332</v>
      </c>
      <c r="S216">
        <v>26</v>
      </c>
      <c r="T216" s="718">
        <v>1</v>
      </c>
      <c r="U216" s="399">
        <v>4.9000000000000004</v>
      </c>
      <c r="AC216" s="645" t="s">
        <v>2233</v>
      </c>
      <c r="AD216">
        <v>15</v>
      </c>
      <c r="AE216">
        <v>0</v>
      </c>
      <c r="AF216">
        <v>6</v>
      </c>
      <c r="AH216" s="644"/>
      <c r="AY216">
        <v>17</v>
      </c>
      <c r="AZ216">
        <v>8</v>
      </c>
      <c r="BA216" t="s">
        <v>2253</v>
      </c>
    </row>
    <row r="217" spans="1:53">
      <c r="C217" s="1503"/>
      <c r="D217" s="12"/>
      <c r="E217" s="12"/>
      <c r="F217" s="12"/>
      <c r="G217" s="12"/>
      <c r="H217" s="12"/>
      <c r="I217" s="12"/>
      <c r="J217" s="12"/>
      <c r="K217" s="12"/>
      <c r="L217" s="12"/>
      <c r="M217" s="12"/>
      <c r="O217" s="12"/>
      <c r="P217" s="648"/>
      <c r="R217" s="748" t="s">
        <v>2275</v>
      </c>
      <c r="S217">
        <v>20</v>
      </c>
      <c r="T217" s="718">
        <v>0</v>
      </c>
      <c r="U217" s="399">
        <v>4.9090909090909092</v>
      </c>
      <c r="AC217" s="644" t="s">
        <v>2234</v>
      </c>
      <c r="AD217">
        <v>15</v>
      </c>
      <c r="AE217">
        <v>0</v>
      </c>
      <c r="AF217">
        <v>6</v>
      </c>
      <c r="AH217" s="681"/>
      <c r="AY217">
        <v>17</v>
      </c>
      <c r="AZ217">
        <v>9</v>
      </c>
      <c r="BA217" t="s">
        <v>2251</v>
      </c>
    </row>
    <row r="218" spans="1:53" ht="21">
      <c r="B218" s="1" t="s">
        <v>140</v>
      </c>
      <c r="C218" s="1503"/>
      <c r="D218" s="12"/>
      <c r="E218" s="12"/>
      <c r="F218" s="12"/>
      <c r="G218" s="12"/>
      <c r="H218" s="12"/>
      <c r="I218" s="12"/>
      <c r="J218" s="12"/>
      <c r="K218" s="12"/>
      <c r="L218" s="12"/>
      <c r="M218" s="12"/>
      <c r="O218" s="12"/>
      <c r="P218" s="648"/>
      <c r="R218" s="750" t="s">
        <v>2297</v>
      </c>
      <c r="S218">
        <v>22</v>
      </c>
      <c r="T218" s="718">
        <v>0</v>
      </c>
      <c r="U218" s="399">
        <v>4.9090909090909092</v>
      </c>
      <c r="AC218" s="644" t="s">
        <v>2235</v>
      </c>
      <c r="AD218">
        <v>15</v>
      </c>
      <c r="AE218">
        <v>0</v>
      </c>
      <c r="AF218">
        <v>7.666666666666667</v>
      </c>
      <c r="AH218" s="644"/>
      <c r="AY218">
        <v>17</v>
      </c>
      <c r="AZ218">
        <v>10</v>
      </c>
      <c r="BA218" t="s">
        <v>2249</v>
      </c>
    </row>
    <row r="219" spans="1:53" ht="18">
      <c r="B219" s="649" t="s">
        <v>1440</v>
      </c>
      <c r="C219" s="646" t="s">
        <v>2795</v>
      </c>
      <c r="D219" s="646" t="s">
        <v>2798</v>
      </c>
      <c r="E219" s="646" t="s">
        <v>2799</v>
      </c>
      <c r="F219" s="646" t="s">
        <v>2800</v>
      </c>
      <c r="G219" s="646" t="s">
        <v>2801</v>
      </c>
      <c r="H219" s="646" t="s">
        <v>2802</v>
      </c>
      <c r="I219" s="646" t="s">
        <v>2803</v>
      </c>
      <c r="J219" s="646" t="s">
        <v>2804</v>
      </c>
      <c r="K219" s="646" t="s">
        <v>2805</v>
      </c>
      <c r="L219" s="646" t="s">
        <v>2806</v>
      </c>
      <c r="M219" s="646" t="s">
        <v>2807</v>
      </c>
      <c r="N219" s="646"/>
      <c r="O219" s="646" t="s">
        <v>2810</v>
      </c>
      <c r="P219" s="647" t="s">
        <v>2080</v>
      </c>
      <c r="R219" s="750" t="s">
        <v>2089</v>
      </c>
      <c r="S219">
        <v>1</v>
      </c>
      <c r="T219" s="718">
        <v>1</v>
      </c>
      <c r="U219" s="399">
        <v>5</v>
      </c>
      <c r="AC219" s="644" t="s">
        <v>2236</v>
      </c>
      <c r="AD219">
        <v>15</v>
      </c>
      <c r="AE219">
        <v>0</v>
      </c>
      <c r="AF219">
        <v>9.5</v>
      </c>
      <c r="AH219" s="681"/>
      <c r="AY219">
        <v>17</v>
      </c>
      <c r="AZ219">
        <v>11</v>
      </c>
      <c r="BA219" t="s">
        <v>2251</v>
      </c>
    </row>
    <row r="220" spans="1:53" ht="21" customHeight="1">
      <c r="A220">
        <v>15</v>
      </c>
      <c r="B220" s="661" t="s">
        <v>2226</v>
      </c>
      <c r="C220" s="13">
        <v>1</v>
      </c>
      <c r="D220">
        <v>6</v>
      </c>
      <c r="E220">
        <v>2</v>
      </c>
      <c r="F220">
        <v>5</v>
      </c>
      <c r="G220" s="676">
        <v>1</v>
      </c>
      <c r="H220" s="13">
        <v>1</v>
      </c>
      <c r="I220">
        <v>2</v>
      </c>
      <c r="J220">
        <v>2</v>
      </c>
      <c r="K220" s="13">
        <v>1</v>
      </c>
      <c r="L220" s="13">
        <v>1</v>
      </c>
      <c r="M220" s="13">
        <v>1</v>
      </c>
      <c r="O220" s="699">
        <v>1</v>
      </c>
      <c r="P220" s="648">
        <f t="shared" ref="P220:P231" si="13">AVERAGE(C220:O220)</f>
        <v>2</v>
      </c>
      <c r="R220" s="748" t="s">
        <v>2123</v>
      </c>
      <c r="S220">
        <v>4</v>
      </c>
      <c r="T220" s="718">
        <v>2</v>
      </c>
      <c r="U220" s="399">
        <v>5</v>
      </c>
      <c r="AC220" s="645" t="s">
        <v>2237</v>
      </c>
      <c r="AD220">
        <v>15</v>
      </c>
      <c r="AE220">
        <v>0</v>
      </c>
      <c r="AF220">
        <v>12</v>
      </c>
      <c r="AH220" s="644"/>
      <c r="AY220">
        <v>17</v>
      </c>
      <c r="AZ220" t="s">
        <v>2810</v>
      </c>
      <c r="BA220" t="s">
        <v>2249</v>
      </c>
    </row>
    <row r="221" spans="1:53">
      <c r="A221">
        <v>15</v>
      </c>
      <c r="B221" s="645" t="s">
        <v>2227</v>
      </c>
      <c r="C221">
        <v>9</v>
      </c>
      <c r="D221">
        <v>2</v>
      </c>
      <c r="E221">
        <v>5</v>
      </c>
      <c r="F221" s="13">
        <v>1</v>
      </c>
      <c r="G221">
        <v>5</v>
      </c>
      <c r="H221">
        <v>3</v>
      </c>
      <c r="I221" s="13">
        <v>1</v>
      </c>
      <c r="J221">
        <v>4</v>
      </c>
      <c r="K221">
        <v>2</v>
      </c>
      <c r="L221">
        <v>2</v>
      </c>
      <c r="M221">
        <v>2</v>
      </c>
      <c r="O221">
        <v>2</v>
      </c>
      <c r="P221" s="648">
        <f t="shared" si="13"/>
        <v>3.1666666666666665</v>
      </c>
      <c r="R221" s="748" t="s">
        <v>2155</v>
      </c>
      <c r="S221">
        <v>7</v>
      </c>
      <c r="T221" s="718">
        <v>1</v>
      </c>
      <c r="U221" s="399">
        <v>5</v>
      </c>
      <c r="AE221">
        <v>0</v>
      </c>
      <c r="AH221" s="644"/>
      <c r="AY221">
        <v>18</v>
      </c>
      <c r="AZ221">
        <v>1</v>
      </c>
      <c r="BA221" t="s">
        <v>2254</v>
      </c>
    </row>
    <row r="222" spans="1:53" ht="21">
      <c r="A222">
        <v>15</v>
      </c>
      <c r="B222" s="645" t="s">
        <v>2228</v>
      </c>
      <c r="C222">
        <v>6</v>
      </c>
      <c r="D222">
        <v>10</v>
      </c>
      <c r="E222">
        <v>4</v>
      </c>
      <c r="F222">
        <v>3</v>
      </c>
      <c r="G222">
        <v>2</v>
      </c>
      <c r="H222">
        <v>4</v>
      </c>
      <c r="I222">
        <v>5</v>
      </c>
      <c r="J222">
        <v>3</v>
      </c>
      <c r="K222">
        <v>4</v>
      </c>
      <c r="L222" s="651">
        <v>4</v>
      </c>
      <c r="M222">
        <v>3</v>
      </c>
      <c r="O222">
        <v>3</v>
      </c>
      <c r="P222" s="648">
        <f t="shared" si="13"/>
        <v>4.25</v>
      </c>
      <c r="R222" s="748" t="s">
        <v>2182</v>
      </c>
      <c r="S222">
        <v>10</v>
      </c>
      <c r="T222" s="718">
        <v>0</v>
      </c>
      <c r="U222" s="399">
        <v>5</v>
      </c>
      <c r="AC222" s="1" t="s">
        <v>141</v>
      </c>
      <c r="AE222">
        <v>0</v>
      </c>
      <c r="AH222" s="644"/>
      <c r="AY222">
        <v>18</v>
      </c>
      <c r="AZ222">
        <v>2</v>
      </c>
      <c r="BA222" t="s">
        <v>2234</v>
      </c>
    </row>
    <row r="223" spans="1:53" ht="18">
      <c r="A223">
        <v>15</v>
      </c>
      <c r="B223" s="645" t="s">
        <v>2229</v>
      </c>
      <c r="C223">
        <v>5</v>
      </c>
      <c r="D223">
        <v>3</v>
      </c>
      <c r="E223" s="13">
        <v>1</v>
      </c>
      <c r="F223">
        <v>2</v>
      </c>
      <c r="G223">
        <v>3</v>
      </c>
      <c r="H223">
        <v>6</v>
      </c>
      <c r="I223">
        <v>3</v>
      </c>
      <c r="J223" s="13">
        <v>1</v>
      </c>
      <c r="K223">
        <v>3</v>
      </c>
      <c r="L223">
        <v>3</v>
      </c>
      <c r="M223" s="650">
        <v>4</v>
      </c>
      <c r="O223" s="12"/>
      <c r="P223" s="648">
        <f t="shared" si="13"/>
        <v>3.0909090909090908</v>
      </c>
      <c r="R223" s="750" t="s">
        <v>2212</v>
      </c>
      <c r="S223">
        <v>13</v>
      </c>
      <c r="T223" s="718">
        <v>0</v>
      </c>
      <c r="U223" s="399">
        <v>5</v>
      </c>
      <c r="AC223" s="649" t="s">
        <v>1440</v>
      </c>
      <c r="AE223">
        <v>0</v>
      </c>
      <c r="AF223" t="s">
        <v>2080</v>
      </c>
      <c r="AH223" s="644"/>
      <c r="AY223">
        <v>18</v>
      </c>
      <c r="AZ223">
        <v>3</v>
      </c>
      <c r="BA223" t="s">
        <v>2234</v>
      </c>
    </row>
    <row r="224" spans="1:53">
      <c r="A224">
        <v>15</v>
      </c>
      <c r="B224" s="645" t="s">
        <v>2230</v>
      </c>
      <c r="C224">
        <v>7</v>
      </c>
      <c r="D224" s="13">
        <v>1</v>
      </c>
      <c r="E224">
        <v>3</v>
      </c>
      <c r="F224">
        <v>4</v>
      </c>
      <c r="G224">
        <v>4</v>
      </c>
      <c r="H224">
        <v>5</v>
      </c>
      <c r="I224">
        <v>4</v>
      </c>
      <c r="J224" s="651">
        <v>5</v>
      </c>
      <c r="K224" s="650">
        <v>5</v>
      </c>
      <c r="L224" s="12"/>
      <c r="M224" s="1490">
        <v>0</v>
      </c>
      <c r="O224" s="1490">
        <v>0</v>
      </c>
      <c r="P224" s="648">
        <f t="shared" si="13"/>
        <v>3.4545454545454546</v>
      </c>
      <c r="R224" s="750" t="s">
        <v>2217</v>
      </c>
      <c r="S224">
        <v>24</v>
      </c>
      <c r="T224" s="718">
        <v>0</v>
      </c>
      <c r="U224" s="399">
        <v>5</v>
      </c>
      <c r="AC224" s="671" t="s">
        <v>2238</v>
      </c>
      <c r="AD224">
        <v>16</v>
      </c>
      <c r="AE224">
        <v>2</v>
      </c>
      <c r="AF224">
        <v>4.333333333333333</v>
      </c>
      <c r="AH224" s="644"/>
      <c r="AY224">
        <v>18</v>
      </c>
      <c r="AZ224">
        <v>4</v>
      </c>
      <c r="BA224" t="s">
        <v>2217</v>
      </c>
    </row>
    <row r="225" spans="1:53">
      <c r="A225">
        <v>15</v>
      </c>
      <c r="B225" s="645" t="s">
        <v>2231</v>
      </c>
      <c r="C225">
        <v>11</v>
      </c>
      <c r="D225">
        <v>7</v>
      </c>
      <c r="E225">
        <v>6</v>
      </c>
      <c r="F225">
        <v>8</v>
      </c>
      <c r="G225">
        <v>6</v>
      </c>
      <c r="H225">
        <v>2</v>
      </c>
      <c r="I225" s="650">
        <v>6</v>
      </c>
      <c r="J225" s="12"/>
      <c r="K225" s="1490">
        <v>0</v>
      </c>
      <c r="L225" s="1490">
        <v>0</v>
      </c>
      <c r="M225" s="1490">
        <v>0</v>
      </c>
      <c r="O225" s="1490">
        <v>0</v>
      </c>
      <c r="P225" s="648">
        <f t="shared" si="13"/>
        <v>4.1818181818181817</v>
      </c>
      <c r="R225" s="750" t="s">
        <v>2451</v>
      </c>
      <c r="S225">
        <v>37</v>
      </c>
      <c r="T225" s="718">
        <v>0</v>
      </c>
      <c r="U225" s="399">
        <v>5</v>
      </c>
      <c r="AC225" s="645" t="s">
        <v>2239</v>
      </c>
      <c r="AD225">
        <v>16</v>
      </c>
      <c r="AE225">
        <v>4</v>
      </c>
      <c r="AF225">
        <v>2.5833333333333335</v>
      </c>
      <c r="AH225" s="681"/>
      <c r="AY225">
        <v>18</v>
      </c>
      <c r="AZ225">
        <v>5</v>
      </c>
      <c r="BA225" t="s">
        <v>2239</v>
      </c>
    </row>
    <row r="226" spans="1:53">
      <c r="A226">
        <v>15</v>
      </c>
      <c r="B226" s="645" t="s">
        <v>2232</v>
      </c>
      <c r="C226">
        <v>10</v>
      </c>
      <c r="D226">
        <v>8</v>
      </c>
      <c r="E226">
        <v>7</v>
      </c>
      <c r="F226">
        <v>7</v>
      </c>
      <c r="G226">
        <v>7</v>
      </c>
      <c r="H226" s="650">
        <v>7</v>
      </c>
      <c r="I226" s="12"/>
      <c r="J226" s="1490">
        <v>0</v>
      </c>
      <c r="K226" s="1490">
        <v>0</v>
      </c>
      <c r="L226" s="12"/>
      <c r="M226" s="12"/>
      <c r="O226" s="12"/>
      <c r="P226" s="648">
        <f t="shared" si="13"/>
        <v>5.75</v>
      </c>
      <c r="R226" s="748" t="s">
        <v>2253</v>
      </c>
      <c r="S226">
        <v>17</v>
      </c>
      <c r="T226" s="718">
        <v>1</v>
      </c>
      <c r="U226" s="399">
        <v>5.1111111111111107</v>
      </c>
      <c r="AC226" s="645" t="s">
        <v>2240</v>
      </c>
      <c r="AD226">
        <v>16</v>
      </c>
      <c r="AE226">
        <v>1</v>
      </c>
      <c r="AF226">
        <v>4.333333333333333</v>
      </c>
      <c r="AH226" s="681"/>
      <c r="AY226">
        <v>18</v>
      </c>
      <c r="AZ226">
        <v>6</v>
      </c>
      <c r="BA226" t="s">
        <v>2254</v>
      </c>
    </row>
    <row r="227" spans="1:53">
      <c r="A227">
        <v>15</v>
      </c>
      <c r="B227" s="645" t="s">
        <v>2233</v>
      </c>
      <c r="C227">
        <v>3</v>
      </c>
      <c r="D227">
        <v>4</v>
      </c>
      <c r="E227" s="35">
        <v>9</v>
      </c>
      <c r="F227" s="667">
        <v>6</v>
      </c>
      <c r="G227" s="650">
        <v>8</v>
      </c>
      <c r="H227" s="1504"/>
      <c r="I227" s="1490">
        <v>0</v>
      </c>
      <c r="J227" s="1490">
        <v>0</v>
      </c>
      <c r="K227" s="12"/>
      <c r="L227" s="12"/>
      <c r="M227" s="12"/>
      <c r="O227" s="12"/>
      <c r="P227" s="648">
        <f t="shared" si="13"/>
        <v>4.2857142857142856</v>
      </c>
      <c r="R227" s="748" t="s">
        <v>2209</v>
      </c>
      <c r="S227">
        <v>13</v>
      </c>
      <c r="T227" s="718">
        <v>0</v>
      </c>
      <c r="U227" s="399">
        <v>5.1428571428571432</v>
      </c>
      <c r="AC227" s="645" t="s">
        <v>2241</v>
      </c>
      <c r="AD227">
        <v>16</v>
      </c>
      <c r="AE227">
        <v>3</v>
      </c>
      <c r="AF227">
        <v>4.3636363636363633</v>
      </c>
      <c r="AH227" s="644"/>
      <c r="AY227">
        <v>18</v>
      </c>
      <c r="AZ227">
        <v>7</v>
      </c>
      <c r="BA227" t="s">
        <v>2229</v>
      </c>
    </row>
    <row r="228" spans="1:53">
      <c r="A228">
        <v>15</v>
      </c>
      <c r="B228" s="644" t="s">
        <v>2234</v>
      </c>
      <c r="C228" s="653">
        <v>2</v>
      </c>
      <c r="D228">
        <v>5</v>
      </c>
      <c r="E228">
        <v>8</v>
      </c>
      <c r="F228" s="650">
        <v>9</v>
      </c>
      <c r="G228" s="12"/>
      <c r="H228" s="1490">
        <v>0</v>
      </c>
      <c r="I228" s="1490">
        <v>0</v>
      </c>
      <c r="J228" s="12"/>
      <c r="K228" s="12"/>
      <c r="L228" s="12"/>
      <c r="M228" s="12"/>
      <c r="O228" s="12"/>
      <c r="P228" s="648">
        <f t="shared" si="13"/>
        <v>4</v>
      </c>
      <c r="R228" s="750" t="s">
        <v>2109</v>
      </c>
      <c r="S228">
        <v>3</v>
      </c>
      <c r="T228" s="718">
        <v>0</v>
      </c>
      <c r="U228" s="399">
        <v>5.166666666666667</v>
      </c>
      <c r="AC228" s="645" t="s">
        <v>2242</v>
      </c>
      <c r="AD228">
        <v>16</v>
      </c>
      <c r="AE228">
        <v>0</v>
      </c>
      <c r="AF228">
        <v>4</v>
      </c>
      <c r="AH228" s="644"/>
      <c r="AY228">
        <v>18</v>
      </c>
      <c r="AZ228">
        <v>8</v>
      </c>
      <c r="BA228" t="s">
        <v>2234</v>
      </c>
    </row>
    <row r="229" spans="1:53">
      <c r="A229">
        <v>15</v>
      </c>
      <c r="B229" s="644" t="s">
        <v>2235</v>
      </c>
      <c r="C229" s="653">
        <v>4</v>
      </c>
      <c r="D229">
        <v>9</v>
      </c>
      <c r="E229" s="650">
        <v>10</v>
      </c>
      <c r="F229" s="1505"/>
      <c r="G229" s="1492">
        <v>0</v>
      </c>
      <c r="H229" s="1490">
        <v>0</v>
      </c>
      <c r="I229" s="12"/>
      <c r="J229" s="12"/>
      <c r="K229" s="12"/>
      <c r="L229" s="12"/>
      <c r="M229" s="12"/>
      <c r="O229" s="12"/>
      <c r="P229" s="648">
        <f t="shared" si="13"/>
        <v>4.5999999999999996</v>
      </c>
      <c r="R229" s="748" t="s">
        <v>2334</v>
      </c>
      <c r="S229">
        <v>26</v>
      </c>
      <c r="T229" s="718">
        <v>0</v>
      </c>
      <c r="U229" s="399">
        <v>5.166666666666667</v>
      </c>
      <c r="AC229" s="645" t="s">
        <v>2243</v>
      </c>
      <c r="AD229">
        <v>16</v>
      </c>
      <c r="AE229">
        <v>1</v>
      </c>
      <c r="AF229">
        <v>3.375</v>
      </c>
      <c r="AH229" s="644"/>
      <c r="AY229">
        <v>18</v>
      </c>
      <c r="AZ229">
        <v>9</v>
      </c>
      <c r="BA229" t="s">
        <v>2234</v>
      </c>
    </row>
    <row r="230" spans="1:53">
      <c r="A230">
        <v>15</v>
      </c>
      <c r="B230" s="644" t="s">
        <v>2236</v>
      </c>
      <c r="C230" s="653">
        <v>8</v>
      </c>
      <c r="D230" s="650">
        <v>11</v>
      </c>
      <c r="E230" s="12"/>
      <c r="F230" s="1492">
        <v>0</v>
      </c>
      <c r="G230" s="1490">
        <v>0</v>
      </c>
      <c r="H230" s="12"/>
      <c r="I230" s="12"/>
      <c r="J230" s="12"/>
      <c r="K230" s="12"/>
      <c r="L230" s="12"/>
      <c r="M230" s="12"/>
      <c r="O230" s="12"/>
      <c r="P230" s="648">
        <f t="shared" si="13"/>
        <v>4.75</v>
      </c>
      <c r="R230" s="748" t="s">
        <v>2378</v>
      </c>
      <c r="S230">
        <v>30</v>
      </c>
      <c r="T230" s="718">
        <v>0</v>
      </c>
      <c r="U230" s="399">
        <v>5.166666666666667</v>
      </c>
      <c r="AC230" s="645" t="s">
        <v>2244</v>
      </c>
      <c r="AD230">
        <v>16</v>
      </c>
      <c r="AE230">
        <v>1</v>
      </c>
      <c r="AF230">
        <v>5.666666666666667</v>
      </c>
      <c r="AH230" s="681"/>
      <c r="AY230">
        <v>18</v>
      </c>
      <c r="AZ230">
        <v>10</v>
      </c>
      <c r="BA230" t="s">
        <v>2229</v>
      </c>
    </row>
    <row r="231" spans="1:53">
      <c r="A231">
        <v>15</v>
      </c>
      <c r="B231" s="645" t="s">
        <v>2237</v>
      </c>
      <c r="C231" s="650">
        <v>12</v>
      </c>
      <c r="D231" s="12"/>
      <c r="E231" s="12"/>
      <c r="F231" s="1505"/>
      <c r="G231" s="12"/>
      <c r="H231" s="12"/>
      <c r="I231" s="12"/>
      <c r="J231" s="12"/>
      <c r="K231" s="12"/>
      <c r="L231" s="12"/>
      <c r="M231" s="12"/>
      <c r="O231" s="12"/>
      <c r="P231" s="648">
        <f t="shared" si="13"/>
        <v>12</v>
      </c>
      <c r="R231" s="748" t="s">
        <v>2444</v>
      </c>
      <c r="S231">
        <v>36</v>
      </c>
      <c r="T231" s="718">
        <v>0</v>
      </c>
      <c r="U231" s="399">
        <v>5.166666666666667</v>
      </c>
      <c r="AC231" s="644" t="s">
        <v>2245</v>
      </c>
      <c r="AD231">
        <v>16</v>
      </c>
      <c r="AE231">
        <v>0</v>
      </c>
      <c r="AF231">
        <v>4.4000000000000004</v>
      </c>
      <c r="AH231" s="681"/>
      <c r="AY231">
        <v>18</v>
      </c>
      <c r="AZ231">
        <v>11</v>
      </c>
      <c r="BA231" t="s">
        <v>2254</v>
      </c>
    </row>
    <row r="232" spans="1:53">
      <c r="C232" s="1503"/>
      <c r="D232" s="12"/>
      <c r="E232" s="12"/>
      <c r="F232" s="1505"/>
      <c r="G232" s="1504"/>
      <c r="H232" s="1504"/>
      <c r="I232" s="12"/>
      <c r="J232" s="12"/>
      <c r="K232" s="12"/>
      <c r="L232" s="12"/>
      <c r="M232" s="12"/>
      <c r="O232" s="12"/>
      <c r="P232" s="648"/>
      <c r="R232" s="750" t="s">
        <v>2206</v>
      </c>
      <c r="S232">
        <v>13</v>
      </c>
      <c r="T232" s="718">
        <v>0</v>
      </c>
      <c r="U232" s="399">
        <v>5.1818181818181817</v>
      </c>
      <c r="AC232" s="644" t="s">
        <v>2246</v>
      </c>
      <c r="AD232">
        <v>16</v>
      </c>
      <c r="AE232">
        <v>0</v>
      </c>
      <c r="AF232">
        <v>5.333333333333333</v>
      </c>
      <c r="AH232" s="681"/>
      <c r="AY232">
        <v>18</v>
      </c>
      <c r="AZ232" t="s">
        <v>2810</v>
      </c>
      <c r="BA232" t="s">
        <v>2218</v>
      </c>
    </row>
    <row r="233" spans="1:53" ht="21">
      <c r="B233" s="1" t="s">
        <v>141</v>
      </c>
      <c r="C233" s="1503"/>
      <c r="D233" s="12"/>
      <c r="E233" s="12"/>
      <c r="F233" s="1505"/>
      <c r="G233" s="12"/>
      <c r="H233" s="12"/>
      <c r="I233" s="12"/>
      <c r="J233" s="12"/>
      <c r="K233" s="12"/>
      <c r="L233" s="12"/>
      <c r="M233" s="12"/>
      <c r="O233" s="12"/>
      <c r="P233" s="648"/>
      <c r="R233" s="750" t="s">
        <v>2219</v>
      </c>
      <c r="S233">
        <v>14</v>
      </c>
      <c r="T233" s="718">
        <v>0</v>
      </c>
      <c r="U233" s="399">
        <v>5.2222222222222223</v>
      </c>
      <c r="AC233" s="644" t="s">
        <v>2247</v>
      </c>
      <c r="AD233">
        <v>16</v>
      </c>
      <c r="AE233">
        <v>0</v>
      </c>
      <c r="AF233">
        <v>10</v>
      </c>
      <c r="AH233" s="644"/>
      <c r="AY233">
        <v>19</v>
      </c>
      <c r="AZ233">
        <v>1</v>
      </c>
      <c r="BA233" t="s">
        <v>2261</v>
      </c>
    </row>
    <row r="234" spans="1:53" ht="21" customHeight="1">
      <c r="B234" s="649" t="s">
        <v>1440</v>
      </c>
      <c r="C234" s="646" t="s">
        <v>2795</v>
      </c>
      <c r="D234" s="646" t="s">
        <v>2798</v>
      </c>
      <c r="E234" s="646" t="s">
        <v>2799</v>
      </c>
      <c r="F234" s="646" t="s">
        <v>2800</v>
      </c>
      <c r="G234" s="646" t="s">
        <v>2801</v>
      </c>
      <c r="H234" s="646" t="s">
        <v>2802</v>
      </c>
      <c r="I234" s="646" t="s">
        <v>2803</v>
      </c>
      <c r="J234" s="646" t="s">
        <v>2804</v>
      </c>
      <c r="K234" s="646" t="s">
        <v>2805</v>
      </c>
      <c r="L234" s="646" t="s">
        <v>2806</v>
      </c>
      <c r="M234" s="646" t="s">
        <v>2807</v>
      </c>
      <c r="N234" s="646"/>
      <c r="O234" s="646" t="s">
        <v>2810</v>
      </c>
      <c r="P234" s="647" t="s">
        <v>2080</v>
      </c>
      <c r="R234" s="748" t="s">
        <v>2384</v>
      </c>
      <c r="S234">
        <v>31</v>
      </c>
      <c r="T234" s="718">
        <v>0</v>
      </c>
      <c r="U234" s="399">
        <v>5.2222222222222223</v>
      </c>
      <c r="AC234" s="645" t="s">
        <v>2248</v>
      </c>
      <c r="AD234">
        <v>16</v>
      </c>
      <c r="AE234">
        <v>0</v>
      </c>
      <c r="AF234">
        <v>11</v>
      </c>
      <c r="AH234" s="644"/>
      <c r="AY234">
        <v>19</v>
      </c>
      <c r="AZ234">
        <v>2</v>
      </c>
      <c r="BA234" t="s">
        <v>2264</v>
      </c>
    </row>
    <row r="235" spans="1:53">
      <c r="A235">
        <v>16</v>
      </c>
      <c r="B235" s="671" t="s">
        <v>2238</v>
      </c>
      <c r="C235">
        <v>8</v>
      </c>
      <c r="D235">
        <v>8</v>
      </c>
      <c r="E235">
        <v>6</v>
      </c>
      <c r="F235">
        <v>6</v>
      </c>
      <c r="G235">
        <v>4</v>
      </c>
      <c r="H235">
        <v>5</v>
      </c>
      <c r="I235">
        <v>2</v>
      </c>
      <c r="J235">
        <v>5</v>
      </c>
      <c r="K235" s="13">
        <v>1</v>
      </c>
      <c r="L235">
        <v>3</v>
      </c>
      <c r="M235">
        <v>3</v>
      </c>
      <c r="O235" s="699">
        <v>1</v>
      </c>
      <c r="P235" s="648">
        <f t="shared" ref="P235:P247" si="14">AVERAGE(C235:O235)</f>
        <v>4.333333333333333</v>
      </c>
      <c r="R235" s="750" t="s">
        <v>2134</v>
      </c>
      <c r="S235">
        <v>5</v>
      </c>
      <c r="T235" s="718">
        <v>0</v>
      </c>
      <c r="U235" s="399">
        <v>5.25</v>
      </c>
      <c r="AE235">
        <v>0</v>
      </c>
      <c r="AH235" s="681"/>
      <c r="AY235">
        <v>19</v>
      </c>
      <c r="AZ235">
        <v>3</v>
      </c>
      <c r="BA235" t="s">
        <v>2264</v>
      </c>
    </row>
    <row r="236" spans="1:53" ht="21">
      <c r="A236">
        <v>16</v>
      </c>
      <c r="B236" s="645" t="s">
        <v>2239</v>
      </c>
      <c r="C236">
        <v>3</v>
      </c>
      <c r="D236" s="13">
        <v>1</v>
      </c>
      <c r="E236" s="13">
        <v>1</v>
      </c>
      <c r="F236">
        <v>4</v>
      </c>
      <c r="G236">
        <v>3</v>
      </c>
      <c r="H236">
        <v>4</v>
      </c>
      <c r="I236" s="651">
        <v>6</v>
      </c>
      <c r="J236" s="13">
        <v>1</v>
      </c>
      <c r="K236">
        <v>3</v>
      </c>
      <c r="L236" s="13">
        <v>1</v>
      </c>
      <c r="M236">
        <v>2</v>
      </c>
      <c r="O236">
        <v>2</v>
      </c>
      <c r="P236" s="648">
        <f t="shared" si="14"/>
        <v>2.5833333333333335</v>
      </c>
      <c r="R236" s="748" t="s">
        <v>2083</v>
      </c>
      <c r="S236">
        <v>11</v>
      </c>
      <c r="T236" s="718">
        <v>0</v>
      </c>
      <c r="U236" s="399">
        <v>5.25</v>
      </c>
      <c r="AC236" s="1" t="s">
        <v>142</v>
      </c>
      <c r="AE236">
        <v>0</v>
      </c>
      <c r="AH236" s="644"/>
      <c r="AY236">
        <v>19</v>
      </c>
      <c r="AZ236">
        <v>4</v>
      </c>
      <c r="BA236" t="s">
        <v>2264</v>
      </c>
    </row>
    <row r="237" spans="1:53" ht="18">
      <c r="A237">
        <v>16</v>
      </c>
      <c r="B237" s="645" t="s">
        <v>2240</v>
      </c>
      <c r="C237">
        <v>7</v>
      </c>
      <c r="D237">
        <v>4</v>
      </c>
      <c r="E237">
        <v>7</v>
      </c>
      <c r="F237">
        <v>7</v>
      </c>
      <c r="G237">
        <v>6</v>
      </c>
      <c r="H237">
        <v>6</v>
      </c>
      <c r="I237">
        <v>3</v>
      </c>
      <c r="J237">
        <v>4</v>
      </c>
      <c r="K237" s="35">
        <v>2</v>
      </c>
      <c r="L237">
        <v>2</v>
      </c>
      <c r="M237" s="13">
        <v>1</v>
      </c>
      <c r="O237">
        <v>3</v>
      </c>
      <c r="P237" s="648">
        <f t="shared" si="14"/>
        <v>4.333333333333333</v>
      </c>
      <c r="R237" s="748" t="s">
        <v>2200</v>
      </c>
      <c r="S237">
        <v>12</v>
      </c>
      <c r="T237" s="718">
        <v>1</v>
      </c>
      <c r="U237" s="399">
        <v>5.25</v>
      </c>
      <c r="AC237" s="649" t="s">
        <v>1440</v>
      </c>
      <c r="AE237">
        <v>0</v>
      </c>
      <c r="AF237" t="s">
        <v>2080</v>
      </c>
      <c r="AH237" s="644"/>
      <c r="AY237">
        <v>19</v>
      </c>
      <c r="AZ237">
        <v>5</v>
      </c>
      <c r="BA237" t="s">
        <v>2263</v>
      </c>
    </row>
    <row r="238" spans="1:53">
      <c r="A238">
        <v>16</v>
      </c>
      <c r="B238" s="645" t="s">
        <v>2241</v>
      </c>
      <c r="C238">
        <v>9</v>
      </c>
      <c r="D238">
        <v>9</v>
      </c>
      <c r="E238">
        <v>8</v>
      </c>
      <c r="F238" s="13">
        <v>1</v>
      </c>
      <c r="G238" s="654">
        <v>1</v>
      </c>
      <c r="H238" s="13">
        <v>1</v>
      </c>
      <c r="I238">
        <v>4</v>
      </c>
      <c r="J238">
        <v>3</v>
      </c>
      <c r="K238">
        <v>4</v>
      </c>
      <c r="L238" s="651">
        <v>4</v>
      </c>
      <c r="M238" s="650">
        <v>4</v>
      </c>
      <c r="O238" s="1490">
        <v>0</v>
      </c>
      <c r="P238" s="648">
        <f t="shared" si="14"/>
        <v>4</v>
      </c>
      <c r="R238" s="748" t="s">
        <v>2442</v>
      </c>
      <c r="S238">
        <v>36</v>
      </c>
      <c r="T238" s="718">
        <v>0</v>
      </c>
      <c r="U238" s="399">
        <v>5.25</v>
      </c>
      <c r="AC238" s="671" t="s">
        <v>2249</v>
      </c>
      <c r="AD238">
        <v>17</v>
      </c>
      <c r="AE238">
        <v>5</v>
      </c>
      <c r="AF238">
        <v>3.0833333333333335</v>
      </c>
      <c r="AH238" s="644"/>
      <c r="AY238">
        <v>19</v>
      </c>
      <c r="AZ238">
        <v>6</v>
      </c>
      <c r="BA238" t="s">
        <v>2264</v>
      </c>
    </row>
    <row r="239" spans="1:53">
      <c r="A239">
        <v>16</v>
      </c>
      <c r="B239" s="645" t="s">
        <v>2242</v>
      </c>
      <c r="C239">
        <v>6</v>
      </c>
      <c r="D239">
        <v>3</v>
      </c>
      <c r="E239">
        <v>3</v>
      </c>
      <c r="F239">
        <v>5</v>
      </c>
      <c r="G239">
        <v>5</v>
      </c>
      <c r="H239">
        <v>2</v>
      </c>
      <c r="I239">
        <v>5</v>
      </c>
      <c r="J239">
        <v>2</v>
      </c>
      <c r="K239" s="669">
        <v>5</v>
      </c>
      <c r="L239" s="1490">
        <v>0</v>
      </c>
      <c r="M239" s="1490">
        <v>0</v>
      </c>
      <c r="O239" s="1490">
        <v>0</v>
      </c>
      <c r="P239" s="648">
        <f t="shared" si="14"/>
        <v>3</v>
      </c>
      <c r="R239" s="748" t="s">
        <v>2455</v>
      </c>
      <c r="S239">
        <v>37</v>
      </c>
      <c r="T239" s="718">
        <v>0</v>
      </c>
      <c r="U239" s="399">
        <v>5.25</v>
      </c>
      <c r="AC239" s="645" t="s">
        <v>2250</v>
      </c>
      <c r="AD239">
        <v>17</v>
      </c>
      <c r="AE239">
        <v>1</v>
      </c>
      <c r="AF239">
        <v>3.1666666666666665</v>
      </c>
      <c r="AH239" s="681"/>
      <c r="AY239">
        <v>19</v>
      </c>
      <c r="AZ239">
        <v>7</v>
      </c>
      <c r="BA239" t="s">
        <v>2264</v>
      </c>
    </row>
    <row r="240" spans="1:53">
      <c r="A240">
        <v>16</v>
      </c>
      <c r="B240" s="645" t="s">
        <v>2243</v>
      </c>
      <c r="C240">
        <v>4</v>
      </c>
      <c r="D240">
        <v>7</v>
      </c>
      <c r="E240">
        <v>2</v>
      </c>
      <c r="F240">
        <v>2</v>
      </c>
      <c r="G240">
        <v>2</v>
      </c>
      <c r="H240">
        <v>3</v>
      </c>
      <c r="I240" s="13">
        <v>1</v>
      </c>
      <c r="J240" s="650">
        <v>6</v>
      </c>
      <c r="K240" s="1490">
        <v>0</v>
      </c>
      <c r="L240" s="12"/>
      <c r="M240" s="1490">
        <v>0</v>
      </c>
      <c r="O240" s="12"/>
      <c r="P240" s="648">
        <f t="shared" si="14"/>
        <v>2.7</v>
      </c>
      <c r="R240" s="748" t="s">
        <v>2252</v>
      </c>
      <c r="S240">
        <v>17</v>
      </c>
      <c r="T240" s="718">
        <v>0</v>
      </c>
      <c r="U240" s="399">
        <v>5.2727272727272725</v>
      </c>
      <c r="AC240" s="645" t="s">
        <v>2251</v>
      </c>
      <c r="AD240">
        <v>17</v>
      </c>
      <c r="AE240">
        <v>4</v>
      </c>
      <c r="AF240">
        <v>3</v>
      </c>
      <c r="AH240" s="681"/>
      <c r="AY240">
        <v>19</v>
      </c>
      <c r="AZ240">
        <v>8</v>
      </c>
      <c r="BA240" t="s">
        <v>2261</v>
      </c>
    </row>
    <row r="241" spans="1:53">
      <c r="A241">
        <v>16</v>
      </c>
      <c r="B241" s="645" t="s">
        <v>2244</v>
      </c>
      <c r="C241" s="13">
        <v>1</v>
      </c>
      <c r="D241">
        <v>6</v>
      </c>
      <c r="E241">
        <v>5</v>
      </c>
      <c r="F241" s="670">
        <v>8</v>
      </c>
      <c r="G241">
        <v>7</v>
      </c>
      <c r="H241" s="650">
        <v>7</v>
      </c>
      <c r="I241" s="1490">
        <v>0</v>
      </c>
      <c r="J241" s="1490">
        <v>0</v>
      </c>
      <c r="K241" s="1490">
        <v>0</v>
      </c>
      <c r="L241" s="1490">
        <v>0</v>
      </c>
      <c r="M241" s="1490">
        <v>0</v>
      </c>
      <c r="O241" s="1490">
        <v>0</v>
      </c>
      <c r="P241" s="648">
        <f t="shared" si="14"/>
        <v>2.8333333333333335</v>
      </c>
      <c r="R241" s="748" t="s">
        <v>2342</v>
      </c>
      <c r="S241">
        <v>27</v>
      </c>
      <c r="T241" s="718">
        <v>0</v>
      </c>
      <c r="U241" s="399">
        <v>5.2727272727272725</v>
      </c>
      <c r="AC241" s="645" t="s">
        <v>2252</v>
      </c>
      <c r="AD241">
        <v>17</v>
      </c>
      <c r="AE241">
        <v>0</v>
      </c>
      <c r="AF241">
        <v>5.2727272727272725</v>
      </c>
      <c r="AH241" s="644"/>
      <c r="AY241">
        <v>19</v>
      </c>
      <c r="AZ241">
        <v>9</v>
      </c>
      <c r="BA241" t="s">
        <v>2263</v>
      </c>
    </row>
    <row r="242" spans="1:53">
      <c r="A242">
        <v>16</v>
      </c>
      <c r="B242" s="644" t="s">
        <v>2245</v>
      </c>
      <c r="C242" s="653">
        <v>5</v>
      </c>
      <c r="D242">
        <v>2</v>
      </c>
      <c r="E242">
        <v>4</v>
      </c>
      <c r="F242">
        <v>3</v>
      </c>
      <c r="G242" s="669">
        <v>8</v>
      </c>
      <c r="H242" s="1490">
        <v>0</v>
      </c>
      <c r="I242" s="1490">
        <v>0</v>
      </c>
      <c r="J242" s="1490">
        <v>0</v>
      </c>
      <c r="K242" s="1490">
        <v>0</v>
      </c>
      <c r="L242" s="1490">
        <v>0</v>
      </c>
      <c r="M242" s="1490">
        <v>0</v>
      </c>
      <c r="O242" s="1490">
        <v>0</v>
      </c>
      <c r="P242" s="648">
        <f t="shared" si="14"/>
        <v>1.8333333333333333</v>
      </c>
      <c r="R242" s="750" t="s">
        <v>2255</v>
      </c>
      <c r="S242">
        <v>17</v>
      </c>
      <c r="T242" s="718">
        <v>0</v>
      </c>
      <c r="U242" s="399">
        <v>5.2857142857142856</v>
      </c>
      <c r="AC242" s="645" t="s">
        <v>2253</v>
      </c>
      <c r="AD242">
        <v>17</v>
      </c>
      <c r="AE242">
        <v>1</v>
      </c>
      <c r="AF242">
        <v>5.1111111111111107</v>
      </c>
      <c r="AH242" s="681"/>
      <c r="AY242">
        <v>19</v>
      </c>
      <c r="AZ242">
        <v>10</v>
      </c>
      <c r="BA242" t="s">
        <v>2264</v>
      </c>
    </row>
    <row r="243" spans="1:53">
      <c r="A243">
        <v>16</v>
      </c>
      <c r="B243" s="644" t="s">
        <v>2246</v>
      </c>
      <c r="C243" s="653">
        <v>2</v>
      </c>
      <c r="D243">
        <v>5</v>
      </c>
      <c r="E243" s="650">
        <v>9</v>
      </c>
      <c r="F243" s="12"/>
      <c r="G243" s="1492">
        <v>0</v>
      </c>
      <c r="H243" s="1490">
        <v>0</v>
      </c>
      <c r="I243" s="12"/>
      <c r="J243" s="12"/>
      <c r="K243" s="1490">
        <v>0</v>
      </c>
      <c r="L243" s="1490">
        <v>0</v>
      </c>
      <c r="M243" s="1490">
        <v>0</v>
      </c>
      <c r="O243" s="1490">
        <v>0</v>
      </c>
      <c r="P243" s="648">
        <f t="shared" si="14"/>
        <v>1.7777777777777777</v>
      </c>
      <c r="R243" s="748" t="s">
        <v>2121</v>
      </c>
      <c r="S243">
        <v>4</v>
      </c>
      <c r="T243" s="718">
        <v>0</v>
      </c>
      <c r="U243" s="399">
        <v>5.333333333333333</v>
      </c>
      <c r="AC243" s="645" t="s">
        <v>2254</v>
      </c>
      <c r="AD243">
        <v>17</v>
      </c>
      <c r="AE243">
        <v>0</v>
      </c>
      <c r="AF243">
        <v>4.625</v>
      </c>
      <c r="AH243" s="644"/>
      <c r="AY243">
        <v>19</v>
      </c>
      <c r="AZ243">
        <v>11</v>
      </c>
      <c r="BA243" t="s">
        <v>2262</v>
      </c>
    </row>
    <row r="244" spans="1:53">
      <c r="A244">
        <v>16</v>
      </c>
      <c r="B244" s="644" t="s">
        <v>2247</v>
      </c>
      <c r="C244" s="653">
        <v>10</v>
      </c>
      <c r="D244" s="650">
        <v>10</v>
      </c>
      <c r="E244" s="12"/>
      <c r="F244" s="1492">
        <v>0</v>
      </c>
      <c r="G244" s="1490">
        <v>0</v>
      </c>
      <c r="H244" s="12"/>
      <c r="I244" s="12"/>
      <c r="J244" s="12"/>
      <c r="K244" s="1490">
        <v>0</v>
      </c>
      <c r="L244" s="1490">
        <v>0</v>
      </c>
      <c r="M244" s="1490">
        <v>0</v>
      </c>
      <c r="O244" s="1490">
        <v>0</v>
      </c>
      <c r="P244" s="648">
        <f t="shared" si="14"/>
        <v>2.5</v>
      </c>
      <c r="R244" s="750" t="s">
        <v>2133</v>
      </c>
      <c r="S244">
        <v>5</v>
      </c>
      <c r="T244" s="718">
        <v>0</v>
      </c>
      <c r="U244" s="399">
        <v>5.333333333333333</v>
      </c>
      <c r="AC244" s="645" t="s">
        <v>2255</v>
      </c>
      <c r="AD244">
        <v>17</v>
      </c>
      <c r="AE244">
        <v>0</v>
      </c>
      <c r="AF244">
        <v>5.2857142857142856</v>
      </c>
      <c r="AH244" s="644"/>
      <c r="AY244">
        <v>19</v>
      </c>
      <c r="AZ244" t="s">
        <v>2810</v>
      </c>
      <c r="BA244" t="s">
        <v>2261</v>
      </c>
    </row>
    <row r="245" spans="1:53">
      <c r="A245">
        <v>16</v>
      </c>
      <c r="B245" s="645" t="s">
        <v>2248</v>
      </c>
      <c r="C245" s="650">
        <v>11</v>
      </c>
      <c r="D245" s="12"/>
      <c r="E245" s="12"/>
      <c r="F245" s="12"/>
      <c r="G245" s="12"/>
      <c r="H245" s="12"/>
      <c r="I245" s="12"/>
      <c r="J245" s="12"/>
      <c r="K245" s="1490">
        <v>0</v>
      </c>
      <c r="L245" s="1490">
        <v>0</v>
      </c>
      <c r="M245" s="1490">
        <v>0</v>
      </c>
      <c r="O245" s="1490">
        <v>0</v>
      </c>
      <c r="P245" s="648">
        <f t="shared" si="14"/>
        <v>2.2000000000000002</v>
      </c>
      <c r="R245" s="748" t="s">
        <v>2157</v>
      </c>
      <c r="S245">
        <v>7</v>
      </c>
      <c r="T245" s="718">
        <v>1</v>
      </c>
      <c r="U245" s="399">
        <v>5.333333333333333</v>
      </c>
      <c r="AC245" s="644" t="s">
        <v>2256</v>
      </c>
      <c r="AD245">
        <v>17</v>
      </c>
      <c r="AE245">
        <v>0</v>
      </c>
      <c r="AF245">
        <v>5.4</v>
      </c>
      <c r="AH245" s="644"/>
      <c r="AY245">
        <v>20</v>
      </c>
      <c r="AZ245">
        <v>1</v>
      </c>
      <c r="BA245" t="s">
        <v>2272</v>
      </c>
    </row>
    <row r="246" spans="1:53">
      <c r="C246" s="1503"/>
      <c r="D246" s="12"/>
      <c r="E246" s="12"/>
      <c r="F246" s="12"/>
      <c r="G246" s="12"/>
      <c r="H246" s="12"/>
      <c r="I246" s="12"/>
      <c r="J246" s="12"/>
      <c r="K246" s="1490">
        <v>0</v>
      </c>
      <c r="L246" s="1490">
        <v>0</v>
      </c>
      <c r="M246" s="1490">
        <v>0</v>
      </c>
      <c r="O246" s="1490">
        <v>0</v>
      </c>
      <c r="P246" s="648">
        <f t="shared" si="14"/>
        <v>0</v>
      </c>
      <c r="R246" s="750" t="s">
        <v>2246</v>
      </c>
      <c r="S246">
        <v>16</v>
      </c>
      <c r="T246" s="718">
        <v>0</v>
      </c>
      <c r="U246" s="399">
        <v>5.333333333333333</v>
      </c>
      <c r="AC246" s="644" t="s">
        <v>2257</v>
      </c>
      <c r="AD246">
        <v>17</v>
      </c>
      <c r="AE246">
        <v>1</v>
      </c>
      <c r="AF246">
        <v>4.75</v>
      </c>
      <c r="AH246" s="644"/>
      <c r="AY246">
        <v>20</v>
      </c>
      <c r="AZ246">
        <v>2</v>
      </c>
      <c r="BA246" t="s">
        <v>2272</v>
      </c>
    </row>
    <row r="247" spans="1:53" ht="21">
      <c r="B247" s="1" t="s">
        <v>142</v>
      </c>
      <c r="C247" s="1503"/>
      <c r="D247" s="12"/>
      <c r="E247" s="12"/>
      <c r="F247" s="12"/>
      <c r="G247" s="12"/>
      <c r="H247" s="12"/>
      <c r="I247" s="12"/>
      <c r="J247" s="12"/>
      <c r="K247" s="1490">
        <v>0</v>
      </c>
      <c r="L247" s="1490">
        <v>0</v>
      </c>
      <c r="M247" s="1490">
        <v>0</v>
      </c>
      <c r="O247" s="1490">
        <v>0</v>
      </c>
      <c r="P247" s="648">
        <f t="shared" si="14"/>
        <v>0</v>
      </c>
      <c r="R247" s="750" t="s">
        <v>2217</v>
      </c>
      <c r="S247">
        <v>18</v>
      </c>
      <c r="T247" s="718">
        <v>1</v>
      </c>
      <c r="U247" s="399">
        <v>5.333333333333333</v>
      </c>
      <c r="AC247" s="644" t="s">
        <v>2258</v>
      </c>
      <c r="AD247">
        <v>17</v>
      </c>
      <c r="AE247">
        <v>0</v>
      </c>
      <c r="AF247">
        <v>9.5</v>
      </c>
      <c r="AH247" s="644"/>
      <c r="AY247">
        <v>20</v>
      </c>
      <c r="AZ247">
        <v>3</v>
      </c>
      <c r="BA247" t="s">
        <v>2273</v>
      </c>
    </row>
    <row r="248" spans="1:53" ht="21" customHeight="1">
      <c r="B248" s="649" t="s">
        <v>1440</v>
      </c>
      <c r="C248" s="646" t="s">
        <v>2795</v>
      </c>
      <c r="D248" s="646" t="s">
        <v>2798</v>
      </c>
      <c r="E248" s="646" t="s">
        <v>2799</v>
      </c>
      <c r="F248" s="646" t="s">
        <v>2800</v>
      </c>
      <c r="G248" s="646" t="s">
        <v>2801</v>
      </c>
      <c r="H248" s="646" t="s">
        <v>2802</v>
      </c>
      <c r="I248" s="646" t="s">
        <v>2803</v>
      </c>
      <c r="J248" s="646" t="s">
        <v>2804</v>
      </c>
      <c r="K248" s="646" t="s">
        <v>2805</v>
      </c>
      <c r="L248" s="646" t="s">
        <v>2806</v>
      </c>
      <c r="M248" s="646" t="s">
        <v>2807</v>
      </c>
      <c r="N248" s="646"/>
      <c r="O248" s="646" t="s">
        <v>2810</v>
      </c>
      <c r="P248" s="647" t="s">
        <v>2080</v>
      </c>
      <c r="R248" s="750" t="s">
        <v>2409</v>
      </c>
      <c r="S248">
        <v>33</v>
      </c>
      <c r="T248" s="718">
        <v>0</v>
      </c>
      <c r="U248" s="399">
        <v>5.333333333333333</v>
      </c>
      <c r="AC248" s="645" t="s">
        <v>2259</v>
      </c>
      <c r="AD248">
        <v>17</v>
      </c>
      <c r="AE248">
        <v>0</v>
      </c>
      <c r="AF248">
        <v>11</v>
      </c>
      <c r="AH248" s="644"/>
      <c r="AY248">
        <v>20</v>
      </c>
      <c r="AZ248">
        <v>4</v>
      </c>
      <c r="BA248" t="s">
        <v>2273</v>
      </c>
    </row>
    <row r="249" spans="1:53">
      <c r="A249">
        <v>17</v>
      </c>
      <c r="B249" s="671" t="s">
        <v>2249</v>
      </c>
      <c r="C249">
        <v>2</v>
      </c>
      <c r="D249">
        <v>7</v>
      </c>
      <c r="E249">
        <v>8</v>
      </c>
      <c r="F249" s="13">
        <v>1</v>
      </c>
      <c r="G249" s="676">
        <v>1</v>
      </c>
      <c r="H249">
        <v>4</v>
      </c>
      <c r="I249" s="13">
        <v>1</v>
      </c>
      <c r="J249">
        <v>5</v>
      </c>
      <c r="K249" s="35">
        <v>3</v>
      </c>
      <c r="L249" s="13">
        <v>1</v>
      </c>
      <c r="M249">
        <v>3</v>
      </c>
      <c r="O249" s="699">
        <v>1</v>
      </c>
      <c r="P249" s="648">
        <f t="shared" ref="P249:P259" si="15">AVERAGE(C249:O249)</f>
        <v>3.0833333333333335</v>
      </c>
      <c r="R249" s="750" t="s">
        <v>2152</v>
      </c>
      <c r="S249">
        <v>7</v>
      </c>
      <c r="T249" s="718">
        <v>0</v>
      </c>
      <c r="U249" s="399">
        <v>5.3636363636363633</v>
      </c>
      <c r="AE249">
        <v>0</v>
      </c>
      <c r="AH249" s="681"/>
      <c r="AY249">
        <v>20</v>
      </c>
      <c r="AZ249">
        <v>5</v>
      </c>
      <c r="BA249" t="s">
        <v>2273</v>
      </c>
    </row>
    <row r="250" spans="1:53" ht="21">
      <c r="A250">
        <v>17</v>
      </c>
      <c r="B250" s="645" t="s">
        <v>2250</v>
      </c>
      <c r="C250">
        <v>4</v>
      </c>
      <c r="D250" s="13">
        <v>1</v>
      </c>
      <c r="E250">
        <v>6</v>
      </c>
      <c r="F250">
        <v>3</v>
      </c>
      <c r="G250">
        <v>5</v>
      </c>
      <c r="H250">
        <v>2</v>
      </c>
      <c r="I250">
        <v>2</v>
      </c>
      <c r="J250">
        <v>4</v>
      </c>
      <c r="K250" s="45">
        <v>4</v>
      </c>
      <c r="L250">
        <v>3</v>
      </c>
      <c r="M250">
        <v>2</v>
      </c>
      <c r="O250">
        <v>2</v>
      </c>
      <c r="P250" s="648">
        <f t="shared" si="15"/>
        <v>3.1666666666666665</v>
      </c>
      <c r="R250" s="748" t="s">
        <v>2310</v>
      </c>
      <c r="S250">
        <v>23</v>
      </c>
      <c r="T250" s="718">
        <v>0</v>
      </c>
      <c r="U250" s="399">
        <v>5.375</v>
      </c>
      <c r="AC250" s="1" t="s">
        <v>143</v>
      </c>
      <c r="AE250">
        <v>0</v>
      </c>
      <c r="AH250" s="644"/>
      <c r="AY250">
        <v>20</v>
      </c>
      <c r="AZ250">
        <v>6</v>
      </c>
      <c r="BA250" t="s">
        <v>2272</v>
      </c>
    </row>
    <row r="251" spans="1:53" ht="18">
      <c r="A251">
        <v>17</v>
      </c>
      <c r="B251" s="645" t="s">
        <v>2251</v>
      </c>
      <c r="C251" s="13">
        <v>1</v>
      </c>
      <c r="D251">
        <v>5</v>
      </c>
      <c r="E251">
        <v>7</v>
      </c>
      <c r="F251" s="8">
        <v>5</v>
      </c>
      <c r="G251">
        <v>3</v>
      </c>
      <c r="H251" s="13">
        <v>1</v>
      </c>
      <c r="I251">
        <v>5</v>
      </c>
      <c r="J251">
        <v>2</v>
      </c>
      <c r="K251" s="654">
        <v>1</v>
      </c>
      <c r="L251">
        <v>2</v>
      </c>
      <c r="M251" s="13">
        <v>1</v>
      </c>
      <c r="O251">
        <v>3</v>
      </c>
      <c r="P251" s="648">
        <f t="shared" si="15"/>
        <v>3</v>
      </c>
      <c r="R251" s="750" t="s">
        <v>2256</v>
      </c>
      <c r="S251">
        <v>17</v>
      </c>
      <c r="T251" s="718">
        <v>0</v>
      </c>
      <c r="U251" s="399">
        <v>5.4</v>
      </c>
      <c r="AC251" s="649" t="s">
        <v>1440</v>
      </c>
      <c r="AE251">
        <v>0</v>
      </c>
      <c r="AF251" t="s">
        <v>2080</v>
      </c>
      <c r="AH251" s="681"/>
      <c r="AY251">
        <v>20</v>
      </c>
      <c r="AZ251">
        <v>7</v>
      </c>
      <c r="BA251" t="s">
        <v>2272</v>
      </c>
    </row>
    <row r="252" spans="1:53">
      <c r="A252">
        <v>17</v>
      </c>
      <c r="B252" s="645" t="s">
        <v>2252</v>
      </c>
      <c r="C252">
        <v>10</v>
      </c>
      <c r="D252">
        <v>8</v>
      </c>
      <c r="E252">
        <v>5</v>
      </c>
      <c r="F252">
        <v>6</v>
      </c>
      <c r="G252">
        <v>6</v>
      </c>
      <c r="H252" s="651">
        <v>7</v>
      </c>
      <c r="I252">
        <v>3</v>
      </c>
      <c r="J252">
        <v>3</v>
      </c>
      <c r="K252">
        <v>2</v>
      </c>
      <c r="L252" s="651">
        <v>4</v>
      </c>
      <c r="M252" s="650">
        <v>4</v>
      </c>
      <c r="O252" s="12"/>
      <c r="P252" s="648">
        <f t="shared" si="15"/>
        <v>5.2727272727272725</v>
      </c>
      <c r="R252" s="750" t="s">
        <v>2312</v>
      </c>
      <c r="S252">
        <v>23</v>
      </c>
      <c r="T252" s="718">
        <v>1</v>
      </c>
      <c r="U252" s="399">
        <v>5.4</v>
      </c>
      <c r="AC252" s="671" t="s">
        <v>2218</v>
      </c>
      <c r="AD252">
        <v>18</v>
      </c>
      <c r="AE252">
        <v>1</v>
      </c>
      <c r="AF252">
        <v>3.3333333333333335</v>
      </c>
      <c r="AH252" s="644"/>
      <c r="AY252">
        <v>20</v>
      </c>
      <c r="AZ252">
        <v>8</v>
      </c>
      <c r="BA252" t="s">
        <v>2276</v>
      </c>
    </row>
    <row r="253" spans="1:53">
      <c r="A253">
        <v>17</v>
      </c>
      <c r="B253" s="645" t="s">
        <v>2253</v>
      </c>
      <c r="C253">
        <v>8</v>
      </c>
      <c r="D253">
        <v>4</v>
      </c>
      <c r="E253">
        <v>3</v>
      </c>
      <c r="F253">
        <v>7</v>
      </c>
      <c r="G253">
        <v>7</v>
      </c>
      <c r="H253">
        <v>5</v>
      </c>
      <c r="I253">
        <v>6</v>
      </c>
      <c r="J253" s="13">
        <v>1</v>
      </c>
      <c r="K253" s="669">
        <v>5</v>
      </c>
      <c r="L253" s="12"/>
      <c r="M253" s="12"/>
      <c r="O253" s="12"/>
      <c r="P253" s="648">
        <f t="shared" si="15"/>
        <v>5.1111111111111107</v>
      </c>
      <c r="R253" s="748" t="s">
        <v>2324</v>
      </c>
      <c r="S253">
        <v>25</v>
      </c>
      <c r="T253" s="718">
        <v>0</v>
      </c>
      <c r="U253" s="399">
        <v>5.4</v>
      </c>
      <c r="AC253" s="645" t="s">
        <v>2229</v>
      </c>
      <c r="AD253">
        <v>18</v>
      </c>
      <c r="AE253">
        <v>2</v>
      </c>
      <c r="AF253">
        <v>3.75</v>
      </c>
      <c r="AH253" s="681"/>
      <c r="AY253">
        <v>20</v>
      </c>
      <c r="AZ253">
        <v>9</v>
      </c>
      <c r="BA253" t="s">
        <v>2272</v>
      </c>
    </row>
    <row r="254" spans="1:53">
      <c r="A254">
        <v>17</v>
      </c>
      <c r="B254" s="645" t="s">
        <v>2254</v>
      </c>
      <c r="C254">
        <v>6</v>
      </c>
      <c r="D254">
        <v>9</v>
      </c>
      <c r="E254">
        <v>2</v>
      </c>
      <c r="F254">
        <v>2</v>
      </c>
      <c r="G254">
        <v>2</v>
      </c>
      <c r="H254">
        <v>6</v>
      </c>
      <c r="I254">
        <v>4</v>
      </c>
      <c r="J254" s="650">
        <v>6</v>
      </c>
      <c r="K254" s="12"/>
      <c r="L254" s="12"/>
      <c r="M254" s="12"/>
      <c r="O254" s="12"/>
      <c r="P254" s="648">
        <f t="shared" si="15"/>
        <v>4.625</v>
      </c>
      <c r="R254" s="748" t="s">
        <v>2335</v>
      </c>
      <c r="S254">
        <v>26</v>
      </c>
      <c r="T254" s="718">
        <v>1</v>
      </c>
      <c r="U254" s="399">
        <v>5.4</v>
      </c>
      <c r="AC254" s="645" t="s">
        <v>2254</v>
      </c>
      <c r="AD254">
        <v>18</v>
      </c>
      <c r="AE254">
        <v>3</v>
      </c>
      <c r="AF254">
        <v>3.25</v>
      </c>
      <c r="AH254" s="681"/>
      <c r="AY254">
        <v>20</v>
      </c>
      <c r="AZ254">
        <v>10</v>
      </c>
      <c r="BA254" t="s">
        <v>2272</v>
      </c>
    </row>
    <row r="255" spans="1:53">
      <c r="A255">
        <v>17</v>
      </c>
      <c r="B255" s="645" t="s">
        <v>2255</v>
      </c>
      <c r="C255">
        <v>7</v>
      </c>
      <c r="D255">
        <v>3</v>
      </c>
      <c r="E255" s="651">
        <v>9</v>
      </c>
      <c r="F255" s="667">
        <v>4</v>
      </c>
      <c r="G255">
        <v>4</v>
      </c>
      <c r="H255">
        <v>3</v>
      </c>
      <c r="I255" s="650">
        <v>7</v>
      </c>
      <c r="J255" s="12"/>
      <c r="K255" s="12"/>
      <c r="L255" s="12"/>
      <c r="M255" s="12"/>
      <c r="O255" s="12"/>
      <c r="P255" s="648">
        <f t="shared" si="15"/>
        <v>5.2857142857142856</v>
      </c>
      <c r="R255" s="748" t="s">
        <v>2403</v>
      </c>
      <c r="S255">
        <v>33</v>
      </c>
      <c r="T255" s="718">
        <v>0</v>
      </c>
      <c r="U255" s="399">
        <v>5.4</v>
      </c>
      <c r="AC255" s="645" t="s">
        <v>2234</v>
      </c>
      <c r="AD255">
        <v>18</v>
      </c>
      <c r="AE255">
        <v>4</v>
      </c>
      <c r="AF255">
        <v>3.4545454545454546</v>
      </c>
      <c r="AH255" s="681"/>
      <c r="AY255">
        <v>20</v>
      </c>
      <c r="AZ255">
        <v>11</v>
      </c>
      <c r="BA255" t="s">
        <v>2272</v>
      </c>
    </row>
    <row r="256" spans="1:53">
      <c r="A256">
        <v>17</v>
      </c>
      <c r="B256" s="644" t="s">
        <v>2256</v>
      </c>
      <c r="C256" s="653">
        <v>5</v>
      </c>
      <c r="D256">
        <v>2</v>
      </c>
      <c r="E256">
        <v>4</v>
      </c>
      <c r="F256">
        <v>8</v>
      </c>
      <c r="G256" s="650">
        <v>8</v>
      </c>
      <c r="H256" s="12"/>
      <c r="I256" s="12"/>
      <c r="J256" s="12"/>
      <c r="K256" s="12"/>
      <c r="L256" s="12"/>
      <c r="M256" s="12"/>
      <c r="O256" s="12"/>
      <c r="P256" s="648">
        <f t="shared" si="15"/>
        <v>5.4</v>
      </c>
      <c r="R256" s="748" t="s">
        <v>2120</v>
      </c>
      <c r="S256">
        <v>4</v>
      </c>
      <c r="T256" s="718">
        <v>1</v>
      </c>
      <c r="U256" s="399">
        <v>5.4285714285714288</v>
      </c>
      <c r="AC256" s="645" t="s">
        <v>2260</v>
      </c>
      <c r="AD256">
        <v>18</v>
      </c>
      <c r="AE256">
        <v>0</v>
      </c>
      <c r="AF256">
        <v>6</v>
      </c>
      <c r="AH256" s="681"/>
      <c r="AY256">
        <v>20</v>
      </c>
      <c r="AZ256" t="s">
        <v>2810</v>
      </c>
      <c r="BA256" t="s">
        <v>2272</v>
      </c>
    </row>
    <row r="257" spans="1:53">
      <c r="A257">
        <v>17</v>
      </c>
      <c r="B257" s="644" t="s">
        <v>2257</v>
      </c>
      <c r="C257" s="653">
        <v>3</v>
      </c>
      <c r="D257">
        <v>6</v>
      </c>
      <c r="E257" s="13">
        <v>1</v>
      </c>
      <c r="F257" s="650">
        <v>9</v>
      </c>
      <c r="G257" s="12"/>
      <c r="H257" s="12"/>
      <c r="I257" s="12"/>
      <c r="J257" s="12"/>
      <c r="K257" s="12"/>
      <c r="L257" s="12"/>
      <c r="M257" s="12"/>
      <c r="O257" s="12"/>
      <c r="P257" s="648">
        <f t="shared" si="15"/>
        <v>4.75</v>
      </c>
      <c r="R257" s="748" t="s">
        <v>2417</v>
      </c>
      <c r="S257">
        <v>34</v>
      </c>
      <c r="T257" s="718">
        <v>0</v>
      </c>
      <c r="U257" s="399">
        <v>5.4285714285714288</v>
      </c>
      <c r="AC257" s="645" t="s">
        <v>2239</v>
      </c>
      <c r="AD257">
        <v>18</v>
      </c>
      <c r="AE257">
        <v>1</v>
      </c>
      <c r="AF257">
        <v>4.5555555555555554</v>
      </c>
      <c r="AH257" s="644"/>
      <c r="AY257">
        <v>21</v>
      </c>
      <c r="AZ257">
        <v>1</v>
      </c>
      <c r="BA257" t="s">
        <v>2287</v>
      </c>
    </row>
    <row r="258" spans="1:53">
      <c r="A258">
        <v>17</v>
      </c>
      <c r="B258" s="644" t="s">
        <v>2258</v>
      </c>
      <c r="C258" s="653">
        <v>9</v>
      </c>
      <c r="D258" s="650">
        <v>10</v>
      </c>
      <c r="E258" s="12"/>
      <c r="F258" s="12"/>
      <c r="G258" s="12"/>
      <c r="H258" s="12"/>
      <c r="I258" s="12"/>
      <c r="J258" s="12"/>
      <c r="K258" s="12"/>
      <c r="L258" s="12"/>
      <c r="M258" s="12"/>
      <c r="O258" s="12"/>
      <c r="P258" s="648">
        <f t="shared" si="15"/>
        <v>9.5</v>
      </c>
      <c r="R258" s="750" t="s">
        <v>2393</v>
      </c>
      <c r="S258">
        <v>32</v>
      </c>
      <c r="T258" s="718">
        <v>0</v>
      </c>
      <c r="U258" s="399">
        <v>5.4444444444444446</v>
      </c>
      <c r="AC258" s="645" t="s">
        <v>2194</v>
      </c>
      <c r="AD258">
        <v>18</v>
      </c>
      <c r="AE258">
        <v>0</v>
      </c>
      <c r="AF258">
        <v>6</v>
      </c>
      <c r="AH258" s="681"/>
      <c r="AY258">
        <v>21</v>
      </c>
      <c r="AZ258">
        <v>2</v>
      </c>
      <c r="BA258" t="s">
        <v>2286</v>
      </c>
    </row>
    <row r="259" spans="1:53">
      <c r="A259">
        <v>17</v>
      </c>
      <c r="B259" s="645" t="s">
        <v>2259</v>
      </c>
      <c r="C259" s="650">
        <v>11</v>
      </c>
      <c r="D259" s="12"/>
      <c r="E259" s="12"/>
      <c r="F259" s="12"/>
      <c r="G259" s="12"/>
      <c r="H259" s="12"/>
      <c r="I259" s="12"/>
      <c r="J259" s="12"/>
      <c r="K259" s="12"/>
      <c r="L259" s="12"/>
      <c r="M259" s="12"/>
      <c r="O259" s="12"/>
      <c r="P259" s="648">
        <f t="shared" si="15"/>
        <v>11</v>
      </c>
      <c r="R259" s="750" t="s">
        <v>2136</v>
      </c>
      <c r="S259">
        <v>5</v>
      </c>
      <c r="T259" s="718">
        <v>1</v>
      </c>
      <c r="U259" s="399">
        <v>5.5</v>
      </c>
      <c r="AC259" s="644" t="s">
        <v>2217</v>
      </c>
      <c r="AD259">
        <v>18</v>
      </c>
      <c r="AE259">
        <v>1</v>
      </c>
      <c r="AF259">
        <v>5.333333333333333</v>
      </c>
      <c r="AH259" s="681"/>
      <c r="AY259">
        <v>21</v>
      </c>
      <c r="AZ259">
        <v>3</v>
      </c>
      <c r="BA259" t="s">
        <v>2287</v>
      </c>
    </row>
    <row r="260" spans="1:53">
      <c r="C260" s="1503"/>
      <c r="D260" s="12"/>
      <c r="E260" s="12"/>
      <c r="F260" s="12"/>
      <c r="G260" s="12"/>
      <c r="H260" s="12"/>
      <c r="I260" s="12"/>
      <c r="J260" s="12"/>
      <c r="K260" s="12"/>
      <c r="L260" s="12"/>
      <c r="M260" s="12"/>
      <c r="O260" s="12"/>
      <c r="P260" s="648"/>
      <c r="R260" s="750" t="s">
        <v>2164</v>
      </c>
      <c r="S260">
        <v>8</v>
      </c>
      <c r="T260" s="718">
        <v>0</v>
      </c>
      <c r="U260" s="399">
        <v>5.5</v>
      </c>
      <c r="AC260" s="644" t="s">
        <v>2216</v>
      </c>
      <c r="AD260">
        <v>18</v>
      </c>
      <c r="AE260">
        <v>0</v>
      </c>
      <c r="AF260">
        <v>7.8</v>
      </c>
      <c r="AH260" s="644"/>
      <c r="AY260">
        <v>21</v>
      </c>
      <c r="AZ260">
        <v>4</v>
      </c>
      <c r="BA260" t="s">
        <v>2288</v>
      </c>
    </row>
    <row r="261" spans="1:53" ht="21">
      <c r="B261" s="1" t="s">
        <v>143</v>
      </c>
      <c r="C261" s="1503"/>
      <c r="D261" s="12"/>
      <c r="E261" s="12"/>
      <c r="F261" s="12"/>
      <c r="G261" s="12"/>
      <c r="H261" s="12"/>
      <c r="I261" s="12"/>
      <c r="J261" s="12"/>
      <c r="K261" s="12"/>
      <c r="L261" s="12"/>
      <c r="M261" s="12"/>
      <c r="O261" s="12"/>
      <c r="P261" s="648"/>
      <c r="R261" s="750" t="s">
        <v>2265</v>
      </c>
      <c r="S261">
        <v>19</v>
      </c>
      <c r="T261" s="718">
        <v>0</v>
      </c>
      <c r="U261" s="399">
        <v>5.5</v>
      </c>
      <c r="AC261" s="644" t="s">
        <v>2220</v>
      </c>
      <c r="AD261">
        <v>18</v>
      </c>
      <c r="AE261">
        <v>0</v>
      </c>
      <c r="AF261">
        <v>8.3333333333333339</v>
      </c>
      <c r="AH261" s="644"/>
      <c r="AY261">
        <v>21</v>
      </c>
      <c r="AZ261">
        <v>5</v>
      </c>
      <c r="BA261" t="s">
        <v>2288</v>
      </c>
    </row>
    <row r="262" spans="1:53" ht="21" customHeight="1">
      <c r="B262" s="649" t="s">
        <v>1440</v>
      </c>
      <c r="C262" s="646" t="s">
        <v>2795</v>
      </c>
      <c r="D262" s="646" t="s">
        <v>2798</v>
      </c>
      <c r="E262" s="646" t="s">
        <v>2799</v>
      </c>
      <c r="F262" s="646" t="s">
        <v>2800</v>
      </c>
      <c r="G262" s="646" t="s">
        <v>2801</v>
      </c>
      <c r="H262" s="646" t="s">
        <v>2802</v>
      </c>
      <c r="I262" s="646" t="s">
        <v>2803</v>
      </c>
      <c r="J262" s="646" t="s">
        <v>2804</v>
      </c>
      <c r="K262" s="646" t="s">
        <v>2805</v>
      </c>
      <c r="L262" s="646" t="s">
        <v>2806</v>
      </c>
      <c r="M262" s="646" t="s">
        <v>2807</v>
      </c>
      <c r="N262" s="646"/>
      <c r="O262" s="646" t="s">
        <v>2810</v>
      </c>
      <c r="P262" s="647" t="s">
        <v>2080</v>
      </c>
      <c r="R262" s="750" t="s">
        <v>2277</v>
      </c>
      <c r="S262">
        <v>20</v>
      </c>
      <c r="T262" s="718">
        <v>0</v>
      </c>
      <c r="U262" s="399">
        <v>5.5</v>
      </c>
      <c r="AC262" s="645" t="s">
        <v>2222</v>
      </c>
      <c r="AD262">
        <v>18</v>
      </c>
      <c r="AE262">
        <v>0</v>
      </c>
      <c r="AF262">
        <v>6.5</v>
      </c>
      <c r="AH262" s="644"/>
      <c r="AY262">
        <v>21</v>
      </c>
      <c r="AZ262">
        <v>6</v>
      </c>
      <c r="BA262" t="s">
        <v>2285</v>
      </c>
    </row>
    <row r="263" spans="1:53">
      <c r="A263">
        <v>18</v>
      </c>
      <c r="B263" s="671" t="s">
        <v>2218</v>
      </c>
      <c r="C263">
        <v>3</v>
      </c>
      <c r="D263">
        <v>4</v>
      </c>
      <c r="E263">
        <v>4</v>
      </c>
      <c r="F263">
        <v>5</v>
      </c>
      <c r="G263">
        <v>4</v>
      </c>
      <c r="H263">
        <v>6</v>
      </c>
      <c r="I263">
        <v>3</v>
      </c>
      <c r="J263">
        <v>4</v>
      </c>
      <c r="K263">
        <v>2</v>
      </c>
      <c r="L263">
        <v>2</v>
      </c>
      <c r="M263">
        <v>2</v>
      </c>
      <c r="O263" s="699">
        <v>1</v>
      </c>
      <c r="P263" s="648">
        <f t="shared" ref="P263:P273" si="16">AVERAGE(C263:O263)</f>
        <v>3.3333333333333335</v>
      </c>
      <c r="R263" s="748" t="s">
        <v>2278</v>
      </c>
      <c r="S263">
        <v>20</v>
      </c>
      <c r="T263" s="718">
        <v>0</v>
      </c>
      <c r="U263" s="399">
        <v>5.5</v>
      </c>
      <c r="AE263">
        <v>0</v>
      </c>
      <c r="AH263" s="644"/>
      <c r="AY263">
        <v>21</v>
      </c>
      <c r="AZ263">
        <v>7</v>
      </c>
      <c r="BA263" t="s">
        <v>2285</v>
      </c>
    </row>
    <row r="264" spans="1:53" ht="21">
      <c r="A264">
        <v>18</v>
      </c>
      <c r="B264" s="645" t="s">
        <v>2229</v>
      </c>
      <c r="C264">
        <v>5</v>
      </c>
      <c r="D264">
        <v>2</v>
      </c>
      <c r="E264">
        <v>5</v>
      </c>
      <c r="F264">
        <v>6</v>
      </c>
      <c r="G264" s="45">
        <v>6</v>
      </c>
      <c r="H264">
        <v>7</v>
      </c>
      <c r="I264" s="13">
        <v>1</v>
      </c>
      <c r="J264">
        <v>2</v>
      </c>
      <c r="K264" s="35">
        <v>5</v>
      </c>
      <c r="L264" s="13">
        <v>1</v>
      </c>
      <c r="M264">
        <v>3</v>
      </c>
      <c r="O264">
        <v>2</v>
      </c>
      <c r="P264" s="648">
        <f t="shared" si="16"/>
        <v>3.75</v>
      </c>
      <c r="R264" s="750" t="s">
        <v>2418</v>
      </c>
      <c r="S264">
        <v>34</v>
      </c>
      <c r="T264" s="718">
        <v>0</v>
      </c>
      <c r="U264" s="399">
        <v>5.5</v>
      </c>
      <c r="AC264" s="1" t="s">
        <v>144</v>
      </c>
      <c r="AE264">
        <v>0</v>
      </c>
      <c r="AH264" s="644"/>
      <c r="AY264">
        <v>21</v>
      </c>
      <c r="AZ264">
        <v>8</v>
      </c>
      <c r="BA264" t="s">
        <v>2284</v>
      </c>
    </row>
    <row r="265" spans="1:53" ht="18">
      <c r="A265">
        <v>18</v>
      </c>
      <c r="B265" s="645" t="s">
        <v>2254</v>
      </c>
      <c r="C265" s="13">
        <v>1</v>
      </c>
      <c r="D265">
        <v>9</v>
      </c>
      <c r="E265">
        <v>2</v>
      </c>
      <c r="F265">
        <v>3</v>
      </c>
      <c r="G265" s="34">
        <v>2</v>
      </c>
      <c r="H265" s="13">
        <v>1</v>
      </c>
      <c r="I265">
        <v>4</v>
      </c>
      <c r="J265" s="651">
        <v>6</v>
      </c>
      <c r="K265">
        <v>4</v>
      </c>
      <c r="L265">
        <v>3</v>
      </c>
      <c r="M265" s="13">
        <v>1</v>
      </c>
      <c r="O265">
        <v>3</v>
      </c>
      <c r="P265" s="648">
        <f t="shared" si="16"/>
        <v>3.25</v>
      </c>
      <c r="R265" s="748" t="s">
        <v>2441</v>
      </c>
      <c r="S265">
        <v>36</v>
      </c>
      <c r="T265" s="718">
        <v>0</v>
      </c>
      <c r="U265" s="399">
        <v>5.5555555555555554</v>
      </c>
      <c r="AC265" s="649" t="s">
        <v>1440</v>
      </c>
      <c r="AE265">
        <v>0</v>
      </c>
      <c r="AF265" t="s">
        <v>2080</v>
      </c>
      <c r="AH265" s="681"/>
      <c r="AY265">
        <v>21</v>
      </c>
      <c r="AZ265">
        <v>9</v>
      </c>
      <c r="BA265" t="s">
        <v>2286</v>
      </c>
    </row>
    <row r="266" spans="1:53">
      <c r="A266">
        <v>18</v>
      </c>
      <c r="B266" s="645" t="s">
        <v>2234</v>
      </c>
      <c r="C266">
        <v>4</v>
      </c>
      <c r="D266" s="13">
        <v>1</v>
      </c>
      <c r="E266" s="13">
        <v>1</v>
      </c>
      <c r="F266">
        <v>8</v>
      </c>
      <c r="G266">
        <v>8</v>
      </c>
      <c r="H266">
        <v>4</v>
      </c>
      <c r="I266">
        <v>2</v>
      </c>
      <c r="J266" s="13">
        <v>1</v>
      </c>
      <c r="K266" s="13">
        <v>1</v>
      </c>
      <c r="L266">
        <v>4</v>
      </c>
      <c r="M266" s="650">
        <v>4</v>
      </c>
      <c r="O266" s="12"/>
      <c r="P266" s="648">
        <f t="shared" si="16"/>
        <v>3.4545454545454546</v>
      </c>
      <c r="R266" s="750" t="s">
        <v>2345</v>
      </c>
      <c r="S266">
        <v>27</v>
      </c>
      <c r="T266" s="718">
        <v>0</v>
      </c>
      <c r="U266" s="399">
        <v>5.5714285714285712</v>
      </c>
      <c r="AC266" s="671" t="s">
        <v>2261</v>
      </c>
      <c r="AD266">
        <v>19</v>
      </c>
      <c r="AE266">
        <v>3</v>
      </c>
      <c r="AF266">
        <v>2.8333333333333335</v>
      </c>
      <c r="AH266" s="681"/>
      <c r="AY266">
        <v>21</v>
      </c>
      <c r="AZ266">
        <v>10</v>
      </c>
      <c r="BA266" t="s">
        <v>2285</v>
      </c>
    </row>
    <row r="267" spans="1:53">
      <c r="A267">
        <v>18</v>
      </c>
      <c r="B267" s="645" t="s">
        <v>2260</v>
      </c>
      <c r="C267">
        <v>10</v>
      </c>
      <c r="D267">
        <v>7</v>
      </c>
      <c r="E267">
        <v>7</v>
      </c>
      <c r="F267" s="651">
        <v>9</v>
      </c>
      <c r="G267" s="35">
        <v>5</v>
      </c>
      <c r="H267">
        <v>5</v>
      </c>
      <c r="I267">
        <v>6</v>
      </c>
      <c r="J267">
        <v>3</v>
      </c>
      <c r="K267">
        <v>3</v>
      </c>
      <c r="L267" s="650">
        <v>5</v>
      </c>
      <c r="M267" s="12"/>
      <c r="O267" s="12"/>
      <c r="P267" s="648">
        <f t="shared" si="16"/>
        <v>6</v>
      </c>
      <c r="R267" s="748" t="s">
        <v>2351</v>
      </c>
      <c r="S267">
        <v>28</v>
      </c>
      <c r="T267" s="718">
        <v>0</v>
      </c>
      <c r="U267" s="399">
        <v>5.583333333333333</v>
      </c>
      <c r="AC267" s="645" t="s">
        <v>2262</v>
      </c>
      <c r="AD267">
        <v>19</v>
      </c>
      <c r="AE267">
        <v>1</v>
      </c>
      <c r="AF267">
        <v>3.5833333333333335</v>
      </c>
      <c r="AH267" s="681"/>
      <c r="AY267">
        <v>21</v>
      </c>
      <c r="AZ267">
        <v>11</v>
      </c>
      <c r="BA267" t="s">
        <v>2284</v>
      </c>
    </row>
    <row r="268" spans="1:53">
      <c r="A268">
        <v>18</v>
      </c>
      <c r="B268" s="645" t="s">
        <v>2239</v>
      </c>
      <c r="C268" s="651">
        <v>11</v>
      </c>
      <c r="D268">
        <v>3</v>
      </c>
      <c r="E268">
        <v>6</v>
      </c>
      <c r="F268">
        <v>2</v>
      </c>
      <c r="G268" s="13">
        <v>1</v>
      </c>
      <c r="H268">
        <v>2</v>
      </c>
      <c r="I268">
        <v>5</v>
      </c>
      <c r="J268">
        <v>5</v>
      </c>
      <c r="K268" s="669">
        <v>6</v>
      </c>
      <c r="L268" s="12"/>
      <c r="M268" s="12"/>
      <c r="O268" s="1490">
        <v>0</v>
      </c>
      <c r="P268" s="648">
        <f t="shared" si="16"/>
        <v>4.0999999999999996</v>
      </c>
      <c r="R268" s="750" t="s">
        <v>2377</v>
      </c>
      <c r="S268">
        <v>30</v>
      </c>
      <c r="T268" s="718">
        <v>0</v>
      </c>
      <c r="U268" s="399">
        <v>5.625</v>
      </c>
      <c r="AC268" s="645" t="s">
        <v>2263</v>
      </c>
      <c r="AD268">
        <v>19</v>
      </c>
      <c r="AE268">
        <v>2</v>
      </c>
      <c r="AF268">
        <v>4.416666666666667</v>
      </c>
      <c r="AH268" s="681"/>
      <c r="AY268">
        <v>21</v>
      </c>
      <c r="AZ268" t="s">
        <v>2810</v>
      </c>
      <c r="BA268" t="s">
        <v>2283</v>
      </c>
    </row>
    <row r="269" spans="1:53">
      <c r="A269">
        <v>18</v>
      </c>
      <c r="B269" s="645" t="s">
        <v>2194</v>
      </c>
      <c r="C269">
        <v>8</v>
      </c>
      <c r="D269">
        <v>10</v>
      </c>
      <c r="E269">
        <v>3</v>
      </c>
      <c r="F269" s="667">
        <v>4</v>
      </c>
      <c r="G269">
        <v>7</v>
      </c>
      <c r="H269">
        <v>3</v>
      </c>
      <c r="I269" s="650">
        <v>7</v>
      </c>
      <c r="J269" s="12"/>
      <c r="K269" s="12"/>
      <c r="L269" s="1490">
        <v>0</v>
      </c>
      <c r="M269" s="12"/>
      <c r="O269" s="12"/>
      <c r="P269" s="648">
        <f t="shared" si="16"/>
        <v>5.25</v>
      </c>
      <c r="R269" s="748" t="s">
        <v>2244</v>
      </c>
      <c r="S269">
        <v>16</v>
      </c>
      <c r="T269" s="718">
        <v>1</v>
      </c>
      <c r="U269" s="399">
        <v>5.666666666666667</v>
      </c>
      <c r="AC269" s="645" t="s">
        <v>2264</v>
      </c>
      <c r="AD269">
        <v>19</v>
      </c>
      <c r="AE269">
        <v>6</v>
      </c>
      <c r="AF269">
        <v>2.6363636363636362</v>
      </c>
      <c r="AH269" s="681"/>
      <c r="AY269">
        <v>22</v>
      </c>
      <c r="AZ269">
        <v>1</v>
      </c>
      <c r="BA269" t="s">
        <v>2302</v>
      </c>
    </row>
    <row r="270" spans="1:53">
      <c r="A270">
        <v>18</v>
      </c>
      <c r="B270" s="644" t="s">
        <v>2217</v>
      </c>
      <c r="C270" s="653">
        <v>7</v>
      </c>
      <c r="D270">
        <v>5</v>
      </c>
      <c r="E270">
        <v>8</v>
      </c>
      <c r="F270" s="13">
        <v>1</v>
      </c>
      <c r="G270">
        <v>3</v>
      </c>
      <c r="H270" s="650">
        <v>8</v>
      </c>
      <c r="I270" s="12"/>
      <c r="J270" s="12"/>
      <c r="K270" s="1490">
        <v>0</v>
      </c>
      <c r="L270" s="12"/>
      <c r="M270" s="12"/>
      <c r="O270" s="12"/>
      <c r="P270" s="648">
        <f t="shared" si="16"/>
        <v>4.5714285714285712</v>
      </c>
      <c r="R270" s="748" t="s">
        <v>2395</v>
      </c>
      <c r="S270">
        <v>32</v>
      </c>
      <c r="T270" s="718">
        <v>0</v>
      </c>
      <c r="U270" s="399">
        <v>5.7142857142857144</v>
      </c>
      <c r="AC270" s="645" t="s">
        <v>2265</v>
      </c>
      <c r="AD270">
        <v>19</v>
      </c>
      <c r="AE270">
        <v>0</v>
      </c>
      <c r="AF270">
        <v>5.5</v>
      </c>
      <c r="AH270" s="644"/>
      <c r="AY270">
        <v>22</v>
      </c>
      <c r="AZ270">
        <v>2</v>
      </c>
      <c r="BA270" t="s">
        <v>2294</v>
      </c>
    </row>
    <row r="271" spans="1:53">
      <c r="A271">
        <v>18</v>
      </c>
      <c r="B271" s="644" t="s">
        <v>2216</v>
      </c>
      <c r="C271" s="653">
        <v>6</v>
      </c>
      <c r="D271">
        <v>8</v>
      </c>
      <c r="E271">
        <v>9</v>
      </c>
      <c r="F271">
        <v>7</v>
      </c>
      <c r="G271" s="672">
        <v>9</v>
      </c>
      <c r="H271" s="12"/>
      <c r="I271" s="12"/>
      <c r="J271" s="1490">
        <v>0</v>
      </c>
      <c r="K271" s="12"/>
      <c r="L271" s="12"/>
      <c r="M271" s="12"/>
      <c r="O271" s="12"/>
      <c r="P271" s="648">
        <f t="shared" si="16"/>
        <v>6.5</v>
      </c>
      <c r="R271" s="748" t="s">
        <v>2111</v>
      </c>
      <c r="S271">
        <v>3</v>
      </c>
      <c r="T271" s="718">
        <v>0</v>
      </c>
      <c r="U271" s="399">
        <v>5.75</v>
      </c>
      <c r="AC271" s="645" t="s">
        <v>2266</v>
      </c>
      <c r="AD271">
        <v>19</v>
      </c>
      <c r="AE271">
        <v>0</v>
      </c>
      <c r="AF271">
        <v>4.375</v>
      </c>
      <c r="AH271" s="681"/>
      <c r="AY271">
        <v>22</v>
      </c>
      <c r="AZ271">
        <v>3</v>
      </c>
      <c r="BA271" t="s">
        <v>2301</v>
      </c>
    </row>
    <row r="272" spans="1:53">
      <c r="A272">
        <v>18</v>
      </c>
      <c r="B272" s="644" t="s">
        <v>2220</v>
      </c>
      <c r="C272" s="653">
        <v>9</v>
      </c>
      <c r="D272">
        <v>6</v>
      </c>
      <c r="E272" s="650">
        <v>10</v>
      </c>
      <c r="F272" s="12"/>
      <c r="G272" s="12"/>
      <c r="H272" s="1490">
        <v>0</v>
      </c>
      <c r="I272" s="12"/>
      <c r="J272" s="12"/>
      <c r="K272" s="12"/>
      <c r="L272" s="12"/>
      <c r="M272" s="12"/>
      <c r="O272" s="12"/>
      <c r="P272" s="648">
        <f t="shared" si="16"/>
        <v>6.25</v>
      </c>
      <c r="R272" s="748" t="s">
        <v>2434</v>
      </c>
      <c r="S272">
        <v>35</v>
      </c>
      <c r="T272" s="718">
        <v>2</v>
      </c>
      <c r="U272" s="399">
        <v>5.75</v>
      </c>
      <c r="AC272" s="645" t="s">
        <v>2267</v>
      </c>
      <c r="AD272">
        <v>19</v>
      </c>
      <c r="AE272">
        <v>0</v>
      </c>
      <c r="AF272">
        <v>4.2857142857142856</v>
      </c>
      <c r="AH272" s="644"/>
      <c r="AY272">
        <v>22</v>
      </c>
      <c r="AZ272">
        <v>4</v>
      </c>
      <c r="BA272" t="s">
        <v>2301</v>
      </c>
    </row>
    <row r="273" spans="1:53">
      <c r="A273">
        <v>18</v>
      </c>
      <c r="B273" s="645" t="s">
        <v>2222</v>
      </c>
      <c r="C273">
        <v>2</v>
      </c>
      <c r="D273" s="669">
        <v>11</v>
      </c>
      <c r="E273" s="12"/>
      <c r="F273" s="12"/>
      <c r="G273" s="12"/>
      <c r="H273" s="12"/>
      <c r="I273" s="12"/>
      <c r="J273" s="12"/>
      <c r="K273" s="12"/>
      <c r="L273" s="12"/>
      <c r="M273" s="12"/>
      <c r="O273" s="12"/>
      <c r="P273" s="648">
        <f t="shared" si="16"/>
        <v>6.5</v>
      </c>
      <c r="R273" s="750" t="s">
        <v>2085</v>
      </c>
      <c r="S273">
        <v>1</v>
      </c>
      <c r="T273" s="718">
        <v>0</v>
      </c>
      <c r="U273" s="399">
        <v>5.7777777777777777</v>
      </c>
      <c r="AC273" s="644" t="s">
        <v>2268</v>
      </c>
      <c r="AD273">
        <v>19</v>
      </c>
      <c r="AE273">
        <v>0</v>
      </c>
      <c r="AF273">
        <v>7.8</v>
      </c>
      <c r="AH273" s="681"/>
      <c r="AY273">
        <v>22</v>
      </c>
      <c r="AZ273">
        <v>5</v>
      </c>
      <c r="BA273" t="s">
        <v>2300</v>
      </c>
    </row>
    <row r="274" spans="1:53">
      <c r="C274" s="12"/>
      <c r="D274" s="12"/>
      <c r="E274" s="12"/>
      <c r="F274" s="12"/>
      <c r="G274" s="12"/>
      <c r="H274" s="12"/>
      <c r="I274" s="12"/>
      <c r="J274" s="12"/>
      <c r="K274" s="12"/>
      <c r="L274" s="12"/>
      <c r="M274" s="12"/>
      <c r="O274" s="12"/>
      <c r="P274" s="648"/>
      <c r="R274" s="750" t="s">
        <v>2415</v>
      </c>
      <c r="S274">
        <v>34</v>
      </c>
      <c r="T274" s="718">
        <v>0</v>
      </c>
      <c r="U274" s="399">
        <v>5.7777777777777777</v>
      </c>
      <c r="AC274" s="644" t="s">
        <v>2269</v>
      </c>
      <c r="AD274">
        <v>19</v>
      </c>
      <c r="AE274">
        <v>0</v>
      </c>
      <c r="AF274">
        <v>7</v>
      </c>
      <c r="AH274" s="644"/>
      <c r="AY274">
        <v>22</v>
      </c>
      <c r="AZ274">
        <v>6</v>
      </c>
      <c r="BA274" t="s">
        <v>2294</v>
      </c>
    </row>
    <row r="275" spans="1:53" ht="21">
      <c r="B275" s="1" t="s">
        <v>144</v>
      </c>
      <c r="C275" s="12"/>
      <c r="D275" s="12"/>
      <c r="E275" s="12"/>
      <c r="F275" s="12"/>
      <c r="G275" s="12"/>
      <c r="H275" s="12"/>
      <c r="I275" s="12"/>
      <c r="J275" s="12"/>
      <c r="K275" s="12"/>
      <c r="L275" s="12"/>
      <c r="M275" s="12"/>
      <c r="O275" s="12"/>
      <c r="P275" s="648"/>
      <c r="R275" s="748" t="s">
        <v>2098</v>
      </c>
      <c r="S275">
        <v>2</v>
      </c>
      <c r="T275" s="718">
        <v>0</v>
      </c>
      <c r="U275" s="399">
        <v>5.8</v>
      </c>
      <c r="AC275" s="644" t="s">
        <v>2270</v>
      </c>
      <c r="AD275">
        <v>19</v>
      </c>
      <c r="AE275">
        <v>0</v>
      </c>
      <c r="AF275">
        <v>7</v>
      </c>
      <c r="AH275" s="681"/>
      <c r="AY275">
        <v>22</v>
      </c>
      <c r="AZ275">
        <v>7</v>
      </c>
      <c r="BA275" t="s">
        <v>2294</v>
      </c>
    </row>
    <row r="276" spans="1:53" ht="21" customHeight="1">
      <c r="B276" s="649" t="s">
        <v>1440</v>
      </c>
      <c r="C276" s="646" t="s">
        <v>2795</v>
      </c>
      <c r="D276" s="646" t="s">
        <v>2798</v>
      </c>
      <c r="E276" s="646" t="s">
        <v>2799</v>
      </c>
      <c r="F276" s="646" t="s">
        <v>2800</v>
      </c>
      <c r="G276" s="646" t="s">
        <v>2801</v>
      </c>
      <c r="H276" s="646" t="s">
        <v>2802</v>
      </c>
      <c r="I276" s="646" t="s">
        <v>2803</v>
      </c>
      <c r="J276" s="646" t="s">
        <v>2804</v>
      </c>
      <c r="K276" s="646" t="s">
        <v>2805</v>
      </c>
      <c r="L276" s="646" t="s">
        <v>2806</v>
      </c>
      <c r="M276" s="646" t="s">
        <v>2807</v>
      </c>
      <c r="N276" s="646"/>
      <c r="O276" s="646" t="s">
        <v>2810</v>
      </c>
      <c r="P276" s="647" t="s">
        <v>2080</v>
      </c>
      <c r="R276" s="748" t="s">
        <v>2110</v>
      </c>
      <c r="S276">
        <v>3</v>
      </c>
      <c r="T276" s="718">
        <v>0</v>
      </c>
      <c r="U276" s="399">
        <v>5.8</v>
      </c>
      <c r="AC276" s="645" t="s">
        <v>2271</v>
      </c>
      <c r="AD276">
        <v>19</v>
      </c>
      <c r="AE276">
        <v>0</v>
      </c>
      <c r="AF276">
        <v>9.5</v>
      </c>
      <c r="AH276" s="644"/>
      <c r="AY276">
        <v>22</v>
      </c>
      <c r="AZ276">
        <v>8</v>
      </c>
      <c r="BA276" t="s">
        <v>2294</v>
      </c>
    </row>
    <row r="277" spans="1:53">
      <c r="A277">
        <v>19</v>
      </c>
      <c r="B277" s="671" t="s">
        <v>2261</v>
      </c>
      <c r="C277" s="13">
        <v>1</v>
      </c>
      <c r="D277">
        <v>4</v>
      </c>
      <c r="E277">
        <v>5</v>
      </c>
      <c r="F277">
        <v>5</v>
      </c>
      <c r="G277">
        <v>3</v>
      </c>
      <c r="H277">
        <v>5</v>
      </c>
      <c r="I277" s="8">
        <v>2</v>
      </c>
      <c r="J277" s="654">
        <v>1</v>
      </c>
      <c r="K277">
        <v>2</v>
      </c>
      <c r="L277">
        <v>3</v>
      </c>
      <c r="M277">
        <v>2</v>
      </c>
      <c r="O277" s="699">
        <v>1</v>
      </c>
      <c r="P277" s="648">
        <f t="shared" ref="P277:P287" si="17">AVERAGE(C277:O277)</f>
        <v>2.8333333333333335</v>
      </c>
      <c r="R277" s="748" t="s">
        <v>2131</v>
      </c>
      <c r="S277">
        <v>5</v>
      </c>
      <c r="T277" s="718">
        <v>0</v>
      </c>
      <c r="U277" s="399">
        <v>5.8</v>
      </c>
      <c r="AE277">
        <v>0</v>
      </c>
      <c r="AH277" s="644"/>
      <c r="AY277">
        <v>22</v>
      </c>
      <c r="AZ277">
        <v>9</v>
      </c>
      <c r="BA277" t="s">
        <v>2295</v>
      </c>
    </row>
    <row r="278" spans="1:53" ht="21">
      <c r="A278">
        <v>19</v>
      </c>
      <c r="B278" s="645" t="s">
        <v>2262</v>
      </c>
      <c r="C278">
        <v>2</v>
      </c>
      <c r="D278">
        <v>6</v>
      </c>
      <c r="E278">
        <v>3</v>
      </c>
      <c r="F278">
        <v>3</v>
      </c>
      <c r="G278">
        <v>7</v>
      </c>
      <c r="H278">
        <v>3</v>
      </c>
      <c r="I278">
        <v>6</v>
      </c>
      <c r="J278">
        <v>5</v>
      </c>
      <c r="K278">
        <v>3</v>
      </c>
      <c r="L278">
        <v>2</v>
      </c>
      <c r="M278" s="13">
        <v>1</v>
      </c>
      <c r="O278">
        <v>2</v>
      </c>
      <c r="P278" s="648">
        <f t="shared" si="17"/>
        <v>3.5833333333333335</v>
      </c>
      <c r="R278" s="750" t="s">
        <v>2199</v>
      </c>
      <c r="S278">
        <v>12</v>
      </c>
      <c r="T278" s="718">
        <v>0</v>
      </c>
      <c r="U278" s="399">
        <v>5.8</v>
      </c>
      <c r="AC278" s="1" t="s">
        <v>145</v>
      </c>
      <c r="AE278">
        <v>0</v>
      </c>
      <c r="AH278" s="644"/>
      <c r="AY278">
        <v>22</v>
      </c>
      <c r="AZ278">
        <v>10</v>
      </c>
      <c r="BA278" t="s">
        <v>2295</v>
      </c>
    </row>
    <row r="279" spans="1:53" ht="18">
      <c r="A279">
        <v>19</v>
      </c>
      <c r="B279" s="645" t="s">
        <v>2263</v>
      </c>
      <c r="C279">
        <v>5</v>
      </c>
      <c r="D279">
        <v>9</v>
      </c>
      <c r="E279">
        <v>6</v>
      </c>
      <c r="F279">
        <v>6</v>
      </c>
      <c r="G279" s="13">
        <v>1</v>
      </c>
      <c r="H279" s="651">
        <v>7</v>
      </c>
      <c r="I279">
        <v>4</v>
      </c>
      <c r="J279">
        <v>4</v>
      </c>
      <c r="K279" s="13">
        <v>1</v>
      </c>
      <c r="L279">
        <v>4</v>
      </c>
      <c r="M279">
        <v>3</v>
      </c>
      <c r="O279">
        <v>3</v>
      </c>
      <c r="P279" s="648">
        <f t="shared" si="17"/>
        <v>4.416666666666667</v>
      </c>
      <c r="R279" s="750" t="s">
        <v>2346</v>
      </c>
      <c r="S279">
        <v>27</v>
      </c>
      <c r="T279" s="718">
        <v>0</v>
      </c>
      <c r="U279" s="399">
        <v>5.8</v>
      </c>
      <c r="AC279" s="649" t="s">
        <v>1440</v>
      </c>
      <c r="AE279">
        <v>0</v>
      </c>
      <c r="AF279" t="s">
        <v>2080</v>
      </c>
      <c r="AH279" s="644"/>
      <c r="AY279">
        <v>22</v>
      </c>
      <c r="AZ279">
        <v>11</v>
      </c>
      <c r="BA279" t="s">
        <v>2295</v>
      </c>
    </row>
    <row r="280" spans="1:53">
      <c r="A280">
        <v>19</v>
      </c>
      <c r="B280" s="645" t="s">
        <v>2264</v>
      </c>
      <c r="C280">
        <v>7</v>
      </c>
      <c r="D280" s="13">
        <v>1</v>
      </c>
      <c r="E280" s="13">
        <v>1</v>
      </c>
      <c r="F280" s="13">
        <v>1</v>
      </c>
      <c r="G280">
        <v>5</v>
      </c>
      <c r="H280" s="13">
        <v>1</v>
      </c>
      <c r="I280" s="13">
        <v>1</v>
      </c>
      <c r="J280">
        <v>3</v>
      </c>
      <c r="K280">
        <v>4</v>
      </c>
      <c r="L280" s="13">
        <v>1</v>
      </c>
      <c r="M280" s="650">
        <v>4</v>
      </c>
      <c r="O280" s="12"/>
      <c r="P280" s="648">
        <f t="shared" si="17"/>
        <v>2.6363636363636362</v>
      </c>
      <c r="R280" s="748" t="s">
        <v>2419</v>
      </c>
      <c r="S280">
        <v>34</v>
      </c>
      <c r="T280" s="718">
        <v>0</v>
      </c>
      <c r="U280" s="399">
        <v>5.8</v>
      </c>
      <c r="AC280" s="671" t="s">
        <v>2272</v>
      </c>
      <c r="AD280">
        <v>20</v>
      </c>
      <c r="AE280">
        <v>8</v>
      </c>
      <c r="AF280">
        <v>1.8333333333333333</v>
      </c>
      <c r="AH280" s="681"/>
      <c r="AY280">
        <v>22</v>
      </c>
      <c r="AZ280" t="s">
        <v>2810</v>
      </c>
      <c r="BA280" t="s">
        <v>2294</v>
      </c>
    </row>
    <row r="281" spans="1:53">
      <c r="A281">
        <v>19</v>
      </c>
      <c r="B281" s="645" t="s">
        <v>2265</v>
      </c>
      <c r="C281" s="651">
        <v>11</v>
      </c>
      <c r="D281">
        <v>7</v>
      </c>
      <c r="E281">
        <v>7</v>
      </c>
      <c r="F281">
        <v>7</v>
      </c>
      <c r="G281">
        <v>2</v>
      </c>
      <c r="H281">
        <v>6</v>
      </c>
      <c r="I281">
        <v>3</v>
      </c>
      <c r="J281" s="673">
        <v>2</v>
      </c>
      <c r="K281" s="651">
        <v>5</v>
      </c>
      <c r="L281" s="650">
        <v>5</v>
      </c>
      <c r="M281" s="12"/>
      <c r="O281" s="12"/>
      <c r="P281" s="648">
        <f t="shared" si="17"/>
        <v>5.5</v>
      </c>
      <c r="R281" s="748" t="s">
        <v>2144</v>
      </c>
      <c r="S281">
        <v>6</v>
      </c>
      <c r="T281" s="718">
        <v>0</v>
      </c>
      <c r="U281" s="399">
        <v>5.833333333333333</v>
      </c>
      <c r="AC281" s="645" t="s">
        <v>2273</v>
      </c>
      <c r="AD281">
        <v>20</v>
      </c>
      <c r="AE281">
        <v>3</v>
      </c>
      <c r="AF281">
        <v>2.25</v>
      </c>
      <c r="AH281" s="681"/>
      <c r="AY281">
        <v>23</v>
      </c>
      <c r="AZ281">
        <v>1</v>
      </c>
      <c r="BA281" t="s">
        <v>2306</v>
      </c>
    </row>
    <row r="282" spans="1:53">
      <c r="A282">
        <v>19</v>
      </c>
      <c r="B282" s="645" t="s">
        <v>2266</v>
      </c>
      <c r="C282">
        <v>6</v>
      </c>
      <c r="D282">
        <v>2</v>
      </c>
      <c r="E282">
        <v>2</v>
      </c>
      <c r="F282">
        <v>4</v>
      </c>
      <c r="G282">
        <v>6</v>
      </c>
      <c r="H282">
        <v>4</v>
      </c>
      <c r="I282" s="35">
        <v>5</v>
      </c>
      <c r="J282" s="669">
        <v>6</v>
      </c>
      <c r="K282" s="12"/>
      <c r="L282" s="12"/>
      <c r="M282" s="1490">
        <v>0</v>
      </c>
      <c r="O282" s="1490">
        <v>0</v>
      </c>
      <c r="P282" s="648">
        <f t="shared" si="17"/>
        <v>3.5</v>
      </c>
      <c r="R282" s="748" t="s">
        <v>2175</v>
      </c>
      <c r="S282">
        <v>9</v>
      </c>
      <c r="T282" s="718">
        <v>0</v>
      </c>
      <c r="U282" s="399">
        <v>5.833333333333333</v>
      </c>
      <c r="AC282" s="645" t="s">
        <v>2274</v>
      </c>
      <c r="AD282">
        <v>20</v>
      </c>
      <c r="AE282">
        <v>0</v>
      </c>
      <c r="AF282">
        <v>3.4166666666666665</v>
      </c>
      <c r="AH282" s="644"/>
      <c r="AY282">
        <v>23</v>
      </c>
      <c r="AZ282">
        <v>2</v>
      </c>
      <c r="BA282" t="s">
        <v>2313</v>
      </c>
    </row>
    <row r="283" spans="1:53">
      <c r="A283">
        <v>19</v>
      </c>
      <c r="B283" s="645" t="s">
        <v>2267</v>
      </c>
      <c r="C283">
        <v>3</v>
      </c>
      <c r="D283">
        <v>8</v>
      </c>
      <c r="E283">
        <v>4</v>
      </c>
      <c r="F283" s="664">
        <v>2</v>
      </c>
      <c r="G283">
        <v>4</v>
      </c>
      <c r="H283">
        <v>2</v>
      </c>
      <c r="I283" s="650">
        <v>7</v>
      </c>
      <c r="J283" s="12"/>
      <c r="K283" s="12"/>
      <c r="L283" s="1490">
        <v>0</v>
      </c>
      <c r="M283" s="12"/>
      <c r="O283" s="12"/>
      <c r="P283" s="648">
        <f t="shared" si="17"/>
        <v>3.75</v>
      </c>
      <c r="R283" s="748" t="s">
        <v>2108</v>
      </c>
      <c r="S283">
        <v>3</v>
      </c>
      <c r="T283" s="718">
        <v>0</v>
      </c>
      <c r="U283" s="399">
        <v>5.8571428571428568</v>
      </c>
      <c r="AC283" s="645" t="s">
        <v>2275</v>
      </c>
      <c r="AD283">
        <v>20</v>
      </c>
      <c r="AE283">
        <v>0</v>
      </c>
      <c r="AF283">
        <v>4.9090909090909092</v>
      </c>
      <c r="AH283" s="644"/>
      <c r="AY283">
        <v>23</v>
      </c>
      <c r="AZ283">
        <v>3</v>
      </c>
      <c r="BA283" t="s">
        <v>2307</v>
      </c>
    </row>
    <row r="284" spans="1:53">
      <c r="A284">
        <v>19</v>
      </c>
      <c r="B284" s="644" t="s">
        <v>2268</v>
      </c>
      <c r="C284" s="653">
        <v>10</v>
      </c>
      <c r="D284">
        <v>5</v>
      </c>
      <c r="E284">
        <v>8</v>
      </c>
      <c r="F284" s="651">
        <v>8</v>
      </c>
      <c r="G284" s="650">
        <v>8</v>
      </c>
      <c r="H284" s="12"/>
      <c r="I284" s="12"/>
      <c r="J284" s="1490">
        <v>0</v>
      </c>
      <c r="K284" s="1490">
        <v>0</v>
      </c>
      <c r="L284" s="12"/>
      <c r="M284" s="12"/>
      <c r="O284" s="12"/>
      <c r="P284" s="648">
        <f t="shared" si="17"/>
        <v>5.5714285714285712</v>
      </c>
      <c r="R284" s="748" t="s">
        <v>2229</v>
      </c>
      <c r="S284">
        <v>24</v>
      </c>
      <c r="T284" s="718">
        <v>0</v>
      </c>
      <c r="U284" s="399">
        <v>5.875</v>
      </c>
      <c r="AC284" s="645" t="s">
        <v>2276</v>
      </c>
      <c r="AD284">
        <v>20</v>
      </c>
      <c r="AE284">
        <v>1</v>
      </c>
      <c r="AF284">
        <v>4.5999999999999996</v>
      </c>
      <c r="AH284" s="644"/>
      <c r="AY284">
        <v>23</v>
      </c>
      <c r="AZ284">
        <v>4</v>
      </c>
      <c r="BA284" t="s">
        <v>2312</v>
      </c>
    </row>
    <row r="285" spans="1:53">
      <c r="A285">
        <v>19</v>
      </c>
      <c r="B285" s="644" t="s">
        <v>2269</v>
      </c>
      <c r="C285" s="675">
        <v>9</v>
      </c>
      <c r="D285">
        <v>3</v>
      </c>
      <c r="E285" s="650">
        <v>9</v>
      </c>
      <c r="F285" s="1505"/>
      <c r="G285" s="12"/>
      <c r="H285" s="1490">
        <v>0</v>
      </c>
      <c r="I285" s="12"/>
      <c r="J285" s="1490">
        <v>0</v>
      </c>
      <c r="K285" s="12"/>
      <c r="L285" s="1490">
        <v>0</v>
      </c>
      <c r="M285" s="12"/>
      <c r="O285" s="12"/>
      <c r="P285" s="648">
        <f t="shared" si="17"/>
        <v>3.5</v>
      </c>
      <c r="R285" s="750" t="s">
        <v>2404</v>
      </c>
      <c r="S285">
        <v>33</v>
      </c>
      <c r="T285" s="718">
        <v>0</v>
      </c>
      <c r="U285" s="399">
        <v>5.875</v>
      </c>
      <c r="AC285" s="645" t="s">
        <v>2277</v>
      </c>
      <c r="AD285">
        <v>20</v>
      </c>
      <c r="AE285">
        <v>0</v>
      </c>
      <c r="AF285">
        <v>5.5</v>
      </c>
      <c r="AH285" s="681"/>
      <c r="AY285">
        <v>23</v>
      </c>
      <c r="AZ285">
        <v>5</v>
      </c>
      <c r="BA285" t="s">
        <v>2306</v>
      </c>
    </row>
    <row r="286" spans="1:53">
      <c r="A286">
        <v>19</v>
      </c>
      <c r="B286" s="644" t="s">
        <v>2270</v>
      </c>
      <c r="C286" s="653">
        <v>4</v>
      </c>
      <c r="D286" s="650">
        <v>10</v>
      </c>
      <c r="E286" s="12"/>
      <c r="F286" s="1505"/>
      <c r="G286" s="1492"/>
      <c r="H286" s="1490"/>
      <c r="I286" s="12"/>
      <c r="J286" s="12"/>
      <c r="K286" s="12"/>
      <c r="L286" s="12"/>
      <c r="M286" s="12"/>
      <c r="O286" s="12"/>
      <c r="P286" s="648">
        <f t="shared" si="17"/>
        <v>7</v>
      </c>
      <c r="R286" s="750" t="s">
        <v>2562</v>
      </c>
      <c r="S286">
        <v>38</v>
      </c>
      <c r="T286" s="718">
        <v>0</v>
      </c>
      <c r="U286" s="399">
        <v>5.9</v>
      </c>
      <c r="AC286" s="645" t="s">
        <v>2278</v>
      </c>
      <c r="AD286">
        <v>20</v>
      </c>
      <c r="AE286">
        <v>0</v>
      </c>
      <c r="AF286">
        <v>5.5</v>
      </c>
      <c r="AH286" s="681"/>
      <c r="AY286">
        <v>23</v>
      </c>
      <c r="AZ286">
        <v>6</v>
      </c>
      <c r="BA286" t="s">
        <v>2307</v>
      </c>
    </row>
    <row r="287" spans="1:53">
      <c r="A287">
        <v>19</v>
      </c>
      <c r="B287" s="645" t="s">
        <v>2271</v>
      </c>
      <c r="C287">
        <v>8</v>
      </c>
      <c r="D287" s="650">
        <v>11</v>
      </c>
      <c r="E287" s="12"/>
      <c r="F287" s="1505"/>
      <c r="G287" s="12"/>
      <c r="H287" s="12"/>
      <c r="I287" s="12"/>
      <c r="J287" s="12"/>
      <c r="K287" s="12"/>
      <c r="L287" s="1490"/>
      <c r="M287" s="12"/>
      <c r="O287" s="12"/>
      <c r="P287" s="648">
        <f t="shared" si="17"/>
        <v>9.5</v>
      </c>
      <c r="R287" s="750" t="s">
        <v>2125</v>
      </c>
      <c r="S287">
        <v>4</v>
      </c>
      <c r="T287" s="718">
        <v>1</v>
      </c>
      <c r="U287" s="399">
        <v>6</v>
      </c>
      <c r="AC287" s="644" t="s">
        <v>2279</v>
      </c>
      <c r="AD287">
        <v>20</v>
      </c>
      <c r="AE287">
        <v>0</v>
      </c>
      <c r="AF287">
        <v>6.8</v>
      </c>
      <c r="AH287" s="681"/>
      <c r="AY287">
        <v>23</v>
      </c>
      <c r="AZ287">
        <v>7</v>
      </c>
      <c r="BA287" t="s">
        <v>2308</v>
      </c>
    </row>
    <row r="288" spans="1:53">
      <c r="C288" s="12"/>
      <c r="D288" s="12"/>
      <c r="E288" s="12"/>
      <c r="F288" s="1505"/>
      <c r="G288" s="12"/>
      <c r="H288" s="12"/>
      <c r="I288" s="12"/>
      <c r="J288" s="12"/>
      <c r="K288" s="12"/>
      <c r="L288" s="12"/>
      <c r="M288" s="12"/>
      <c r="O288" s="12"/>
      <c r="P288" s="648"/>
      <c r="R288" s="748" t="s">
        <v>2233</v>
      </c>
      <c r="S288">
        <v>15</v>
      </c>
      <c r="T288" s="718">
        <v>0</v>
      </c>
      <c r="U288" s="399">
        <v>6</v>
      </c>
      <c r="AC288" s="644" t="s">
        <v>2280</v>
      </c>
      <c r="AD288">
        <v>20</v>
      </c>
      <c r="AE288">
        <v>0</v>
      </c>
      <c r="AF288">
        <v>8</v>
      </c>
      <c r="AH288" s="644"/>
      <c r="AY288">
        <v>23</v>
      </c>
      <c r="AZ288">
        <v>8</v>
      </c>
      <c r="BA288" t="s">
        <v>2307</v>
      </c>
    </row>
    <row r="289" spans="1:53" ht="21">
      <c r="B289" s="1" t="s">
        <v>145</v>
      </c>
      <c r="C289" s="12"/>
      <c r="D289" s="12"/>
      <c r="E289" s="12"/>
      <c r="F289" s="1505"/>
      <c r="G289" s="12"/>
      <c r="H289" s="12"/>
      <c r="I289" s="12"/>
      <c r="J289" s="12"/>
      <c r="K289" s="12"/>
      <c r="L289" s="1490">
        <v>0</v>
      </c>
      <c r="M289" s="12"/>
      <c r="O289" s="12"/>
      <c r="P289" s="648">
        <f>AVERAGE(C289:O289)</f>
        <v>0</v>
      </c>
      <c r="R289" s="750" t="s">
        <v>2234</v>
      </c>
      <c r="S289">
        <v>15</v>
      </c>
      <c r="T289" s="718">
        <v>0</v>
      </c>
      <c r="U289" s="399">
        <v>6</v>
      </c>
      <c r="AC289" s="644" t="s">
        <v>2281</v>
      </c>
      <c r="AD289">
        <v>20</v>
      </c>
      <c r="AE289">
        <v>0</v>
      </c>
      <c r="AF289">
        <v>9</v>
      </c>
      <c r="AH289" s="644"/>
      <c r="AY289">
        <v>23</v>
      </c>
      <c r="AZ289">
        <v>9</v>
      </c>
      <c r="BA289" t="s">
        <v>2308</v>
      </c>
    </row>
    <row r="290" spans="1:53" ht="21" customHeight="1">
      <c r="B290" s="649" t="s">
        <v>1440</v>
      </c>
      <c r="C290" s="646" t="s">
        <v>2795</v>
      </c>
      <c r="D290" s="646" t="s">
        <v>2798</v>
      </c>
      <c r="E290" s="646" t="s">
        <v>2799</v>
      </c>
      <c r="F290" s="646" t="s">
        <v>2800</v>
      </c>
      <c r="G290" s="646" t="s">
        <v>2801</v>
      </c>
      <c r="H290" s="646" t="s">
        <v>2802</v>
      </c>
      <c r="I290" s="646" t="s">
        <v>2803</v>
      </c>
      <c r="J290" s="646" t="s">
        <v>2804</v>
      </c>
      <c r="K290" s="646" t="s">
        <v>2805</v>
      </c>
      <c r="L290" s="646" t="s">
        <v>2806</v>
      </c>
      <c r="M290" s="646" t="s">
        <v>2807</v>
      </c>
      <c r="N290" s="646"/>
      <c r="O290" s="646" t="s">
        <v>2810</v>
      </c>
      <c r="P290" s="647" t="s">
        <v>2080</v>
      </c>
      <c r="R290" s="750" t="s">
        <v>2260</v>
      </c>
      <c r="S290">
        <v>18</v>
      </c>
      <c r="T290" s="718">
        <v>0</v>
      </c>
      <c r="U290" s="399">
        <v>6</v>
      </c>
      <c r="AC290" s="645" t="s">
        <v>2282</v>
      </c>
      <c r="AD290">
        <v>20</v>
      </c>
      <c r="AE290">
        <v>0</v>
      </c>
      <c r="AF290">
        <v>11</v>
      </c>
      <c r="AH290" s="644"/>
      <c r="AY290">
        <v>23</v>
      </c>
      <c r="AZ290">
        <v>10</v>
      </c>
      <c r="BA290" t="s">
        <v>2305</v>
      </c>
    </row>
    <row r="291" spans="1:53">
      <c r="A291">
        <v>20</v>
      </c>
      <c r="B291" s="671" t="s">
        <v>2272</v>
      </c>
      <c r="C291" s="13">
        <v>1</v>
      </c>
      <c r="D291" s="13">
        <v>1</v>
      </c>
      <c r="E291" s="8">
        <v>6</v>
      </c>
      <c r="F291">
        <v>2</v>
      </c>
      <c r="G291">
        <v>4</v>
      </c>
      <c r="H291" s="676">
        <v>1</v>
      </c>
      <c r="I291" s="13">
        <v>1</v>
      </c>
      <c r="J291">
        <v>2</v>
      </c>
      <c r="K291" s="13">
        <v>1</v>
      </c>
      <c r="L291" s="13">
        <v>1</v>
      </c>
      <c r="M291" s="13">
        <v>1</v>
      </c>
      <c r="O291" s="699">
        <v>1</v>
      </c>
      <c r="P291" s="648">
        <f t="shared" ref="P291:P301" si="18">AVERAGE(C291:O291)</f>
        <v>1.8333333333333333</v>
      </c>
      <c r="R291" s="750" t="s">
        <v>2194</v>
      </c>
      <c r="S291">
        <v>18</v>
      </c>
      <c r="T291" s="718">
        <v>0</v>
      </c>
      <c r="U291" s="399">
        <v>6</v>
      </c>
      <c r="AE291">
        <v>0</v>
      </c>
      <c r="AH291" s="644"/>
      <c r="AY291">
        <v>23</v>
      </c>
      <c r="AZ291">
        <v>11</v>
      </c>
      <c r="BA291" t="s">
        <v>2306</v>
      </c>
    </row>
    <row r="292" spans="1:53" ht="21">
      <c r="A292">
        <v>20</v>
      </c>
      <c r="B292" s="645" t="s">
        <v>2273</v>
      </c>
      <c r="C292">
        <v>3</v>
      </c>
      <c r="D292">
        <v>2</v>
      </c>
      <c r="E292" s="13">
        <v>1</v>
      </c>
      <c r="F292" s="676">
        <v>1</v>
      </c>
      <c r="G292" s="13">
        <v>1</v>
      </c>
      <c r="H292">
        <v>2</v>
      </c>
      <c r="I292">
        <v>3</v>
      </c>
      <c r="J292" s="35">
        <v>3</v>
      </c>
      <c r="K292">
        <v>3</v>
      </c>
      <c r="L292">
        <v>4</v>
      </c>
      <c r="M292">
        <v>2</v>
      </c>
      <c r="O292">
        <v>2</v>
      </c>
      <c r="P292" s="648">
        <f t="shared" si="18"/>
        <v>2.25</v>
      </c>
      <c r="R292" s="750" t="s">
        <v>2289</v>
      </c>
      <c r="S292">
        <v>21</v>
      </c>
      <c r="T292" s="718">
        <v>0</v>
      </c>
      <c r="U292" s="399">
        <v>6</v>
      </c>
      <c r="AC292" s="1" t="s">
        <v>146</v>
      </c>
      <c r="AE292">
        <v>0</v>
      </c>
      <c r="AH292" s="644"/>
      <c r="AY292">
        <v>23</v>
      </c>
      <c r="AZ292" t="s">
        <v>2810</v>
      </c>
      <c r="BA292" t="s">
        <v>2305</v>
      </c>
    </row>
    <row r="293" spans="1:53" ht="18">
      <c r="A293">
        <v>20</v>
      </c>
      <c r="B293" s="645" t="s">
        <v>2274</v>
      </c>
      <c r="C293">
        <v>2</v>
      </c>
      <c r="D293">
        <v>4</v>
      </c>
      <c r="E293">
        <v>2</v>
      </c>
      <c r="F293">
        <v>6</v>
      </c>
      <c r="G293">
        <v>5</v>
      </c>
      <c r="H293">
        <v>4</v>
      </c>
      <c r="I293">
        <v>4</v>
      </c>
      <c r="J293" s="673">
        <v>4</v>
      </c>
      <c r="K293">
        <v>2</v>
      </c>
      <c r="L293">
        <v>2</v>
      </c>
      <c r="M293">
        <v>3</v>
      </c>
      <c r="O293">
        <v>3</v>
      </c>
      <c r="P293" s="648">
        <f t="shared" si="18"/>
        <v>3.4166666666666665</v>
      </c>
      <c r="R293" s="748" t="s">
        <v>2292</v>
      </c>
      <c r="S293">
        <v>21</v>
      </c>
      <c r="T293" s="718">
        <v>0</v>
      </c>
      <c r="U293" s="399">
        <v>6</v>
      </c>
      <c r="AC293" s="649" t="s">
        <v>1440</v>
      </c>
      <c r="AE293">
        <v>0</v>
      </c>
      <c r="AF293" t="s">
        <v>2080</v>
      </c>
      <c r="AH293" s="681"/>
      <c r="AY293">
        <v>24</v>
      </c>
      <c r="AZ293">
        <v>1</v>
      </c>
      <c r="BA293" t="s">
        <v>2239</v>
      </c>
    </row>
    <row r="294" spans="1:53">
      <c r="A294">
        <v>20</v>
      </c>
      <c r="B294" s="645" t="s">
        <v>2275</v>
      </c>
      <c r="C294">
        <v>5</v>
      </c>
      <c r="D294">
        <v>7</v>
      </c>
      <c r="E294">
        <v>8</v>
      </c>
      <c r="F294">
        <v>4</v>
      </c>
      <c r="G294">
        <v>3</v>
      </c>
      <c r="H294">
        <v>6</v>
      </c>
      <c r="I294">
        <v>5</v>
      </c>
      <c r="J294" s="45">
        <v>5</v>
      </c>
      <c r="K294">
        <v>4</v>
      </c>
      <c r="L294">
        <v>3</v>
      </c>
      <c r="M294" s="650">
        <v>4</v>
      </c>
      <c r="O294" s="12"/>
      <c r="P294" s="648">
        <f t="shared" si="18"/>
        <v>4.9090909090909092</v>
      </c>
      <c r="R294" s="748" t="s">
        <v>2309</v>
      </c>
      <c r="S294">
        <v>23</v>
      </c>
      <c r="T294" s="718">
        <v>0</v>
      </c>
      <c r="U294" s="399">
        <v>6.1111111111111107</v>
      </c>
      <c r="AC294" s="677" t="s">
        <v>2283</v>
      </c>
      <c r="AD294">
        <v>21</v>
      </c>
      <c r="AE294">
        <v>1</v>
      </c>
      <c r="AF294">
        <v>4.583333333333333</v>
      </c>
      <c r="AH294" s="681"/>
      <c r="AY294">
        <v>24</v>
      </c>
      <c r="AZ294">
        <v>2</v>
      </c>
      <c r="BA294" t="s">
        <v>2274</v>
      </c>
    </row>
    <row r="295" spans="1:53">
      <c r="A295">
        <v>20</v>
      </c>
      <c r="B295" s="645" t="s">
        <v>2276</v>
      </c>
      <c r="C295">
        <v>9</v>
      </c>
      <c r="D295">
        <v>3</v>
      </c>
      <c r="E295">
        <v>4</v>
      </c>
      <c r="F295" s="651">
        <v>8</v>
      </c>
      <c r="G295">
        <v>6</v>
      </c>
      <c r="H295">
        <v>3</v>
      </c>
      <c r="I295">
        <v>2</v>
      </c>
      <c r="J295" s="13">
        <v>1</v>
      </c>
      <c r="K295" s="651">
        <v>5</v>
      </c>
      <c r="L295" s="650">
        <v>5</v>
      </c>
      <c r="M295" s="12"/>
      <c r="O295" s="12"/>
      <c r="P295" s="648">
        <f t="shared" si="18"/>
        <v>4.5999999999999996</v>
      </c>
      <c r="R295" s="750" t="s">
        <v>2185</v>
      </c>
      <c r="S295">
        <v>10</v>
      </c>
      <c r="T295" s="718">
        <v>1</v>
      </c>
      <c r="U295" s="399">
        <v>6.125</v>
      </c>
      <c r="AC295" s="678" t="s">
        <v>2284</v>
      </c>
      <c r="AD295">
        <v>21</v>
      </c>
      <c r="AE295">
        <v>2</v>
      </c>
      <c r="AF295">
        <v>3.5833333333333335</v>
      </c>
      <c r="AH295" s="681"/>
      <c r="AY295">
        <v>24</v>
      </c>
      <c r="AZ295">
        <v>3</v>
      </c>
      <c r="BA295" t="s">
        <v>2301</v>
      </c>
    </row>
    <row r="296" spans="1:53">
      <c r="A296">
        <v>20</v>
      </c>
      <c r="B296" s="645" t="s">
        <v>2277</v>
      </c>
      <c r="C296">
        <v>4</v>
      </c>
      <c r="D296">
        <v>6</v>
      </c>
      <c r="E296">
        <v>5</v>
      </c>
      <c r="F296">
        <v>5</v>
      </c>
      <c r="G296">
        <v>7</v>
      </c>
      <c r="H296">
        <v>5</v>
      </c>
      <c r="I296" s="651">
        <v>6</v>
      </c>
      <c r="J296" s="650">
        <v>6</v>
      </c>
      <c r="K296" s="12"/>
      <c r="L296" s="12"/>
      <c r="M296" s="1490">
        <v>0</v>
      </c>
      <c r="O296" s="1490">
        <v>0</v>
      </c>
      <c r="P296" s="648">
        <f t="shared" si="18"/>
        <v>4.4000000000000004</v>
      </c>
      <c r="R296" s="750" t="s">
        <v>2299</v>
      </c>
      <c r="S296">
        <v>22</v>
      </c>
      <c r="T296" s="718">
        <v>0</v>
      </c>
      <c r="U296" s="399">
        <v>6.125</v>
      </c>
      <c r="AC296" s="678" t="s">
        <v>2285</v>
      </c>
      <c r="AD296">
        <v>21</v>
      </c>
      <c r="AE296">
        <v>3</v>
      </c>
      <c r="AF296">
        <v>3.1666666666666665</v>
      </c>
      <c r="AH296" s="644"/>
      <c r="AY296">
        <v>24</v>
      </c>
      <c r="AZ296">
        <v>4</v>
      </c>
      <c r="BA296" t="s">
        <v>2239</v>
      </c>
    </row>
    <row r="297" spans="1:53">
      <c r="A297">
        <v>20</v>
      </c>
      <c r="B297" s="645" t="s">
        <v>2278</v>
      </c>
      <c r="C297">
        <v>10</v>
      </c>
      <c r="D297">
        <v>8</v>
      </c>
      <c r="E297">
        <v>3</v>
      </c>
      <c r="F297" s="664">
        <v>3</v>
      </c>
      <c r="G297">
        <v>2</v>
      </c>
      <c r="H297" s="650">
        <v>7</v>
      </c>
      <c r="I297" s="12"/>
      <c r="J297" s="12"/>
      <c r="K297" s="1490">
        <v>0</v>
      </c>
      <c r="L297" s="1490">
        <v>0</v>
      </c>
      <c r="M297" s="12"/>
      <c r="O297" s="12"/>
      <c r="P297" s="648">
        <f t="shared" si="18"/>
        <v>4.125</v>
      </c>
      <c r="R297" s="748" t="s">
        <v>2385</v>
      </c>
      <c r="S297">
        <v>31</v>
      </c>
      <c r="T297" s="718">
        <v>0</v>
      </c>
      <c r="U297" s="399">
        <v>6.125</v>
      </c>
      <c r="AC297" s="678" t="s">
        <v>2286</v>
      </c>
      <c r="AD297">
        <v>21</v>
      </c>
      <c r="AE297">
        <v>2</v>
      </c>
      <c r="AF297">
        <v>3.2727272727272729</v>
      </c>
      <c r="AH297" s="681"/>
      <c r="AY297">
        <v>24</v>
      </c>
      <c r="AZ297">
        <v>5</v>
      </c>
      <c r="BA297" t="s">
        <v>2301</v>
      </c>
    </row>
    <row r="298" spans="1:53">
      <c r="A298">
        <v>20</v>
      </c>
      <c r="B298" s="644" t="s">
        <v>2279</v>
      </c>
      <c r="C298" s="653">
        <v>7</v>
      </c>
      <c r="D298">
        <v>5</v>
      </c>
      <c r="E298">
        <v>7</v>
      </c>
      <c r="F298">
        <v>7</v>
      </c>
      <c r="G298" s="650">
        <v>8</v>
      </c>
      <c r="H298" s="12"/>
      <c r="I298" s="12"/>
      <c r="J298" s="1490">
        <v>0</v>
      </c>
      <c r="K298" s="1490">
        <v>0</v>
      </c>
      <c r="L298" s="12"/>
      <c r="M298" s="12"/>
      <c r="O298" s="12"/>
      <c r="P298" s="648">
        <f t="shared" si="18"/>
        <v>4.8571428571428568</v>
      </c>
      <c r="R298" s="750" t="s">
        <v>2302</v>
      </c>
      <c r="S298">
        <v>24</v>
      </c>
      <c r="T298" s="718">
        <v>0</v>
      </c>
      <c r="U298" s="399">
        <v>6.1428571428571432</v>
      </c>
      <c r="AC298" s="678" t="s">
        <v>2287</v>
      </c>
      <c r="AD298">
        <v>21</v>
      </c>
      <c r="AE298">
        <v>2</v>
      </c>
      <c r="AF298">
        <v>2.7777777777777777</v>
      </c>
      <c r="AH298" s="681"/>
      <c r="AY298">
        <v>24</v>
      </c>
      <c r="AZ298">
        <v>6</v>
      </c>
      <c r="BA298" t="s">
        <v>2308</v>
      </c>
    </row>
    <row r="299" spans="1:53">
      <c r="A299">
        <v>20</v>
      </c>
      <c r="B299" s="644" t="s">
        <v>2280</v>
      </c>
      <c r="C299" s="674">
        <v>6</v>
      </c>
      <c r="D299">
        <v>9</v>
      </c>
      <c r="E299" s="650">
        <v>9</v>
      </c>
      <c r="F299" s="12"/>
      <c r="G299" s="12"/>
      <c r="H299" s="1490">
        <v>0</v>
      </c>
      <c r="I299" s="12"/>
      <c r="J299" s="1490">
        <v>0</v>
      </c>
      <c r="K299" s="12"/>
      <c r="L299" s="1490">
        <v>0</v>
      </c>
      <c r="M299" s="12"/>
      <c r="O299" s="12"/>
      <c r="P299" s="648">
        <f t="shared" si="18"/>
        <v>4</v>
      </c>
      <c r="R299" s="750" t="s">
        <v>2311</v>
      </c>
      <c r="S299">
        <v>23</v>
      </c>
      <c r="T299" s="718">
        <v>0</v>
      </c>
      <c r="U299" s="399">
        <v>6.166666666666667</v>
      </c>
      <c r="AC299" s="678" t="s">
        <v>2288</v>
      </c>
      <c r="AD299">
        <v>21</v>
      </c>
      <c r="AE299">
        <v>2</v>
      </c>
      <c r="AF299">
        <v>4.125</v>
      </c>
      <c r="AH299" s="681"/>
      <c r="AY299">
        <v>24</v>
      </c>
      <c r="AZ299">
        <v>7</v>
      </c>
      <c r="BA299" t="s">
        <v>2274</v>
      </c>
    </row>
    <row r="300" spans="1:53">
      <c r="A300">
        <v>20</v>
      </c>
      <c r="B300" s="644" t="s">
        <v>2281</v>
      </c>
      <c r="C300" s="653">
        <v>8</v>
      </c>
      <c r="D300" s="650">
        <v>10</v>
      </c>
      <c r="E300" s="12"/>
      <c r="F300" s="12"/>
      <c r="G300" s="1492">
        <v>0</v>
      </c>
      <c r="H300" s="1490">
        <v>0</v>
      </c>
      <c r="I300" s="12"/>
      <c r="J300" s="12"/>
      <c r="K300" s="12"/>
      <c r="L300" s="12"/>
      <c r="M300" s="12"/>
      <c r="O300" s="12"/>
      <c r="P300" s="648">
        <f t="shared" si="18"/>
        <v>4.5</v>
      </c>
      <c r="R300" s="750" t="s">
        <v>2122</v>
      </c>
      <c r="S300">
        <v>4</v>
      </c>
      <c r="T300" s="718">
        <v>1</v>
      </c>
      <c r="U300" s="399">
        <v>6.2</v>
      </c>
      <c r="AC300" s="678" t="s">
        <v>2289</v>
      </c>
      <c r="AD300">
        <v>21</v>
      </c>
      <c r="AE300">
        <v>0</v>
      </c>
      <c r="AF300">
        <v>6</v>
      </c>
      <c r="AH300" s="681"/>
      <c r="AY300">
        <v>24</v>
      </c>
      <c r="AZ300">
        <v>8</v>
      </c>
      <c r="BA300" t="s">
        <v>2274</v>
      </c>
    </row>
    <row r="301" spans="1:53">
      <c r="A301">
        <v>20</v>
      </c>
      <c r="B301" s="645" t="s">
        <v>2282</v>
      </c>
      <c r="C301" s="650">
        <v>11</v>
      </c>
      <c r="D301" s="12"/>
      <c r="E301" s="12"/>
      <c r="F301" s="12"/>
      <c r="G301" s="12"/>
      <c r="H301" s="12"/>
      <c r="I301" s="12"/>
      <c r="J301" s="12"/>
      <c r="K301" s="12"/>
      <c r="L301" s="1490">
        <v>0</v>
      </c>
      <c r="M301" s="12"/>
      <c r="O301" s="12"/>
      <c r="P301" s="648">
        <f t="shared" si="18"/>
        <v>5.5</v>
      </c>
      <c r="R301" s="750" t="s">
        <v>2210</v>
      </c>
      <c r="S301">
        <v>13</v>
      </c>
      <c r="T301" s="718">
        <v>0</v>
      </c>
      <c r="U301" s="399">
        <v>6.2</v>
      </c>
      <c r="AC301" s="681" t="s">
        <v>2290</v>
      </c>
      <c r="AD301">
        <v>21</v>
      </c>
      <c r="AE301">
        <v>0</v>
      </c>
      <c r="AF301">
        <v>8.25</v>
      </c>
      <c r="AH301" s="644"/>
      <c r="AY301">
        <v>24</v>
      </c>
      <c r="AZ301">
        <v>9</v>
      </c>
      <c r="BA301" t="s">
        <v>2301</v>
      </c>
    </row>
    <row r="302" spans="1:53">
      <c r="C302" s="1503"/>
      <c r="D302" s="12"/>
      <c r="E302" s="12"/>
      <c r="F302" s="12"/>
      <c r="G302" s="12"/>
      <c r="H302" s="12"/>
      <c r="I302" s="12"/>
      <c r="J302" s="12"/>
      <c r="K302" s="12"/>
      <c r="L302" s="12"/>
      <c r="M302" s="12"/>
      <c r="O302" s="12"/>
      <c r="P302" s="673"/>
      <c r="R302" s="750" t="s">
        <v>2379</v>
      </c>
      <c r="S302">
        <v>30</v>
      </c>
      <c r="T302" s="718">
        <v>0</v>
      </c>
      <c r="U302" s="399">
        <v>6.2</v>
      </c>
      <c r="AC302" s="681" t="s">
        <v>2291</v>
      </c>
      <c r="AD302">
        <v>21</v>
      </c>
      <c r="AE302">
        <v>0</v>
      </c>
      <c r="AF302">
        <v>6.333333333333333</v>
      </c>
      <c r="AH302" s="644"/>
      <c r="AY302">
        <v>24</v>
      </c>
      <c r="AZ302">
        <v>10</v>
      </c>
      <c r="BA302" t="s">
        <v>2301</v>
      </c>
    </row>
    <row r="303" spans="1:53" ht="21">
      <c r="B303" s="1" t="s">
        <v>146</v>
      </c>
      <c r="C303" s="1503"/>
      <c r="D303" s="12"/>
      <c r="E303" s="12"/>
      <c r="F303" s="12"/>
      <c r="G303" s="12"/>
      <c r="H303" s="12"/>
      <c r="I303" s="12"/>
      <c r="J303" s="12"/>
      <c r="K303" s="12"/>
      <c r="L303" s="1490">
        <v>0</v>
      </c>
      <c r="M303" s="12"/>
      <c r="O303" s="12"/>
      <c r="P303" s="673">
        <f>AVERAGE(C303:O303)</f>
        <v>0</v>
      </c>
      <c r="R303" s="748" t="s">
        <v>2429</v>
      </c>
      <c r="S303">
        <v>35</v>
      </c>
      <c r="T303" s="718">
        <v>1</v>
      </c>
      <c r="U303" s="399">
        <v>6.2222222222222223</v>
      </c>
      <c r="AC303" s="681" t="s">
        <v>2292</v>
      </c>
      <c r="AD303">
        <v>21</v>
      </c>
      <c r="AE303">
        <v>0</v>
      </c>
      <c r="AF303">
        <v>6</v>
      </c>
      <c r="AH303" s="681"/>
      <c r="AY303">
        <v>24</v>
      </c>
      <c r="AZ303">
        <v>11</v>
      </c>
      <c r="BA303" t="s">
        <v>2301</v>
      </c>
    </row>
    <row r="304" spans="1:53" ht="21" customHeight="1">
      <c r="B304" s="649" t="s">
        <v>1440</v>
      </c>
      <c r="C304" s="646" t="s">
        <v>2795</v>
      </c>
      <c r="D304" s="646" t="s">
        <v>2798</v>
      </c>
      <c r="E304" s="646" t="s">
        <v>2799</v>
      </c>
      <c r="F304" s="646" t="s">
        <v>2800</v>
      </c>
      <c r="G304" s="646" t="s">
        <v>2801</v>
      </c>
      <c r="H304" s="646" t="s">
        <v>2802</v>
      </c>
      <c r="I304" s="646" t="s">
        <v>2803</v>
      </c>
      <c r="J304" s="646" t="s">
        <v>2804</v>
      </c>
      <c r="K304" s="646" t="s">
        <v>2805</v>
      </c>
      <c r="L304" s="646" t="s">
        <v>2806</v>
      </c>
      <c r="M304" s="646" t="s">
        <v>2807</v>
      </c>
      <c r="N304" s="646"/>
      <c r="O304" s="646" t="s">
        <v>2810</v>
      </c>
      <c r="P304" s="647" t="s">
        <v>2080</v>
      </c>
      <c r="R304" s="748" t="s">
        <v>2177</v>
      </c>
      <c r="S304">
        <v>9</v>
      </c>
      <c r="T304" s="718">
        <v>0</v>
      </c>
      <c r="U304" s="399">
        <v>6.25</v>
      </c>
      <c r="AC304" s="678" t="s">
        <v>2293</v>
      </c>
      <c r="AD304">
        <v>21</v>
      </c>
      <c r="AE304">
        <v>0</v>
      </c>
      <c r="AF304">
        <v>11</v>
      </c>
      <c r="AH304" s="681"/>
      <c r="AY304">
        <v>24</v>
      </c>
      <c r="AZ304" t="s">
        <v>2810</v>
      </c>
      <c r="BA304" t="s">
        <v>2301</v>
      </c>
    </row>
    <row r="305" spans="1:53">
      <c r="A305">
        <v>21</v>
      </c>
      <c r="B305" s="677" t="s">
        <v>2283</v>
      </c>
      <c r="C305" s="37">
        <v>7</v>
      </c>
      <c r="D305" s="37">
        <v>5</v>
      </c>
      <c r="E305" s="37">
        <v>5</v>
      </c>
      <c r="F305" s="37">
        <v>4</v>
      </c>
      <c r="G305" s="683">
        <v>7</v>
      </c>
      <c r="H305" s="37">
        <v>6</v>
      </c>
      <c r="I305" s="37">
        <v>5</v>
      </c>
      <c r="J305" s="37">
        <v>5</v>
      </c>
      <c r="K305" s="37">
        <v>4</v>
      </c>
      <c r="L305" s="37">
        <v>3</v>
      </c>
      <c r="M305" s="37">
        <v>3</v>
      </c>
      <c r="O305" s="699">
        <v>1</v>
      </c>
      <c r="P305" s="682">
        <f t="shared" ref="P305:P315" si="19">AVERAGE(C305:O305)</f>
        <v>4.583333333333333</v>
      </c>
      <c r="R305" s="748" t="s">
        <v>2420</v>
      </c>
      <c r="S305">
        <v>34</v>
      </c>
      <c r="T305" s="718">
        <v>0</v>
      </c>
      <c r="U305" s="399">
        <v>6.25</v>
      </c>
      <c r="AE305">
        <v>0</v>
      </c>
      <c r="AH305" s="644"/>
      <c r="AY305">
        <v>25</v>
      </c>
      <c r="AZ305">
        <v>1</v>
      </c>
      <c r="BA305" t="s">
        <v>2318</v>
      </c>
    </row>
    <row r="306" spans="1:53" ht="21">
      <c r="A306">
        <v>21</v>
      </c>
      <c r="B306" s="678" t="s">
        <v>2284</v>
      </c>
      <c r="C306" s="37">
        <v>10</v>
      </c>
      <c r="D306" s="37">
        <v>3</v>
      </c>
      <c r="E306" s="37">
        <v>3</v>
      </c>
      <c r="F306" s="37">
        <v>6</v>
      </c>
      <c r="G306" s="37">
        <v>6</v>
      </c>
      <c r="H306" s="37">
        <v>5</v>
      </c>
      <c r="I306" s="37">
        <v>2</v>
      </c>
      <c r="J306" s="529">
        <v>1</v>
      </c>
      <c r="K306" s="564">
        <v>2</v>
      </c>
      <c r="L306" s="37">
        <v>2</v>
      </c>
      <c r="M306" s="529">
        <v>1</v>
      </c>
      <c r="O306" s="37">
        <v>2</v>
      </c>
      <c r="P306" s="682">
        <f t="shared" si="19"/>
        <v>3.5833333333333335</v>
      </c>
      <c r="R306" s="748" t="s">
        <v>2430</v>
      </c>
      <c r="S306">
        <v>35</v>
      </c>
      <c r="T306" s="718">
        <v>0</v>
      </c>
      <c r="U306" s="399">
        <v>6.25</v>
      </c>
      <c r="AC306" s="1" t="s">
        <v>147</v>
      </c>
      <c r="AE306">
        <v>0</v>
      </c>
      <c r="AH306" s="681"/>
      <c r="AY306">
        <v>25</v>
      </c>
      <c r="AZ306">
        <v>2</v>
      </c>
      <c r="BA306" t="s">
        <v>2319</v>
      </c>
    </row>
    <row r="307" spans="1:53" ht="18">
      <c r="A307">
        <v>21</v>
      </c>
      <c r="B307" s="678" t="s">
        <v>2285</v>
      </c>
      <c r="C307" s="37">
        <v>9</v>
      </c>
      <c r="D307" s="37">
        <v>2</v>
      </c>
      <c r="E307" s="37">
        <v>2</v>
      </c>
      <c r="F307" s="37">
        <v>7</v>
      </c>
      <c r="G307" s="37">
        <v>5</v>
      </c>
      <c r="H307" s="529">
        <v>1</v>
      </c>
      <c r="I307" s="529">
        <v>1</v>
      </c>
      <c r="J307" s="37">
        <v>2</v>
      </c>
      <c r="K307" s="564">
        <v>3</v>
      </c>
      <c r="L307" s="529">
        <v>1</v>
      </c>
      <c r="M307" s="37">
        <v>2</v>
      </c>
      <c r="O307" s="37">
        <v>3</v>
      </c>
      <c r="P307" s="682">
        <f t="shared" si="19"/>
        <v>3.1666666666666665</v>
      </c>
      <c r="R307" s="748" t="s">
        <v>2291</v>
      </c>
      <c r="S307">
        <v>21</v>
      </c>
      <c r="T307" s="718">
        <v>0</v>
      </c>
      <c r="U307" s="399">
        <v>6.333333333333333</v>
      </c>
      <c r="AC307" s="649" t="s">
        <v>1440</v>
      </c>
      <c r="AE307">
        <v>0</v>
      </c>
      <c r="AF307" t="s">
        <v>2080</v>
      </c>
      <c r="AH307" s="681"/>
      <c r="AY307">
        <v>25</v>
      </c>
      <c r="AZ307">
        <v>3</v>
      </c>
      <c r="BA307" t="s">
        <v>2318</v>
      </c>
    </row>
    <row r="308" spans="1:53">
      <c r="A308">
        <v>21</v>
      </c>
      <c r="B308" s="678" t="s">
        <v>2286</v>
      </c>
      <c r="C308" s="37">
        <v>4</v>
      </c>
      <c r="D308" s="529">
        <v>1</v>
      </c>
      <c r="E308" s="37">
        <v>6</v>
      </c>
      <c r="F308" s="37">
        <v>3</v>
      </c>
      <c r="G308" s="37">
        <v>3</v>
      </c>
      <c r="H308" s="37">
        <v>4</v>
      </c>
      <c r="I308" s="37">
        <v>3</v>
      </c>
      <c r="J308" s="8">
        <v>3</v>
      </c>
      <c r="K308" s="676">
        <v>1</v>
      </c>
      <c r="L308" s="683">
        <v>4</v>
      </c>
      <c r="M308" s="684">
        <v>4</v>
      </c>
      <c r="O308" s="12"/>
      <c r="P308" s="682">
        <f t="shared" si="19"/>
        <v>3.2727272727272729</v>
      </c>
      <c r="R308" s="750" t="s">
        <v>2323</v>
      </c>
      <c r="S308">
        <v>25</v>
      </c>
      <c r="T308" s="718">
        <v>0</v>
      </c>
      <c r="U308" s="399">
        <v>6.333333333333333</v>
      </c>
      <c r="AC308" s="677" t="s">
        <v>2294</v>
      </c>
      <c r="AD308">
        <v>22</v>
      </c>
      <c r="AE308">
        <v>5</v>
      </c>
      <c r="AF308">
        <v>2.4166666666666665</v>
      </c>
      <c r="AH308" s="681"/>
      <c r="AY308">
        <v>25</v>
      </c>
      <c r="AZ308">
        <v>4</v>
      </c>
      <c r="BA308" t="s">
        <v>2321</v>
      </c>
    </row>
    <row r="309" spans="1:53">
      <c r="A309">
        <v>21</v>
      </c>
      <c r="B309" s="678" t="s">
        <v>2287</v>
      </c>
      <c r="C309" s="529">
        <v>1</v>
      </c>
      <c r="D309" s="37">
        <v>4</v>
      </c>
      <c r="E309" s="529">
        <v>1</v>
      </c>
      <c r="F309" s="37">
        <v>2</v>
      </c>
      <c r="G309" s="37">
        <v>2</v>
      </c>
      <c r="H309" s="37">
        <v>2</v>
      </c>
      <c r="I309" s="37">
        <v>4</v>
      </c>
      <c r="J309" s="37">
        <v>4</v>
      </c>
      <c r="K309" s="685">
        <v>5</v>
      </c>
      <c r="L309" s="12"/>
      <c r="M309" s="12"/>
      <c r="O309" s="1490">
        <v>0</v>
      </c>
      <c r="P309" s="682">
        <f t="shared" si="19"/>
        <v>2.5</v>
      </c>
      <c r="R309" s="750" t="s">
        <v>2457</v>
      </c>
      <c r="S309">
        <v>37</v>
      </c>
      <c r="T309" s="718">
        <v>0</v>
      </c>
      <c r="U309" s="399">
        <v>6.333333333333333</v>
      </c>
      <c r="AC309" s="678" t="s">
        <v>2295</v>
      </c>
      <c r="AD309">
        <v>22</v>
      </c>
      <c r="AE309">
        <v>3</v>
      </c>
      <c r="AF309">
        <v>4.25</v>
      </c>
      <c r="AH309" s="681"/>
      <c r="AY309">
        <v>25</v>
      </c>
      <c r="AZ309">
        <v>5</v>
      </c>
      <c r="BA309" t="s">
        <v>2321</v>
      </c>
    </row>
    <row r="310" spans="1:53">
      <c r="A310">
        <v>21</v>
      </c>
      <c r="B310" s="678" t="s">
        <v>2288</v>
      </c>
      <c r="C310" s="37">
        <v>6</v>
      </c>
      <c r="D310" s="37">
        <v>6</v>
      </c>
      <c r="E310" s="37">
        <v>4</v>
      </c>
      <c r="F310" s="676">
        <v>1</v>
      </c>
      <c r="G310" s="529">
        <v>1</v>
      </c>
      <c r="H310" s="37">
        <v>3</v>
      </c>
      <c r="I310" s="683">
        <v>6</v>
      </c>
      <c r="J310" s="684">
        <v>6</v>
      </c>
      <c r="K310" s="12"/>
      <c r="L310" s="12"/>
      <c r="M310" s="1490">
        <v>0</v>
      </c>
      <c r="O310" s="1490">
        <v>0</v>
      </c>
      <c r="P310" s="682">
        <f t="shared" si="19"/>
        <v>3.3</v>
      </c>
      <c r="R310" s="750" t="s">
        <v>2566</v>
      </c>
      <c r="S310">
        <v>38</v>
      </c>
      <c r="T310" s="718">
        <v>0</v>
      </c>
      <c r="U310" s="399">
        <v>6.4</v>
      </c>
      <c r="AC310" s="678" t="s">
        <v>2296</v>
      </c>
      <c r="AD310">
        <v>22</v>
      </c>
      <c r="AE310">
        <v>0</v>
      </c>
      <c r="AF310">
        <v>4.333333333333333</v>
      </c>
      <c r="AH310" s="681"/>
      <c r="AY310">
        <v>25</v>
      </c>
      <c r="AZ310">
        <v>6</v>
      </c>
      <c r="BA310" t="s">
        <v>2318</v>
      </c>
    </row>
    <row r="311" spans="1:53">
      <c r="A311">
        <v>21</v>
      </c>
      <c r="B311" s="678" t="s">
        <v>2289</v>
      </c>
      <c r="C311" s="37">
        <v>5</v>
      </c>
      <c r="D311" s="37">
        <v>8</v>
      </c>
      <c r="E311" s="564">
        <v>7</v>
      </c>
      <c r="F311" s="680">
        <v>5</v>
      </c>
      <c r="G311" s="37">
        <v>4</v>
      </c>
      <c r="H311" s="684">
        <v>7</v>
      </c>
      <c r="I311" s="12"/>
      <c r="J311" s="12"/>
      <c r="K311" s="1490">
        <v>0</v>
      </c>
      <c r="L311" s="1490">
        <v>0</v>
      </c>
      <c r="M311" s="12"/>
      <c r="O311" s="12"/>
      <c r="P311" s="682">
        <f t="shared" si="19"/>
        <v>4.5</v>
      </c>
      <c r="R311" s="748" t="s">
        <v>2086</v>
      </c>
      <c r="S311">
        <v>1</v>
      </c>
      <c r="T311" s="718">
        <v>0</v>
      </c>
      <c r="U311" s="399">
        <v>6.4285714285714288</v>
      </c>
      <c r="AC311" s="678" t="s">
        <v>2297</v>
      </c>
      <c r="AD311">
        <v>22</v>
      </c>
      <c r="AE311">
        <v>0</v>
      </c>
      <c r="AF311">
        <v>4.9090909090909092</v>
      </c>
      <c r="AH311" s="681"/>
      <c r="AY311">
        <v>25</v>
      </c>
      <c r="AZ311">
        <v>7</v>
      </c>
      <c r="BA311" t="s">
        <v>2318</v>
      </c>
    </row>
    <row r="312" spans="1:53">
      <c r="A312">
        <v>21</v>
      </c>
      <c r="B312" s="681" t="s">
        <v>2290</v>
      </c>
      <c r="C312" s="674">
        <v>8</v>
      </c>
      <c r="D312" s="37">
        <v>9</v>
      </c>
      <c r="E312" s="679">
        <v>8</v>
      </c>
      <c r="F312" s="684">
        <v>8</v>
      </c>
      <c r="G312" s="12"/>
      <c r="H312" s="12"/>
      <c r="I312" s="1490">
        <v>0</v>
      </c>
      <c r="J312" s="1490">
        <v>0</v>
      </c>
      <c r="K312" s="1490">
        <v>0</v>
      </c>
      <c r="L312" s="12"/>
      <c r="M312" s="12"/>
      <c r="O312" s="12"/>
      <c r="P312" s="682">
        <f t="shared" si="19"/>
        <v>4.7142857142857144</v>
      </c>
      <c r="R312" s="748" t="s">
        <v>2088</v>
      </c>
      <c r="S312">
        <v>1</v>
      </c>
      <c r="T312" s="718">
        <v>0</v>
      </c>
      <c r="U312" s="399">
        <v>6.5</v>
      </c>
      <c r="AC312" s="678" t="s">
        <v>2298</v>
      </c>
      <c r="AD312">
        <v>22</v>
      </c>
      <c r="AE312">
        <v>0</v>
      </c>
      <c r="AF312">
        <v>4.7</v>
      </c>
      <c r="AH312" s="644"/>
      <c r="AY312">
        <v>25</v>
      </c>
      <c r="AZ312">
        <v>8</v>
      </c>
      <c r="BA312" t="s">
        <v>2319</v>
      </c>
    </row>
    <row r="313" spans="1:53">
      <c r="A313">
        <v>21</v>
      </c>
      <c r="B313" s="681" t="s">
        <v>2291</v>
      </c>
      <c r="C313" s="674">
        <v>3</v>
      </c>
      <c r="D313" s="37">
        <v>7</v>
      </c>
      <c r="E313" s="684">
        <v>9</v>
      </c>
      <c r="F313" s="12"/>
      <c r="G313" s="12"/>
      <c r="H313" s="1490">
        <v>0</v>
      </c>
      <c r="I313" s="12"/>
      <c r="J313" s="1490">
        <v>0</v>
      </c>
      <c r="K313" s="12"/>
      <c r="L313" s="12"/>
      <c r="M313" s="12"/>
      <c r="O313" s="12"/>
      <c r="P313" s="682">
        <f t="shared" si="19"/>
        <v>3.8</v>
      </c>
      <c r="R313" s="748" t="s">
        <v>2156</v>
      </c>
      <c r="S313">
        <v>7</v>
      </c>
      <c r="T313" s="718">
        <v>0</v>
      </c>
      <c r="U313" s="399">
        <v>6.5</v>
      </c>
      <c r="AC313" s="678" t="s">
        <v>2299</v>
      </c>
      <c r="AD313">
        <v>22</v>
      </c>
      <c r="AE313">
        <v>0</v>
      </c>
      <c r="AF313">
        <v>6.125</v>
      </c>
      <c r="AH313" s="644"/>
      <c r="AY313">
        <v>25</v>
      </c>
      <c r="AZ313">
        <v>9</v>
      </c>
      <c r="BA313" t="s">
        <v>2319</v>
      </c>
    </row>
    <row r="314" spans="1:53">
      <c r="A314">
        <v>21</v>
      </c>
      <c r="B314" s="681" t="s">
        <v>2292</v>
      </c>
      <c r="C314" s="674">
        <v>2</v>
      </c>
      <c r="D314" s="684">
        <v>10</v>
      </c>
      <c r="E314" s="12"/>
      <c r="F314" s="12"/>
      <c r="G314" s="1492">
        <v>0</v>
      </c>
      <c r="H314" s="1490">
        <v>0</v>
      </c>
      <c r="I314" s="12"/>
      <c r="J314" s="12"/>
      <c r="K314" s="12"/>
      <c r="L314" s="12"/>
      <c r="M314" s="12"/>
      <c r="O314" s="12"/>
      <c r="P314" s="682">
        <f t="shared" si="19"/>
        <v>3</v>
      </c>
      <c r="R314" s="748" t="s">
        <v>2167</v>
      </c>
      <c r="S314">
        <v>8</v>
      </c>
      <c r="T314" s="718">
        <v>0</v>
      </c>
      <c r="U314" s="399">
        <v>6.5</v>
      </c>
      <c r="AC314" s="678" t="s">
        <v>2300</v>
      </c>
      <c r="AD314">
        <v>22</v>
      </c>
      <c r="AE314">
        <v>1</v>
      </c>
      <c r="AF314">
        <v>4.1428571428571432</v>
      </c>
      <c r="AH314" s="644"/>
      <c r="AY314">
        <v>25</v>
      </c>
      <c r="AZ314">
        <v>10</v>
      </c>
      <c r="BA314" t="s">
        <v>2318</v>
      </c>
    </row>
    <row r="315" spans="1:53">
      <c r="A315">
        <v>21</v>
      </c>
      <c r="B315" s="678" t="s">
        <v>2293</v>
      </c>
      <c r="C315" s="684">
        <v>11</v>
      </c>
      <c r="D315" s="12"/>
      <c r="E315" s="12"/>
      <c r="F315" s="12"/>
      <c r="G315" s="12"/>
      <c r="H315" s="12"/>
      <c r="I315" s="12"/>
      <c r="J315" s="12"/>
      <c r="K315" s="12"/>
      <c r="L315" s="12"/>
      <c r="M315" s="12"/>
      <c r="O315" s="12"/>
      <c r="P315" s="682">
        <f t="shared" si="19"/>
        <v>11</v>
      </c>
      <c r="R315" s="750" t="s">
        <v>2222</v>
      </c>
      <c r="S315">
        <v>18</v>
      </c>
      <c r="T315" s="718">
        <v>0</v>
      </c>
      <c r="U315" s="399">
        <v>6.5</v>
      </c>
      <c r="AC315" s="681" t="s">
        <v>2301</v>
      </c>
      <c r="AD315">
        <v>22</v>
      </c>
      <c r="AE315">
        <v>2</v>
      </c>
      <c r="AF315">
        <v>3</v>
      </c>
      <c r="AH315" s="644"/>
      <c r="AY315">
        <v>25</v>
      </c>
      <c r="AZ315">
        <v>11</v>
      </c>
      <c r="BA315" t="s">
        <v>2320</v>
      </c>
    </row>
    <row r="316" spans="1:53">
      <c r="C316" s="1503"/>
      <c r="D316" s="12"/>
      <c r="E316" s="12"/>
      <c r="F316" s="12"/>
      <c r="G316" s="12"/>
      <c r="H316" s="12"/>
      <c r="I316" s="12"/>
      <c r="J316" s="12"/>
      <c r="K316" s="12"/>
      <c r="L316" s="12"/>
      <c r="M316" s="12"/>
      <c r="O316" s="12"/>
      <c r="P316" s="673"/>
      <c r="R316" s="750" t="s">
        <v>2314</v>
      </c>
      <c r="S316">
        <v>23</v>
      </c>
      <c r="T316" s="718">
        <v>0</v>
      </c>
      <c r="U316" s="399">
        <v>6.5</v>
      </c>
      <c r="AC316" s="681" t="s">
        <v>2302</v>
      </c>
      <c r="AD316">
        <v>22</v>
      </c>
      <c r="AE316">
        <v>1</v>
      </c>
      <c r="AF316">
        <v>3.75</v>
      </c>
      <c r="AH316" s="644"/>
      <c r="AY316">
        <v>25</v>
      </c>
      <c r="AZ316" t="s">
        <v>2810</v>
      </c>
      <c r="BA316" t="s">
        <v>2317</v>
      </c>
    </row>
    <row r="317" spans="1:53" ht="21">
      <c r="B317" s="1" t="s">
        <v>147</v>
      </c>
      <c r="C317" s="1503"/>
      <c r="D317" s="12"/>
      <c r="E317" s="12"/>
      <c r="F317" s="12"/>
      <c r="G317" s="12"/>
      <c r="H317" s="12"/>
      <c r="I317" s="12"/>
      <c r="J317" s="12"/>
      <c r="K317" s="12"/>
      <c r="L317" s="12"/>
      <c r="M317" s="12"/>
      <c r="O317" s="12"/>
      <c r="P317" s="673"/>
      <c r="R317" s="748" t="s">
        <v>2394</v>
      </c>
      <c r="S317">
        <v>32</v>
      </c>
      <c r="T317" s="718">
        <v>0</v>
      </c>
      <c r="U317" s="399">
        <v>6.5</v>
      </c>
      <c r="AC317" s="681" t="s">
        <v>2303</v>
      </c>
      <c r="AD317">
        <v>22</v>
      </c>
      <c r="AE317">
        <v>0</v>
      </c>
      <c r="AF317">
        <v>9</v>
      </c>
      <c r="AH317" s="681"/>
      <c r="AY317">
        <v>26</v>
      </c>
      <c r="AZ317">
        <v>1</v>
      </c>
      <c r="BA317" t="s">
        <v>2329</v>
      </c>
    </row>
    <row r="318" spans="1:53" ht="21" customHeight="1">
      <c r="B318" s="649" t="s">
        <v>1440</v>
      </c>
      <c r="C318" s="646" t="s">
        <v>2795</v>
      </c>
      <c r="D318" s="646" t="s">
        <v>2798</v>
      </c>
      <c r="E318" s="646" t="s">
        <v>2799</v>
      </c>
      <c r="F318" s="646" t="s">
        <v>2800</v>
      </c>
      <c r="G318" s="646" t="s">
        <v>2801</v>
      </c>
      <c r="H318" s="646" t="s">
        <v>2802</v>
      </c>
      <c r="I318" s="646" t="s">
        <v>2803</v>
      </c>
      <c r="J318" s="646" t="s">
        <v>2804</v>
      </c>
      <c r="K318" s="646" t="s">
        <v>2805</v>
      </c>
      <c r="L318" s="646" t="s">
        <v>2806</v>
      </c>
      <c r="M318" s="646" t="s">
        <v>2807</v>
      </c>
      <c r="N318" s="646"/>
      <c r="O318" s="646" t="s">
        <v>2810</v>
      </c>
      <c r="P318" s="647" t="s">
        <v>2080</v>
      </c>
      <c r="R318" s="748" t="s">
        <v>2405</v>
      </c>
      <c r="S318">
        <v>33</v>
      </c>
      <c r="T318" s="718">
        <v>0</v>
      </c>
      <c r="U318" s="399">
        <v>6.5</v>
      </c>
      <c r="AC318" s="678" t="s">
        <v>2304</v>
      </c>
      <c r="AD318">
        <v>22</v>
      </c>
      <c r="AE318">
        <v>0</v>
      </c>
      <c r="AF318">
        <v>11</v>
      </c>
      <c r="AH318" s="681"/>
      <c r="AY318">
        <v>26</v>
      </c>
      <c r="AZ318">
        <v>2</v>
      </c>
      <c r="BA318" t="s">
        <v>2329</v>
      </c>
    </row>
    <row r="319" spans="1:53">
      <c r="A319">
        <v>22</v>
      </c>
      <c r="B319" s="677" t="s">
        <v>2294</v>
      </c>
      <c r="C319" s="37">
        <v>2</v>
      </c>
      <c r="D319" s="529">
        <v>1</v>
      </c>
      <c r="E319" s="37">
        <v>3</v>
      </c>
      <c r="F319" s="37">
        <v>7</v>
      </c>
      <c r="G319" s="37">
        <v>4</v>
      </c>
      <c r="H319" s="529">
        <v>1</v>
      </c>
      <c r="I319" s="676">
        <v>1</v>
      </c>
      <c r="J319" s="529">
        <v>1</v>
      </c>
      <c r="K319" s="37">
        <v>4</v>
      </c>
      <c r="L319" s="564">
        <v>2</v>
      </c>
      <c r="M319" s="37">
        <v>2</v>
      </c>
      <c r="O319" s="699">
        <v>1</v>
      </c>
      <c r="P319" s="682">
        <f t="shared" ref="P319:P329" si="20">AVERAGE(C319:O319)</f>
        <v>2.4166666666666665</v>
      </c>
      <c r="R319" s="748" t="s">
        <v>2231</v>
      </c>
      <c r="S319">
        <v>15</v>
      </c>
      <c r="T319" s="718">
        <v>0</v>
      </c>
      <c r="U319" s="399">
        <v>6.5714285714285712</v>
      </c>
      <c r="AE319">
        <v>0</v>
      </c>
      <c r="AH319" s="681"/>
      <c r="AY319">
        <v>26</v>
      </c>
      <c r="AZ319">
        <v>3</v>
      </c>
      <c r="BA319" t="s">
        <v>2331</v>
      </c>
    </row>
    <row r="320" spans="1:53" ht="21">
      <c r="A320">
        <v>22</v>
      </c>
      <c r="B320" s="678" t="s">
        <v>2295</v>
      </c>
      <c r="C320" s="37">
        <v>9</v>
      </c>
      <c r="D320" s="37">
        <v>8</v>
      </c>
      <c r="E320" s="37">
        <v>8</v>
      </c>
      <c r="F320" s="37">
        <v>3</v>
      </c>
      <c r="G320" s="37">
        <v>2</v>
      </c>
      <c r="H320" s="683">
        <v>7</v>
      </c>
      <c r="I320" s="37">
        <v>6</v>
      </c>
      <c r="J320" s="37">
        <v>3</v>
      </c>
      <c r="K320" s="529">
        <v>1</v>
      </c>
      <c r="L320" s="686">
        <v>1</v>
      </c>
      <c r="M320" s="529">
        <v>1</v>
      </c>
      <c r="O320" s="37">
        <v>2</v>
      </c>
      <c r="P320" s="682">
        <f t="shared" si="20"/>
        <v>4.25</v>
      </c>
      <c r="R320" s="748" t="s">
        <v>2087</v>
      </c>
      <c r="S320">
        <v>1</v>
      </c>
      <c r="T320" s="718">
        <v>0</v>
      </c>
      <c r="U320" s="399">
        <v>6.6</v>
      </c>
      <c r="AC320" s="1" t="s">
        <v>148</v>
      </c>
      <c r="AE320">
        <v>0</v>
      </c>
      <c r="AH320" s="644"/>
      <c r="AY320">
        <v>26</v>
      </c>
      <c r="AZ320">
        <v>4</v>
      </c>
      <c r="BA320" t="s">
        <v>2335</v>
      </c>
    </row>
    <row r="321" spans="1:53" ht="18">
      <c r="A321">
        <v>22</v>
      </c>
      <c r="B321" s="678" t="s">
        <v>2296</v>
      </c>
      <c r="C321" s="37">
        <v>5</v>
      </c>
      <c r="D321" s="37">
        <v>6</v>
      </c>
      <c r="E321" s="37">
        <v>7</v>
      </c>
      <c r="F321" s="37">
        <v>6</v>
      </c>
      <c r="G321" s="37">
        <v>3</v>
      </c>
      <c r="H321" s="37">
        <v>6</v>
      </c>
      <c r="I321" s="37">
        <v>2</v>
      </c>
      <c r="J321" s="37">
        <v>2</v>
      </c>
      <c r="K321" s="683">
        <v>5</v>
      </c>
      <c r="L321" s="376">
        <v>4</v>
      </c>
      <c r="M321" s="37">
        <v>3</v>
      </c>
      <c r="O321" s="37">
        <v>3</v>
      </c>
      <c r="P321" s="682">
        <f t="shared" si="20"/>
        <v>4.333333333333333</v>
      </c>
      <c r="R321" s="748" t="s">
        <v>2221</v>
      </c>
      <c r="S321">
        <v>14</v>
      </c>
      <c r="T321" s="718">
        <v>1</v>
      </c>
      <c r="U321" s="399">
        <v>6.666666666666667</v>
      </c>
      <c r="AC321" s="649" t="s">
        <v>1440</v>
      </c>
      <c r="AE321">
        <v>0</v>
      </c>
      <c r="AF321" t="s">
        <v>2080</v>
      </c>
      <c r="AH321" s="644"/>
      <c r="AY321">
        <v>26</v>
      </c>
      <c r="AZ321">
        <v>5</v>
      </c>
      <c r="BA321" t="s">
        <v>2333</v>
      </c>
    </row>
    <row r="322" spans="1:53">
      <c r="A322">
        <v>22</v>
      </c>
      <c r="B322" s="678" t="s">
        <v>2297</v>
      </c>
      <c r="C322" s="37">
        <v>10</v>
      </c>
      <c r="D322" s="37">
        <v>7</v>
      </c>
      <c r="E322" s="37">
        <v>6</v>
      </c>
      <c r="F322" s="37">
        <v>4</v>
      </c>
      <c r="G322" s="37">
        <v>5</v>
      </c>
      <c r="H322" s="37">
        <v>5</v>
      </c>
      <c r="I322" s="37">
        <v>3</v>
      </c>
      <c r="J322" s="37">
        <v>4</v>
      </c>
      <c r="K322" s="37">
        <v>3</v>
      </c>
      <c r="L322" s="37">
        <v>3</v>
      </c>
      <c r="M322" s="684">
        <v>4</v>
      </c>
      <c r="O322" s="12"/>
      <c r="P322" s="682">
        <f t="shared" si="20"/>
        <v>4.9090909090909092</v>
      </c>
      <c r="R322" s="748" t="s">
        <v>2223</v>
      </c>
      <c r="S322">
        <v>14</v>
      </c>
      <c r="T322" s="718">
        <v>0</v>
      </c>
      <c r="U322" s="399">
        <v>6.666666666666667</v>
      </c>
      <c r="AC322" s="677" t="s">
        <v>2305</v>
      </c>
      <c r="AD322">
        <v>23</v>
      </c>
      <c r="AE322">
        <v>2</v>
      </c>
      <c r="AF322">
        <v>2.9166666666666665</v>
      </c>
      <c r="AH322" s="644"/>
      <c r="AY322">
        <v>26</v>
      </c>
      <c r="AZ322">
        <v>6</v>
      </c>
      <c r="BA322" t="s">
        <v>2330</v>
      </c>
    </row>
    <row r="323" spans="1:53">
      <c r="A323">
        <v>22</v>
      </c>
      <c r="B323" s="678" t="s">
        <v>2298</v>
      </c>
      <c r="C323" s="37">
        <v>6</v>
      </c>
      <c r="D323" s="37">
        <v>4</v>
      </c>
      <c r="E323" s="37">
        <v>5</v>
      </c>
      <c r="F323" s="37">
        <v>5</v>
      </c>
      <c r="G323" s="679">
        <v>6</v>
      </c>
      <c r="H323" s="37">
        <v>4</v>
      </c>
      <c r="I323" s="37">
        <v>5</v>
      </c>
      <c r="J323" s="37">
        <v>5</v>
      </c>
      <c r="K323" s="37">
        <v>2</v>
      </c>
      <c r="L323" s="685">
        <v>5</v>
      </c>
      <c r="M323" s="12"/>
      <c r="O323" s="1490">
        <v>0</v>
      </c>
      <c r="P323" s="682">
        <f t="shared" si="20"/>
        <v>4.2727272727272725</v>
      </c>
      <c r="R323" s="748" t="s">
        <v>2386</v>
      </c>
      <c r="S323">
        <v>31</v>
      </c>
      <c r="T323" s="718">
        <v>0</v>
      </c>
      <c r="U323" s="399">
        <v>6.666666666666667</v>
      </c>
      <c r="AC323" s="678" t="s">
        <v>2306</v>
      </c>
      <c r="AD323">
        <v>23</v>
      </c>
      <c r="AE323">
        <v>3</v>
      </c>
      <c r="AF323">
        <v>3.4166666666666665</v>
      </c>
      <c r="AH323" s="644"/>
      <c r="AY323">
        <v>26</v>
      </c>
      <c r="AZ323">
        <v>7</v>
      </c>
      <c r="BA323" t="s">
        <v>2332</v>
      </c>
    </row>
    <row r="324" spans="1:53">
      <c r="A324">
        <v>22</v>
      </c>
      <c r="B324" s="678" t="s">
        <v>2299</v>
      </c>
      <c r="C324" s="37">
        <v>7</v>
      </c>
      <c r="D324" s="37">
        <v>5</v>
      </c>
      <c r="E324" s="683">
        <v>9</v>
      </c>
      <c r="F324" s="37">
        <v>8</v>
      </c>
      <c r="G324" s="376">
        <v>7</v>
      </c>
      <c r="H324" s="37">
        <v>3</v>
      </c>
      <c r="I324" s="37">
        <v>4</v>
      </c>
      <c r="J324" s="684">
        <v>6</v>
      </c>
      <c r="K324" s="12"/>
      <c r="L324" s="12"/>
      <c r="M324" s="1490">
        <v>0</v>
      </c>
      <c r="O324" s="1490">
        <v>0</v>
      </c>
      <c r="P324" s="682">
        <f t="shared" si="20"/>
        <v>4.9000000000000004</v>
      </c>
      <c r="R324" s="750" t="s">
        <v>2336</v>
      </c>
      <c r="S324">
        <v>26</v>
      </c>
      <c r="T324" s="718">
        <v>0</v>
      </c>
      <c r="U324" s="399">
        <v>6.75</v>
      </c>
      <c r="AC324" s="678" t="s">
        <v>2307</v>
      </c>
      <c r="AD324">
        <v>23</v>
      </c>
      <c r="AE324">
        <v>3</v>
      </c>
      <c r="AF324">
        <v>2.5833333333333335</v>
      </c>
      <c r="AH324" s="681"/>
      <c r="AY324">
        <v>26</v>
      </c>
      <c r="AZ324">
        <v>8</v>
      </c>
      <c r="BA324" t="s">
        <v>2328</v>
      </c>
    </row>
    <row r="325" spans="1:53">
      <c r="A325">
        <v>22</v>
      </c>
      <c r="B325" s="678" t="s">
        <v>2300</v>
      </c>
      <c r="C325" s="37">
        <v>4</v>
      </c>
      <c r="D325" s="37">
        <v>9</v>
      </c>
      <c r="E325" s="37">
        <v>4</v>
      </c>
      <c r="F325" s="680">
        <v>2</v>
      </c>
      <c r="G325" s="686">
        <v>1</v>
      </c>
      <c r="H325" s="37">
        <v>2</v>
      </c>
      <c r="I325" s="684">
        <v>7</v>
      </c>
      <c r="J325" s="12"/>
      <c r="K325" s="1490">
        <v>0</v>
      </c>
      <c r="L325" s="1490">
        <v>0</v>
      </c>
      <c r="M325" s="12"/>
      <c r="O325" s="12"/>
      <c r="P325" s="682">
        <f t="shared" si="20"/>
        <v>3.2222222222222223</v>
      </c>
      <c r="R325" s="750" t="s">
        <v>2279</v>
      </c>
      <c r="S325">
        <v>20</v>
      </c>
      <c r="T325" s="718">
        <v>0</v>
      </c>
      <c r="U325" s="399">
        <v>6.8</v>
      </c>
      <c r="AC325" s="678" t="s">
        <v>2308</v>
      </c>
      <c r="AD325">
        <v>23</v>
      </c>
      <c r="AE325">
        <v>2</v>
      </c>
      <c r="AF325">
        <v>3.8181818181818183</v>
      </c>
      <c r="AH325" s="681"/>
      <c r="AY325">
        <v>26</v>
      </c>
      <c r="AZ325">
        <v>9</v>
      </c>
      <c r="BA325" t="s">
        <v>2328</v>
      </c>
    </row>
    <row r="326" spans="1:53">
      <c r="A326">
        <v>22</v>
      </c>
      <c r="B326" s="681" t="s">
        <v>2301</v>
      </c>
      <c r="C326" s="674">
        <v>3</v>
      </c>
      <c r="D326" s="37">
        <v>2</v>
      </c>
      <c r="E326" s="687">
        <v>1</v>
      </c>
      <c r="F326" s="529">
        <v>1</v>
      </c>
      <c r="G326" s="684">
        <v>8</v>
      </c>
      <c r="H326" s="12"/>
      <c r="I326" s="1490">
        <v>0</v>
      </c>
      <c r="J326" s="1490">
        <v>0</v>
      </c>
      <c r="K326" s="1490">
        <v>0</v>
      </c>
      <c r="L326" s="12"/>
      <c r="M326" s="12"/>
      <c r="O326" s="12"/>
      <c r="P326" s="682">
        <f t="shared" si="20"/>
        <v>1.875</v>
      </c>
      <c r="R326" s="750" t="s">
        <v>2101</v>
      </c>
      <c r="S326">
        <v>2</v>
      </c>
      <c r="T326" s="718">
        <v>0</v>
      </c>
      <c r="U326" s="399">
        <v>7</v>
      </c>
      <c r="AC326" s="678" t="s">
        <v>2309</v>
      </c>
      <c r="AD326">
        <v>23</v>
      </c>
      <c r="AE326">
        <v>0</v>
      </c>
      <c r="AF326">
        <v>6.1111111111111107</v>
      </c>
      <c r="AH326" s="644"/>
      <c r="AY326">
        <v>26</v>
      </c>
      <c r="AZ326">
        <v>10</v>
      </c>
      <c r="BA326" t="s">
        <v>2330</v>
      </c>
    </row>
    <row r="327" spans="1:53">
      <c r="A327">
        <v>22</v>
      </c>
      <c r="B327" s="681" t="s">
        <v>2302</v>
      </c>
      <c r="C327" s="688">
        <v>1</v>
      </c>
      <c r="D327" s="37">
        <v>3</v>
      </c>
      <c r="E327" s="37">
        <v>2</v>
      </c>
      <c r="F327" s="684">
        <v>9</v>
      </c>
      <c r="G327" s="12"/>
      <c r="H327" s="1490">
        <v>0</v>
      </c>
      <c r="I327" s="1490">
        <v>0</v>
      </c>
      <c r="J327" s="1490">
        <v>0</v>
      </c>
      <c r="K327" s="12"/>
      <c r="L327" s="12"/>
      <c r="M327" s="12"/>
      <c r="O327" s="12"/>
      <c r="P327" s="682">
        <f t="shared" si="20"/>
        <v>2.1428571428571428</v>
      </c>
      <c r="R327" s="750" t="s">
        <v>2146</v>
      </c>
      <c r="S327">
        <v>6</v>
      </c>
      <c r="T327" s="718">
        <v>0</v>
      </c>
      <c r="U327" s="399">
        <v>7</v>
      </c>
      <c r="AC327" s="678" t="s">
        <v>2310</v>
      </c>
      <c r="AD327">
        <v>23</v>
      </c>
      <c r="AE327">
        <v>0</v>
      </c>
      <c r="AF327">
        <v>5.375</v>
      </c>
      <c r="AH327" s="644"/>
      <c r="AY327">
        <v>26</v>
      </c>
      <c r="AZ327">
        <v>11</v>
      </c>
      <c r="BA327" t="s">
        <v>2330</v>
      </c>
    </row>
    <row r="328" spans="1:53">
      <c r="A328">
        <v>22</v>
      </c>
      <c r="B328" s="681" t="s">
        <v>2303</v>
      </c>
      <c r="C328" s="674">
        <v>8</v>
      </c>
      <c r="D328" s="684">
        <v>10</v>
      </c>
      <c r="E328" s="12"/>
      <c r="F328" s="12"/>
      <c r="G328" s="1492">
        <v>0</v>
      </c>
      <c r="H328" s="1490">
        <v>0</v>
      </c>
      <c r="I328" s="12"/>
      <c r="J328" s="12"/>
      <c r="K328" s="12"/>
      <c r="L328" s="12"/>
      <c r="M328" s="12"/>
      <c r="O328" s="12"/>
      <c r="P328" s="682">
        <f t="shared" si="20"/>
        <v>4.5</v>
      </c>
      <c r="R328" s="750" t="s">
        <v>2166</v>
      </c>
      <c r="S328">
        <v>8</v>
      </c>
      <c r="T328" s="718">
        <v>0</v>
      </c>
      <c r="U328" s="399">
        <v>7</v>
      </c>
      <c r="AC328" s="678" t="s">
        <v>2311</v>
      </c>
      <c r="AD328">
        <v>23</v>
      </c>
      <c r="AE328">
        <v>0</v>
      </c>
      <c r="AF328">
        <v>6.166666666666667</v>
      </c>
      <c r="AH328" s="644"/>
      <c r="AY328">
        <v>26</v>
      </c>
      <c r="AZ328" t="s">
        <v>2810</v>
      </c>
      <c r="BA328" t="s">
        <v>2328</v>
      </c>
    </row>
    <row r="329" spans="1:53">
      <c r="A329">
        <v>22</v>
      </c>
      <c r="B329" s="678" t="s">
        <v>2304</v>
      </c>
      <c r="C329" s="684">
        <v>11</v>
      </c>
      <c r="D329" s="12"/>
      <c r="E329" s="12"/>
      <c r="F329" s="12"/>
      <c r="G329" s="12"/>
      <c r="H329" s="12"/>
      <c r="I329" s="12"/>
      <c r="J329" s="12"/>
      <c r="K329" s="12"/>
      <c r="L329" s="12"/>
      <c r="M329" s="12"/>
      <c r="O329" s="12"/>
      <c r="P329" s="682">
        <f t="shared" si="20"/>
        <v>11</v>
      </c>
      <c r="R329" s="750" t="s">
        <v>2187</v>
      </c>
      <c r="S329">
        <v>10</v>
      </c>
      <c r="T329" s="718">
        <v>0</v>
      </c>
      <c r="U329" s="399">
        <v>7</v>
      </c>
      <c r="AC329" s="681" t="s">
        <v>2312</v>
      </c>
      <c r="AD329">
        <v>23</v>
      </c>
      <c r="AE329">
        <v>1</v>
      </c>
      <c r="AF329">
        <v>5.4</v>
      </c>
      <c r="AH329" s="644"/>
      <c r="AY329">
        <v>27</v>
      </c>
      <c r="AZ329">
        <v>1</v>
      </c>
      <c r="BA329" t="s">
        <v>2344</v>
      </c>
    </row>
    <row r="330" spans="1:53">
      <c r="C330" s="1503"/>
      <c r="D330" s="12"/>
      <c r="E330" s="12"/>
      <c r="F330" s="12"/>
      <c r="G330" s="12"/>
      <c r="H330" s="12"/>
      <c r="I330" s="12"/>
      <c r="J330" s="12"/>
      <c r="K330" s="12"/>
      <c r="L330" s="12"/>
      <c r="M330" s="12"/>
      <c r="O330" s="12"/>
      <c r="P330" s="673"/>
      <c r="R330" s="750" t="s">
        <v>2269</v>
      </c>
      <c r="S330">
        <v>19</v>
      </c>
      <c r="T330" s="718">
        <v>0</v>
      </c>
      <c r="U330" s="399">
        <v>7</v>
      </c>
      <c r="AC330" s="681" t="s">
        <v>2313</v>
      </c>
      <c r="AD330">
        <v>23</v>
      </c>
      <c r="AE330">
        <v>1</v>
      </c>
      <c r="AF330">
        <v>4.666666666666667</v>
      </c>
      <c r="AH330" s="644"/>
      <c r="AY330">
        <v>27</v>
      </c>
      <c r="AZ330">
        <v>2</v>
      </c>
      <c r="BA330" t="s">
        <v>2340</v>
      </c>
    </row>
    <row r="331" spans="1:53" ht="21">
      <c r="B331" s="1" t="s">
        <v>148</v>
      </c>
      <c r="C331" s="1503"/>
      <c r="D331" s="12"/>
      <c r="E331" s="12"/>
      <c r="F331" s="12"/>
      <c r="G331" s="12"/>
      <c r="H331" s="12"/>
      <c r="I331" s="12"/>
      <c r="J331" s="12"/>
      <c r="K331" s="12"/>
      <c r="L331" s="12"/>
      <c r="M331" s="12"/>
      <c r="O331" s="12"/>
      <c r="P331" s="673"/>
      <c r="R331" s="748" t="s">
        <v>2270</v>
      </c>
      <c r="S331">
        <v>19</v>
      </c>
      <c r="T331" s="718">
        <v>0</v>
      </c>
      <c r="U331" s="399">
        <v>7</v>
      </c>
      <c r="AC331" s="681" t="s">
        <v>2314</v>
      </c>
      <c r="AD331">
        <v>23</v>
      </c>
      <c r="AE331">
        <v>0</v>
      </c>
      <c r="AF331">
        <v>6.5</v>
      </c>
      <c r="AH331" s="644"/>
      <c r="AY331">
        <v>27</v>
      </c>
      <c r="AZ331">
        <v>3</v>
      </c>
      <c r="BA331" t="s">
        <v>2344</v>
      </c>
    </row>
    <row r="332" spans="1:53" ht="21" customHeight="1">
      <c r="B332" s="649" t="s">
        <v>1440</v>
      </c>
      <c r="C332" s="646" t="s">
        <v>2795</v>
      </c>
      <c r="D332" s="646" t="s">
        <v>2798</v>
      </c>
      <c r="E332" s="646" t="s">
        <v>2799</v>
      </c>
      <c r="F332" s="646" t="s">
        <v>2800</v>
      </c>
      <c r="G332" s="646" t="s">
        <v>2801</v>
      </c>
      <c r="H332" s="646" t="s">
        <v>2802</v>
      </c>
      <c r="I332" s="646" t="s">
        <v>2803</v>
      </c>
      <c r="J332" s="646" t="s">
        <v>2804</v>
      </c>
      <c r="K332" s="646" t="s">
        <v>2805</v>
      </c>
      <c r="L332" s="646" t="s">
        <v>2806</v>
      </c>
      <c r="M332" s="646" t="s">
        <v>2807</v>
      </c>
      <c r="N332" s="646"/>
      <c r="O332" s="646" t="s">
        <v>2810</v>
      </c>
      <c r="P332" s="647" t="s">
        <v>2080</v>
      </c>
      <c r="R332" s="750" t="s">
        <v>2358</v>
      </c>
      <c r="S332">
        <v>28</v>
      </c>
      <c r="T332" s="718">
        <v>0</v>
      </c>
      <c r="U332" s="399">
        <v>7</v>
      </c>
      <c r="AC332" s="678" t="s">
        <v>2315</v>
      </c>
      <c r="AD332">
        <v>23</v>
      </c>
      <c r="AE332">
        <v>0</v>
      </c>
      <c r="AF332">
        <v>11</v>
      </c>
      <c r="AH332" s="644"/>
      <c r="AY332">
        <v>27</v>
      </c>
      <c r="AZ332">
        <v>4</v>
      </c>
      <c r="BA332" t="s">
        <v>2340</v>
      </c>
    </row>
    <row r="333" spans="1:53">
      <c r="A333">
        <v>23</v>
      </c>
      <c r="B333" s="677" t="s">
        <v>2305</v>
      </c>
      <c r="C333" s="37">
        <v>8</v>
      </c>
      <c r="D333" s="37">
        <v>5</v>
      </c>
      <c r="E333" s="37">
        <v>2</v>
      </c>
      <c r="F333" s="37">
        <v>2</v>
      </c>
      <c r="G333" s="37">
        <v>2</v>
      </c>
      <c r="H333" s="37">
        <v>5</v>
      </c>
      <c r="I333" s="37">
        <v>2</v>
      </c>
      <c r="J333" s="37">
        <v>2</v>
      </c>
      <c r="K333" s="37">
        <v>3</v>
      </c>
      <c r="L333" s="529">
        <v>1</v>
      </c>
      <c r="M333" s="37">
        <v>2</v>
      </c>
      <c r="O333" s="699">
        <v>1</v>
      </c>
      <c r="P333" s="682">
        <f t="shared" ref="P333:P343" si="21">AVERAGE(C333:O333)</f>
        <v>2.9166666666666665</v>
      </c>
      <c r="R333" s="750" t="s">
        <v>2462</v>
      </c>
      <c r="S333">
        <v>37</v>
      </c>
      <c r="T333" s="718">
        <v>0</v>
      </c>
      <c r="U333" s="399">
        <v>7</v>
      </c>
      <c r="AE333">
        <v>0</v>
      </c>
      <c r="AH333" s="681"/>
      <c r="AY333">
        <v>27</v>
      </c>
      <c r="AZ333">
        <v>5</v>
      </c>
      <c r="BA333" t="s">
        <v>2343</v>
      </c>
    </row>
    <row r="334" spans="1:53" ht="21">
      <c r="A334">
        <v>23</v>
      </c>
      <c r="B334" s="678" t="s">
        <v>2306</v>
      </c>
      <c r="C334" s="529">
        <v>1</v>
      </c>
      <c r="D334" s="37">
        <v>8</v>
      </c>
      <c r="E334" s="37">
        <v>8</v>
      </c>
      <c r="F334" s="37">
        <v>5</v>
      </c>
      <c r="G334" s="687">
        <v>1</v>
      </c>
      <c r="H334" s="37">
        <v>4</v>
      </c>
      <c r="I334" s="37">
        <v>4</v>
      </c>
      <c r="J334" s="564">
        <v>3</v>
      </c>
      <c r="K334" s="37">
        <v>2</v>
      </c>
      <c r="L334" s="37">
        <v>2</v>
      </c>
      <c r="M334" s="529">
        <v>1</v>
      </c>
      <c r="O334" s="37">
        <v>2</v>
      </c>
      <c r="P334" s="682">
        <f t="shared" si="21"/>
        <v>3.4166666666666665</v>
      </c>
      <c r="R334" s="750" t="s">
        <v>2463</v>
      </c>
      <c r="S334">
        <v>37</v>
      </c>
      <c r="T334" s="718">
        <v>0</v>
      </c>
      <c r="U334" s="399">
        <v>7</v>
      </c>
      <c r="AC334" s="1" t="s">
        <v>125</v>
      </c>
      <c r="AE334">
        <v>0</v>
      </c>
      <c r="AH334" s="681"/>
      <c r="AY334">
        <v>27</v>
      </c>
      <c r="AZ334">
        <v>6</v>
      </c>
      <c r="BA334" t="s">
        <v>2340</v>
      </c>
    </row>
    <row r="335" spans="1:53" ht="18">
      <c r="A335">
        <v>23</v>
      </c>
      <c r="B335" s="678" t="s">
        <v>2307</v>
      </c>
      <c r="C335" s="37">
        <v>2</v>
      </c>
      <c r="D335" s="37">
        <v>4</v>
      </c>
      <c r="E335" s="529">
        <v>1</v>
      </c>
      <c r="F335" s="37">
        <v>3</v>
      </c>
      <c r="G335" s="37">
        <v>3</v>
      </c>
      <c r="H335" s="529">
        <v>1</v>
      </c>
      <c r="I335" s="37">
        <v>3</v>
      </c>
      <c r="J335" s="689">
        <v>1</v>
      </c>
      <c r="K335" s="37">
        <v>4</v>
      </c>
      <c r="L335" s="37">
        <v>3</v>
      </c>
      <c r="M335" s="37">
        <v>3</v>
      </c>
      <c r="O335" s="37">
        <v>3</v>
      </c>
      <c r="P335" s="682">
        <f t="shared" si="21"/>
        <v>2.5833333333333335</v>
      </c>
      <c r="R335" s="750" t="s">
        <v>2565</v>
      </c>
      <c r="S335">
        <v>38</v>
      </c>
      <c r="T335" s="718">
        <v>0</v>
      </c>
      <c r="U335" s="399">
        <v>7.166666666666667</v>
      </c>
      <c r="AC335" s="649" t="s">
        <v>1440</v>
      </c>
      <c r="AE335">
        <v>0</v>
      </c>
      <c r="AF335" t="s">
        <v>2080</v>
      </c>
      <c r="AH335" s="681"/>
      <c r="AY335">
        <v>27</v>
      </c>
      <c r="AZ335">
        <v>7</v>
      </c>
      <c r="BA335" t="s">
        <v>2340</v>
      </c>
    </row>
    <row r="336" spans="1:53">
      <c r="A336">
        <v>23</v>
      </c>
      <c r="B336" s="678" t="s">
        <v>2308</v>
      </c>
      <c r="C336" s="37">
        <v>7</v>
      </c>
      <c r="D336" s="37">
        <v>2</v>
      </c>
      <c r="E336" s="37">
        <v>6</v>
      </c>
      <c r="F336" s="37">
        <v>4</v>
      </c>
      <c r="G336" s="679">
        <v>6</v>
      </c>
      <c r="H336" s="37">
        <v>3</v>
      </c>
      <c r="I336" s="529">
        <v>1</v>
      </c>
      <c r="J336" s="376">
        <v>4</v>
      </c>
      <c r="K336" s="529">
        <v>1</v>
      </c>
      <c r="L336" s="683">
        <v>4</v>
      </c>
      <c r="M336" s="684">
        <v>4</v>
      </c>
      <c r="O336" s="12"/>
      <c r="P336" s="682">
        <f t="shared" si="21"/>
        <v>3.8181818181818183</v>
      </c>
      <c r="R336" s="748" t="s">
        <v>2357</v>
      </c>
      <c r="S336">
        <v>28</v>
      </c>
      <c r="T336" s="718">
        <v>0</v>
      </c>
      <c r="U336" s="399">
        <v>7.2</v>
      </c>
      <c r="AC336" s="677" t="s">
        <v>2301</v>
      </c>
      <c r="AD336">
        <v>24</v>
      </c>
      <c r="AE336">
        <v>6</v>
      </c>
      <c r="AF336">
        <v>2.1666666666666665</v>
      </c>
      <c r="AH336" s="681"/>
      <c r="AY336">
        <v>27</v>
      </c>
      <c r="AZ336">
        <v>8</v>
      </c>
      <c r="BA336" t="s">
        <v>2340</v>
      </c>
    </row>
    <row r="337" spans="1:53">
      <c r="A337">
        <v>23</v>
      </c>
      <c r="B337" s="678" t="s">
        <v>2309</v>
      </c>
      <c r="C337" s="37">
        <v>6</v>
      </c>
      <c r="D337" s="37">
        <v>7</v>
      </c>
      <c r="E337" s="37">
        <v>7</v>
      </c>
      <c r="F337" s="37">
        <v>7</v>
      </c>
      <c r="G337" s="37">
        <v>7</v>
      </c>
      <c r="H337" s="37">
        <v>6</v>
      </c>
      <c r="I337" s="37">
        <v>5</v>
      </c>
      <c r="J337" s="37">
        <v>5</v>
      </c>
      <c r="K337" s="684">
        <v>5</v>
      </c>
      <c r="L337" s="12"/>
      <c r="M337" s="12"/>
      <c r="O337" s="1490">
        <v>0</v>
      </c>
      <c r="P337" s="682">
        <f t="shared" si="21"/>
        <v>5.5</v>
      </c>
      <c r="R337" s="748" t="s">
        <v>2368</v>
      </c>
      <c r="S337">
        <v>29</v>
      </c>
      <c r="T337" s="718">
        <v>0</v>
      </c>
      <c r="U337" s="399">
        <v>7.25</v>
      </c>
      <c r="AC337" s="678" t="s">
        <v>2297</v>
      </c>
      <c r="AD337">
        <v>24</v>
      </c>
      <c r="AE337">
        <v>0</v>
      </c>
      <c r="AF337">
        <v>4.25</v>
      </c>
      <c r="AH337" s="681"/>
      <c r="AY337">
        <v>27</v>
      </c>
      <c r="AZ337">
        <v>9</v>
      </c>
      <c r="BA337" t="s">
        <v>2340</v>
      </c>
    </row>
    <row r="338" spans="1:53">
      <c r="A338">
        <v>23</v>
      </c>
      <c r="B338" s="678" t="s">
        <v>2310</v>
      </c>
      <c r="C338" s="37">
        <v>5</v>
      </c>
      <c r="D338" s="37">
        <v>9</v>
      </c>
      <c r="E338" s="37">
        <v>3</v>
      </c>
      <c r="F338" s="683">
        <v>8</v>
      </c>
      <c r="G338" s="37">
        <v>4</v>
      </c>
      <c r="H338" s="37">
        <v>2</v>
      </c>
      <c r="I338" s="683">
        <v>6</v>
      </c>
      <c r="J338" s="685">
        <v>6</v>
      </c>
      <c r="K338" s="12"/>
      <c r="L338" s="12"/>
      <c r="M338" s="1490">
        <v>0</v>
      </c>
      <c r="O338" s="1490">
        <v>0</v>
      </c>
      <c r="P338" s="682">
        <f t="shared" si="21"/>
        <v>4.3</v>
      </c>
      <c r="R338" s="750" t="s">
        <v>2380</v>
      </c>
      <c r="S338">
        <v>30</v>
      </c>
      <c r="T338" s="718">
        <v>0</v>
      </c>
      <c r="U338" s="399">
        <v>7.25</v>
      </c>
      <c r="AC338" s="678" t="s">
        <v>2274</v>
      </c>
      <c r="AD338">
        <v>24</v>
      </c>
      <c r="AE338">
        <v>3</v>
      </c>
      <c r="AF338">
        <v>3.75</v>
      </c>
      <c r="AH338" s="681"/>
      <c r="AY338">
        <v>27</v>
      </c>
      <c r="AZ338">
        <v>10</v>
      </c>
      <c r="BA338" t="s">
        <v>2340</v>
      </c>
    </row>
    <row r="339" spans="1:53">
      <c r="A339">
        <v>23</v>
      </c>
      <c r="B339" s="678" t="s">
        <v>2311</v>
      </c>
      <c r="C339" s="37">
        <v>9</v>
      </c>
      <c r="D339" s="37">
        <v>6</v>
      </c>
      <c r="E339" s="37">
        <v>4</v>
      </c>
      <c r="F339" s="680">
        <v>6</v>
      </c>
      <c r="G339" s="564">
        <v>5</v>
      </c>
      <c r="H339" s="684">
        <v>7</v>
      </c>
      <c r="I339" s="12"/>
      <c r="J339" s="12"/>
      <c r="K339" s="1490">
        <v>0</v>
      </c>
      <c r="L339" s="1490">
        <v>0</v>
      </c>
      <c r="M339" s="12"/>
      <c r="O339" s="12"/>
      <c r="P339" s="682">
        <f t="shared" si="21"/>
        <v>4.625</v>
      </c>
      <c r="R339" s="750" t="s">
        <v>2387</v>
      </c>
      <c r="S339">
        <v>31</v>
      </c>
      <c r="T339" s="718">
        <v>0</v>
      </c>
      <c r="U339" s="399">
        <v>7.25</v>
      </c>
      <c r="AC339" s="678" t="s">
        <v>2308</v>
      </c>
      <c r="AD339">
        <v>24</v>
      </c>
      <c r="AE339">
        <v>1</v>
      </c>
      <c r="AF339">
        <v>3.7272727272727271</v>
      </c>
      <c r="AH339" s="681"/>
      <c r="AY339">
        <v>27</v>
      </c>
      <c r="AZ339">
        <v>11</v>
      </c>
      <c r="BA339" t="s">
        <v>2341</v>
      </c>
    </row>
    <row r="340" spans="1:53">
      <c r="A340">
        <v>23</v>
      </c>
      <c r="B340" s="681" t="s">
        <v>2312</v>
      </c>
      <c r="C340" s="674">
        <v>10</v>
      </c>
      <c r="D340" s="37">
        <v>3</v>
      </c>
      <c r="E340" s="37">
        <v>5</v>
      </c>
      <c r="F340" s="529">
        <v>1</v>
      </c>
      <c r="G340" s="685">
        <v>8</v>
      </c>
      <c r="H340" s="12"/>
      <c r="I340" s="1490">
        <v>0</v>
      </c>
      <c r="J340" s="1490">
        <v>0</v>
      </c>
      <c r="K340" s="1490">
        <v>0</v>
      </c>
      <c r="L340" s="12"/>
      <c r="M340" s="12"/>
      <c r="O340" s="12"/>
      <c r="P340" s="682">
        <f t="shared" si="21"/>
        <v>3.375</v>
      </c>
      <c r="R340" s="750" t="s">
        <v>2135</v>
      </c>
      <c r="S340">
        <v>5</v>
      </c>
      <c r="T340" s="718">
        <v>0</v>
      </c>
      <c r="U340" s="399">
        <v>7.333333333333333</v>
      </c>
      <c r="AC340" s="678" t="s">
        <v>2239</v>
      </c>
      <c r="AD340">
        <v>24</v>
      </c>
      <c r="AE340">
        <v>2</v>
      </c>
      <c r="AF340">
        <v>2.8</v>
      </c>
      <c r="AH340" s="681"/>
      <c r="AY340">
        <v>27</v>
      </c>
      <c r="AZ340" t="s">
        <v>2810</v>
      </c>
      <c r="BA340" t="s">
        <v>2339</v>
      </c>
    </row>
    <row r="341" spans="1:53">
      <c r="A341">
        <v>23</v>
      </c>
      <c r="B341" s="681" t="s">
        <v>2313</v>
      </c>
      <c r="C341" s="674">
        <v>4</v>
      </c>
      <c r="D341" s="529">
        <v>1</v>
      </c>
      <c r="E341" s="684">
        <v>9</v>
      </c>
      <c r="F341" s="12"/>
      <c r="G341" s="12"/>
      <c r="H341" s="1490">
        <v>0</v>
      </c>
      <c r="I341" s="1490">
        <v>0</v>
      </c>
      <c r="J341" s="1490">
        <v>0</v>
      </c>
      <c r="K341" s="12"/>
      <c r="L341" s="12"/>
      <c r="M341" s="12"/>
      <c r="O341" s="12"/>
      <c r="P341" s="682">
        <f t="shared" si="21"/>
        <v>2.3333333333333335</v>
      </c>
      <c r="R341" s="750" t="s">
        <v>2433</v>
      </c>
      <c r="S341">
        <v>35</v>
      </c>
      <c r="T341" s="718">
        <v>0</v>
      </c>
      <c r="U341" s="399">
        <v>7.4</v>
      </c>
      <c r="AC341" s="678" t="s">
        <v>2229</v>
      </c>
      <c r="AD341">
        <v>24</v>
      </c>
      <c r="AE341">
        <v>0</v>
      </c>
      <c r="AF341">
        <v>5.875</v>
      </c>
      <c r="AH341" s="644"/>
      <c r="AY341">
        <v>28</v>
      </c>
      <c r="AZ341">
        <v>1</v>
      </c>
      <c r="BA341" t="s">
        <v>2350</v>
      </c>
    </row>
    <row r="342" spans="1:53">
      <c r="A342">
        <v>23</v>
      </c>
      <c r="B342" s="681" t="s">
        <v>2314</v>
      </c>
      <c r="C342" s="674">
        <v>3</v>
      </c>
      <c r="D342" s="684">
        <v>10</v>
      </c>
      <c r="E342" s="12"/>
      <c r="F342" s="12"/>
      <c r="G342" s="1492">
        <v>0</v>
      </c>
      <c r="H342" s="1490">
        <v>0</v>
      </c>
      <c r="I342" s="12"/>
      <c r="J342" s="12"/>
      <c r="K342" s="12"/>
      <c r="L342" s="12"/>
      <c r="M342" s="12"/>
      <c r="O342" s="12"/>
      <c r="P342" s="682">
        <f t="shared" si="21"/>
        <v>3.25</v>
      </c>
      <c r="R342" s="748" t="s">
        <v>2356</v>
      </c>
      <c r="S342">
        <v>28</v>
      </c>
      <c r="T342" s="718">
        <v>0</v>
      </c>
      <c r="U342" s="399">
        <v>7.4285714285714288</v>
      </c>
      <c r="AC342" s="678" t="s">
        <v>2302</v>
      </c>
      <c r="AD342">
        <v>24</v>
      </c>
      <c r="AE342">
        <v>0</v>
      </c>
      <c r="AF342">
        <v>6.1428571428571432</v>
      </c>
      <c r="AH342" s="681"/>
      <c r="AY342">
        <v>28</v>
      </c>
      <c r="AZ342">
        <v>2</v>
      </c>
      <c r="BA342" t="s">
        <v>2352</v>
      </c>
    </row>
    <row r="343" spans="1:53">
      <c r="A343">
        <v>23</v>
      </c>
      <c r="B343" s="678" t="s">
        <v>2315</v>
      </c>
      <c r="C343" s="684">
        <v>11</v>
      </c>
      <c r="D343" s="12"/>
      <c r="E343" s="12"/>
      <c r="F343" s="12"/>
      <c r="G343" s="12"/>
      <c r="H343" s="12"/>
      <c r="I343" s="12"/>
      <c r="J343" s="12"/>
      <c r="K343" s="12"/>
      <c r="L343" s="12"/>
      <c r="M343" s="12"/>
      <c r="O343" s="12"/>
      <c r="P343" s="682">
        <f t="shared" si="21"/>
        <v>11</v>
      </c>
      <c r="R343" s="748" t="s">
        <v>2456</v>
      </c>
      <c r="S343">
        <v>37</v>
      </c>
      <c r="T343" s="718">
        <v>0</v>
      </c>
      <c r="U343" s="399">
        <v>7.4285714285714288</v>
      </c>
      <c r="AC343" s="681" t="s">
        <v>2217</v>
      </c>
      <c r="AD343">
        <v>24</v>
      </c>
      <c r="AE343">
        <v>0</v>
      </c>
      <c r="AF343">
        <v>5</v>
      </c>
      <c r="AH343" s="681"/>
      <c r="AY343">
        <v>28</v>
      </c>
      <c r="AZ343">
        <v>3</v>
      </c>
      <c r="BA343" t="s">
        <v>2354</v>
      </c>
    </row>
    <row r="344" spans="1:53">
      <c r="C344" s="1503"/>
      <c r="D344" s="12"/>
      <c r="E344" s="12"/>
      <c r="F344" s="12"/>
      <c r="G344" s="12"/>
      <c r="H344" s="12"/>
      <c r="I344" s="12"/>
      <c r="J344" s="12"/>
      <c r="K344" s="12"/>
      <c r="L344" s="12"/>
      <c r="M344" s="12"/>
      <c r="O344" s="12"/>
      <c r="P344" s="673"/>
      <c r="R344" s="748" t="s">
        <v>2461</v>
      </c>
      <c r="S344">
        <v>37</v>
      </c>
      <c r="T344" s="718">
        <v>0</v>
      </c>
      <c r="U344" s="399">
        <v>7.5</v>
      </c>
      <c r="AC344" s="681" t="s">
        <v>2298</v>
      </c>
      <c r="AD344">
        <v>24</v>
      </c>
      <c r="AE344">
        <v>0</v>
      </c>
      <c r="AF344">
        <v>9.3333333333333339</v>
      </c>
      <c r="AH344" s="681"/>
      <c r="AY344">
        <v>28</v>
      </c>
      <c r="AZ344">
        <v>4</v>
      </c>
      <c r="BA344" t="s">
        <v>2354</v>
      </c>
    </row>
    <row r="345" spans="1:53" ht="21">
      <c r="B345" s="1" t="s">
        <v>125</v>
      </c>
      <c r="C345" s="1503"/>
      <c r="D345" s="12"/>
      <c r="E345" s="12"/>
      <c r="F345" s="12"/>
      <c r="G345" s="12"/>
      <c r="H345" s="12"/>
      <c r="I345" s="12"/>
      <c r="J345" s="12"/>
      <c r="K345" s="12"/>
      <c r="L345" s="12"/>
      <c r="M345" s="12"/>
      <c r="O345" s="12"/>
      <c r="P345" s="673"/>
      <c r="R345" s="748" t="s">
        <v>2232</v>
      </c>
      <c r="S345">
        <v>15</v>
      </c>
      <c r="T345" s="718">
        <v>0</v>
      </c>
      <c r="U345" s="399">
        <v>7.666666666666667</v>
      </c>
      <c r="AC345" s="681" t="s">
        <v>2316</v>
      </c>
      <c r="AD345">
        <v>24</v>
      </c>
      <c r="AE345">
        <v>0</v>
      </c>
      <c r="AF345">
        <v>8</v>
      </c>
      <c r="AH345" s="681"/>
      <c r="AY345">
        <v>28</v>
      </c>
      <c r="AZ345">
        <v>5</v>
      </c>
      <c r="BA345" t="s">
        <v>2352</v>
      </c>
    </row>
    <row r="346" spans="1:53" ht="21" customHeight="1">
      <c r="B346" s="649" t="s">
        <v>1440</v>
      </c>
      <c r="C346" s="646" t="s">
        <v>2795</v>
      </c>
      <c r="D346" s="646" t="s">
        <v>2798</v>
      </c>
      <c r="E346" s="646" t="s">
        <v>2799</v>
      </c>
      <c r="F346" s="646" t="s">
        <v>2800</v>
      </c>
      <c r="G346" s="646" t="s">
        <v>2801</v>
      </c>
      <c r="H346" s="646" t="s">
        <v>2802</v>
      </c>
      <c r="I346" s="646" t="s">
        <v>2803</v>
      </c>
      <c r="J346" s="646" t="s">
        <v>2804</v>
      </c>
      <c r="K346" s="646" t="s">
        <v>2805</v>
      </c>
      <c r="L346" s="646" t="s">
        <v>2806</v>
      </c>
      <c r="M346" s="646" t="s">
        <v>2807</v>
      </c>
      <c r="N346" s="646"/>
      <c r="O346" s="646" t="s">
        <v>2810</v>
      </c>
      <c r="P346" s="647" t="s">
        <v>2080</v>
      </c>
      <c r="R346" s="748" t="s">
        <v>2235</v>
      </c>
      <c r="S346">
        <v>15</v>
      </c>
      <c r="T346" s="718">
        <v>0</v>
      </c>
      <c r="U346" s="399">
        <v>7.666666666666667</v>
      </c>
      <c r="AC346" s="678" t="s">
        <v>2286</v>
      </c>
      <c r="AD346">
        <v>24</v>
      </c>
      <c r="AE346">
        <v>0</v>
      </c>
      <c r="AF346">
        <v>11</v>
      </c>
      <c r="AH346" s="644"/>
      <c r="AY346">
        <v>28</v>
      </c>
      <c r="AZ346">
        <v>6</v>
      </c>
      <c r="BA346" t="s">
        <v>2354</v>
      </c>
    </row>
    <row r="347" spans="1:53">
      <c r="A347">
        <v>24</v>
      </c>
      <c r="B347" s="677" t="s">
        <v>2301</v>
      </c>
      <c r="C347" s="37">
        <v>3</v>
      </c>
      <c r="D347" s="37">
        <v>4</v>
      </c>
      <c r="E347" s="529">
        <v>1</v>
      </c>
      <c r="F347" s="37">
        <v>2</v>
      </c>
      <c r="G347" s="529">
        <v>1</v>
      </c>
      <c r="H347" s="37">
        <v>4</v>
      </c>
      <c r="I347" s="37">
        <v>3</v>
      </c>
      <c r="J347" s="679">
        <v>4</v>
      </c>
      <c r="K347" s="529">
        <v>1</v>
      </c>
      <c r="L347" s="529">
        <v>1</v>
      </c>
      <c r="M347" s="529">
        <v>1</v>
      </c>
      <c r="O347" s="699">
        <v>1</v>
      </c>
      <c r="P347" s="682">
        <f t="shared" ref="P347:P357" si="22">AVERAGE(C347:O347)</f>
        <v>2.1666666666666665</v>
      </c>
      <c r="R347" s="748" t="s">
        <v>2397</v>
      </c>
      <c r="S347">
        <v>32</v>
      </c>
      <c r="T347" s="718">
        <v>0</v>
      </c>
      <c r="U347" s="399">
        <v>7.666666666666667</v>
      </c>
      <c r="AE347">
        <v>0</v>
      </c>
      <c r="AH347" s="644"/>
      <c r="AY347">
        <v>28</v>
      </c>
      <c r="AZ347">
        <v>7</v>
      </c>
      <c r="BA347" t="s">
        <v>2355</v>
      </c>
    </row>
    <row r="348" spans="1:53" ht="21">
      <c r="A348">
        <v>24</v>
      </c>
      <c r="B348" s="678" t="s">
        <v>2297</v>
      </c>
      <c r="C348" s="37">
        <v>9</v>
      </c>
      <c r="D348" s="8">
        <v>3</v>
      </c>
      <c r="E348" s="37">
        <v>6</v>
      </c>
      <c r="F348" s="37">
        <v>4</v>
      </c>
      <c r="G348" s="37">
        <v>2</v>
      </c>
      <c r="H348" s="683">
        <v>7</v>
      </c>
      <c r="I348" s="37">
        <v>2</v>
      </c>
      <c r="J348" s="37">
        <v>5</v>
      </c>
      <c r="K348" s="683">
        <v>5</v>
      </c>
      <c r="L348" s="564">
        <v>4</v>
      </c>
      <c r="M348" s="37">
        <v>2</v>
      </c>
      <c r="O348" s="37">
        <v>2</v>
      </c>
      <c r="P348" s="682">
        <f t="shared" si="22"/>
        <v>4.25</v>
      </c>
      <c r="R348" s="748" t="s">
        <v>2460</v>
      </c>
      <c r="S348">
        <v>37</v>
      </c>
      <c r="T348" s="718">
        <v>0</v>
      </c>
      <c r="U348" s="399">
        <v>7.666666666666667</v>
      </c>
      <c r="AC348" s="1" t="s">
        <v>116</v>
      </c>
      <c r="AE348">
        <v>0</v>
      </c>
      <c r="AH348" s="681"/>
      <c r="AY348">
        <v>28</v>
      </c>
      <c r="AZ348">
        <v>8</v>
      </c>
      <c r="BA348" t="s">
        <v>2354</v>
      </c>
    </row>
    <row r="349" spans="1:53" ht="18">
      <c r="A349">
        <v>24</v>
      </c>
      <c r="B349" s="678" t="s">
        <v>2274</v>
      </c>
      <c r="C349" s="37">
        <v>2</v>
      </c>
      <c r="D349" s="529">
        <v>1</v>
      </c>
      <c r="E349" s="37">
        <v>8</v>
      </c>
      <c r="F349" s="683">
        <v>8</v>
      </c>
      <c r="G349" s="37">
        <v>7</v>
      </c>
      <c r="H349" s="37">
        <v>5</v>
      </c>
      <c r="I349" s="529">
        <v>1</v>
      </c>
      <c r="J349" s="686">
        <v>1</v>
      </c>
      <c r="K349" s="37">
        <v>4</v>
      </c>
      <c r="L349" s="37">
        <v>2</v>
      </c>
      <c r="M349" s="37">
        <v>3</v>
      </c>
      <c r="O349" s="37">
        <v>3</v>
      </c>
      <c r="P349" s="682">
        <f t="shared" si="22"/>
        <v>3.75</v>
      </c>
      <c r="R349" s="748" t="s">
        <v>2431</v>
      </c>
      <c r="S349">
        <v>35</v>
      </c>
      <c r="T349" s="718">
        <v>0</v>
      </c>
      <c r="U349" s="399">
        <v>7.7142857142857144</v>
      </c>
      <c r="AC349" s="649" t="s">
        <v>1440</v>
      </c>
      <c r="AE349">
        <v>0</v>
      </c>
      <c r="AF349" t="s">
        <v>2080</v>
      </c>
      <c r="AH349" s="681"/>
      <c r="AY349">
        <v>28</v>
      </c>
      <c r="AZ349">
        <v>9</v>
      </c>
      <c r="BA349" t="s">
        <v>2352</v>
      </c>
    </row>
    <row r="350" spans="1:53">
      <c r="A350">
        <v>24</v>
      </c>
      <c r="B350" s="678" t="s">
        <v>2308</v>
      </c>
      <c r="C350" s="37">
        <v>5</v>
      </c>
      <c r="D350" s="37">
        <v>7</v>
      </c>
      <c r="E350" s="37">
        <v>3</v>
      </c>
      <c r="F350" s="37">
        <v>3</v>
      </c>
      <c r="G350" s="37">
        <v>4</v>
      </c>
      <c r="H350" s="529">
        <v>1</v>
      </c>
      <c r="I350" s="37">
        <v>5</v>
      </c>
      <c r="J350" s="376">
        <v>3</v>
      </c>
      <c r="K350" s="37">
        <v>3</v>
      </c>
      <c r="L350" s="564">
        <v>3</v>
      </c>
      <c r="M350" s="684">
        <v>4</v>
      </c>
      <c r="O350" s="12"/>
      <c r="P350" s="682">
        <f t="shared" si="22"/>
        <v>3.7272727272727271</v>
      </c>
      <c r="R350" s="750" t="s">
        <v>2443</v>
      </c>
      <c r="S350">
        <v>36</v>
      </c>
      <c r="T350" s="718">
        <v>0</v>
      </c>
      <c r="U350" s="399">
        <v>7.7142857142857144</v>
      </c>
      <c r="AC350" s="677" t="s">
        <v>2317</v>
      </c>
      <c r="AD350">
        <v>25</v>
      </c>
      <c r="AE350">
        <v>1</v>
      </c>
      <c r="AF350">
        <v>4.5</v>
      </c>
      <c r="AH350" s="681"/>
      <c r="AY350">
        <v>28</v>
      </c>
      <c r="AZ350">
        <v>10</v>
      </c>
      <c r="BA350" t="s">
        <v>2352</v>
      </c>
    </row>
    <row r="351" spans="1:53">
      <c r="A351">
        <v>24</v>
      </c>
      <c r="B351" s="678" t="s">
        <v>2239</v>
      </c>
      <c r="C351" s="529">
        <v>1</v>
      </c>
      <c r="D351" s="37">
        <v>6</v>
      </c>
      <c r="E351" s="37">
        <v>2</v>
      </c>
      <c r="F351" s="529">
        <v>1</v>
      </c>
      <c r="G351" s="37">
        <v>3</v>
      </c>
      <c r="H351" s="37">
        <v>2</v>
      </c>
      <c r="I351" s="37">
        <v>4</v>
      </c>
      <c r="J351" s="8">
        <v>2</v>
      </c>
      <c r="K351" s="37">
        <v>2</v>
      </c>
      <c r="L351" s="685">
        <v>5</v>
      </c>
      <c r="M351" s="12"/>
      <c r="O351" s="1490">
        <v>0</v>
      </c>
      <c r="P351" s="682">
        <f t="shared" si="22"/>
        <v>2.5454545454545454</v>
      </c>
      <c r="R351" s="750" t="s">
        <v>2211</v>
      </c>
      <c r="S351">
        <v>13</v>
      </c>
      <c r="T351" s="718">
        <v>0</v>
      </c>
      <c r="U351" s="399">
        <v>7.75</v>
      </c>
      <c r="AC351" s="678" t="s">
        <v>2318</v>
      </c>
      <c r="AD351">
        <v>25</v>
      </c>
      <c r="AE351">
        <v>5</v>
      </c>
      <c r="AF351">
        <v>2.5833333333333335</v>
      </c>
      <c r="AH351" s="681"/>
      <c r="AY351">
        <v>28</v>
      </c>
      <c r="AZ351">
        <v>11</v>
      </c>
      <c r="BA351" t="s">
        <v>2352</v>
      </c>
    </row>
    <row r="352" spans="1:53">
      <c r="A352">
        <v>24</v>
      </c>
      <c r="B352" s="678" t="s">
        <v>2229</v>
      </c>
      <c r="C352" s="37">
        <v>7</v>
      </c>
      <c r="D352" s="37">
        <v>5</v>
      </c>
      <c r="E352" s="37">
        <v>5</v>
      </c>
      <c r="F352" s="37">
        <v>6</v>
      </c>
      <c r="G352" s="37">
        <v>6</v>
      </c>
      <c r="H352" s="37">
        <v>6</v>
      </c>
      <c r="I352" s="37">
        <v>6</v>
      </c>
      <c r="J352" s="684">
        <v>6</v>
      </c>
      <c r="K352" s="12"/>
      <c r="L352" s="12"/>
      <c r="M352" s="1490">
        <v>0</v>
      </c>
      <c r="O352" s="1490">
        <v>0</v>
      </c>
      <c r="P352" s="682">
        <f t="shared" si="22"/>
        <v>4.7</v>
      </c>
      <c r="R352" s="750" t="s">
        <v>2176</v>
      </c>
      <c r="S352">
        <v>9</v>
      </c>
      <c r="T352" s="718">
        <v>0</v>
      </c>
      <c r="U352" s="399">
        <v>7.8</v>
      </c>
      <c r="AC352" s="678" t="s">
        <v>2319</v>
      </c>
      <c r="AD352">
        <v>25</v>
      </c>
      <c r="AE352">
        <v>3</v>
      </c>
      <c r="AF352">
        <v>2.8333333333333335</v>
      </c>
      <c r="AH352" s="644"/>
      <c r="AY352">
        <v>28</v>
      </c>
      <c r="AZ352" t="s">
        <v>2810</v>
      </c>
      <c r="BA352" t="s">
        <v>2350</v>
      </c>
    </row>
    <row r="353" spans="1:53">
      <c r="A353">
        <v>24</v>
      </c>
      <c r="B353" s="678" t="s">
        <v>2302</v>
      </c>
      <c r="C353" s="37">
        <v>8</v>
      </c>
      <c r="D353" s="37">
        <v>8</v>
      </c>
      <c r="E353" s="37">
        <v>7</v>
      </c>
      <c r="F353" s="680">
        <v>5</v>
      </c>
      <c r="G353" s="37">
        <v>5</v>
      </c>
      <c r="H353" s="37">
        <v>3</v>
      </c>
      <c r="I353" s="684">
        <v>7</v>
      </c>
      <c r="J353" s="12"/>
      <c r="K353" s="1490">
        <v>0</v>
      </c>
      <c r="L353" s="1490">
        <v>0</v>
      </c>
      <c r="M353" s="12"/>
      <c r="O353" s="12"/>
      <c r="P353" s="682">
        <f t="shared" si="22"/>
        <v>4.7777777777777777</v>
      </c>
      <c r="R353" s="750" t="s">
        <v>2216</v>
      </c>
      <c r="S353">
        <v>18</v>
      </c>
      <c r="T353" s="718">
        <v>0</v>
      </c>
      <c r="U353" s="399">
        <v>7.8</v>
      </c>
      <c r="AC353" s="678" t="s">
        <v>2320</v>
      </c>
      <c r="AD353">
        <v>25</v>
      </c>
      <c r="AE353">
        <v>1</v>
      </c>
      <c r="AF353">
        <v>4.083333333333333</v>
      </c>
      <c r="AH353" s="644"/>
      <c r="AY353">
        <v>29</v>
      </c>
      <c r="AZ353">
        <v>1</v>
      </c>
      <c r="BA353" t="s">
        <v>2369</v>
      </c>
    </row>
    <row r="354" spans="1:53">
      <c r="A354">
        <v>24</v>
      </c>
      <c r="B354" s="681" t="s">
        <v>2217</v>
      </c>
      <c r="C354" s="674">
        <v>4</v>
      </c>
      <c r="D354" s="37">
        <v>2</v>
      </c>
      <c r="E354" s="37">
        <v>4</v>
      </c>
      <c r="F354" s="37">
        <v>7</v>
      </c>
      <c r="G354" s="684">
        <v>8</v>
      </c>
      <c r="H354" s="12"/>
      <c r="I354" s="1490">
        <v>0</v>
      </c>
      <c r="J354" s="1490">
        <v>0</v>
      </c>
      <c r="K354" s="1490">
        <v>0</v>
      </c>
      <c r="L354" s="12"/>
      <c r="M354" s="12"/>
      <c r="O354" s="12"/>
      <c r="P354" s="682">
        <f t="shared" si="22"/>
        <v>3.125</v>
      </c>
      <c r="R354" s="750" t="s">
        <v>2268</v>
      </c>
      <c r="S354">
        <v>19</v>
      </c>
      <c r="T354" s="718">
        <v>0</v>
      </c>
      <c r="U354" s="399">
        <v>7.8</v>
      </c>
      <c r="AC354" s="678" t="s">
        <v>2321</v>
      </c>
      <c r="AD354">
        <v>25</v>
      </c>
      <c r="AE354">
        <v>2</v>
      </c>
      <c r="AF354">
        <v>3.1111111111111112</v>
      </c>
      <c r="AH354" s="644"/>
      <c r="AY354">
        <v>29</v>
      </c>
      <c r="AZ354">
        <v>2</v>
      </c>
      <c r="BA354" t="s">
        <v>2366</v>
      </c>
    </row>
    <row r="355" spans="1:53">
      <c r="A355">
        <v>24</v>
      </c>
      <c r="B355" s="681" t="s">
        <v>2298</v>
      </c>
      <c r="C355" s="674">
        <v>10</v>
      </c>
      <c r="D355" s="37">
        <v>9</v>
      </c>
      <c r="E355" s="684">
        <v>9</v>
      </c>
      <c r="F355" s="12"/>
      <c r="G355" s="12"/>
      <c r="H355" s="1490">
        <v>0</v>
      </c>
      <c r="I355" s="1490">
        <v>0</v>
      </c>
      <c r="J355" s="1490">
        <v>0</v>
      </c>
      <c r="K355" s="12"/>
      <c r="L355" s="12"/>
      <c r="M355" s="12"/>
      <c r="O355" s="12"/>
      <c r="P355" s="682">
        <f t="shared" si="22"/>
        <v>4.666666666666667</v>
      </c>
      <c r="R355" s="748" t="s">
        <v>2090</v>
      </c>
      <c r="S355">
        <v>1</v>
      </c>
      <c r="T355" s="718">
        <v>0</v>
      </c>
      <c r="U355" s="399">
        <v>8</v>
      </c>
      <c r="AC355" s="678" t="s">
        <v>2322</v>
      </c>
      <c r="AD355">
        <v>25</v>
      </c>
      <c r="AE355">
        <v>0</v>
      </c>
      <c r="AF355">
        <v>4.875</v>
      </c>
      <c r="AH355" s="644"/>
      <c r="AY355">
        <v>29</v>
      </c>
      <c r="AZ355">
        <v>3</v>
      </c>
      <c r="BA355" t="s">
        <v>2366</v>
      </c>
    </row>
    <row r="356" spans="1:53">
      <c r="A356">
        <v>24</v>
      </c>
      <c r="B356" s="681" t="s">
        <v>2316</v>
      </c>
      <c r="C356" s="674">
        <v>6</v>
      </c>
      <c r="D356" s="684">
        <v>10</v>
      </c>
      <c r="E356" s="12"/>
      <c r="F356" s="12"/>
      <c r="G356" s="1492">
        <v>0</v>
      </c>
      <c r="H356" s="1490">
        <v>0</v>
      </c>
      <c r="I356" s="12"/>
      <c r="J356" s="12"/>
      <c r="K356" s="12"/>
      <c r="L356" s="12"/>
      <c r="M356" s="12"/>
      <c r="O356" s="12"/>
      <c r="P356" s="682">
        <f t="shared" si="22"/>
        <v>4</v>
      </c>
      <c r="R356" s="748" t="s">
        <v>2145</v>
      </c>
      <c r="S356">
        <v>6</v>
      </c>
      <c r="T356" s="718">
        <v>0</v>
      </c>
      <c r="U356" s="399">
        <v>8</v>
      </c>
      <c r="AC356" s="678" t="s">
        <v>2323</v>
      </c>
      <c r="AD356">
        <v>25</v>
      </c>
      <c r="AE356">
        <v>0</v>
      </c>
      <c r="AF356">
        <v>6.333333333333333</v>
      </c>
      <c r="AH356" s="644"/>
      <c r="AY356">
        <v>29</v>
      </c>
      <c r="AZ356">
        <v>4</v>
      </c>
      <c r="BA356" t="s">
        <v>2362</v>
      </c>
    </row>
    <row r="357" spans="1:53">
      <c r="A357">
        <v>24</v>
      </c>
      <c r="B357" s="678" t="s">
        <v>2286</v>
      </c>
      <c r="C357" s="684">
        <v>11</v>
      </c>
      <c r="D357" s="12"/>
      <c r="E357" s="12"/>
      <c r="F357" s="12"/>
      <c r="G357" s="12"/>
      <c r="H357" s="12"/>
      <c r="I357" s="12"/>
      <c r="J357" s="12"/>
      <c r="K357" s="12"/>
      <c r="L357" s="12"/>
      <c r="M357" s="12"/>
      <c r="O357" s="12"/>
      <c r="P357" s="682">
        <f t="shared" si="22"/>
        <v>11</v>
      </c>
      <c r="R357" s="748" t="s">
        <v>2189</v>
      </c>
      <c r="S357">
        <v>10</v>
      </c>
      <c r="T357" s="718">
        <v>0</v>
      </c>
      <c r="U357" s="399">
        <v>8</v>
      </c>
      <c r="AC357" s="681" t="s">
        <v>2324</v>
      </c>
      <c r="AD357">
        <v>25</v>
      </c>
      <c r="AE357">
        <v>0</v>
      </c>
      <c r="AF357">
        <v>5.4</v>
      </c>
      <c r="AH357" s="644"/>
      <c r="AY357">
        <v>29</v>
      </c>
      <c r="AZ357">
        <v>5</v>
      </c>
      <c r="BA357" t="s">
        <v>2362</v>
      </c>
    </row>
    <row r="358" spans="1:53">
      <c r="C358" s="1503"/>
      <c r="D358" s="12"/>
      <c r="E358" s="12"/>
      <c r="F358" s="12"/>
      <c r="G358" s="12"/>
      <c r="H358" s="12"/>
      <c r="I358" s="12"/>
      <c r="J358" s="12"/>
      <c r="K358" s="12"/>
      <c r="L358" s="12"/>
      <c r="M358" s="12"/>
      <c r="O358" s="12"/>
      <c r="P358" s="673"/>
      <c r="R358" s="750" t="s">
        <v>2280</v>
      </c>
      <c r="S358">
        <v>20</v>
      </c>
      <c r="T358" s="718">
        <v>0</v>
      </c>
      <c r="U358" s="399">
        <v>8</v>
      </c>
      <c r="AC358" s="681" t="s">
        <v>2325</v>
      </c>
      <c r="AD358">
        <v>25</v>
      </c>
      <c r="AE358">
        <v>0</v>
      </c>
      <c r="AF358">
        <v>8.3333333333333339</v>
      </c>
      <c r="AH358" s="644"/>
      <c r="AY358">
        <v>29</v>
      </c>
      <c r="AZ358">
        <v>6</v>
      </c>
      <c r="BA358" t="s">
        <v>2365</v>
      </c>
    </row>
    <row r="359" spans="1:53" ht="21">
      <c r="B359" s="1" t="s">
        <v>116</v>
      </c>
      <c r="C359" s="1503"/>
      <c r="D359" s="12"/>
      <c r="E359" s="12"/>
      <c r="F359" s="12"/>
      <c r="G359" s="12"/>
      <c r="H359" s="12"/>
      <c r="I359" s="12"/>
      <c r="J359" s="12"/>
      <c r="K359" s="12"/>
      <c r="L359" s="12"/>
      <c r="M359" s="12"/>
      <c r="O359" s="12"/>
      <c r="P359" s="673"/>
      <c r="R359" s="750" t="s">
        <v>2316</v>
      </c>
      <c r="S359">
        <v>24</v>
      </c>
      <c r="T359" s="718">
        <v>0</v>
      </c>
      <c r="U359" s="399">
        <v>8</v>
      </c>
      <c r="AC359" s="681" t="s">
        <v>2326</v>
      </c>
      <c r="AD359">
        <v>25</v>
      </c>
      <c r="AE359">
        <v>0</v>
      </c>
      <c r="AF359">
        <v>8.5</v>
      </c>
      <c r="AH359" s="644"/>
      <c r="AY359">
        <v>29</v>
      </c>
      <c r="AZ359">
        <v>7</v>
      </c>
      <c r="BA359" t="s">
        <v>2364</v>
      </c>
    </row>
    <row r="360" spans="1:53" ht="21" customHeight="1">
      <c r="B360" s="649" t="s">
        <v>1440</v>
      </c>
      <c r="C360" s="646" t="s">
        <v>2795</v>
      </c>
      <c r="D360" s="646" t="s">
        <v>2798</v>
      </c>
      <c r="E360" s="646" t="s">
        <v>2799</v>
      </c>
      <c r="F360" s="646" t="s">
        <v>2800</v>
      </c>
      <c r="G360" s="646" t="s">
        <v>2801</v>
      </c>
      <c r="H360" s="646" t="s">
        <v>2802</v>
      </c>
      <c r="I360" s="646" t="s">
        <v>2803</v>
      </c>
      <c r="J360" s="646" t="s">
        <v>2804</v>
      </c>
      <c r="K360" s="646" t="s">
        <v>2805</v>
      </c>
      <c r="L360" s="646" t="s">
        <v>2806</v>
      </c>
      <c r="M360" s="646" t="s">
        <v>2807</v>
      </c>
      <c r="N360" s="646"/>
      <c r="O360" s="646" t="s">
        <v>2810</v>
      </c>
      <c r="P360" s="647" t="s">
        <v>2080</v>
      </c>
      <c r="R360" s="750" t="s">
        <v>2348</v>
      </c>
      <c r="S360">
        <v>27</v>
      </c>
      <c r="T360" s="718">
        <v>0</v>
      </c>
      <c r="U360" s="399">
        <v>8</v>
      </c>
      <c r="AC360" s="678" t="s">
        <v>2327</v>
      </c>
      <c r="AD360">
        <v>25</v>
      </c>
      <c r="AE360">
        <v>0</v>
      </c>
      <c r="AF360">
        <v>11</v>
      </c>
      <c r="AH360" s="681"/>
      <c r="AY360">
        <v>29</v>
      </c>
      <c r="AZ360">
        <v>8</v>
      </c>
      <c r="BA360" t="s">
        <v>2362</v>
      </c>
    </row>
    <row r="361" spans="1:53">
      <c r="A361">
        <v>25</v>
      </c>
      <c r="B361" s="677" t="s">
        <v>2317</v>
      </c>
      <c r="C361" s="37">
        <v>6</v>
      </c>
      <c r="D361" s="37">
        <v>8</v>
      </c>
      <c r="E361" s="37">
        <v>5</v>
      </c>
      <c r="F361" s="37">
        <v>4</v>
      </c>
      <c r="G361" s="37">
        <v>7</v>
      </c>
      <c r="H361" s="37">
        <v>6</v>
      </c>
      <c r="I361" s="37">
        <v>3</v>
      </c>
      <c r="J361" s="37">
        <v>4</v>
      </c>
      <c r="K361" s="564">
        <v>4</v>
      </c>
      <c r="L361" s="37">
        <v>2</v>
      </c>
      <c r="M361" s="683">
        <v>4</v>
      </c>
      <c r="O361" s="699">
        <v>1</v>
      </c>
      <c r="P361" s="682">
        <f t="shared" ref="P361:P371" si="23">AVERAGE(C361:O361)</f>
        <v>4.5</v>
      </c>
      <c r="R361" s="750" t="s">
        <v>2359</v>
      </c>
      <c r="S361">
        <v>28</v>
      </c>
      <c r="T361" s="718">
        <v>0</v>
      </c>
      <c r="U361" s="399">
        <v>8</v>
      </c>
      <c r="AE361">
        <v>0</v>
      </c>
      <c r="AH361" s="681"/>
      <c r="AY361">
        <v>29</v>
      </c>
      <c r="AZ361">
        <v>9</v>
      </c>
      <c r="BA361" t="s">
        <v>2365</v>
      </c>
    </row>
    <row r="362" spans="1:53" ht="21">
      <c r="A362">
        <v>25</v>
      </c>
      <c r="B362" s="678" t="s">
        <v>2318</v>
      </c>
      <c r="C362" s="529">
        <v>1</v>
      </c>
      <c r="D362" s="37">
        <v>2</v>
      </c>
      <c r="E362" s="529">
        <v>1</v>
      </c>
      <c r="F362" s="683">
        <v>8</v>
      </c>
      <c r="G362" s="37">
        <v>6</v>
      </c>
      <c r="H362" s="529">
        <v>1</v>
      </c>
      <c r="I362" s="529">
        <v>1</v>
      </c>
      <c r="J362" s="37">
        <v>2</v>
      </c>
      <c r="K362" s="37">
        <v>3</v>
      </c>
      <c r="L362" s="529">
        <v>1</v>
      </c>
      <c r="M362" s="37">
        <v>3</v>
      </c>
      <c r="O362" s="37">
        <v>2</v>
      </c>
      <c r="P362" s="682">
        <f t="shared" si="23"/>
        <v>2.5833333333333335</v>
      </c>
      <c r="R362" s="750" t="s">
        <v>2459</v>
      </c>
      <c r="S362">
        <v>37</v>
      </c>
      <c r="T362" s="718">
        <v>0</v>
      </c>
      <c r="U362" s="399">
        <v>8</v>
      </c>
      <c r="AC362" s="1" t="s">
        <v>104</v>
      </c>
      <c r="AE362">
        <v>0</v>
      </c>
      <c r="AH362" s="681"/>
      <c r="AY362">
        <v>29</v>
      </c>
      <c r="AZ362">
        <v>10</v>
      </c>
      <c r="BA362" t="s">
        <v>2364</v>
      </c>
    </row>
    <row r="363" spans="1:53" ht="18">
      <c r="A363">
        <v>25</v>
      </c>
      <c r="B363" s="678" t="s">
        <v>2319</v>
      </c>
      <c r="C363" s="37">
        <v>5</v>
      </c>
      <c r="D363" s="529">
        <v>1</v>
      </c>
      <c r="E363" s="37">
        <v>2</v>
      </c>
      <c r="F363" s="37">
        <v>7</v>
      </c>
      <c r="G363" s="37">
        <v>2</v>
      </c>
      <c r="H363" s="37">
        <v>2</v>
      </c>
      <c r="I363" s="37">
        <v>5</v>
      </c>
      <c r="J363" s="687">
        <v>1</v>
      </c>
      <c r="K363" s="676">
        <v>1</v>
      </c>
      <c r="L363" s="37">
        <v>3</v>
      </c>
      <c r="M363" s="37">
        <v>2</v>
      </c>
      <c r="O363" s="37">
        <v>3</v>
      </c>
      <c r="P363" s="682">
        <f t="shared" si="23"/>
        <v>2.8333333333333335</v>
      </c>
      <c r="R363" s="748" t="s">
        <v>2290</v>
      </c>
      <c r="S363">
        <v>21</v>
      </c>
      <c r="T363" s="718">
        <v>0</v>
      </c>
      <c r="U363" s="399">
        <v>8.25</v>
      </c>
      <c r="AC363" s="649" t="s">
        <v>1440</v>
      </c>
      <c r="AE363">
        <v>0</v>
      </c>
      <c r="AF363" t="s">
        <v>2080</v>
      </c>
      <c r="AH363" s="681"/>
      <c r="AY363">
        <v>29</v>
      </c>
      <c r="AZ363">
        <v>11</v>
      </c>
      <c r="BA363" t="s">
        <v>2361</v>
      </c>
    </row>
    <row r="364" spans="1:53">
      <c r="A364">
        <v>25</v>
      </c>
      <c r="B364" s="678" t="s">
        <v>2320</v>
      </c>
      <c r="C364" s="37">
        <v>4</v>
      </c>
      <c r="D364" s="37">
        <v>7</v>
      </c>
      <c r="E364" s="37">
        <v>6</v>
      </c>
      <c r="F364" s="37">
        <v>2</v>
      </c>
      <c r="G364" s="37">
        <v>5</v>
      </c>
      <c r="H364" s="37">
        <v>5</v>
      </c>
      <c r="I364" s="37">
        <v>4</v>
      </c>
      <c r="J364" s="37">
        <v>5</v>
      </c>
      <c r="K364" s="37">
        <v>2</v>
      </c>
      <c r="L364" s="683">
        <v>4</v>
      </c>
      <c r="M364" s="529">
        <v>1</v>
      </c>
      <c r="O364" s="684">
        <v>4</v>
      </c>
      <c r="P364" s="682">
        <f t="shared" si="23"/>
        <v>4.083333333333333</v>
      </c>
      <c r="R364" s="748" t="s">
        <v>2124</v>
      </c>
      <c r="S364">
        <v>4</v>
      </c>
      <c r="T364" s="718">
        <v>0</v>
      </c>
      <c r="U364" s="399">
        <v>8.3333333333333339</v>
      </c>
      <c r="AC364" s="677" t="s">
        <v>2328</v>
      </c>
      <c r="AD364">
        <v>26</v>
      </c>
      <c r="AE364">
        <v>3</v>
      </c>
      <c r="AF364">
        <v>3.0833333333333335</v>
      </c>
      <c r="AH364" s="681"/>
      <c r="AY364">
        <v>29</v>
      </c>
      <c r="AZ364" t="s">
        <v>2810</v>
      </c>
      <c r="BA364" t="s">
        <v>2361</v>
      </c>
    </row>
    <row r="365" spans="1:53">
      <c r="A365">
        <v>25</v>
      </c>
      <c r="B365" s="678" t="s">
        <v>2321</v>
      </c>
      <c r="C365" s="37">
        <v>3</v>
      </c>
      <c r="D365" s="37">
        <v>3</v>
      </c>
      <c r="E365" s="37">
        <v>7</v>
      </c>
      <c r="F365" s="529">
        <v>1</v>
      </c>
      <c r="G365" s="529">
        <v>1</v>
      </c>
      <c r="H365" s="37">
        <v>3</v>
      </c>
      <c r="I365" s="37">
        <v>2</v>
      </c>
      <c r="J365" s="37">
        <v>3</v>
      </c>
      <c r="K365" s="684">
        <v>5</v>
      </c>
      <c r="L365" s="12"/>
      <c r="M365" s="12"/>
      <c r="O365" s="1490">
        <v>0</v>
      </c>
      <c r="P365" s="682">
        <f t="shared" si="23"/>
        <v>2.8</v>
      </c>
      <c r="R365" s="748" t="s">
        <v>2201</v>
      </c>
      <c r="S365">
        <v>12</v>
      </c>
      <c r="T365" s="718">
        <v>0</v>
      </c>
      <c r="U365" s="399">
        <v>8.3333333333333339</v>
      </c>
      <c r="AC365" s="678" t="s">
        <v>2329</v>
      </c>
      <c r="AD365">
        <v>26</v>
      </c>
      <c r="AE365">
        <v>2</v>
      </c>
      <c r="AF365">
        <v>3.1666666666666665</v>
      </c>
      <c r="AH365" s="644"/>
      <c r="AY365">
        <v>30</v>
      </c>
      <c r="AZ365">
        <v>1</v>
      </c>
      <c r="BA365" t="s">
        <v>2374</v>
      </c>
    </row>
    <row r="366" spans="1:53">
      <c r="A366">
        <v>25</v>
      </c>
      <c r="B366" s="678" t="s">
        <v>2322</v>
      </c>
      <c r="C366" s="37">
        <v>2</v>
      </c>
      <c r="D366" s="37">
        <v>5</v>
      </c>
      <c r="E366" s="37">
        <v>8</v>
      </c>
      <c r="F366" s="37">
        <v>5</v>
      </c>
      <c r="G366" s="37">
        <v>3</v>
      </c>
      <c r="H366" s="37">
        <v>4</v>
      </c>
      <c r="I366" s="683">
        <v>6</v>
      </c>
      <c r="J366" s="684">
        <v>6</v>
      </c>
      <c r="K366" s="12"/>
      <c r="L366" s="12"/>
      <c r="M366" s="1490">
        <v>0</v>
      </c>
      <c r="O366" s="1490">
        <v>0</v>
      </c>
      <c r="P366" s="682">
        <f t="shared" si="23"/>
        <v>3.9</v>
      </c>
      <c r="R366" s="748" t="s">
        <v>2220</v>
      </c>
      <c r="S366">
        <v>18</v>
      </c>
      <c r="T366" s="718">
        <v>0</v>
      </c>
      <c r="U366" s="399">
        <v>8.3333333333333339</v>
      </c>
      <c r="AC366" s="678" t="s">
        <v>2330</v>
      </c>
      <c r="AD366">
        <v>26</v>
      </c>
      <c r="AE366">
        <v>3</v>
      </c>
      <c r="AF366">
        <v>3.3333333333333335</v>
      </c>
      <c r="AH366" s="644"/>
      <c r="AY366">
        <v>30</v>
      </c>
      <c r="AZ366">
        <v>2</v>
      </c>
      <c r="BA366" t="s">
        <v>2372</v>
      </c>
    </row>
    <row r="367" spans="1:53">
      <c r="A367">
        <v>25</v>
      </c>
      <c r="B367" s="678" t="s">
        <v>2323</v>
      </c>
      <c r="C367" s="37">
        <v>8</v>
      </c>
      <c r="D367" s="37">
        <v>9</v>
      </c>
      <c r="E367" s="37">
        <v>4</v>
      </c>
      <c r="F367" s="680">
        <v>6</v>
      </c>
      <c r="G367" s="564">
        <v>4</v>
      </c>
      <c r="H367" s="684">
        <v>7</v>
      </c>
      <c r="I367" s="12"/>
      <c r="J367" s="12"/>
      <c r="K367" s="1490">
        <v>0</v>
      </c>
      <c r="L367" s="1490">
        <v>0</v>
      </c>
      <c r="M367" s="12"/>
      <c r="O367" s="12"/>
      <c r="P367" s="682">
        <f t="shared" si="23"/>
        <v>4.75</v>
      </c>
      <c r="R367" s="748" t="s">
        <v>2325</v>
      </c>
      <c r="S367">
        <v>25</v>
      </c>
      <c r="T367" s="718">
        <v>0</v>
      </c>
      <c r="U367" s="399">
        <v>8.3333333333333339</v>
      </c>
      <c r="AC367" s="678" t="s">
        <v>2331</v>
      </c>
      <c r="AD367">
        <v>26</v>
      </c>
      <c r="AE367">
        <v>1</v>
      </c>
      <c r="AF367">
        <v>4.75</v>
      </c>
      <c r="AH367" s="644"/>
      <c r="AY367">
        <v>30</v>
      </c>
      <c r="AZ367">
        <v>3</v>
      </c>
      <c r="BA367" t="s">
        <v>2373</v>
      </c>
    </row>
    <row r="368" spans="1:53">
      <c r="A368">
        <v>25</v>
      </c>
      <c r="B368" s="681" t="s">
        <v>2324</v>
      </c>
      <c r="C368" s="674">
        <v>9</v>
      </c>
      <c r="D368" s="37">
        <v>4</v>
      </c>
      <c r="E368" s="37">
        <v>3</v>
      </c>
      <c r="F368" s="37">
        <v>3</v>
      </c>
      <c r="G368" s="690">
        <v>8</v>
      </c>
      <c r="H368" s="12"/>
      <c r="I368" s="1490">
        <v>0</v>
      </c>
      <c r="J368" s="1490">
        <v>0</v>
      </c>
      <c r="K368" s="1490">
        <v>0</v>
      </c>
      <c r="L368" s="12"/>
      <c r="M368" s="12"/>
      <c r="O368" s="12"/>
      <c r="P368" s="682">
        <f t="shared" si="23"/>
        <v>3.375</v>
      </c>
      <c r="R368" s="748" t="s">
        <v>2347</v>
      </c>
      <c r="S368">
        <v>27</v>
      </c>
      <c r="T368" s="718">
        <v>0</v>
      </c>
      <c r="U368" s="399">
        <v>8.3333333333333339</v>
      </c>
      <c r="AC368" s="678" t="s">
        <v>2332</v>
      </c>
      <c r="AD368">
        <v>26</v>
      </c>
      <c r="AE368">
        <v>1</v>
      </c>
      <c r="AF368">
        <v>4.9000000000000004</v>
      </c>
      <c r="AH368" s="681"/>
      <c r="AY368">
        <v>30</v>
      </c>
      <c r="AZ368">
        <v>4</v>
      </c>
      <c r="BA368" t="s">
        <v>2375</v>
      </c>
    </row>
    <row r="369" spans="1:54">
      <c r="A369">
        <v>25</v>
      </c>
      <c r="B369" s="681" t="s">
        <v>2325</v>
      </c>
      <c r="C369" s="674">
        <v>10</v>
      </c>
      <c r="D369" s="37">
        <v>6</v>
      </c>
      <c r="E369" s="684">
        <v>9</v>
      </c>
      <c r="F369" s="12"/>
      <c r="G369" s="12"/>
      <c r="H369" s="1490">
        <v>0</v>
      </c>
      <c r="I369" s="1490">
        <v>0</v>
      </c>
      <c r="J369" s="1490">
        <v>0</v>
      </c>
      <c r="K369" s="12"/>
      <c r="L369" s="12"/>
      <c r="M369" s="12"/>
      <c r="O369" s="12"/>
      <c r="P369" s="682">
        <f t="shared" si="23"/>
        <v>4.166666666666667</v>
      </c>
      <c r="R369" s="750" t="s">
        <v>2410</v>
      </c>
      <c r="S369">
        <v>33</v>
      </c>
      <c r="T369" s="718">
        <v>0</v>
      </c>
      <c r="U369" s="399">
        <v>8.3333333333333339</v>
      </c>
      <c r="AC369" s="678" t="s">
        <v>2333</v>
      </c>
      <c r="AD369">
        <v>26</v>
      </c>
      <c r="AE369">
        <v>1</v>
      </c>
      <c r="AF369">
        <v>3.75</v>
      </c>
      <c r="AH369" s="681"/>
      <c r="AY369">
        <v>30</v>
      </c>
      <c r="AZ369">
        <v>5</v>
      </c>
      <c r="BA369" t="s">
        <v>2376</v>
      </c>
    </row>
    <row r="370" spans="1:54">
      <c r="A370">
        <v>25</v>
      </c>
      <c r="B370" s="681" t="s">
        <v>2326</v>
      </c>
      <c r="C370" s="674">
        <v>7</v>
      </c>
      <c r="D370" s="684">
        <v>10</v>
      </c>
      <c r="E370" s="12"/>
      <c r="F370" s="12"/>
      <c r="G370" s="1492">
        <v>0</v>
      </c>
      <c r="H370" s="1490">
        <v>0</v>
      </c>
      <c r="I370" s="12"/>
      <c r="J370" s="12"/>
      <c r="K370" s="12"/>
      <c r="L370" s="12"/>
      <c r="M370" s="12"/>
      <c r="O370" s="12"/>
      <c r="P370" s="682">
        <f t="shared" si="23"/>
        <v>4.25</v>
      </c>
      <c r="R370" s="750" t="s">
        <v>2432</v>
      </c>
      <c r="S370">
        <v>35</v>
      </c>
      <c r="T370" s="718">
        <v>0</v>
      </c>
      <c r="U370" s="399">
        <v>8.3333333333333339</v>
      </c>
      <c r="AC370" s="678" t="s">
        <v>2334</v>
      </c>
      <c r="AD370">
        <v>26</v>
      </c>
      <c r="AE370">
        <v>0</v>
      </c>
      <c r="AF370">
        <v>5.166666666666667</v>
      </c>
      <c r="AH370" s="681"/>
      <c r="AY370">
        <v>30</v>
      </c>
      <c r="AZ370">
        <v>6</v>
      </c>
      <c r="BA370" t="s">
        <v>2374</v>
      </c>
    </row>
    <row r="371" spans="1:54">
      <c r="A371">
        <v>25</v>
      </c>
      <c r="B371" s="678" t="s">
        <v>2327</v>
      </c>
      <c r="C371" s="684">
        <v>11</v>
      </c>
      <c r="D371" s="12"/>
      <c r="E371" s="12"/>
      <c r="F371" s="12"/>
      <c r="G371" s="12"/>
      <c r="H371" s="12"/>
      <c r="I371" s="12"/>
      <c r="J371" s="12"/>
      <c r="K371" s="12"/>
      <c r="L371" s="12"/>
      <c r="M371" s="12"/>
      <c r="O371" s="12"/>
      <c r="P371" s="682">
        <f t="shared" si="23"/>
        <v>11</v>
      </c>
      <c r="R371" s="750" t="s">
        <v>2326</v>
      </c>
      <c r="S371">
        <v>25</v>
      </c>
      <c r="T371" s="718">
        <v>0</v>
      </c>
      <c r="U371" s="399">
        <v>8.5</v>
      </c>
      <c r="AC371" s="681" t="s">
        <v>2335</v>
      </c>
      <c r="AD371">
        <v>26</v>
      </c>
      <c r="AE371">
        <v>1</v>
      </c>
      <c r="AF371">
        <v>5.4</v>
      </c>
      <c r="AH371" s="681"/>
      <c r="AY371">
        <v>30</v>
      </c>
      <c r="AZ371">
        <v>7</v>
      </c>
      <c r="BA371" t="s">
        <v>2375</v>
      </c>
      <c r="BB371" t="s">
        <v>2376</v>
      </c>
    </row>
    <row r="372" spans="1:54">
      <c r="C372" s="1503"/>
      <c r="D372" s="12"/>
      <c r="E372" s="12"/>
      <c r="F372" s="12"/>
      <c r="G372" s="12"/>
      <c r="H372" s="12"/>
      <c r="I372" s="12"/>
      <c r="J372" s="12"/>
      <c r="K372" s="12"/>
      <c r="L372" s="12"/>
      <c r="M372" s="12"/>
      <c r="O372" s="12"/>
      <c r="P372" s="673"/>
      <c r="R372" s="750" t="s">
        <v>2100</v>
      </c>
      <c r="S372">
        <v>2</v>
      </c>
      <c r="T372" s="718">
        <v>0</v>
      </c>
      <c r="U372" s="399">
        <v>9</v>
      </c>
      <c r="AC372" s="681" t="s">
        <v>2336</v>
      </c>
      <c r="AD372">
        <v>26</v>
      </c>
      <c r="AE372">
        <v>0</v>
      </c>
      <c r="AF372">
        <v>6.75</v>
      </c>
      <c r="AH372" s="681"/>
      <c r="AY372">
        <v>30</v>
      </c>
      <c r="AZ372">
        <v>8</v>
      </c>
      <c r="BA372" t="s">
        <v>2376</v>
      </c>
    </row>
    <row r="373" spans="1:54" ht="21">
      <c r="B373" s="1" t="s">
        <v>104</v>
      </c>
      <c r="C373" s="1503"/>
      <c r="D373" s="12"/>
      <c r="E373" s="12"/>
      <c r="F373" s="12"/>
      <c r="G373" s="12"/>
      <c r="H373" s="12"/>
      <c r="I373" s="12"/>
      <c r="J373" s="12"/>
      <c r="K373" s="12"/>
      <c r="L373" s="12"/>
      <c r="M373" s="12"/>
      <c r="O373" s="12"/>
      <c r="P373" s="673"/>
      <c r="R373" s="750" t="s">
        <v>2112</v>
      </c>
      <c r="S373">
        <v>3</v>
      </c>
      <c r="T373" s="718">
        <v>0</v>
      </c>
      <c r="U373" s="399">
        <v>9</v>
      </c>
      <c r="AC373" s="681" t="s">
        <v>2337</v>
      </c>
      <c r="AD373">
        <v>26</v>
      </c>
      <c r="AE373">
        <v>0</v>
      </c>
      <c r="AF373">
        <v>10</v>
      </c>
      <c r="AH373" s="644"/>
      <c r="AY373">
        <v>30</v>
      </c>
      <c r="AZ373">
        <v>9</v>
      </c>
      <c r="BA373" t="s">
        <v>2375</v>
      </c>
    </row>
    <row r="374" spans="1:54" ht="21" customHeight="1">
      <c r="B374" s="649" t="s">
        <v>1440</v>
      </c>
      <c r="C374" s="646" t="s">
        <v>2795</v>
      </c>
      <c r="D374" s="646" t="s">
        <v>2798</v>
      </c>
      <c r="E374" s="646" t="s">
        <v>2799</v>
      </c>
      <c r="F374" s="646" t="s">
        <v>2800</v>
      </c>
      <c r="G374" s="646" t="s">
        <v>2801</v>
      </c>
      <c r="H374" s="646" t="s">
        <v>2802</v>
      </c>
      <c r="I374" s="646" t="s">
        <v>2803</v>
      </c>
      <c r="J374" s="646" t="s">
        <v>2804</v>
      </c>
      <c r="K374" s="646" t="s">
        <v>2805</v>
      </c>
      <c r="L374" s="646" t="s">
        <v>2806</v>
      </c>
      <c r="M374" s="646" t="s">
        <v>2807</v>
      </c>
      <c r="N374" s="646"/>
      <c r="O374" s="646" t="s">
        <v>2810</v>
      </c>
      <c r="P374" s="647" t="s">
        <v>2080</v>
      </c>
      <c r="R374" s="750" t="s">
        <v>2147</v>
      </c>
      <c r="S374">
        <v>6</v>
      </c>
      <c r="T374" s="718">
        <v>0</v>
      </c>
      <c r="U374" s="399">
        <v>9</v>
      </c>
      <c r="AC374" s="678" t="s">
        <v>2338</v>
      </c>
      <c r="AD374">
        <v>26</v>
      </c>
      <c r="AE374">
        <v>0</v>
      </c>
      <c r="AF374">
        <v>11</v>
      </c>
      <c r="AH374" s="644"/>
      <c r="AY374">
        <v>30</v>
      </c>
      <c r="AZ374">
        <v>10</v>
      </c>
      <c r="BA374" t="s">
        <v>2375</v>
      </c>
    </row>
    <row r="375" spans="1:54">
      <c r="A375">
        <v>26</v>
      </c>
      <c r="B375" s="677" t="s">
        <v>2328</v>
      </c>
      <c r="C375" s="37">
        <v>3</v>
      </c>
      <c r="D375" s="37">
        <v>2</v>
      </c>
      <c r="E375" s="37">
        <v>4</v>
      </c>
      <c r="F375" s="37">
        <v>4</v>
      </c>
      <c r="G375" s="37">
        <v>6</v>
      </c>
      <c r="H375" s="37">
        <v>6</v>
      </c>
      <c r="I375" s="37">
        <v>2</v>
      </c>
      <c r="J375" s="686">
        <v>1</v>
      </c>
      <c r="K375" s="529">
        <v>1</v>
      </c>
      <c r="L375" s="37">
        <v>4</v>
      </c>
      <c r="M375" s="37">
        <v>3</v>
      </c>
      <c r="O375" s="699">
        <v>1</v>
      </c>
      <c r="P375" s="682">
        <f t="shared" ref="P375:P385" si="24">AVERAGE(C375:O375)</f>
        <v>3.0833333333333335</v>
      </c>
      <c r="R375" s="750" t="s">
        <v>2185</v>
      </c>
      <c r="S375">
        <v>11</v>
      </c>
      <c r="T375" s="762">
        <v>0</v>
      </c>
      <c r="U375" s="399">
        <v>9</v>
      </c>
      <c r="AE375">
        <v>0</v>
      </c>
      <c r="AH375" s="644"/>
      <c r="AY375">
        <v>30</v>
      </c>
      <c r="AZ375">
        <v>11</v>
      </c>
      <c r="BA375" t="s">
        <v>2373</v>
      </c>
    </row>
    <row r="376" spans="1:54" ht="21">
      <c r="A376">
        <v>26</v>
      </c>
      <c r="B376" s="678" t="s">
        <v>2329</v>
      </c>
      <c r="C376" s="529">
        <v>1</v>
      </c>
      <c r="D376" s="529">
        <v>1</v>
      </c>
      <c r="E376" s="37">
        <v>3</v>
      </c>
      <c r="F376" s="37">
        <v>7</v>
      </c>
      <c r="G376" s="37">
        <v>4</v>
      </c>
      <c r="H376" s="37">
        <v>5</v>
      </c>
      <c r="I376" s="37">
        <v>4</v>
      </c>
      <c r="J376" s="333">
        <v>4</v>
      </c>
      <c r="K376" s="37">
        <v>3</v>
      </c>
      <c r="L376" s="37">
        <v>2</v>
      </c>
      <c r="M376" s="37">
        <v>2</v>
      </c>
      <c r="O376" s="37">
        <v>2</v>
      </c>
      <c r="P376" s="682">
        <f t="shared" si="24"/>
        <v>3.1666666666666665</v>
      </c>
      <c r="R376" s="750" t="s">
        <v>2202</v>
      </c>
      <c r="S376">
        <v>12</v>
      </c>
      <c r="T376" s="762">
        <v>0</v>
      </c>
      <c r="U376" s="399">
        <v>9</v>
      </c>
      <c r="AC376" s="1" t="s">
        <v>95</v>
      </c>
      <c r="AE376">
        <v>0</v>
      </c>
      <c r="AH376" s="644"/>
      <c r="AY376">
        <v>30</v>
      </c>
      <c r="AZ376" t="s">
        <v>2810</v>
      </c>
      <c r="BA376" t="s">
        <v>2372</v>
      </c>
    </row>
    <row r="377" spans="1:54" ht="18">
      <c r="A377">
        <v>26</v>
      </c>
      <c r="B377" s="678" t="s">
        <v>2330</v>
      </c>
      <c r="C377" s="37">
        <v>8</v>
      </c>
      <c r="D377" s="37">
        <v>9</v>
      </c>
      <c r="E377" s="37">
        <v>2</v>
      </c>
      <c r="F377" s="37">
        <v>2</v>
      </c>
      <c r="G377" s="37">
        <v>5</v>
      </c>
      <c r="H377" s="529">
        <v>1</v>
      </c>
      <c r="I377" s="37">
        <v>3</v>
      </c>
      <c r="J377" s="37">
        <v>3</v>
      </c>
      <c r="K377" s="37">
        <v>2</v>
      </c>
      <c r="L377" s="529">
        <v>1</v>
      </c>
      <c r="M377" s="529">
        <v>1</v>
      </c>
      <c r="O377" s="37">
        <v>3</v>
      </c>
      <c r="P377" s="682">
        <f t="shared" si="24"/>
        <v>3.3333333333333335</v>
      </c>
      <c r="R377" s="748" t="s">
        <v>2281</v>
      </c>
      <c r="S377">
        <v>20</v>
      </c>
      <c r="T377" s="762">
        <v>0</v>
      </c>
      <c r="U377" s="399">
        <v>9</v>
      </c>
      <c r="AC377" s="649" t="s">
        <v>1440</v>
      </c>
      <c r="AE377">
        <v>0</v>
      </c>
      <c r="AF377" t="s">
        <v>2080</v>
      </c>
      <c r="AH377" s="644"/>
      <c r="AY377">
        <v>31</v>
      </c>
      <c r="AZ377">
        <v>1</v>
      </c>
      <c r="BA377" t="s">
        <v>2308</v>
      </c>
    </row>
    <row r="378" spans="1:54">
      <c r="A378">
        <v>26</v>
      </c>
      <c r="B378" s="678" t="s">
        <v>2331</v>
      </c>
      <c r="C378" s="564">
        <v>7</v>
      </c>
      <c r="D378" s="37">
        <v>8</v>
      </c>
      <c r="E378" s="529">
        <v>1</v>
      </c>
      <c r="F378" s="37">
        <v>6</v>
      </c>
      <c r="G378" s="37">
        <v>7</v>
      </c>
      <c r="H378" s="37">
        <v>3</v>
      </c>
      <c r="I378" s="37">
        <v>5</v>
      </c>
      <c r="J378" s="37">
        <v>5</v>
      </c>
      <c r="K378" s="37">
        <v>4</v>
      </c>
      <c r="L378" s="37">
        <v>3</v>
      </c>
      <c r="M378" s="683">
        <v>4</v>
      </c>
      <c r="O378" s="684">
        <v>4</v>
      </c>
      <c r="P378" s="682">
        <f t="shared" si="24"/>
        <v>4.75</v>
      </c>
      <c r="R378" s="748" t="s">
        <v>2303</v>
      </c>
      <c r="S378">
        <v>22</v>
      </c>
      <c r="T378" s="762">
        <v>0</v>
      </c>
      <c r="U378" s="399">
        <v>9</v>
      </c>
      <c r="AC378" s="677" t="s">
        <v>2339</v>
      </c>
      <c r="AD378">
        <v>27</v>
      </c>
      <c r="AE378">
        <v>1</v>
      </c>
      <c r="AF378">
        <v>3.3333333333333335</v>
      </c>
      <c r="AH378" s="644"/>
      <c r="AY378">
        <v>31</v>
      </c>
      <c r="AZ378">
        <v>2</v>
      </c>
      <c r="BA378" t="s">
        <v>2308</v>
      </c>
    </row>
    <row r="379" spans="1:54">
      <c r="A379">
        <v>26</v>
      </c>
      <c r="B379" s="678" t="s">
        <v>2332</v>
      </c>
      <c r="C379" s="37">
        <v>9</v>
      </c>
      <c r="D379" s="37">
        <v>7</v>
      </c>
      <c r="E379" s="37">
        <v>6</v>
      </c>
      <c r="F379" s="37">
        <v>8</v>
      </c>
      <c r="G379" s="37">
        <v>2</v>
      </c>
      <c r="H379" s="37">
        <v>4</v>
      </c>
      <c r="I379" s="529">
        <v>1</v>
      </c>
      <c r="J379" s="564">
        <v>2</v>
      </c>
      <c r="K379" s="683">
        <v>5</v>
      </c>
      <c r="L379" s="684">
        <v>5</v>
      </c>
      <c r="M379" s="12"/>
      <c r="O379" s="1490">
        <v>0</v>
      </c>
      <c r="P379" s="682">
        <f t="shared" si="24"/>
        <v>4.4545454545454541</v>
      </c>
      <c r="R379" s="748" t="s">
        <v>2406</v>
      </c>
      <c r="S379">
        <v>33</v>
      </c>
      <c r="T379" s="762">
        <v>0</v>
      </c>
      <c r="U379" s="399">
        <v>9</v>
      </c>
      <c r="AC379" s="678" t="s">
        <v>2340</v>
      </c>
      <c r="AD379">
        <v>27</v>
      </c>
      <c r="AE379">
        <v>7</v>
      </c>
      <c r="AF379">
        <v>2.0833333333333335</v>
      </c>
      <c r="AH379" s="681"/>
      <c r="AY379">
        <v>31</v>
      </c>
      <c r="AZ379">
        <v>3</v>
      </c>
      <c r="BA379" t="s">
        <v>2365</v>
      </c>
    </row>
    <row r="380" spans="1:54">
      <c r="A380">
        <v>26</v>
      </c>
      <c r="B380" s="678" t="s">
        <v>2333</v>
      </c>
      <c r="C380" s="37">
        <v>4</v>
      </c>
      <c r="D380" s="37">
        <v>3</v>
      </c>
      <c r="E380" s="37">
        <v>5</v>
      </c>
      <c r="F380" s="37">
        <v>3</v>
      </c>
      <c r="G380" s="529">
        <v>1</v>
      </c>
      <c r="H380" s="37">
        <v>2</v>
      </c>
      <c r="I380" s="683">
        <v>6</v>
      </c>
      <c r="J380" s="685">
        <v>6</v>
      </c>
      <c r="K380" s="12"/>
      <c r="L380" s="12"/>
      <c r="M380" s="1490">
        <v>0</v>
      </c>
      <c r="O380" s="1490">
        <v>0</v>
      </c>
      <c r="P380" s="682">
        <f t="shared" si="24"/>
        <v>3</v>
      </c>
      <c r="R380" s="748" t="s">
        <v>2422</v>
      </c>
      <c r="S380">
        <v>34</v>
      </c>
      <c r="T380" s="762">
        <v>0</v>
      </c>
      <c r="U380" s="399">
        <v>9</v>
      </c>
      <c r="AC380" s="678" t="s">
        <v>2341</v>
      </c>
      <c r="AD380">
        <v>27</v>
      </c>
      <c r="AE380">
        <v>1</v>
      </c>
      <c r="AF380">
        <v>4.333333333333333</v>
      </c>
      <c r="AH380" s="681"/>
      <c r="AY380">
        <v>31</v>
      </c>
      <c r="AZ380">
        <v>4</v>
      </c>
      <c r="BA380" t="s">
        <v>2128</v>
      </c>
    </row>
    <row r="381" spans="1:54">
      <c r="A381">
        <v>26</v>
      </c>
      <c r="B381" s="678" t="s">
        <v>2334</v>
      </c>
      <c r="C381" s="37">
        <v>2</v>
      </c>
      <c r="D381" s="37">
        <v>6</v>
      </c>
      <c r="E381" s="37">
        <v>8</v>
      </c>
      <c r="F381" s="680">
        <v>5</v>
      </c>
      <c r="G381" s="37">
        <v>3</v>
      </c>
      <c r="H381" s="684">
        <v>7</v>
      </c>
      <c r="I381" s="12"/>
      <c r="J381" s="12"/>
      <c r="K381" s="1490">
        <v>0</v>
      </c>
      <c r="L381" s="1490">
        <v>0</v>
      </c>
      <c r="M381" s="12"/>
      <c r="O381" s="12"/>
      <c r="P381" s="682">
        <f t="shared" si="24"/>
        <v>3.875</v>
      </c>
      <c r="R381" s="748" t="s">
        <v>2446</v>
      </c>
      <c r="S381">
        <v>36</v>
      </c>
      <c r="T381" s="762">
        <v>0</v>
      </c>
      <c r="U381" s="399">
        <v>9</v>
      </c>
      <c r="AC381" s="678" t="s">
        <v>2342</v>
      </c>
      <c r="AD381">
        <v>27</v>
      </c>
      <c r="AE381">
        <v>0</v>
      </c>
      <c r="AF381">
        <v>5.2727272727272725</v>
      </c>
      <c r="AH381" s="681"/>
      <c r="AY381">
        <v>31</v>
      </c>
      <c r="AZ381">
        <v>5</v>
      </c>
      <c r="BA381" t="s">
        <v>2365</v>
      </c>
    </row>
    <row r="382" spans="1:54">
      <c r="A382">
        <v>26</v>
      </c>
      <c r="B382" s="681" t="s">
        <v>2335</v>
      </c>
      <c r="C382" s="674">
        <v>6</v>
      </c>
      <c r="D382" s="37">
        <v>5</v>
      </c>
      <c r="E382" s="37">
        <v>7</v>
      </c>
      <c r="F382" s="529">
        <v>1</v>
      </c>
      <c r="G382" s="684">
        <v>8</v>
      </c>
      <c r="H382" s="12"/>
      <c r="I382" s="1490">
        <v>0</v>
      </c>
      <c r="J382" s="1490">
        <v>0</v>
      </c>
      <c r="K382" s="1490">
        <v>0</v>
      </c>
      <c r="L382" s="12"/>
      <c r="M382" s="12"/>
      <c r="O382" s="12"/>
      <c r="P382" s="682">
        <f t="shared" si="24"/>
        <v>3.375</v>
      </c>
      <c r="R382" s="748" t="s">
        <v>2447</v>
      </c>
      <c r="S382">
        <v>36</v>
      </c>
      <c r="T382" s="762">
        <v>0</v>
      </c>
      <c r="U382" s="399">
        <v>9</v>
      </c>
      <c r="AC382" s="678" t="s">
        <v>2343</v>
      </c>
      <c r="AD382">
        <v>27</v>
      </c>
      <c r="AE382">
        <v>1</v>
      </c>
      <c r="AF382">
        <v>4.3</v>
      </c>
      <c r="AH382" s="681"/>
      <c r="AY382">
        <v>31</v>
      </c>
      <c r="AZ382">
        <v>6</v>
      </c>
      <c r="BA382" t="s">
        <v>2352</v>
      </c>
    </row>
    <row r="383" spans="1:54">
      <c r="A383">
        <v>26</v>
      </c>
      <c r="B383" s="681" t="s">
        <v>2336</v>
      </c>
      <c r="C383" s="674">
        <v>5</v>
      </c>
      <c r="D383" s="37">
        <v>4</v>
      </c>
      <c r="E383" s="683">
        <v>9</v>
      </c>
      <c r="F383" s="684">
        <v>9</v>
      </c>
      <c r="G383" s="12"/>
      <c r="H383" s="1490">
        <v>0</v>
      </c>
      <c r="I383" s="1490">
        <v>0</v>
      </c>
      <c r="J383" s="1490">
        <v>0</v>
      </c>
      <c r="K383" s="12"/>
      <c r="L383" s="12"/>
      <c r="M383" s="12"/>
      <c r="O383" s="12"/>
      <c r="P383" s="682">
        <f t="shared" si="24"/>
        <v>3.8571428571428572</v>
      </c>
      <c r="R383" s="750" t="s">
        <v>2445</v>
      </c>
      <c r="S383">
        <v>36</v>
      </c>
      <c r="T383" s="762">
        <v>0</v>
      </c>
      <c r="U383" s="399">
        <v>9.1999999999999993</v>
      </c>
      <c r="AC383" s="678" t="s">
        <v>2344</v>
      </c>
      <c r="AD383">
        <v>27</v>
      </c>
      <c r="AE383">
        <v>2</v>
      </c>
      <c r="AF383">
        <v>3.2222222222222223</v>
      </c>
      <c r="AH383" s="681"/>
      <c r="AY383">
        <v>31</v>
      </c>
      <c r="AZ383">
        <v>7</v>
      </c>
      <c r="BA383" t="s">
        <v>2352</v>
      </c>
    </row>
    <row r="384" spans="1:54">
      <c r="A384">
        <v>26</v>
      </c>
      <c r="B384" s="681" t="s">
        <v>2337</v>
      </c>
      <c r="C384" s="674">
        <v>10</v>
      </c>
      <c r="D384" s="684">
        <v>10</v>
      </c>
      <c r="E384" s="12"/>
      <c r="F384" s="12"/>
      <c r="G384" s="1492">
        <v>0</v>
      </c>
      <c r="H384" s="1490">
        <v>0</v>
      </c>
      <c r="I384" s="12"/>
      <c r="J384" s="12"/>
      <c r="K384" s="12"/>
      <c r="L384" s="12"/>
      <c r="M384" s="12"/>
      <c r="O384" s="12"/>
      <c r="P384" s="682">
        <f t="shared" si="24"/>
        <v>5</v>
      </c>
      <c r="R384" s="750" t="s">
        <v>2298</v>
      </c>
      <c r="S384">
        <v>24</v>
      </c>
      <c r="T384" s="762">
        <v>0</v>
      </c>
      <c r="U384" s="399">
        <v>9.3333333333333339</v>
      </c>
      <c r="AC384" s="678" t="s">
        <v>2345</v>
      </c>
      <c r="AD384">
        <v>27</v>
      </c>
      <c r="AE384">
        <v>0</v>
      </c>
      <c r="AF384">
        <v>5.5714285714285712</v>
      </c>
      <c r="AH384" s="681"/>
      <c r="AY384">
        <v>31</v>
      </c>
      <c r="AZ384">
        <v>8</v>
      </c>
      <c r="BA384" t="s">
        <v>2352</v>
      </c>
    </row>
    <row r="385" spans="1:58">
      <c r="A385">
        <v>26</v>
      </c>
      <c r="B385" s="678" t="s">
        <v>2338</v>
      </c>
      <c r="C385" s="690">
        <v>11</v>
      </c>
      <c r="D385" s="12"/>
      <c r="E385" s="12"/>
      <c r="F385" s="12"/>
      <c r="G385" s="12"/>
      <c r="H385" s="12"/>
      <c r="I385" s="12"/>
      <c r="J385" s="12"/>
      <c r="K385" s="12"/>
      <c r="L385" s="12"/>
      <c r="M385" s="12"/>
      <c r="O385" s="12"/>
      <c r="P385" s="682">
        <f t="shared" si="24"/>
        <v>11</v>
      </c>
      <c r="R385" s="750" t="s">
        <v>2421</v>
      </c>
      <c r="S385">
        <v>34</v>
      </c>
      <c r="T385" s="762">
        <v>0</v>
      </c>
      <c r="U385" s="399">
        <v>9.3333333333333339</v>
      </c>
      <c r="AC385" s="681" t="s">
        <v>2346</v>
      </c>
      <c r="AD385">
        <v>27</v>
      </c>
      <c r="AE385">
        <v>0</v>
      </c>
      <c r="AF385">
        <v>5.8</v>
      </c>
      <c r="AH385" s="681"/>
      <c r="AY385">
        <v>31</v>
      </c>
      <c r="AZ385">
        <v>9</v>
      </c>
      <c r="BA385" t="s">
        <v>2352</v>
      </c>
    </row>
    <row r="386" spans="1:58">
      <c r="C386" s="1503"/>
      <c r="D386" s="12"/>
      <c r="E386" s="12"/>
      <c r="F386" s="12"/>
      <c r="G386" s="12"/>
      <c r="H386" s="12"/>
      <c r="I386" s="12"/>
      <c r="J386" s="12"/>
      <c r="K386" s="12"/>
      <c r="L386" s="12"/>
      <c r="M386" s="12"/>
      <c r="O386" s="12"/>
      <c r="P386" s="673"/>
      <c r="R386" s="748" t="s">
        <v>2158</v>
      </c>
      <c r="S386">
        <v>7</v>
      </c>
      <c r="T386" s="762">
        <v>0</v>
      </c>
      <c r="U386" s="399">
        <v>9.5</v>
      </c>
      <c r="AC386" s="681" t="s">
        <v>2347</v>
      </c>
      <c r="AD386">
        <v>27</v>
      </c>
      <c r="AE386">
        <v>0</v>
      </c>
      <c r="AF386">
        <v>8.3333333333333339</v>
      </c>
      <c r="AH386" s="681"/>
      <c r="AY386">
        <v>31</v>
      </c>
      <c r="AZ386">
        <v>10</v>
      </c>
      <c r="BA386" t="s">
        <v>2128</v>
      </c>
    </row>
    <row r="387" spans="1:58" ht="21">
      <c r="B387" s="1" t="s">
        <v>95</v>
      </c>
      <c r="C387" s="1503"/>
      <c r="D387" s="12"/>
      <c r="E387" s="12"/>
      <c r="F387" s="12"/>
      <c r="G387" s="12"/>
      <c r="H387" s="12"/>
      <c r="I387" s="12"/>
      <c r="J387" s="12"/>
      <c r="K387" s="12"/>
      <c r="L387" s="12"/>
      <c r="M387" s="12"/>
      <c r="O387" s="12"/>
      <c r="P387" s="673"/>
      <c r="R387" s="748" t="s">
        <v>2213</v>
      </c>
      <c r="S387">
        <v>13</v>
      </c>
      <c r="T387" s="762">
        <v>0</v>
      </c>
      <c r="U387" s="399">
        <v>9.5</v>
      </c>
      <c r="AC387" s="681" t="s">
        <v>2348</v>
      </c>
      <c r="AD387">
        <v>27</v>
      </c>
      <c r="AE387">
        <v>0</v>
      </c>
      <c r="AF387">
        <v>8</v>
      </c>
      <c r="AH387" s="644"/>
      <c r="AY387">
        <v>31</v>
      </c>
      <c r="AZ387">
        <v>11</v>
      </c>
      <c r="BA387" t="s">
        <v>2308</v>
      </c>
    </row>
    <row r="388" spans="1:58" ht="21" customHeight="1">
      <c r="B388" s="649" t="s">
        <v>1440</v>
      </c>
      <c r="C388" s="646" t="s">
        <v>2795</v>
      </c>
      <c r="D388" s="646" t="s">
        <v>2798</v>
      </c>
      <c r="E388" s="646" t="s">
        <v>2799</v>
      </c>
      <c r="F388" s="646" t="s">
        <v>2800</v>
      </c>
      <c r="G388" s="646" t="s">
        <v>2801</v>
      </c>
      <c r="H388" s="646" t="s">
        <v>2802</v>
      </c>
      <c r="I388" s="646" t="s">
        <v>2803</v>
      </c>
      <c r="J388" s="646" t="s">
        <v>2804</v>
      </c>
      <c r="K388" s="646" t="s">
        <v>2805</v>
      </c>
      <c r="L388" s="646" t="s">
        <v>2806</v>
      </c>
      <c r="M388" s="646" t="s">
        <v>2807</v>
      </c>
      <c r="N388" s="646"/>
      <c r="O388" s="646" t="s">
        <v>2810</v>
      </c>
      <c r="P388" s="647" t="s">
        <v>2080</v>
      </c>
      <c r="R388" s="748" t="s">
        <v>2224</v>
      </c>
      <c r="S388">
        <v>14</v>
      </c>
      <c r="T388" s="762">
        <v>0</v>
      </c>
      <c r="U388" s="399">
        <v>9.5</v>
      </c>
      <c r="AC388" s="678" t="s">
        <v>2349</v>
      </c>
      <c r="AD388">
        <v>27</v>
      </c>
      <c r="AE388">
        <v>0</v>
      </c>
      <c r="AF388">
        <v>11</v>
      </c>
      <c r="AH388" s="644"/>
      <c r="AY388">
        <v>31</v>
      </c>
      <c r="AZ388" t="s">
        <v>2810</v>
      </c>
      <c r="BA388" t="s">
        <v>2128</v>
      </c>
    </row>
    <row r="389" spans="1:58">
      <c r="A389">
        <v>27</v>
      </c>
      <c r="B389" s="677" t="s">
        <v>2339</v>
      </c>
      <c r="C389" s="37">
        <v>8</v>
      </c>
      <c r="D389" s="37">
        <v>7</v>
      </c>
      <c r="E389" s="37">
        <v>3</v>
      </c>
      <c r="F389" s="37">
        <v>4</v>
      </c>
      <c r="G389" s="37">
        <v>4</v>
      </c>
      <c r="H389" s="37">
        <v>3</v>
      </c>
      <c r="I389" s="37">
        <v>2</v>
      </c>
      <c r="J389" s="37">
        <v>2</v>
      </c>
      <c r="K389" s="564">
        <v>2</v>
      </c>
      <c r="L389" s="37">
        <v>2</v>
      </c>
      <c r="M389" s="37">
        <v>2</v>
      </c>
      <c r="O389" s="699">
        <v>1</v>
      </c>
      <c r="P389" s="682">
        <f t="shared" ref="P389:P399" si="25">AVERAGE(C389:O389)</f>
        <v>3.3333333333333335</v>
      </c>
      <c r="R389" s="748" t="s">
        <v>2236</v>
      </c>
      <c r="S389">
        <v>15</v>
      </c>
      <c r="T389" s="762">
        <v>0</v>
      </c>
      <c r="U389" s="399">
        <v>9.5</v>
      </c>
      <c r="AE389">
        <v>0</v>
      </c>
      <c r="AH389" s="644"/>
      <c r="AY389">
        <v>32</v>
      </c>
      <c r="AZ389">
        <v>1</v>
      </c>
      <c r="BA389" t="s">
        <v>2390</v>
      </c>
    </row>
    <row r="390" spans="1:58" ht="21">
      <c r="A390">
        <v>27</v>
      </c>
      <c r="B390" s="678" t="s">
        <v>2340</v>
      </c>
      <c r="C390" s="37">
        <v>9</v>
      </c>
      <c r="D390" s="529">
        <v>1</v>
      </c>
      <c r="E390" s="37">
        <v>2</v>
      </c>
      <c r="F390" s="529">
        <v>1</v>
      </c>
      <c r="G390" s="37">
        <v>2</v>
      </c>
      <c r="H390" s="529">
        <v>1</v>
      </c>
      <c r="I390" s="529">
        <v>1</v>
      </c>
      <c r="J390" s="529">
        <v>1</v>
      </c>
      <c r="K390" s="529">
        <v>1</v>
      </c>
      <c r="L390" s="686">
        <v>1</v>
      </c>
      <c r="M390" s="37">
        <v>3</v>
      </c>
      <c r="O390" s="37">
        <v>2</v>
      </c>
      <c r="P390" s="682">
        <f t="shared" si="25"/>
        <v>2.0833333333333335</v>
      </c>
      <c r="R390" s="750" t="s">
        <v>2258</v>
      </c>
      <c r="S390">
        <v>17</v>
      </c>
      <c r="T390" s="762">
        <v>0</v>
      </c>
      <c r="U390" s="399">
        <v>9.5</v>
      </c>
      <c r="AC390" s="1" t="s">
        <v>85</v>
      </c>
      <c r="AE390">
        <v>0</v>
      </c>
      <c r="AH390" s="644"/>
      <c r="AY390">
        <v>32</v>
      </c>
      <c r="AZ390">
        <v>2</v>
      </c>
      <c r="BA390" t="s">
        <v>2390</v>
      </c>
    </row>
    <row r="391" spans="1:58" ht="18">
      <c r="A391">
        <v>27</v>
      </c>
      <c r="B391" s="678" t="s">
        <v>2341</v>
      </c>
      <c r="C391" s="37">
        <v>5</v>
      </c>
      <c r="D391" s="37">
        <v>4</v>
      </c>
      <c r="E391" s="37">
        <v>5</v>
      </c>
      <c r="F391" s="37">
        <v>6</v>
      </c>
      <c r="G391" s="37">
        <v>6</v>
      </c>
      <c r="H391" s="37">
        <v>6</v>
      </c>
      <c r="I391" s="37">
        <v>5</v>
      </c>
      <c r="J391" s="37">
        <v>4</v>
      </c>
      <c r="K391" s="37">
        <v>3</v>
      </c>
      <c r="L391" s="376">
        <v>4</v>
      </c>
      <c r="M391" s="529">
        <v>1</v>
      </c>
      <c r="O391" s="37">
        <v>3</v>
      </c>
      <c r="P391" s="682">
        <f t="shared" si="25"/>
        <v>4.333333333333333</v>
      </c>
      <c r="R391" s="750" t="s">
        <v>2271</v>
      </c>
      <c r="S391">
        <v>19</v>
      </c>
      <c r="T391" s="762">
        <v>0</v>
      </c>
      <c r="U391" s="399">
        <v>9.5</v>
      </c>
      <c r="AC391" s="649" t="s">
        <v>1440</v>
      </c>
      <c r="AE391">
        <v>0</v>
      </c>
      <c r="AF391" t="s">
        <v>2080</v>
      </c>
      <c r="AH391" s="644"/>
      <c r="AY391">
        <v>32</v>
      </c>
      <c r="AZ391">
        <v>3</v>
      </c>
      <c r="BA391" t="s">
        <v>2389</v>
      </c>
    </row>
    <row r="392" spans="1:58">
      <c r="A392">
        <v>27</v>
      </c>
      <c r="B392" s="678" t="s">
        <v>2342</v>
      </c>
      <c r="C392" s="37">
        <v>10</v>
      </c>
      <c r="D392" s="37">
        <v>6</v>
      </c>
      <c r="E392" s="37">
        <v>8</v>
      </c>
      <c r="F392" s="691">
        <v>8</v>
      </c>
      <c r="G392" s="37">
        <v>5</v>
      </c>
      <c r="H392" s="37">
        <v>2</v>
      </c>
      <c r="I392" s="37">
        <v>3</v>
      </c>
      <c r="J392" s="37">
        <v>5</v>
      </c>
      <c r="K392" s="37">
        <v>4</v>
      </c>
      <c r="L392" s="37">
        <v>3</v>
      </c>
      <c r="M392" s="684">
        <v>4</v>
      </c>
      <c r="O392" s="12"/>
      <c r="P392" s="682">
        <f t="shared" si="25"/>
        <v>5.2727272727272725</v>
      </c>
      <c r="R392" s="750" t="s">
        <v>2360</v>
      </c>
      <c r="S392">
        <v>28</v>
      </c>
      <c r="T392" s="762">
        <v>0</v>
      </c>
      <c r="U392" s="399">
        <v>9.5</v>
      </c>
      <c r="AC392" s="677" t="s">
        <v>2350</v>
      </c>
      <c r="AD392">
        <v>28</v>
      </c>
      <c r="AE392">
        <v>2</v>
      </c>
      <c r="AF392">
        <v>3.1666666666666665</v>
      </c>
      <c r="AH392" s="644"/>
      <c r="AY392">
        <v>32</v>
      </c>
      <c r="AZ392">
        <v>4</v>
      </c>
      <c r="BA392" t="s">
        <v>2389</v>
      </c>
    </row>
    <row r="393" spans="1:58">
      <c r="A393">
        <v>27</v>
      </c>
      <c r="B393" s="678" t="s">
        <v>2343</v>
      </c>
      <c r="C393" s="37">
        <v>4</v>
      </c>
      <c r="D393" s="37">
        <v>3</v>
      </c>
      <c r="E393" s="37">
        <v>6</v>
      </c>
      <c r="F393" s="37">
        <v>3</v>
      </c>
      <c r="G393" s="687">
        <v>1</v>
      </c>
      <c r="H393" s="683">
        <v>7</v>
      </c>
      <c r="I393" s="37">
        <v>6</v>
      </c>
      <c r="J393" s="37">
        <v>3</v>
      </c>
      <c r="K393" s="37">
        <v>5</v>
      </c>
      <c r="L393" s="684">
        <v>5</v>
      </c>
      <c r="M393" s="12"/>
      <c r="O393" s="1490">
        <v>0</v>
      </c>
      <c r="P393" s="682">
        <f t="shared" si="25"/>
        <v>3.9090909090909092</v>
      </c>
      <c r="R393" s="748" t="s">
        <v>2370</v>
      </c>
      <c r="S393">
        <v>29</v>
      </c>
      <c r="T393" s="762">
        <v>0</v>
      </c>
      <c r="U393" s="399">
        <v>9.5</v>
      </c>
      <c r="AC393" s="678" t="s">
        <v>2351</v>
      </c>
      <c r="AD393">
        <v>28</v>
      </c>
      <c r="AE393">
        <v>0</v>
      </c>
      <c r="AF393">
        <v>5.583333333333333</v>
      </c>
      <c r="AH393" s="681"/>
      <c r="AY393">
        <v>32</v>
      </c>
      <c r="AZ393">
        <v>5</v>
      </c>
      <c r="BA393" t="s">
        <v>2391</v>
      </c>
    </row>
    <row r="394" spans="1:58">
      <c r="A394">
        <v>27</v>
      </c>
      <c r="B394" s="678" t="s">
        <v>2344</v>
      </c>
      <c r="C394" s="529">
        <v>1</v>
      </c>
      <c r="D394" s="37">
        <v>2</v>
      </c>
      <c r="E394" s="529">
        <v>1</v>
      </c>
      <c r="F394" s="8">
        <v>2</v>
      </c>
      <c r="G394" s="37">
        <v>3</v>
      </c>
      <c r="H394" s="37">
        <v>4</v>
      </c>
      <c r="I394" s="37">
        <v>4</v>
      </c>
      <c r="J394" s="683">
        <v>6</v>
      </c>
      <c r="K394" s="685">
        <v>6</v>
      </c>
      <c r="L394" s="12"/>
      <c r="M394" s="1490">
        <v>0</v>
      </c>
      <c r="O394" s="1490">
        <v>0</v>
      </c>
      <c r="P394" s="682">
        <f t="shared" si="25"/>
        <v>2.6363636363636362</v>
      </c>
      <c r="R394" s="748" t="s">
        <v>2398</v>
      </c>
      <c r="S394">
        <v>32</v>
      </c>
      <c r="T394" s="762">
        <v>0</v>
      </c>
      <c r="U394" s="399">
        <v>9.5</v>
      </c>
      <c r="AC394" s="678" t="s">
        <v>2352</v>
      </c>
      <c r="AD394">
        <v>28</v>
      </c>
      <c r="AE394">
        <v>5</v>
      </c>
      <c r="AF394">
        <v>2.4166666666666665</v>
      </c>
      <c r="AH394" s="681"/>
      <c r="AY394">
        <v>32</v>
      </c>
      <c r="AZ394">
        <v>6</v>
      </c>
      <c r="BA394" t="s">
        <v>2392</v>
      </c>
    </row>
    <row r="395" spans="1:58">
      <c r="A395">
        <v>27</v>
      </c>
      <c r="B395" s="678" t="s">
        <v>2345</v>
      </c>
      <c r="C395" s="37">
        <v>3</v>
      </c>
      <c r="D395" s="37">
        <v>5</v>
      </c>
      <c r="E395" s="37">
        <v>7</v>
      </c>
      <c r="F395" s="680">
        <v>5</v>
      </c>
      <c r="G395" s="37">
        <v>7</v>
      </c>
      <c r="H395" s="37">
        <v>5</v>
      </c>
      <c r="I395" s="684">
        <v>7</v>
      </c>
      <c r="J395" s="12"/>
      <c r="K395" s="1490">
        <v>0</v>
      </c>
      <c r="L395" s="1490">
        <v>0</v>
      </c>
      <c r="M395" s="12"/>
      <c r="O395" s="12"/>
      <c r="P395" s="682">
        <f t="shared" si="25"/>
        <v>4.333333333333333</v>
      </c>
      <c r="R395" s="748" t="s">
        <v>2168</v>
      </c>
      <c r="S395">
        <v>8</v>
      </c>
      <c r="T395" s="762">
        <v>0</v>
      </c>
      <c r="U395" s="399">
        <v>10</v>
      </c>
      <c r="AC395" s="678" t="s">
        <v>2353</v>
      </c>
      <c r="AD395">
        <v>28</v>
      </c>
      <c r="AE395">
        <v>0</v>
      </c>
      <c r="AF395">
        <v>3.2727272727272729</v>
      </c>
      <c r="AH395" s="681"/>
      <c r="AY395">
        <v>32</v>
      </c>
      <c r="AZ395">
        <v>7</v>
      </c>
      <c r="BA395" t="s">
        <v>2389</v>
      </c>
    </row>
    <row r="396" spans="1:58">
      <c r="A396">
        <v>27</v>
      </c>
      <c r="B396" s="681" t="s">
        <v>2346</v>
      </c>
      <c r="C396" s="674">
        <v>2</v>
      </c>
      <c r="D396" s="37">
        <v>8</v>
      </c>
      <c r="E396" s="37">
        <v>4</v>
      </c>
      <c r="F396" s="37">
        <v>7</v>
      </c>
      <c r="G396" s="684">
        <v>8</v>
      </c>
      <c r="H396" s="12"/>
      <c r="I396" s="1490">
        <v>0</v>
      </c>
      <c r="J396" s="1490">
        <v>0</v>
      </c>
      <c r="K396" s="1490">
        <v>0</v>
      </c>
      <c r="L396" s="12"/>
      <c r="M396" s="12"/>
      <c r="O396" s="12"/>
      <c r="P396" s="682">
        <f t="shared" si="25"/>
        <v>3.625</v>
      </c>
      <c r="R396" s="748" t="s">
        <v>2178</v>
      </c>
      <c r="S396">
        <v>9</v>
      </c>
      <c r="T396" s="762">
        <v>0</v>
      </c>
      <c r="U396" s="399">
        <v>10</v>
      </c>
      <c r="AC396" s="678" t="s">
        <v>2354</v>
      </c>
      <c r="AD396">
        <v>28</v>
      </c>
      <c r="AE396">
        <v>4</v>
      </c>
      <c r="AF396">
        <v>2.6</v>
      </c>
      <c r="AH396" s="644"/>
      <c r="AY396">
        <v>32</v>
      </c>
      <c r="AZ396">
        <v>8</v>
      </c>
      <c r="BA396" t="s">
        <v>2391</v>
      </c>
      <c r="BF396" s="35"/>
    </row>
    <row r="397" spans="1:58">
      <c r="A397">
        <v>27</v>
      </c>
      <c r="B397" s="681" t="s">
        <v>2347</v>
      </c>
      <c r="C397" s="674">
        <v>7</v>
      </c>
      <c r="D397" s="37">
        <v>9</v>
      </c>
      <c r="E397" s="684">
        <v>9</v>
      </c>
      <c r="F397" s="12"/>
      <c r="G397" s="12"/>
      <c r="H397" s="1490">
        <v>0</v>
      </c>
      <c r="I397" s="1490">
        <v>0</v>
      </c>
      <c r="J397" s="1490">
        <v>0</v>
      </c>
      <c r="K397" s="12"/>
      <c r="L397" s="12"/>
      <c r="M397" s="12"/>
      <c r="O397" s="12"/>
      <c r="P397" s="682">
        <f t="shared" si="25"/>
        <v>4.166666666666667</v>
      </c>
      <c r="R397" s="748" t="s">
        <v>2084</v>
      </c>
      <c r="S397">
        <v>11</v>
      </c>
      <c r="T397" s="762">
        <v>0</v>
      </c>
      <c r="U397" s="399">
        <v>10</v>
      </c>
      <c r="AC397" s="678" t="s">
        <v>2355</v>
      </c>
      <c r="AD397">
        <v>28</v>
      </c>
      <c r="AE397">
        <v>1</v>
      </c>
      <c r="AF397">
        <v>4.666666666666667</v>
      </c>
      <c r="AH397" s="644"/>
      <c r="AY397">
        <v>32</v>
      </c>
      <c r="AZ397">
        <v>9</v>
      </c>
      <c r="BA397" t="s">
        <v>2391</v>
      </c>
    </row>
    <row r="398" spans="1:58">
      <c r="A398">
        <v>27</v>
      </c>
      <c r="B398" s="681" t="s">
        <v>2348</v>
      </c>
      <c r="C398" s="674">
        <v>6</v>
      </c>
      <c r="D398" s="684">
        <v>10</v>
      </c>
      <c r="E398" s="12"/>
      <c r="F398" s="12"/>
      <c r="G398" s="1492">
        <v>0</v>
      </c>
      <c r="H398" s="1490">
        <v>0</v>
      </c>
      <c r="I398" s="12"/>
      <c r="J398" s="12"/>
      <c r="K398" s="12"/>
      <c r="L398" s="12"/>
      <c r="M398" s="12"/>
      <c r="O398" s="12"/>
      <c r="P398" s="682">
        <f t="shared" si="25"/>
        <v>4</v>
      </c>
      <c r="R398" s="748" t="s">
        <v>2247</v>
      </c>
      <c r="S398">
        <v>16</v>
      </c>
      <c r="T398" s="762">
        <v>0</v>
      </c>
      <c r="U398" s="399">
        <v>10</v>
      </c>
      <c r="AC398" s="678" t="s">
        <v>2356</v>
      </c>
      <c r="AD398">
        <v>28</v>
      </c>
      <c r="AE398">
        <v>0</v>
      </c>
      <c r="AF398">
        <v>7.4285714285714288</v>
      </c>
      <c r="AH398" s="644"/>
      <c r="AY398">
        <v>32</v>
      </c>
      <c r="AZ398">
        <v>10</v>
      </c>
      <c r="BA398" t="s">
        <v>2391</v>
      </c>
    </row>
    <row r="399" spans="1:58">
      <c r="A399">
        <v>27</v>
      </c>
      <c r="B399" s="678" t="s">
        <v>2349</v>
      </c>
      <c r="C399" s="684">
        <v>11</v>
      </c>
      <c r="D399" s="12"/>
      <c r="E399" s="12"/>
      <c r="F399" s="12"/>
      <c r="G399" s="12"/>
      <c r="H399" s="12"/>
      <c r="I399" s="12"/>
      <c r="J399" s="12"/>
      <c r="K399" s="12"/>
      <c r="L399" s="12"/>
      <c r="M399" s="12"/>
      <c r="O399" s="12"/>
      <c r="P399" s="682">
        <f t="shared" si="25"/>
        <v>11</v>
      </c>
      <c r="R399" s="748" t="s">
        <v>2337</v>
      </c>
      <c r="S399">
        <v>26</v>
      </c>
      <c r="T399" s="762">
        <v>0</v>
      </c>
      <c r="U399" s="399">
        <v>10</v>
      </c>
      <c r="AC399" s="681" t="s">
        <v>2357</v>
      </c>
      <c r="AD399">
        <v>28</v>
      </c>
      <c r="AE399">
        <v>0</v>
      </c>
      <c r="AF399">
        <v>7.2</v>
      </c>
      <c r="AH399" s="644"/>
      <c r="AY399">
        <v>32</v>
      </c>
      <c r="AZ399" t="s">
        <v>2810</v>
      </c>
      <c r="BA399" t="s">
        <v>2389</v>
      </c>
    </row>
    <row r="400" spans="1:58">
      <c r="C400" s="1503"/>
      <c r="D400" s="12"/>
      <c r="E400" s="12"/>
      <c r="F400" s="12"/>
      <c r="G400" s="12"/>
      <c r="H400" s="12"/>
      <c r="I400" s="12"/>
      <c r="J400" s="12"/>
      <c r="K400" s="12"/>
      <c r="L400" s="12"/>
      <c r="M400" s="12"/>
      <c r="O400" s="12"/>
      <c r="P400" s="673"/>
      <c r="R400" s="748" t="s">
        <v>2381</v>
      </c>
      <c r="S400">
        <v>30</v>
      </c>
      <c r="T400" s="762">
        <v>0</v>
      </c>
      <c r="U400" s="399">
        <v>10</v>
      </c>
      <c r="AC400" s="681" t="s">
        <v>2358</v>
      </c>
      <c r="AD400">
        <v>28</v>
      </c>
      <c r="AE400">
        <v>0</v>
      </c>
      <c r="AF400">
        <v>7</v>
      </c>
      <c r="AH400" s="681"/>
      <c r="AY400">
        <v>33</v>
      </c>
      <c r="AZ400">
        <v>1</v>
      </c>
      <c r="BA400" t="s">
        <v>2407</v>
      </c>
    </row>
    <row r="401" spans="1:58" ht="21">
      <c r="B401" s="1" t="s">
        <v>85</v>
      </c>
      <c r="C401" s="1503"/>
      <c r="D401" s="12"/>
      <c r="E401" s="12"/>
      <c r="F401" s="12"/>
      <c r="G401" s="12"/>
      <c r="H401" s="12"/>
      <c r="I401" s="12"/>
      <c r="J401" s="12"/>
      <c r="K401" s="12"/>
      <c r="L401" s="12"/>
      <c r="M401" s="12"/>
      <c r="O401" s="12"/>
      <c r="P401" s="673"/>
      <c r="R401" s="748" t="s">
        <v>2388</v>
      </c>
      <c r="S401">
        <v>31</v>
      </c>
      <c r="T401" s="762">
        <v>0</v>
      </c>
      <c r="U401" s="399">
        <v>10</v>
      </c>
      <c r="AC401" s="681" t="s">
        <v>2359</v>
      </c>
      <c r="AD401">
        <v>28</v>
      </c>
      <c r="AE401">
        <v>0</v>
      </c>
      <c r="AF401">
        <v>8</v>
      </c>
      <c r="AH401" s="681"/>
      <c r="AY401">
        <v>33</v>
      </c>
      <c r="AZ401">
        <v>2</v>
      </c>
      <c r="BA401" t="s">
        <v>2402</v>
      </c>
    </row>
    <row r="402" spans="1:58" ht="21" customHeight="1">
      <c r="B402" s="649" t="s">
        <v>1440</v>
      </c>
      <c r="C402" s="646" t="s">
        <v>2795</v>
      </c>
      <c r="D402" s="646" t="s">
        <v>2798</v>
      </c>
      <c r="E402" s="646" t="s">
        <v>2799</v>
      </c>
      <c r="F402" s="646" t="s">
        <v>2800</v>
      </c>
      <c r="G402" s="646" t="s">
        <v>2801</v>
      </c>
      <c r="H402" s="646" t="s">
        <v>2802</v>
      </c>
      <c r="I402" s="646" t="s">
        <v>2803</v>
      </c>
      <c r="J402" s="646" t="s">
        <v>2804</v>
      </c>
      <c r="K402" s="646" t="s">
        <v>2805</v>
      </c>
      <c r="L402" s="646" t="s">
        <v>2806</v>
      </c>
      <c r="M402" s="646" t="s">
        <v>2807</v>
      </c>
      <c r="N402" s="646"/>
      <c r="O402" s="646" t="s">
        <v>2810</v>
      </c>
      <c r="P402" s="647" t="s">
        <v>2080</v>
      </c>
      <c r="R402" s="748" t="s">
        <v>2567</v>
      </c>
      <c r="S402">
        <v>38</v>
      </c>
      <c r="T402" s="762">
        <v>0</v>
      </c>
      <c r="U402" s="399">
        <v>10.25</v>
      </c>
      <c r="AC402" s="678" t="s">
        <v>2360</v>
      </c>
      <c r="AD402">
        <v>28</v>
      </c>
      <c r="AE402">
        <v>0</v>
      </c>
      <c r="AF402">
        <v>9.5</v>
      </c>
      <c r="AH402" s="681"/>
      <c r="AY402">
        <v>33</v>
      </c>
      <c r="AZ402">
        <v>3</v>
      </c>
      <c r="BA402" t="s">
        <v>2400</v>
      </c>
    </row>
    <row r="403" spans="1:58">
      <c r="A403">
        <v>28</v>
      </c>
      <c r="B403" s="677" t="s">
        <v>2350</v>
      </c>
      <c r="C403" s="529">
        <v>1</v>
      </c>
      <c r="D403" s="37">
        <v>4</v>
      </c>
      <c r="E403" s="37">
        <v>4</v>
      </c>
      <c r="F403" s="37">
        <v>3</v>
      </c>
      <c r="G403" s="37">
        <v>3</v>
      </c>
      <c r="H403" s="37">
        <v>4</v>
      </c>
      <c r="I403" s="37">
        <v>4</v>
      </c>
      <c r="J403" s="37">
        <v>5</v>
      </c>
      <c r="K403" s="37">
        <v>4</v>
      </c>
      <c r="L403" s="37">
        <v>3</v>
      </c>
      <c r="M403" s="37">
        <v>2</v>
      </c>
      <c r="O403" s="699">
        <v>1</v>
      </c>
      <c r="P403" s="682">
        <f t="shared" ref="P403:P413" si="26">AVERAGE(C403:O403)</f>
        <v>3.1666666666666665</v>
      </c>
      <c r="R403" s="748" t="s">
        <v>2113</v>
      </c>
      <c r="S403">
        <v>3</v>
      </c>
      <c r="T403" s="762">
        <v>0</v>
      </c>
      <c r="U403" s="399">
        <v>10.5</v>
      </c>
      <c r="AE403">
        <v>0</v>
      </c>
      <c r="AY403">
        <v>33</v>
      </c>
      <c r="AZ403">
        <v>4</v>
      </c>
      <c r="BA403" t="s">
        <v>2402</v>
      </c>
    </row>
    <row r="404" spans="1:58" ht="21">
      <c r="A404">
        <v>28</v>
      </c>
      <c r="B404" s="678" t="s">
        <v>2351</v>
      </c>
      <c r="C404" s="37">
        <v>9</v>
      </c>
      <c r="D404" s="37">
        <v>8</v>
      </c>
      <c r="E404" s="37">
        <v>6</v>
      </c>
      <c r="F404" s="37">
        <v>7</v>
      </c>
      <c r="G404" s="37">
        <v>7</v>
      </c>
      <c r="H404" s="683">
        <v>7</v>
      </c>
      <c r="I404" s="37">
        <v>5</v>
      </c>
      <c r="J404" s="683">
        <v>6</v>
      </c>
      <c r="K404" s="37">
        <v>3</v>
      </c>
      <c r="L404" s="37">
        <v>4</v>
      </c>
      <c r="M404" s="37">
        <v>3</v>
      </c>
      <c r="O404" s="37">
        <v>2</v>
      </c>
      <c r="P404" s="682">
        <f t="shared" si="26"/>
        <v>5.583333333333333</v>
      </c>
      <c r="R404" s="748" t="s">
        <v>2091</v>
      </c>
      <c r="S404">
        <v>1</v>
      </c>
      <c r="T404" s="762">
        <v>0</v>
      </c>
      <c r="U404" s="399">
        <v>11</v>
      </c>
      <c r="AC404" s="1" t="s">
        <v>66</v>
      </c>
      <c r="AE404">
        <v>0</v>
      </c>
      <c r="AH404" s="644"/>
      <c r="AY404">
        <v>33</v>
      </c>
      <c r="AZ404">
        <v>5</v>
      </c>
      <c r="BA404" t="s">
        <v>2402</v>
      </c>
    </row>
    <row r="405" spans="1:58" ht="18">
      <c r="A405">
        <v>28</v>
      </c>
      <c r="B405" s="678" t="s">
        <v>2352</v>
      </c>
      <c r="C405" s="37">
        <v>2</v>
      </c>
      <c r="D405" s="529">
        <v>1</v>
      </c>
      <c r="E405" s="37">
        <v>2</v>
      </c>
      <c r="F405" s="37">
        <v>2</v>
      </c>
      <c r="G405" s="529">
        <v>1</v>
      </c>
      <c r="H405" s="37">
        <v>6</v>
      </c>
      <c r="I405" s="37">
        <v>6</v>
      </c>
      <c r="J405" s="37">
        <v>3</v>
      </c>
      <c r="K405" s="529">
        <v>1</v>
      </c>
      <c r="L405" s="686">
        <v>1</v>
      </c>
      <c r="M405" s="529">
        <v>1</v>
      </c>
      <c r="O405" s="37">
        <v>3</v>
      </c>
      <c r="P405" s="682">
        <f t="shared" si="26"/>
        <v>2.4166666666666665</v>
      </c>
      <c r="R405" s="748" t="s">
        <v>2102</v>
      </c>
      <c r="S405">
        <v>2</v>
      </c>
      <c r="T405" s="762">
        <v>0</v>
      </c>
      <c r="U405" s="399">
        <v>11</v>
      </c>
      <c r="AC405" s="649" t="s">
        <v>1440</v>
      </c>
      <c r="AE405">
        <v>0</v>
      </c>
      <c r="AF405" t="s">
        <v>2080</v>
      </c>
      <c r="AH405" s="644"/>
      <c r="AY405">
        <v>33</v>
      </c>
      <c r="AZ405">
        <v>6</v>
      </c>
      <c r="BA405" t="s">
        <v>2400</v>
      </c>
    </row>
    <row r="406" spans="1:58">
      <c r="A406">
        <v>28</v>
      </c>
      <c r="B406" s="678" t="s">
        <v>2353</v>
      </c>
      <c r="C406" s="37">
        <v>6</v>
      </c>
      <c r="D406" s="37">
        <v>3</v>
      </c>
      <c r="E406" s="37">
        <v>3</v>
      </c>
      <c r="F406" s="37">
        <v>4</v>
      </c>
      <c r="G406" s="37">
        <v>6</v>
      </c>
      <c r="H406" s="37">
        <v>2</v>
      </c>
      <c r="I406" s="37">
        <v>2</v>
      </c>
      <c r="J406" s="37">
        <v>2</v>
      </c>
      <c r="K406" s="37">
        <v>2</v>
      </c>
      <c r="L406" s="564">
        <v>2</v>
      </c>
      <c r="M406" s="684">
        <v>4</v>
      </c>
      <c r="O406" s="12"/>
      <c r="P406" s="682">
        <f t="shared" si="26"/>
        <v>3.2727272727272729</v>
      </c>
      <c r="R406" s="752" t="s">
        <v>2137</v>
      </c>
      <c r="S406" s="98">
        <v>5</v>
      </c>
      <c r="T406" s="72">
        <v>0</v>
      </c>
      <c r="U406" s="399">
        <v>11</v>
      </c>
      <c r="AC406" s="677" t="s">
        <v>2361</v>
      </c>
      <c r="AD406">
        <v>29</v>
      </c>
      <c r="AE406">
        <v>2</v>
      </c>
      <c r="AF406">
        <v>4.083333333333333</v>
      </c>
      <c r="AY406">
        <v>33</v>
      </c>
      <c r="AZ406">
        <v>7</v>
      </c>
      <c r="BA406" t="s">
        <v>2400</v>
      </c>
    </row>
    <row r="407" spans="1:58">
      <c r="A407">
        <v>28</v>
      </c>
      <c r="B407" s="678" t="s">
        <v>2354</v>
      </c>
      <c r="C407" s="37">
        <v>5</v>
      </c>
      <c r="D407" s="37">
        <v>2</v>
      </c>
      <c r="E407" s="529">
        <v>1</v>
      </c>
      <c r="F407" s="529">
        <v>1</v>
      </c>
      <c r="G407" s="37">
        <v>2</v>
      </c>
      <c r="H407" s="529">
        <v>1</v>
      </c>
      <c r="I407" s="37">
        <v>3</v>
      </c>
      <c r="J407" s="687">
        <v>1</v>
      </c>
      <c r="K407" s="37">
        <v>5</v>
      </c>
      <c r="L407" s="685">
        <v>5</v>
      </c>
      <c r="M407" s="12"/>
      <c r="O407" s="1490">
        <v>0</v>
      </c>
      <c r="P407" s="682">
        <f t="shared" si="26"/>
        <v>2.3636363636363638</v>
      </c>
      <c r="R407" s="752" t="s">
        <v>2148</v>
      </c>
      <c r="S407" s="98">
        <v>6</v>
      </c>
      <c r="T407" s="72">
        <v>0</v>
      </c>
      <c r="U407" s="399">
        <v>11</v>
      </c>
      <c r="AC407" s="678" t="s">
        <v>2362</v>
      </c>
      <c r="AD407">
        <v>29</v>
      </c>
      <c r="AE407">
        <v>3</v>
      </c>
      <c r="AF407">
        <v>3.0833333333333335</v>
      </c>
      <c r="AH407" s="644"/>
      <c r="AY407">
        <v>33</v>
      </c>
      <c r="AZ407">
        <v>8</v>
      </c>
      <c r="BA407" t="s">
        <v>2400</v>
      </c>
    </row>
    <row r="408" spans="1:58">
      <c r="A408">
        <v>28</v>
      </c>
      <c r="B408" s="678" t="s">
        <v>2355</v>
      </c>
      <c r="C408" s="37">
        <v>3</v>
      </c>
      <c r="D408" s="37">
        <v>6</v>
      </c>
      <c r="E408" s="37">
        <v>9</v>
      </c>
      <c r="F408" s="37">
        <v>5</v>
      </c>
      <c r="G408" s="37">
        <v>5</v>
      </c>
      <c r="H408" s="37">
        <v>3</v>
      </c>
      <c r="I408" s="529">
        <v>1</v>
      </c>
      <c r="J408" s="37">
        <v>4</v>
      </c>
      <c r="K408" s="684">
        <v>6</v>
      </c>
      <c r="L408" s="12"/>
      <c r="M408" s="1490">
        <v>0</v>
      </c>
      <c r="O408" s="1490">
        <v>0</v>
      </c>
      <c r="P408" s="682">
        <f t="shared" si="26"/>
        <v>3.8181818181818183</v>
      </c>
      <c r="R408" s="751" t="s">
        <v>2159</v>
      </c>
      <c r="S408" s="98">
        <v>7</v>
      </c>
      <c r="T408" s="72">
        <v>0</v>
      </c>
      <c r="U408" s="399">
        <v>11</v>
      </c>
      <c r="AC408" s="678" t="s">
        <v>2363</v>
      </c>
      <c r="AD408">
        <v>29</v>
      </c>
      <c r="AE408">
        <v>0</v>
      </c>
      <c r="AF408">
        <v>4.833333333333333</v>
      </c>
      <c r="AH408" s="644"/>
      <c r="AY408">
        <v>33</v>
      </c>
      <c r="AZ408">
        <v>9</v>
      </c>
      <c r="BA408" t="s">
        <v>2401</v>
      </c>
    </row>
    <row r="409" spans="1:58">
      <c r="A409">
        <v>28</v>
      </c>
      <c r="B409" s="678" t="s">
        <v>2356</v>
      </c>
      <c r="C409" s="683">
        <v>11</v>
      </c>
      <c r="D409" s="37">
        <v>9</v>
      </c>
      <c r="E409" s="37">
        <v>8</v>
      </c>
      <c r="F409" s="680">
        <v>8</v>
      </c>
      <c r="G409" s="37">
        <v>4</v>
      </c>
      <c r="H409" s="37">
        <v>5</v>
      </c>
      <c r="I409" s="684">
        <v>7</v>
      </c>
      <c r="J409" s="12"/>
      <c r="K409" s="1490">
        <v>0</v>
      </c>
      <c r="L409" s="1490">
        <v>0</v>
      </c>
      <c r="M409" s="12"/>
      <c r="O409" s="12"/>
      <c r="P409" s="682">
        <f t="shared" si="26"/>
        <v>5.7777777777777777</v>
      </c>
      <c r="R409" s="751" t="s">
        <v>2179</v>
      </c>
      <c r="S409" s="98">
        <v>9</v>
      </c>
      <c r="T409" s="72">
        <v>0</v>
      </c>
      <c r="U409" s="399">
        <v>11</v>
      </c>
      <c r="AC409" s="678" t="s">
        <v>2364</v>
      </c>
      <c r="AD409">
        <v>29</v>
      </c>
      <c r="AE409">
        <v>2</v>
      </c>
      <c r="AF409">
        <v>2.5454545454545454</v>
      </c>
      <c r="AH409" s="644"/>
      <c r="AY409">
        <v>33</v>
      </c>
      <c r="AZ409">
        <v>10</v>
      </c>
      <c r="BA409" t="s">
        <v>2401</v>
      </c>
    </row>
    <row r="410" spans="1:58">
      <c r="A410">
        <v>28</v>
      </c>
      <c r="B410" s="681" t="s">
        <v>2357</v>
      </c>
      <c r="C410" s="674">
        <v>10</v>
      </c>
      <c r="D410" s="37">
        <v>5</v>
      </c>
      <c r="E410" s="37">
        <v>7</v>
      </c>
      <c r="F410" s="37">
        <v>6</v>
      </c>
      <c r="G410" s="684">
        <v>8</v>
      </c>
      <c r="H410" s="12"/>
      <c r="I410" s="1490">
        <v>0</v>
      </c>
      <c r="J410" s="1490">
        <v>0</v>
      </c>
      <c r="K410" s="1490">
        <v>0</v>
      </c>
      <c r="L410" s="12"/>
      <c r="M410" s="12"/>
      <c r="O410" s="12"/>
      <c r="P410" s="682">
        <f t="shared" si="26"/>
        <v>4.5</v>
      </c>
      <c r="R410" s="751" t="s">
        <v>2190</v>
      </c>
      <c r="S410" s="98">
        <v>10</v>
      </c>
      <c r="T410" s="72">
        <v>0</v>
      </c>
      <c r="U410" s="399">
        <v>11</v>
      </c>
      <c r="AC410" s="678" t="s">
        <v>2365</v>
      </c>
      <c r="AD410">
        <v>29</v>
      </c>
      <c r="AE410">
        <v>2</v>
      </c>
      <c r="AF410">
        <v>3.4</v>
      </c>
      <c r="AH410" s="644"/>
      <c r="AY410">
        <v>33</v>
      </c>
      <c r="AZ410" t="s">
        <v>2810</v>
      </c>
      <c r="BA410" t="s">
        <v>2400</v>
      </c>
    </row>
    <row r="411" spans="1:58">
      <c r="A411">
        <v>28</v>
      </c>
      <c r="B411" s="681" t="s">
        <v>2358</v>
      </c>
      <c r="C411" s="674">
        <v>7</v>
      </c>
      <c r="D411" s="37">
        <v>7</v>
      </c>
      <c r="E411" s="37">
        <v>5</v>
      </c>
      <c r="F411" s="684">
        <v>9</v>
      </c>
      <c r="G411" s="12"/>
      <c r="H411" s="1490">
        <v>0</v>
      </c>
      <c r="I411" s="1490">
        <v>0</v>
      </c>
      <c r="J411" s="1490">
        <v>0</v>
      </c>
      <c r="K411" s="12"/>
      <c r="L411" s="12"/>
      <c r="M411" s="12"/>
      <c r="O411" s="12"/>
      <c r="P411" s="682">
        <f t="shared" si="26"/>
        <v>4</v>
      </c>
      <c r="R411" s="751" t="s">
        <v>2107</v>
      </c>
      <c r="S411" s="98">
        <v>11</v>
      </c>
      <c r="T411" s="72">
        <v>0</v>
      </c>
      <c r="U411" s="399">
        <v>11</v>
      </c>
      <c r="AC411" s="678" t="s">
        <v>2366</v>
      </c>
      <c r="AD411">
        <v>29</v>
      </c>
      <c r="AE411">
        <v>2</v>
      </c>
      <c r="AF411">
        <v>4.75</v>
      </c>
      <c r="AH411" s="644"/>
      <c r="AY411">
        <v>34</v>
      </c>
      <c r="AZ411">
        <v>1</v>
      </c>
      <c r="BA411" t="s">
        <v>2412</v>
      </c>
    </row>
    <row r="412" spans="1:58">
      <c r="A412">
        <v>28</v>
      </c>
      <c r="B412" s="681" t="s">
        <v>2359</v>
      </c>
      <c r="C412" s="674">
        <v>4</v>
      </c>
      <c r="D412" s="37">
        <v>10</v>
      </c>
      <c r="E412" s="684">
        <v>10</v>
      </c>
      <c r="F412" s="12"/>
      <c r="G412" s="1492">
        <v>0</v>
      </c>
      <c r="H412" s="1490">
        <v>0</v>
      </c>
      <c r="I412" s="12"/>
      <c r="J412" s="12"/>
      <c r="K412" s="12"/>
      <c r="L412" s="12"/>
      <c r="M412" s="12"/>
      <c r="O412" s="12"/>
      <c r="P412" s="682">
        <f t="shared" si="26"/>
        <v>4.8</v>
      </c>
      <c r="R412" s="751" t="s">
        <v>2203</v>
      </c>
      <c r="S412" s="98">
        <v>12</v>
      </c>
      <c r="T412" s="72">
        <v>0</v>
      </c>
      <c r="U412" s="399">
        <v>11</v>
      </c>
      <c r="AC412" s="678" t="s">
        <v>2367</v>
      </c>
      <c r="AD412">
        <v>29</v>
      </c>
      <c r="AE412">
        <v>0</v>
      </c>
      <c r="AF412">
        <v>4.833333333333333</v>
      </c>
      <c r="AH412" s="644"/>
      <c r="AY412">
        <v>34</v>
      </c>
      <c r="AZ412">
        <v>2</v>
      </c>
      <c r="BA412" t="s">
        <v>2416</v>
      </c>
    </row>
    <row r="413" spans="1:58">
      <c r="A413">
        <v>28</v>
      </c>
      <c r="B413" s="678" t="s">
        <v>2360</v>
      </c>
      <c r="C413" s="37">
        <v>8</v>
      </c>
      <c r="D413" s="684">
        <v>11</v>
      </c>
      <c r="E413" s="12"/>
      <c r="F413" s="12"/>
      <c r="G413" s="12"/>
      <c r="H413" s="12"/>
      <c r="I413" s="12"/>
      <c r="J413" s="12"/>
      <c r="K413" s="12"/>
      <c r="L413" s="12"/>
      <c r="M413" s="12"/>
      <c r="O413" s="12"/>
      <c r="P413" s="682">
        <f t="shared" si="26"/>
        <v>9.5</v>
      </c>
      <c r="R413" s="751" t="s">
        <v>2214</v>
      </c>
      <c r="S413" s="98">
        <v>13</v>
      </c>
      <c r="T413" s="72">
        <v>0</v>
      </c>
      <c r="U413" s="399">
        <v>11</v>
      </c>
      <c r="AC413" s="681" t="s">
        <v>2368</v>
      </c>
      <c r="AD413">
        <v>29</v>
      </c>
      <c r="AE413">
        <v>0</v>
      </c>
      <c r="AF413">
        <v>7.25</v>
      </c>
      <c r="AH413" s="644"/>
      <c r="AY413">
        <v>34</v>
      </c>
      <c r="AZ413">
        <v>3</v>
      </c>
      <c r="BA413" t="s">
        <v>2413</v>
      </c>
      <c r="BF413" s="35"/>
    </row>
    <row r="414" spans="1:58">
      <c r="C414" s="12"/>
      <c r="D414" s="12"/>
      <c r="E414" s="12"/>
      <c r="F414" s="12"/>
      <c r="G414" s="12"/>
      <c r="H414" s="12"/>
      <c r="I414" s="12"/>
      <c r="J414" s="12"/>
      <c r="K414" s="12"/>
      <c r="L414" s="12"/>
      <c r="M414" s="12"/>
      <c r="O414" s="12"/>
      <c r="P414" s="673"/>
      <c r="R414" s="751" t="s">
        <v>2225</v>
      </c>
      <c r="S414" s="98">
        <v>14</v>
      </c>
      <c r="T414" s="72">
        <v>0</v>
      </c>
      <c r="U414" s="399">
        <v>11</v>
      </c>
      <c r="AC414" s="681" t="s">
        <v>2369</v>
      </c>
      <c r="AD414">
        <v>29</v>
      </c>
      <c r="AE414">
        <v>1</v>
      </c>
      <c r="AF414">
        <v>4.666666666666667</v>
      </c>
      <c r="AH414" s="644"/>
      <c r="AY414">
        <v>34</v>
      </c>
      <c r="AZ414">
        <v>4</v>
      </c>
      <c r="BA414" t="s">
        <v>2414</v>
      </c>
    </row>
    <row r="415" spans="1:58" ht="21">
      <c r="B415" s="1" t="s">
        <v>66</v>
      </c>
      <c r="C415" s="12"/>
      <c r="D415" s="12"/>
      <c r="E415" s="12"/>
      <c r="F415" s="12"/>
      <c r="G415" s="12"/>
      <c r="H415" s="12"/>
      <c r="I415" s="12"/>
      <c r="J415" s="12"/>
      <c r="K415" s="12"/>
      <c r="L415" s="12"/>
      <c r="M415" s="12"/>
      <c r="O415" s="12"/>
      <c r="P415" s="673"/>
      <c r="R415" s="751" t="s">
        <v>2248</v>
      </c>
      <c r="S415" s="98">
        <v>16</v>
      </c>
      <c r="T415" s="72">
        <v>0</v>
      </c>
      <c r="U415" s="399">
        <v>11</v>
      </c>
      <c r="AC415" s="681" t="s">
        <v>2370</v>
      </c>
      <c r="AD415">
        <v>29</v>
      </c>
      <c r="AE415">
        <v>0</v>
      </c>
      <c r="AF415">
        <v>9.5</v>
      </c>
      <c r="AH415" s="644"/>
      <c r="AY415">
        <v>34</v>
      </c>
      <c r="AZ415">
        <v>5</v>
      </c>
      <c r="BA415" t="s">
        <v>2414</v>
      </c>
    </row>
    <row r="416" spans="1:58" ht="21" customHeight="1">
      <c r="B416" s="649" t="s">
        <v>1440</v>
      </c>
      <c r="C416" s="646" t="s">
        <v>2795</v>
      </c>
      <c r="D416" s="646" t="s">
        <v>2798</v>
      </c>
      <c r="E416" s="646" t="s">
        <v>2799</v>
      </c>
      <c r="F416" s="646" t="s">
        <v>2800</v>
      </c>
      <c r="G416" s="646" t="s">
        <v>2801</v>
      </c>
      <c r="H416" s="646" t="s">
        <v>2802</v>
      </c>
      <c r="I416" s="646" t="s">
        <v>2803</v>
      </c>
      <c r="J416" s="646" t="s">
        <v>2804</v>
      </c>
      <c r="K416" s="646" t="s">
        <v>2805</v>
      </c>
      <c r="L416" s="646" t="s">
        <v>2806</v>
      </c>
      <c r="M416" s="646" t="s">
        <v>2807</v>
      </c>
      <c r="N416" s="646"/>
      <c r="O416" s="646" t="s">
        <v>2810</v>
      </c>
      <c r="P416" s="647" t="s">
        <v>2080</v>
      </c>
      <c r="R416" s="751" t="s">
        <v>2259</v>
      </c>
      <c r="S416" s="98">
        <v>17</v>
      </c>
      <c r="T416" s="72">
        <v>0</v>
      </c>
      <c r="U416" s="399">
        <v>11</v>
      </c>
      <c r="AC416" s="678" t="s">
        <v>2371</v>
      </c>
      <c r="AD416">
        <v>29</v>
      </c>
      <c r="AE416">
        <v>0</v>
      </c>
      <c r="AF416">
        <v>11</v>
      </c>
      <c r="AH416" s="644"/>
      <c r="AY416">
        <v>34</v>
      </c>
      <c r="AZ416">
        <v>6</v>
      </c>
      <c r="BA416" t="s">
        <v>2416</v>
      </c>
    </row>
    <row r="417" spans="1:58">
      <c r="A417">
        <v>29</v>
      </c>
      <c r="B417" s="677" t="s">
        <v>2361</v>
      </c>
      <c r="C417" s="37">
        <v>4</v>
      </c>
      <c r="D417" s="37">
        <v>6</v>
      </c>
      <c r="E417" s="37">
        <v>6</v>
      </c>
      <c r="F417" s="37">
        <v>7</v>
      </c>
      <c r="G417" s="37">
        <v>6</v>
      </c>
      <c r="H417" s="37">
        <v>5</v>
      </c>
      <c r="I417" s="37">
        <v>4</v>
      </c>
      <c r="J417" s="564">
        <v>3</v>
      </c>
      <c r="K417" s="37">
        <v>4</v>
      </c>
      <c r="L417" s="37">
        <v>2</v>
      </c>
      <c r="M417" s="529">
        <v>1</v>
      </c>
      <c r="O417" s="699">
        <v>1</v>
      </c>
      <c r="P417" s="682">
        <f t="shared" ref="P417:P427" si="27">AVERAGE(C417:O417)</f>
        <v>4.083333333333333</v>
      </c>
      <c r="R417" s="751" t="s">
        <v>2282</v>
      </c>
      <c r="S417" s="98">
        <v>20</v>
      </c>
      <c r="T417" s="72">
        <v>0</v>
      </c>
      <c r="U417" s="399">
        <v>11</v>
      </c>
      <c r="AE417">
        <v>0</v>
      </c>
      <c r="AH417" s="644"/>
      <c r="AY417">
        <v>34</v>
      </c>
      <c r="AZ417">
        <v>7</v>
      </c>
      <c r="BA417" t="s">
        <v>2412</v>
      </c>
    </row>
    <row r="418" spans="1:58" ht="21">
      <c r="A418">
        <v>29</v>
      </c>
      <c r="B418" s="678" t="s">
        <v>2362</v>
      </c>
      <c r="C418" s="37">
        <v>6</v>
      </c>
      <c r="D418" s="37">
        <v>7</v>
      </c>
      <c r="E418" s="564">
        <v>2</v>
      </c>
      <c r="F418" s="529">
        <v>1</v>
      </c>
      <c r="G418" s="529">
        <v>1</v>
      </c>
      <c r="H418" s="37">
        <v>3</v>
      </c>
      <c r="I418" s="37">
        <v>3</v>
      </c>
      <c r="J418" s="686">
        <v>1</v>
      </c>
      <c r="K418" s="683">
        <v>5</v>
      </c>
      <c r="L418" s="37">
        <v>3</v>
      </c>
      <c r="M418" s="37">
        <v>3</v>
      </c>
      <c r="O418" s="37">
        <v>2</v>
      </c>
      <c r="P418" s="682">
        <f t="shared" si="27"/>
        <v>3.0833333333333335</v>
      </c>
      <c r="R418" s="751" t="s">
        <v>2293</v>
      </c>
      <c r="S418" s="98">
        <v>21</v>
      </c>
      <c r="T418" s="72">
        <v>0</v>
      </c>
      <c r="U418" s="399">
        <v>11</v>
      </c>
      <c r="AC418" s="1" t="s">
        <v>65</v>
      </c>
      <c r="AE418">
        <v>0</v>
      </c>
      <c r="AH418" s="644"/>
      <c r="AY418">
        <v>34</v>
      </c>
      <c r="AZ418">
        <v>8</v>
      </c>
      <c r="BA418" t="s">
        <v>2414</v>
      </c>
      <c r="BF418" s="35"/>
    </row>
    <row r="419" spans="1:58" ht="18">
      <c r="A419">
        <v>29</v>
      </c>
      <c r="B419" s="678" t="s">
        <v>2363</v>
      </c>
      <c r="C419" s="37">
        <v>8</v>
      </c>
      <c r="D419" s="37">
        <v>8</v>
      </c>
      <c r="E419" s="37">
        <v>5</v>
      </c>
      <c r="F419" s="37">
        <v>5</v>
      </c>
      <c r="G419" s="37">
        <v>5</v>
      </c>
      <c r="H419" s="37">
        <v>6</v>
      </c>
      <c r="I419" s="37">
        <v>5</v>
      </c>
      <c r="J419" s="37">
        <v>4</v>
      </c>
      <c r="K419" s="37">
        <v>3</v>
      </c>
      <c r="L419" s="37">
        <v>4</v>
      </c>
      <c r="M419" s="37">
        <v>2</v>
      </c>
      <c r="O419" s="37">
        <v>3</v>
      </c>
      <c r="P419" s="682">
        <f t="shared" si="27"/>
        <v>4.833333333333333</v>
      </c>
      <c r="R419" s="751" t="s">
        <v>2304</v>
      </c>
      <c r="S419" s="98">
        <v>22</v>
      </c>
      <c r="T419" s="72">
        <v>0</v>
      </c>
      <c r="U419" s="399">
        <v>11</v>
      </c>
      <c r="AC419" s="649" t="s">
        <v>1440</v>
      </c>
      <c r="AE419">
        <v>0</v>
      </c>
      <c r="AF419" t="s">
        <v>2080</v>
      </c>
      <c r="AH419" s="681"/>
      <c r="AY419">
        <v>34</v>
      </c>
      <c r="AZ419">
        <v>9</v>
      </c>
      <c r="BA419" t="s">
        <v>2412</v>
      </c>
    </row>
    <row r="420" spans="1:58">
      <c r="A420">
        <v>29</v>
      </c>
      <c r="B420" s="678" t="s">
        <v>2364</v>
      </c>
      <c r="C420" s="37">
        <v>3</v>
      </c>
      <c r="D420" s="37">
        <v>3</v>
      </c>
      <c r="E420" s="376">
        <v>4</v>
      </c>
      <c r="F420" s="37">
        <v>4</v>
      </c>
      <c r="G420" s="37">
        <v>2</v>
      </c>
      <c r="H420" s="37">
        <v>2</v>
      </c>
      <c r="I420" s="529">
        <v>1</v>
      </c>
      <c r="J420" s="37">
        <v>2</v>
      </c>
      <c r="K420" s="37">
        <v>2</v>
      </c>
      <c r="L420" s="529">
        <v>1</v>
      </c>
      <c r="M420" s="684">
        <v>4</v>
      </c>
      <c r="O420" s="12"/>
      <c r="P420" s="682">
        <f t="shared" si="27"/>
        <v>2.5454545454545454</v>
      </c>
      <c r="R420" s="752" t="s">
        <v>2315</v>
      </c>
      <c r="S420" s="98">
        <v>23</v>
      </c>
      <c r="T420" s="72">
        <v>0</v>
      </c>
      <c r="U420" s="399">
        <v>11</v>
      </c>
      <c r="AC420" s="677" t="s">
        <v>2372</v>
      </c>
      <c r="AD420">
        <v>30</v>
      </c>
      <c r="AE420">
        <v>2</v>
      </c>
      <c r="AF420">
        <v>3.4166666666666665</v>
      </c>
      <c r="AH420" s="681"/>
      <c r="AY420">
        <v>34</v>
      </c>
      <c r="AZ420" t="s">
        <v>2810</v>
      </c>
      <c r="BA420" t="s">
        <v>2412</v>
      </c>
    </row>
    <row r="421" spans="1:58">
      <c r="A421">
        <v>29</v>
      </c>
      <c r="B421" s="678" t="s">
        <v>2365</v>
      </c>
      <c r="C421" s="37">
        <v>2</v>
      </c>
      <c r="D421" s="37">
        <v>5</v>
      </c>
      <c r="E421" s="37">
        <v>8</v>
      </c>
      <c r="F421" s="37">
        <v>2</v>
      </c>
      <c r="G421" s="34">
        <v>3</v>
      </c>
      <c r="H421" s="686">
        <v>1</v>
      </c>
      <c r="I421" s="37">
        <v>2</v>
      </c>
      <c r="J421" s="376">
        <v>5</v>
      </c>
      <c r="K421" s="529">
        <v>1</v>
      </c>
      <c r="L421" s="684">
        <v>5</v>
      </c>
      <c r="M421" s="12"/>
      <c r="O421" s="1490">
        <v>0</v>
      </c>
      <c r="P421" s="682">
        <f t="shared" si="27"/>
        <v>3.0909090909090908</v>
      </c>
      <c r="R421" s="752" t="s">
        <v>2286</v>
      </c>
      <c r="S421" s="98">
        <v>24</v>
      </c>
      <c r="T421" s="72">
        <v>0</v>
      </c>
      <c r="U421" s="399">
        <v>11</v>
      </c>
      <c r="AC421" s="678" t="s">
        <v>2373</v>
      </c>
      <c r="AD421">
        <v>30</v>
      </c>
      <c r="AE421">
        <v>2</v>
      </c>
      <c r="AF421">
        <v>3.5</v>
      </c>
      <c r="AH421" s="681"/>
      <c r="AY421">
        <v>35</v>
      </c>
      <c r="AZ421">
        <v>1</v>
      </c>
      <c r="BA421" t="s">
        <v>2434</v>
      </c>
    </row>
    <row r="422" spans="1:58">
      <c r="A422">
        <v>29</v>
      </c>
      <c r="B422" s="678" t="s">
        <v>2366</v>
      </c>
      <c r="C422" s="37">
        <v>10</v>
      </c>
      <c r="D422" s="529">
        <v>1</v>
      </c>
      <c r="E422" s="529">
        <v>1</v>
      </c>
      <c r="F422" s="37">
        <v>3</v>
      </c>
      <c r="G422" s="683">
        <v>7</v>
      </c>
      <c r="H422" s="564">
        <v>4</v>
      </c>
      <c r="I422" s="683">
        <v>6</v>
      </c>
      <c r="J422" s="685">
        <v>6</v>
      </c>
      <c r="K422" s="12"/>
      <c r="L422" s="12"/>
      <c r="M422" s="1490">
        <v>0</v>
      </c>
      <c r="O422" s="1490">
        <v>0</v>
      </c>
      <c r="P422" s="682">
        <f t="shared" si="27"/>
        <v>3.8</v>
      </c>
      <c r="R422" s="752" t="s">
        <v>2327</v>
      </c>
      <c r="S422" s="98">
        <v>25</v>
      </c>
      <c r="T422" s="72">
        <v>0</v>
      </c>
      <c r="U422" s="399">
        <v>11</v>
      </c>
      <c r="AC422" s="678" t="s">
        <v>2374</v>
      </c>
      <c r="AD422">
        <v>30</v>
      </c>
      <c r="AE422">
        <v>2</v>
      </c>
      <c r="AF422">
        <v>2.5833333333333335</v>
      </c>
      <c r="AH422" s="681"/>
      <c r="AY422">
        <v>35</v>
      </c>
      <c r="AZ422">
        <v>2</v>
      </c>
      <c r="BA422" t="s">
        <v>2434</v>
      </c>
    </row>
    <row r="423" spans="1:58">
      <c r="A423">
        <v>29</v>
      </c>
      <c r="B423" s="678" t="s">
        <v>2367</v>
      </c>
      <c r="C423" s="37">
        <v>7</v>
      </c>
      <c r="D423" s="37">
        <v>2</v>
      </c>
      <c r="E423" s="564">
        <v>3</v>
      </c>
      <c r="F423" s="680">
        <v>6</v>
      </c>
      <c r="G423" s="37">
        <v>4</v>
      </c>
      <c r="H423" s="685">
        <v>7</v>
      </c>
      <c r="I423" s="12"/>
      <c r="J423" s="12"/>
      <c r="K423" s="1490">
        <v>0</v>
      </c>
      <c r="L423" s="1490">
        <v>0</v>
      </c>
      <c r="M423" s="12"/>
      <c r="O423" s="12"/>
      <c r="P423" s="682">
        <f t="shared" si="27"/>
        <v>3.625</v>
      </c>
      <c r="R423" s="752" t="s">
        <v>2338</v>
      </c>
      <c r="S423" s="98">
        <v>26</v>
      </c>
      <c r="T423" s="72">
        <v>0</v>
      </c>
      <c r="U423" s="399">
        <v>11</v>
      </c>
      <c r="AC423" s="678" t="s">
        <v>2375</v>
      </c>
      <c r="AD423">
        <v>30</v>
      </c>
      <c r="AE423">
        <v>4</v>
      </c>
      <c r="AF423">
        <v>2.9090909090909092</v>
      </c>
      <c r="AH423" s="681"/>
      <c r="AY423">
        <v>35</v>
      </c>
      <c r="AZ423">
        <v>3</v>
      </c>
      <c r="BA423" t="s">
        <v>2427</v>
      </c>
    </row>
    <row r="424" spans="1:58">
      <c r="A424">
        <v>29</v>
      </c>
      <c r="B424" s="681" t="s">
        <v>2368</v>
      </c>
      <c r="C424" s="674">
        <v>5</v>
      </c>
      <c r="D424" s="37">
        <v>9</v>
      </c>
      <c r="E424" s="37">
        <v>7</v>
      </c>
      <c r="F424" s="684">
        <v>8</v>
      </c>
      <c r="G424" s="12"/>
      <c r="H424" s="12"/>
      <c r="I424" s="1490">
        <v>0</v>
      </c>
      <c r="J424" s="1490">
        <v>0</v>
      </c>
      <c r="K424" s="1490">
        <v>0</v>
      </c>
      <c r="L424" s="12"/>
      <c r="M424" s="12"/>
      <c r="O424" s="12"/>
      <c r="P424" s="682">
        <f t="shared" si="27"/>
        <v>4.1428571428571432</v>
      </c>
      <c r="R424" s="751" t="s">
        <v>2349</v>
      </c>
      <c r="S424" s="98">
        <v>27</v>
      </c>
      <c r="T424" s="72">
        <v>0</v>
      </c>
      <c r="U424" s="399">
        <v>11</v>
      </c>
      <c r="AC424" s="678" t="s">
        <v>2376</v>
      </c>
      <c r="AD424">
        <v>30</v>
      </c>
      <c r="AE424">
        <v>3</v>
      </c>
      <c r="AF424">
        <v>4.666666666666667</v>
      </c>
      <c r="AH424" s="681"/>
      <c r="AY424">
        <v>35</v>
      </c>
      <c r="AZ424">
        <v>4</v>
      </c>
      <c r="BA424" t="s">
        <v>2429</v>
      </c>
    </row>
    <row r="425" spans="1:58">
      <c r="A425">
        <v>29</v>
      </c>
      <c r="B425" s="681" t="s">
        <v>2369</v>
      </c>
      <c r="C425" s="688">
        <v>1</v>
      </c>
      <c r="D425" s="37">
        <v>4</v>
      </c>
      <c r="E425" s="685">
        <v>9</v>
      </c>
      <c r="F425" s="12"/>
      <c r="G425" s="12"/>
      <c r="H425" s="1490">
        <v>0</v>
      </c>
      <c r="I425" s="1490">
        <v>0</v>
      </c>
      <c r="J425" s="1490">
        <v>0</v>
      </c>
      <c r="K425" s="12"/>
      <c r="L425" s="12"/>
      <c r="M425" s="12"/>
      <c r="O425" s="12"/>
      <c r="P425" s="682">
        <f t="shared" si="27"/>
        <v>2.3333333333333335</v>
      </c>
      <c r="R425" s="751" t="s">
        <v>2371</v>
      </c>
      <c r="S425" s="98">
        <v>29</v>
      </c>
      <c r="T425" s="72">
        <v>0</v>
      </c>
      <c r="U425" s="399">
        <v>11</v>
      </c>
      <c r="AC425" s="678" t="s">
        <v>2377</v>
      </c>
      <c r="AD425">
        <v>30</v>
      </c>
      <c r="AE425">
        <v>0</v>
      </c>
      <c r="AF425">
        <v>5.625</v>
      </c>
      <c r="AH425" s="681"/>
      <c r="AY425">
        <v>35</v>
      </c>
      <c r="AZ425">
        <v>5</v>
      </c>
      <c r="BA425" t="s">
        <v>2427</v>
      </c>
    </row>
    <row r="426" spans="1:58">
      <c r="A426">
        <v>29</v>
      </c>
      <c r="B426" s="681" t="s">
        <v>2370</v>
      </c>
      <c r="C426" s="674">
        <v>9</v>
      </c>
      <c r="D426" s="684">
        <v>10</v>
      </c>
      <c r="E426" s="12"/>
      <c r="F426" s="12"/>
      <c r="G426" s="1492">
        <v>0</v>
      </c>
      <c r="H426" s="1490">
        <v>0</v>
      </c>
      <c r="I426" s="12"/>
      <c r="J426" s="12"/>
      <c r="K426" s="12"/>
      <c r="L426" s="12"/>
      <c r="M426" s="12"/>
      <c r="O426" s="12"/>
      <c r="P426" s="682">
        <f t="shared" si="27"/>
        <v>4.75</v>
      </c>
      <c r="R426" s="751" t="s">
        <v>2382</v>
      </c>
      <c r="S426" s="98">
        <v>30</v>
      </c>
      <c r="T426" s="72">
        <v>0</v>
      </c>
      <c r="U426" s="399">
        <v>11</v>
      </c>
      <c r="AC426" s="678" t="s">
        <v>2378</v>
      </c>
      <c r="AD426">
        <v>30</v>
      </c>
      <c r="AE426">
        <v>0</v>
      </c>
      <c r="AF426">
        <v>5.166666666666667</v>
      </c>
      <c r="AH426" s="681"/>
      <c r="AY426">
        <v>35</v>
      </c>
      <c r="AZ426">
        <v>6</v>
      </c>
      <c r="BA426" t="s">
        <v>2424</v>
      </c>
    </row>
    <row r="427" spans="1:58" ht="18">
      <c r="A427">
        <v>29</v>
      </c>
      <c r="B427" s="678" t="s">
        <v>2371</v>
      </c>
      <c r="C427" s="684">
        <v>11</v>
      </c>
      <c r="D427" s="12"/>
      <c r="E427" s="12"/>
      <c r="F427" s="12"/>
      <c r="G427" s="12"/>
      <c r="H427" s="12"/>
      <c r="I427" s="12"/>
      <c r="J427" s="12"/>
      <c r="K427" s="12"/>
      <c r="L427" s="12"/>
      <c r="M427" s="12"/>
      <c r="O427" s="12"/>
      <c r="P427" s="682">
        <f t="shared" si="27"/>
        <v>11</v>
      </c>
      <c r="R427" s="751" t="s">
        <v>2273</v>
      </c>
      <c r="S427" s="98">
        <v>31</v>
      </c>
      <c r="T427" s="72">
        <v>0</v>
      </c>
      <c r="U427" s="399">
        <v>11</v>
      </c>
      <c r="Y427" s="715"/>
      <c r="AA427" s="716"/>
      <c r="AC427" s="681" t="s">
        <v>2379</v>
      </c>
      <c r="AD427">
        <v>30</v>
      </c>
      <c r="AE427">
        <v>0</v>
      </c>
      <c r="AF427">
        <v>6.2</v>
      </c>
      <c r="AH427" s="681"/>
      <c r="AY427">
        <v>35</v>
      </c>
      <c r="AZ427">
        <v>7</v>
      </c>
      <c r="BA427" t="s">
        <v>2424</v>
      </c>
    </row>
    <row r="428" spans="1:58">
      <c r="C428" s="1503"/>
      <c r="D428" s="12"/>
      <c r="E428" s="12"/>
      <c r="F428" s="12"/>
      <c r="G428" s="12"/>
      <c r="H428" s="12"/>
      <c r="I428" s="12"/>
      <c r="J428" s="12"/>
      <c r="K428" s="12"/>
      <c r="L428" s="12"/>
      <c r="M428" s="12"/>
      <c r="O428" s="12"/>
      <c r="P428" s="673"/>
      <c r="R428" s="752" t="s">
        <v>2399</v>
      </c>
      <c r="S428" s="759">
        <v>32</v>
      </c>
      <c r="T428" s="756">
        <v>0</v>
      </c>
      <c r="U428" s="399">
        <v>11</v>
      </c>
      <c r="AA428" s="716"/>
      <c r="AC428" s="681" t="s">
        <v>2380</v>
      </c>
      <c r="AD428">
        <v>30</v>
      </c>
      <c r="AE428">
        <v>0</v>
      </c>
      <c r="AF428">
        <v>7.25</v>
      </c>
      <c r="AH428" s="681"/>
      <c r="AY428">
        <v>35</v>
      </c>
      <c r="AZ428">
        <v>8</v>
      </c>
      <c r="BA428" t="s">
        <v>2424</v>
      </c>
    </row>
    <row r="429" spans="1:58" ht="21">
      <c r="B429" s="1" t="s">
        <v>65</v>
      </c>
      <c r="C429" s="1503"/>
      <c r="D429" s="12"/>
      <c r="E429" s="12"/>
      <c r="F429" s="12"/>
      <c r="G429" s="12"/>
      <c r="H429" s="12"/>
      <c r="I429" s="12"/>
      <c r="J429" s="12"/>
      <c r="K429" s="12"/>
      <c r="L429" s="12"/>
      <c r="M429" s="12"/>
      <c r="O429" s="12"/>
      <c r="P429" s="673"/>
      <c r="R429" s="752" t="s">
        <v>2569</v>
      </c>
      <c r="S429" s="759">
        <v>38</v>
      </c>
      <c r="T429" s="756">
        <v>0</v>
      </c>
      <c r="U429" s="399">
        <v>11</v>
      </c>
      <c r="Y429" s="715"/>
      <c r="AA429" s="716"/>
      <c r="AC429" s="681" t="s">
        <v>2381</v>
      </c>
      <c r="AD429">
        <v>30</v>
      </c>
      <c r="AE429">
        <v>0</v>
      </c>
      <c r="AF429">
        <v>10</v>
      </c>
      <c r="AH429" s="681"/>
      <c r="AY429">
        <v>35</v>
      </c>
      <c r="AZ429">
        <v>9</v>
      </c>
      <c r="BA429" t="s">
        <v>2424</v>
      </c>
    </row>
    <row r="430" spans="1:58" ht="21" customHeight="1">
      <c r="B430" s="649" t="s">
        <v>1440</v>
      </c>
      <c r="C430" s="646" t="s">
        <v>2795</v>
      </c>
      <c r="D430" s="646" t="s">
        <v>2798</v>
      </c>
      <c r="E430" s="646" t="s">
        <v>2799</v>
      </c>
      <c r="F430" s="646" t="s">
        <v>2800</v>
      </c>
      <c r="G430" s="646" t="s">
        <v>2801</v>
      </c>
      <c r="H430" s="646" t="s">
        <v>2802</v>
      </c>
      <c r="I430" s="646" t="s">
        <v>2803</v>
      </c>
      <c r="J430" s="646" t="s">
        <v>2804</v>
      </c>
      <c r="K430" s="646" t="s">
        <v>2805</v>
      </c>
      <c r="L430" s="646" t="s">
        <v>2806</v>
      </c>
      <c r="M430" s="646" t="s">
        <v>2807</v>
      </c>
      <c r="N430" s="646"/>
      <c r="O430" s="646" t="s">
        <v>2810</v>
      </c>
      <c r="P430" s="647" t="s">
        <v>2080</v>
      </c>
      <c r="R430" s="751" t="s">
        <v>2568</v>
      </c>
      <c r="S430" s="760">
        <v>38</v>
      </c>
      <c r="T430" s="757">
        <v>0</v>
      </c>
      <c r="U430" s="753">
        <v>11.333333333333334</v>
      </c>
      <c r="Y430" s="715"/>
      <c r="AA430" s="716"/>
      <c r="AC430" s="678" t="s">
        <v>2382</v>
      </c>
      <c r="AD430">
        <v>30</v>
      </c>
      <c r="AE430">
        <v>0</v>
      </c>
      <c r="AF430">
        <v>11</v>
      </c>
      <c r="AH430" s="681"/>
      <c r="AY430">
        <v>35</v>
      </c>
      <c r="AZ430">
        <v>10</v>
      </c>
      <c r="BA430" t="s">
        <v>2425</v>
      </c>
    </row>
    <row r="431" spans="1:58" ht="18">
      <c r="A431">
        <v>30</v>
      </c>
      <c r="B431" s="677" t="s">
        <v>2372</v>
      </c>
      <c r="C431" s="37">
        <v>2</v>
      </c>
      <c r="D431" s="529">
        <v>1</v>
      </c>
      <c r="E431" s="37">
        <v>5</v>
      </c>
      <c r="F431" s="37">
        <v>2</v>
      </c>
      <c r="G431" s="37">
        <v>6</v>
      </c>
      <c r="H431" s="564">
        <v>6</v>
      </c>
      <c r="I431" s="683">
        <v>5</v>
      </c>
      <c r="J431" s="376">
        <v>5</v>
      </c>
      <c r="K431" s="37">
        <v>4</v>
      </c>
      <c r="L431" s="37">
        <v>2</v>
      </c>
      <c r="M431" s="37">
        <v>2</v>
      </c>
      <c r="O431" s="699">
        <v>1</v>
      </c>
      <c r="P431" s="682">
        <f t="shared" ref="P431:P441" si="28">AVERAGE(C431:O431)</f>
        <v>3.4166666666666665</v>
      </c>
      <c r="R431" s="751" t="s">
        <v>2448</v>
      </c>
      <c r="S431" s="760">
        <v>36</v>
      </c>
      <c r="T431" s="757">
        <v>0</v>
      </c>
      <c r="U431" s="753">
        <v>11.5</v>
      </c>
      <c r="Y431" s="715"/>
      <c r="AA431" s="716"/>
      <c r="AE431">
        <v>0</v>
      </c>
      <c r="AH431" s="681"/>
      <c r="AY431">
        <v>35</v>
      </c>
      <c r="AZ431">
        <v>11</v>
      </c>
      <c r="BA431" t="s">
        <v>2426</v>
      </c>
    </row>
    <row r="432" spans="1:58" ht="21">
      <c r="A432">
        <v>30</v>
      </c>
      <c r="B432" s="678" t="s">
        <v>2373</v>
      </c>
      <c r="C432" s="37">
        <v>3</v>
      </c>
      <c r="D432" s="37">
        <v>8</v>
      </c>
      <c r="E432" s="529">
        <v>1</v>
      </c>
      <c r="F432" s="37">
        <v>6</v>
      </c>
      <c r="G432" s="37">
        <v>4</v>
      </c>
      <c r="H432" s="37">
        <v>3</v>
      </c>
      <c r="I432" s="37">
        <v>3</v>
      </c>
      <c r="J432" s="376">
        <v>4</v>
      </c>
      <c r="K432" s="37">
        <v>3</v>
      </c>
      <c r="L432" s="683">
        <v>4</v>
      </c>
      <c r="M432" s="529">
        <v>1</v>
      </c>
      <c r="O432" s="37">
        <v>2</v>
      </c>
      <c r="P432" s="682">
        <f t="shared" si="28"/>
        <v>3.5</v>
      </c>
      <c r="R432" s="751" t="s">
        <v>2114</v>
      </c>
      <c r="S432" s="760">
        <v>3</v>
      </c>
      <c r="T432" s="757">
        <v>0</v>
      </c>
      <c r="U432" s="753">
        <v>12</v>
      </c>
      <c r="Y432" s="715"/>
      <c r="AA432" s="716"/>
      <c r="AC432" s="1" t="s">
        <v>60</v>
      </c>
      <c r="AE432">
        <v>0</v>
      </c>
      <c r="AH432" s="681"/>
      <c r="AY432">
        <v>35</v>
      </c>
      <c r="AZ432" t="s">
        <v>2810</v>
      </c>
      <c r="BA432" t="s">
        <v>2424</v>
      </c>
    </row>
    <row r="433" spans="1:58" ht="18">
      <c r="A433">
        <v>30</v>
      </c>
      <c r="B433" s="678" t="s">
        <v>2374</v>
      </c>
      <c r="C433" s="529">
        <v>1</v>
      </c>
      <c r="D433" s="37">
        <v>3</v>
      </c>
      <c r="E433" s="37">
        <v>3</v>
      </c>
      <c r="F433" s="37">
        <v>3</v>
      </c>
      <c r="G433" s="37">
        <v>2</v>
      </c>
      <c r="H433" s="529">
        <v>1</v>
      </c>
      <c r="I433" s="683">
        <v>5</v>
      </c>
      <c r="J433" s="37">
        <v>2</v>
      </c>
      <c r="K433" s="37">
        <v>2</v>
      </c>
      <c r="L433" s="37">
        <v>3</v>
      </c>
      <c r="M433" s="37">
        <v>3</v>
      </c>
      <c r="O433" s="37">
        <v>3</v>
      </c>
      <c r="P433" s="682">
        <f t="shared" si="28"/>
        <v>2.5833333333333335</v>
      </c>
      <c r="R433" s="751" t="s">
        <v>2126</v>
      </c>
      <c r="S433" s="760">
        <v>4</v>
      </c>
      <c r="T433" s="757">
        <v>0</v>
      </c>
      <c r="U433" s="753">
        <v>12</v>
      </c>
      <c r="Y433" s="715"/>
      <c r="AA433" s="716"/>
      <c r="AC433" s="649" t="s">
        <v>1440</v>
      </c>
      <c r="AE433">
        <v>0</v>
      </c>
      <c r="AF433" t="s">
        <v>2080</v>
      </c>
      <c r="AH433" s="644"/>
      <c r="AY433">
        <v>36</v>
      </c>
      <c r="AZ433">
        <v>1</v>
      </c>
      <c r="BA433" t="s">
        <v>2439</v>
      </c>
    </row>
    <row r="434" spans="1:58" ht="18">
      <c r="A434">
        <v>30</v>
      </c>
      <c r="B434" s="678" t="s">
        <v>2375</v>
      </c>
      <c r="C434" s="37">
        <v>5</v>
      </c>
      <c r="D434" s="37">
        <v>5</v>
      </c>
      <c r="E434" s="37">
        <v>2</v>
      </c>
      <c r="F434" s="529">
        <v>1</v>
      </c>
      <c r="G434" s="37">
        <v>5</v>
      </c>
      <c r="H434" s="37">
        <v>4</v>
      </c>
      <c r="I434" s="529">
        <v>1</v>
      </c>
      <c r="J434" s="564">
        <v>3</v>
      </c>
      <c r="K434" s="529">
        <v>1</v>
      </c>
      <c r="L434" s="529">
        <v>1</v>
      </c>
      <c r="M434" s="684">
        <v>4</v>
      </c>
      <c r="O434" s="12"/>
      <c r="P434" s="682">
        <f t="shared" si="28"/>
        <v>2.9090909090909092</v>
      </c>
      <c r="R434" s="751" t="s">
        <v>2191</v>
      </c>
      <c r="S434" s="760">
        <v>10</v>
      </c>
      <c r="T434" s="757">
        <v>0</v>
      </c>
      <c r="U434" s="753">
        <v>12</v>
      </c>
      <c r="Y434" s="715"/>
      <c r="AA434" s="716"/>
      <c r="AC434" s="677" t="s">
        <v>2128</v>
      </c>
      <c r="AD434">
        <v>31</v>
      </c>
      <c r="AE434">
        <v>3</v>
      </c>
      <c r="AF434">
        <v>2.4166666666666665</v>
      </c>
      <c r="AH434" s="644"/>
      <c r="AY434">
        <v>36</v>
      </c>
      <c r="AZ434">
        <v>2</v>
      </c>
      <c r="BA434" t="s">
        <v>2439</v>
      </c>
    </row>
    <row r="435" spans="1:58" ht="18">
      <c r="A435">
        <v>30</v>
      </c>
      <c r="B435" s="678" t="s">
        <v>2376</v>
      </c>
      <c r="C435" s="37">
        <v>7</v>
      </c>
      <c r="D435" s="37">
        <v>6</v>
      </c>
      <c r="E435" s="37">
        <v>8</v>
      </c>
      <c r="F435" s="37">
        <v>8</v>
      </c>
      <c r="G435" s="529">
        <v>1</v>
      </c>
      <c r="H435" s="37">
        <v>5</v>
      </c>
      <c r="I435" s="529">
        <v>1</v>
      </c>
      <c r="J435" s="686">
        <v>1</v>
      </c>
      <c r="K435" s="684">
        <v>5</v>
      </c>
      <c r="L435" s="12"/>
      <c r="M435" s="12"/>
      <c r="O435" s="1490">
        <v>0</v>
      </c>
      <c r="P435" s="682">
        <f t="shared" si="28"/>
        <v>4.2</v>
      </c>
      <c r="R435" s="751" t="s">
        <v>2237</v>
      </c>
      <c r="S435" s="760">
        <v>15</v>
      </c>
      <c r="T435" s="757">
        <v>0</v>
      </c>
      <c r="U435" s="753">
        <v>12</v>
      </c>
      <c r="Y435" s="715"/>
      <c r="AA435" s="41"/>
      <c r="AC435" s="678" t="s">
        <v>2352</v>
      </c>
      <c r="AD435">
        <v>31</v>
      </c>
      <c r="AE435">
        <v>4</v>
      </c>
      <c r="AF435">
        <v>2.75</v>
      </c>
      <c r="AH435" s="644"/>
      <c r="AY435">
        <v>36</v>
      </c>
      <c r="AZ435">
        <v>3</v>
      </c>
      <c r="BA435" t="s">
        <v>2437</v>
      </c>
    </row>
    <row r="436" spans="1:58" ht="18">
      <c r="A436">
        <v>30</v>
      </c>
      <c r="B436" s="678" t="s">
        <v>2377</v>
      </c>
      <c r="C436" s="37">
        <v>8</v>
      </c>
      <c r="D436" s="37">
        <v>9</v>
      </c>
      <c r="E436" s="37">
        <v>7</v>
      </c>
      <c r="F436" s="37">
        <v>7</v>
      </c>
      <c r="G436" s="37">
        <v>3</v>
      </c>
      <c r="H436" s="37">
        <v>2</v>
      </c>
      <c r="I436" s="37">
        <v>3</v>
      </c>
      <c r="J436" s="684">
        <v>6</v>
      </c>
      <c r="K436" s="12"/>
      <c r="L436" s="12"/>
      <c r="M436" s="1490">
        <v>0</v>
      </c>
      <c r="O436" s="1490">
        <v>0</v>
      </c>
      <c r="P436" s="682">
        <f t="shared" si="28"/>
        <v>4.5</v>
      </c>
      <c r="R436" s="751" t="s">
        <v>2423</v>
      </c>
      <c r="S436" s="760">
        <v>34</v>
      </c>
      <c r="T436" s="757">
        <v>0</v>
      </c>
      <c r="U436" s="753">
        <v>12</v>
      </c>
      <c r="Y436" s="715"/>
      <c r="AA436" s="41"/>
      <c r="AC436" s="678" t="s">
        <v>2308</v>
      </c>
      <c r="AD436">
        <v>31</v>
      </c>
      <c r="AE436">
        <v>3</v>
      </c>
      <c r="AF436">
        <v>4.25</v>
      </c>
      <c r="AH436" s="644"/>
      <c r="AY436">
        <v>36</v>
      </c>
      <c r="AZ436">
        <v>4</v>
      </c>
      <c r="BA436" t="s">
        <v>2437</v>
      </c>
    </row>
    <row r="437" spans="1:58" ht="18">
      <c r="A437">
        <v>30</v>
      </c>
      <c r="B437" s="678" t="s">
        <v>2378</v>
      </c>
      <c r="C437" s="37">
        <v>4</v>
      </c>
      <c r="D437" s="37">
        <v>4</v>
      </c>
      <c r="E437" s="37">
        <v>4</v>
      </c>
      <c r="F437" s="680">
        <v>5</v>
      </c>
      <c r="G437" s="37">
        <v>7</v>
      </c>
      <c r="H437" s="685">
        <v>7</v>
      </c>
      <c r="I437" s="12"/>
      <c r="J437" s="12"/>
      <c r="K437" s="1490">
        <v>0</v>
      </c>
      <c r="L437" s="1490">
        <v>0</v>
      </c>
      <c r="M437" s="12"/>
      <c r="O437" s="12"/>
      <c r="P437" s="682">
        <f t="shared" si="28"/>
        <v>3.875</v>
      </c>
      <c r="R437" s="751" t="s">
        <v>2436</v>
      </c>
      <c r="S437" s="760">
        <v>35</v>
      </c>
      <c r="T437" s="757">
        <v>0</v>
      </c>
      <c r="U437" s="753">
        <v>12</v>
      </c>
      <c r="Y437" s="715"/>
      <c r="AA437" s="41"/>
      <c r="AC437" s="678" t="s">
        <v>2383</v>
      </c>
      <c r="AD437">
        <v>31</v>
      </c>
      <c r="AE437">
        <v>0</v>
      </c>
      <c r="AF437">
        <v>3.8181818181818183</v>
      </c>
      <c r="AH437" s="681"/>
      <c r="AY437">
        <v>36</v>
      </c>
      <c r="AZ437">
        <v>5</v>
      </c>
      <c r="BA437" t="s">
        <v>2437</v>
      </c>
    </row>
    <row r="438" spans="1:58" ht="18">
      <c r="A438">
        <v>30</v>
      </c>
      <c r="B438" s="681" t="s">
        <v>2379</v>
      </c>
      <c r="C438" s="674">
        <v>6</v>
      </c>
      <c r="D438" s="37">
        <v>7</v>
      </c>
      <c r="E438" s="37">
        <v>6</v>
      </c>
      <c r="F438" s="37">
        <v>4</v>
      </c>
      <c r="G438" s="684">
        <v>8</v>
      </c>
      <c r="H438" s="12"/>
      <c r="I438" s="1490">
        <v>0</v>
      </c>
      <c r="J438" s="1490">
        <v>0</v>
      </c>
      <c r="K438" s="1490">
        <v>0</v>
      </c>
      <c r="L438" s="12"/>
      <c r="M438" s="12"/>
      <c r="O438" s="12"/>
      <c r="P438" s="682">
        <f t="shared" si="28"/>
        <v>3.875</v>
      </c>
      <c r="R438" s="751" t="s">
        <v>2435</v>
      </c>
      <c r="S438" s="760">
        <v>35</v>
      </c>
      <c r="T438" s="757">
        <v>0</v>
      </c>
      <c r="U438" s="753">
        <v>13</v>
      </c>
      <c r="Y438" s="715"/>
      <c r="AA438" s="41"/>
      <c r="AC438" s="678" t="s">
        <v>2365</v>
      </c>
      <c r="AD438">
        <v>31</v>
      </c>
      <c r="AE438">
        <v>2</v>
      </c>
      <c r="AF438">
        <v>4</v>
      </c>
      <c r="AH438" s="681"/>
      <c r="AY438">
        <v>36</v>
      </c>
      <c r="AZ438">
        <v>6</v>
      </c>
      <c r="BA438" t="s">
        <v>2438</v>
      </c>
      <c r="BF438" s="35"/>
    </row>
    <row r="439" spans="1:58" ht="18">
      <c r="A439">
        <v>30</v>
      </c>
      <c r="B439" s="681" t="s">
        <v>2380</v>
      </c>
      <c r="C439" s="674">
        <v>9</v>
      </c>
      <c r="D439" s="37">
        <v>2</v>
      </c>
      <c r="E439" s="683">
        <v>9</v>
      </c>
      <c r="F439" s="692">
        <v>9</v>
      </c>
      <c r="G439" s="12"/>
      <c r="H439" s="1490">
        <v>0</v>
      </c>
      <c r="I439" s="1490">
        <v>0</v>
      </c>
      <c r="J439" s="1490">
        <v>0</v>
      </c>
      <c r="K439" s="12"/>
      <c r="L439" s="12"/>
      <c r="M439" s="12"/>
      <c r="O439" s="12"/>
      <c r="P439" s="682">
        <f t="shared" si="28"/>
        <v>4.1428571428571432</v>
      </c>
      <c r="R439" s="751" t="s">
        <v>2449</v>
      </c>
      <c r="S439" s="760">
        <v>36</v>
      </c>
      <c r="T439" s="757">
        <v>0</v>
      </c>
      <c r="U439" s="753">
        <v>13</v>
      </c>
      <c r="Y439" s="715"/>
      <c r="AA439" s="41"/>
      <c r="AC439" s="678" t="s">
        <v>2384</v>
      </c>
      <c r="AD439">
        <v>31</v>
      </c>
      <c r="AE439">
        <v>0</v>
      </c>
      <c r="AF439">
        <v>5.2222222222222223</v>
      </c>
      <c r="AH439" s="681"/>
      <c r="AY439">
        <v>36</v>
      </c>
      <c r="AZ439">
        <v>7</v>
      </c>
      <c r="BA439" t="s">
        <v>2437</v>
      </c>
    </row>
    <row r="440" spans="1:58" ht="18">
      <c r="A440">
        <v>30</v>
      </c>
      <c r="B440" s="681" t="s">
        <v>2381</v>
      </c>
      <c r="C440" s="674">
        <v>10</v>
      </c>
      <c r="D440" s="692">
        <v>10</v>
      </c>
      <c r="E440" s="12"/>
      <c r="F440" s="12"/>
      <c r="G440" s="1492">
        <v>0</v>
      </c>
      <c r="H440" s="1490">
        <v>0</v>
      </c>
      <c r="I440" s="12"/>
      <c r="J440" s="12"/>
      <c r="K440" s="12"/>
      <c r="L440" s="12"/>
      <c r="M440" s="12"/>
      <c r="O440" s="12"/>
      <c r="P440" s="682">
        <f t="shared" si="28"/>
        <v>5</v>
      </c>
      <c r="R440" s="754" t="s">
        <v>2570</v>
      </c>
      <c r="S440" s="761">
        <v>38</v>
      </c>
      <c r="T440" s="758">
        <v>0</v>
      </c>
      <c r="U440" s="755">
        <v>13</v>
      </c>
      <c r="Y440" s="715"/>
      <c r="AA440" s="41"/>
      <c r="AC440" s="678" t="s">
        <v>2385</v>
      </c>
      <c r="AD440">
        <v>31</v>
      </c>
      <c r="AE440">
        <v>0</v>
      </c>
      <c r="AF440">
        <v>6.125</v>
      </c>
      <c r="AH440" s="681"/>
      <c r="AY440">
        <v>36</v>
      </c>
      <c r="AZ440">
        <v>8</v>
      </c>
      <c r="BA440" t="s">
        <v>2437</v>
      </c>
    </row>
    <row r="441" spans="1:58" ht="18">
      <c r="A441">
        <v>30</v>
      </c>
      <c r="B441" s="678" t="s">
        <v>2382</v>
      </c>
      <c r="C441" s="684">
        <v>11</v>
      </c>
      <c r="D441" s="12"/>
      <c r="E441" s="12"/>
      <c r="F441" s="12"/>
      <c r="G441" s="12"/>
      <c r="H441" s="12"/>
      <c r="I441" s="12"/>
      <c r="J441" s="12"/>
      <c r="K441" s="12"/>
      <c r="L441" s="12"/>
      <c r="M441" s="12"/>
      <c r="O441" s="12"/>
      <c r="P441" s="682">
        <f t="shared" si="28"/>
        <v>11</v>
      </c>
      <c r="R441" s="681"/>
      <c r="S441" s="681"/>
      <c r="T441" s="681"/>
      <c r="U441" s="441"/>
      <c r="Y441" s="715"/>
      <c r="AA441" s="41"/>
      <c r="AC441" s="681" t="s">
        <v>2386</v>
      </c>
      <c r="AD441">
        <v>31</v>
      </c>
      <c r="AE441">
        <v>0</v>
      </c>
      <c r="AF441">
        <v>6.666666666666667</v>
      </c>
      <c r="AH441" s="681"/>
      <c r="AY441">
        <v>36</v>
      </c>
      <c r="AZ441">
        <v>9</v>
      </c>
      <c r="BA441" t="s">
        <v>2437</v>
      </c>
    </row>
    <row r="442" spans="1:58" ht="18">
      <c r="C442" t="s">
        <v>2374</v>
      </c>
      <c r="D442" t="s">
        <v>2372</v>
      </c>
      <c r="E442" t="s">
        <v>2373</v>
      </c>
      <c r="F442" t="s">
        <v>2375</v>
      </c>
      <c r="G442" t="s">
        <v>2376</v>
      </c>
      <c r="H442" t="s">
        <v>2374</v>
      </c>
      <c r="I442" t="s">
        <v>2375</v>
      </c>
      <c r="J442" t="s">
        <v>2376</v>
      </c>
      <c r="K442" t="s">
        <v>2376</v>
      </c>
      <c r="L442" t="s">
        <v>2375</v>
      </c>
      <c r="M442" t="s">
        <v>2375</v>
      </c>
      <c r="O442" s="12"/>
      <c r="P442" s="673"/>
      <c r="R442" s="644"/>
      <c r="S442" s="644"/>
      <c r="T442" s="644"/>
      <c r="U442" s="41"/>
      <c r="Y442" s="715"/>
      <c r="AA442" s="41"/>
      <c r="AC442" s="681" t="s">
        <v>2387</v>
      </c>
      <c r="AD442">
        <v>31</v>
      </c>
      <c r="AE442">
        <v>0</v>
      </c>
      <c r="AF442">
        <v>7.25</v>
      </c>
      <c r="AH442" s="715"/>
      <c r="AY442">
        <v>36</v>
      </c>
      <c r="AZ442">
        <v>10</v>
      </c>
      <c r="BA442" t="s">
        <v>2439</v>
      </c>
    </row>
    <row r="443" spans="1:58" ht="21">
      <c r="B443" s="1" t="s">
        <v>60</v>
      </c>
      <c r="C443" s="1503"/>
      <c r="D443" s="12"/>
      <c r="E443" s="12"/>
      <c r="F443" s="12"/>
      <c r="G443" s="12"/>
      <c r="H443" s="12"/>
      <c r="I443" s="12"/>
      <c r="J443" s="12"/>
      <c r="K443" s="12"/>
      <c r="L443" s="12"/>
      <c r="M443" s="12"/>
      <c r="O443" s="12"/>
      <c r="P443" s="673"/>
      <c r="R443" s="644"/>
      <c r="S443" s="644"/>
      <c r="T443" s="644"/>
      <c r="U443" s="41"/>
      <c r="Y443" s="715"/>
      <c r="AA443" s="41"/>
      <c r="AC443" s="681" t="s">
        <v>2388</v>
      </c>
      <c r="AD443">
        <v>31</v>
      </c>
      <c r="AE443">
        <v>0</v>
      </c>
      <c r="AF443">
        <v>10</v>
      </c>
      <c r="AH443" s="715"/>
      <c r="AY443">
        <v>36</v>
      </c>
      <c r="AZ443" t="s">
        <v>2810</v>
      </c>
      <c r="BA443" t="s">
        <v>2437</v>
      </c>
    </row>
    <row r="444" spans="1:58" ht="21" customHeight="1">
      <c r="B444" s="649" t="s">
        <v>1440</v>
      </c>
      <c r="C444" s="646" t="s">
        <v>2795</v>
      </c>
      <c r="D444" s="646" t="s">
        <v>2798</v>
      </c>
      <c r="E444" s="646" t="s">
        <v>2799</v>
      </c>
      <c r="F444" s="646" t="s">
        <v>2800</v>
      </c>
      <c r="G444" s="646" t="s">
        <v>2801</v>
      </c>
      <c r="H444" s="646" t="s">
        <v>2802</v>
      </c>
      <c r="I444" s="646" t="s">
        <v>2803</v>
      </c>
      <c r="J444" s="646" t="s">
        <v>2804</v>
      </c>
      <c r="K444" s="646" t="s">
        <v>2805</v>
      </c>
      <c r="L444" s="646" t="s">
        <v>2806</v>
      </c>
      <c r="M444" s="646" t="s">
        <v>2807</v>
      </c>
      <c r="N444" s="646"/>
      <c r="O444" s="646" t="s">
        <v>2810</v>
      </c>
      <c r="P444" s="647" t="s">
        <v>2080</v>
      </c>
      <c r="R444" s="644"/>
      <c r="S444" s="644"/>
      <c r="T444" s="644"/>
      <c r="U444" s="41"/>
      <c r="Y444" s="715"/>
      <c r="AA444" s="41"/>
      <c r="AC444" s="678" t="s">
        <v>2273</v>
      </c>
      <c r="AD444">
        <v>31</v>
      </c>
      <c r="AE444">
        <v>0</v>
      </c>
      <c r="AF444">
        <v>11</v>
      </c>
      <c r="AH444" s="715"/>
      <c r="AY444">
        <v>37</v>
      </c>
      <c r="AZ444">
        <v>1</v>
      </c>
      <c r="BA444" t="s">
        <v>2450</v>
      </c>
      <c r="BB444" t="s">
        <v>2453</v>
      </c>
    </row>
    <row r="445" spans="1:58" ht="18">
      <c r="A445">
        <v>31</v>
      </c>
      <c r="B445" s="677" t="s">
        <v>2128</v>
      </c>
      <c r="C445" s="37">
        <v>2</v>
      </c>
      <c r="D445" s="37">
        <v>4</v>
      </c>
      <c r="E445" s="37">
        <v>3</v>
      </c>
      <c r="F445" s="529">
        <v>1</v>
      </c>
      <c r="G445" s="37">
        <v>3</v>
      </c>
      <c r="H445" s="37">
        <v>2</v>
      </c>
      <c r="I445" s="37">
        <v>2</v>
      </c>
      <c r="J445" s="376">
        <v>3</v>
      </c>
      <c r="K445" s="37">
        <v>4</v>
      </c>
      <c r="L445" s="529">
        <v>1</v>
      </c>
      <c r="M445" s="37">
        <v>3</v>
      </c>
      <c r="O445" s="699">
        <v>1</v>
      </c>
      <c r="P445" s="682">
        <f t="shared" ref="P445:P455" si="29">AVERAGE(C445:O445)</f>
        <v>2.4166666666666665</v>
      </c>
      <c r="R445" s="644"/>
      <c r="S445" s="644"/>
      <c r="T445" s="644"/>
      <c r="U445" s="41"/>
      <c r="Y445" s="715"/>
      <c r="AA445" s="41"/>
      <c r="AE445">
        <v>0</v>
      </c>
      <c r="AH445" s="715"/>
      <c r="AY445">
        <v>37</v>
      </c>
      <c r="AZ445">
        <v>2</v>
      </c>
      <c r="BA445" t="s">
        <v>2452</v>
      </c>
    </row>
    <row r="446" spans="1:58" ht="21">
      <c r="A446">
        <v>31</v>
      </c>
      <c r="B446" s="678" t="s">
        <v>2352</v>
      </c>
      <c r="C446" s="37">
        <v>3</v>
      </c>
      <c r="D446" s="376">
        <v>7</v>
      </c>
      <c r="E446" s="37">
        <v>4</v>
      </c>
      <c r="F446" s="37">
        <v>5</v>
      </c>
      <c r="G446" s="37">
        <v>4</v>
      </c>
      <c r="H446" s="529">
        <v>1</v>
      </c>
      <c r="I446" s="529">
        <v>1</v>
      </c>
      <c r="J446" s="529">
        <v>1</v>
      </c>
      <c r="K446" s="529">
        <v>1</v>
      </c>
      <c r="L446" s="37">
        <v>2</v>
      </c>
      <c r="M446" s="37">
        <v>2</v>
      </c>
      <c r="O446" s="37">
        <v>2</v>
      </c>
      <c r="P446" s="682">
        <f t="shared" si="29"/>
        <v>2.75</v>
      </c>
      <c r="R446" s="644"/>
      <c r="S446" s="644"/>
      <c r="T446" s="644"/>
      <c r="U446" s="41"/>
      <c r="Y446" s="715"/>
      <c r="AA446" s="41"/>
      <c r="AC446" s="1" t="s">
        <v>35</v>
      </c>
      <c r="AE446">
        <v>0</v>
      </c>
      <c r="AH446" s="715"/>
      <c r="AY446">
        <v>37</v>
      </c>
      <c r="AZ446">
        <v>3</v>
      </c>
      <c r="BA446" t="s">
        <v>2458</v>
      </c>
    </row>
    <row r="447" spans="1:58" ht="18">
      <c r="A447">
        <v>31</v>
      </c>
      <c r="B447" s="678" t="s">
        <v>2308</v>
      </c>
      <c r="C447" s="529">
        <v>1</v>
      </c>
      <c r="D447" s="529">
        <v>1</v>
      </c>
      <c r="E447" s="37">
        <v>8</v>
      </c>
      <c r="F447" s="37">
        <v>6</v>
      </c>
      <c r="G447" s="37">
        <v>7</v>
      </c>
      <c r="H447" s="37">
        <v>6</v>
      </c>
      <c r="I447" s="37">
        <v>4</v>
      </c>
      <c r="J447" s="37">
        <v>6</v>
      </c>
      <c r="K447" s="37">
        <v>5</v>
      </c>
      <c r="L447" s="564">
        <v>3</v>
      </c>
      <c r="M447" s="529">
        <v>1</v>
      </c>
      <c r="O447" s="37">
        <v>3</v>
      </c>
      <c r="P447" s="682">
        <f t="shared" si="29"/>
        <v>4.25</v>
      </c>
      <c r="R447" s="681"/>
      <c r="S447" s="681"/>
      <c r="T447" s="681"/>
      <c r="U447" s="441"/>
      <c r="Y447" s="715"/>
      <c r="AA447" s="41"/>
      <c r="AC447" s="649" t="s">
        <v>1440</v>
      </c>
      <c r="AE447">
        <v>0</v>
      </c>
      <c r="AF447" t="s">
        <v>2080</v>
      </c>
      <c r="AH447" s="715"/>
      <c r="AY447">
        <v>37</v>
      </c>
      <c r="AZ447">
        <v>4</v>
      </c>
      <c r="BA447" t="s">
        <v>2452</v>
      </c>
    </row>
    <row r="448" spans="1:58" ht="18">
      <c r="A448">
        <v>31</v>
      </c>
      <c r="B448" s="678" t="s">
        <v>2383</v>
      </c>
      <c r="C448" s="37">
        <v>6</v>
      </c>
      <c r="D448" s="37">
        <v>2</v>
      </c>
      <c r="E448" s="37">
        <v>2</v>
      </c>
      <c r="F448" s="37">
        <v>2</v>
      </c>
      <c r="G448" s="37">
        <v>5</v>
      </c>
      <c r="H448" s="37">
        <v>3</v>
      </c>
      <c r="I448" s="683">
        <v>7</v>
      </c>
      <c r="J448" s="37">
        <v>5</v>
      </c>
      <c r="K448" s="37">
        <v>2</v>
      </c>
      <c r="L448" s="679">
        <v>4</v>
      </c>
      <c r="M448" s="684">
        <v>4</v>
      </c>
      <c r="O448" s="12"/>
      <c r="P448" s="682">
        <f t="shared" si="29"/>
        <v>3.8181818181818183</v>
      </c>
      <c r="R448" s="681"/>
      <c r="S448" s="681"/>
      <c r="T448" s="681"/>
      <c r="U448" s="441"/>
      <c r="Y448" s="715"/>
      <c r="AA448" s="41"/>
      <c r="AC448" s="677" t="s">
        <v>2389</v>
      </c>
      <c r="AD448">
        <v>32</v>
      </c>
      <c r="AE448">
        <v>4</v>
      </c>
      <c r="AF448">
        <v>2.5454545454545454</v>
      </c>
      <c r="AH448" s="715"/>
      <c r="AY448">
        <v>37</v>
      </c>
      <c r="AZ448">
        <v>5</v>
      </c>
      <c r="BA448" t="s">
        <v>2454</v>
      </c>
    </row>
    <row r="449" spans="1:53" ht="18">
      <c r="A449">
        <v>31</v>
      </c>
      <c r="B449" s="678" t="s">
        <v>2365</v>
      </c>
      <c r="C449" s="37">
        <v>5</v>
      </c>
      <c r="D449" s="679">
        <v>9</v>
      </c>
      <c r="E449" s="529">
        <v>1</v>
      </c>
      <c r="F449" s="37">
        <v>4</v>
      </c>
      <c r="G449" s="529">
        <v>1</v>
      </c>
      <c r="H449" s="37">
        <v>5</v>
      </c>
      <c r="I449" s="37">
        <v>3</v>
      </c>
      <c r="J449" s="37">
        <v>4</v>
      </c>
      <c r="K449" s="37">
        <v>3</v>
      </c>
      <c r="L449" s="685">
        <v>5</v>
      </c>
      <c r="M449" s="12"/>
      <c r="O449" s="1490">
        <v>0</v>
      </c>
      <c r="P449" s="682">
        <f t="shared" si="29"/>
        <v>3.6363636363636362</v>
      </c>
      <c r="R449" s="681"/>
      <c r="S449" s="681"/>
      <c r="T449" s="681"/>
      <c r="U449" s="441"/>
      <c r="Y449" s="715"/>
      <c r="AA449" s="41"/>
      <c r="AC449" s="678" t="s">
        <v>2390</v>
      </c>
      <c r="AD449">
        <v>32</v>
      </c>
      <c r="AE449">
        <v>2</v>
      </c>
      <c r="AF449">
        <v>2.7272727272727271</v>
      </c>
      <c r="AH449" s="715"/>
      <c r="AY449">
        <v>37</v>
      </c>
      <c r="AZ449">
        <v>6</v>
      </c>
      <c r="BA449" t="s">
        <v>2450</v>
      </c>
    </row>
    <row r="450" spans="1:53" ht="18">
      <c r="A450">
        <v>31</v>
      </c>
      <c r="B450" s="678" t="s">
        <v>2384</v>
      </c>
      <c r="C450" s="37">
        <v>7</v>
      </c>
      <c r="D450" s="37">
        <v>8</v>
      </c>
      <c r="E450" s="683">
        <v>9</v>
      </c>
      <c r="F450" s="37">
        <v>3</v>
      </c>
      <c r="G450" s="37">
        <v>2</v>
      </c>
      <c r="H450" s="37">
        <v>4</v>
      </c>
      <c r="I450" s="37">
        <v>6</v>
      </c>
      <c r="J450" s="37">
        <v>2</v>
      </c>
      <c r="K450" s="684">
        <v>6</v>
      </c>
      <c r="L450" s="12"/>
      <c r="M450" s="1490">
        <v>0</v>
      </c>
      <c r="O450" s="1490">
        <v>0</v>
      </c>
      <c r="P450" s="682">
        <f t="shared" si="29"/>
        <v>4.2727272727272725</v>
      </c>
      <c r="R450" s="681"/>
      <c r="S450" s="681"/>
      <c r="T450" s="681"/>
      <c r="U450" s="441"/>
      <c r="Y450" s="715"/>
      <c r="AA450" s="41"/>
      <c r="AC450" s="678" t="s">
        <v>2391</v>
      </c>
      <c r="AD450">
        <v>32</v>
      </c>
      <c r="AE450">
        <v>4</v>
      </c>
      <c r="AF450">
        <v>2.2727272727272729</v>
      </c>
      <c r="AH450" s="715"/>
      <c r="AY450">
        <v>37</v>
      </c>
      <c r="AZ450">
        <v>7</v>
      </c>
      <c r="BA450" t="s">
        <v>2453</v>
      </c>
    </row>
    <row r="451" spans="1:53" ht="18">
      <c r="A451">
        <v>31</v>
      </c>
      <c r="B451" s="678" t="s">
        <v>2385</v>
      </c>
      <c r="C451" s="37">
        <v>4</v>
      </c>
      <c r="D451" s="564">
        <v>3</v>
      </c>
      <c r="E451" s="37">
        <v>7</v>
      </c>
      <c r="F451" s="680">
        <v>8</v>
      </c>
      <c r="G451" s="683">
        <v>8</v>
      </c>
      <c r="H451" s="37">
        <v>7</v>
      </c>
      <c r="I451" s="37">
        <v>5</v>
      </c>
      <c r="J451" s="685">
        <v>7</v>
      </c>
      <c r="K451" s="1490">
        <v>0</v>
      </c>
      <c r="L451" s="1490">
        <v>0</v>
      </c>
      <c r="M451" s="1490">
        <v>0</v>
      </c>
      <c r="O451" s="12"/>
      <c r="P451" s="682">
        <f t="shared" si="29"/>
        <v>4.4545454545454541</v>
      </c>
      <c r="R451" s="681"/>
      <c r="S451" s="681"/>
      <c r="T451" s="681"/>
      <c r="U451" s="441"/>
      <c r="Y451" s="715"/>
      <c r="AA451" s="41"/>
      <c r="AC451" s="678" t="s">
        <v>2392</v>
      </c>
      <c r="AD451">
        <v>32</v>
      </c>
      <c r="AE451">
        <v>1</v>
      </c>
      <c r="AF451">
        <v>4.5</v>
      </c>
      <c r="AH451" s="715"/>
      <c r="AY451">
        <v>37</v>
      </c>
      <c r="AZ451">
        <v>8</v>
      </c>
      <c r="BA451" t="s">
        <v>2454</v>
      </c>
    </row>
    <row r="452" spans="1:53" ht="18">
      <c r="A452">
        <v>31</v>
      </c>
      <c r="B452" s="681" t="s">
        <v>2386</v>
      </c>
      <c r="C452" s="674">
        <v>8</v>
      </c>
      <c r="D452" s="37">
        <v>5</v>
      </c>
      <c r="E452" s="37">
        <v>6</v>
      </c>
      <c r="F452" s="37">
        <v>7</v>
      </c>
      <c r="G452" s="37">
        <v>6</v>
      </c>
      <c r="H452" s="692">
        <v>8</v>
      </c>
      <c r="I452" s="1490">
        <v>0</v>
      </c>
      <c r="J452" s="1490">
        <v>0</v>
      </c>
      <c r="K452" s="1490">
        <v>0</v>
      </c>
      <c r="L452" s="12"/>
      <c r="M452" s="12"/>
      <c r="O452" s="12"/>
      <c r="P452" s="682">
        <f t="shared" si="29"/>
        <v>4.4444444444444446</v>
      </c>
      <c r="R452" s="681"/>
      <c r="S452" s="681"/>
      <c r="T452" s="681"/>
      <c r="U452" s="441"/>
      <c r="Y452" s="715"/>
      <c r="AA452" s="41"/>
      <c r="AC452" s="678" t="s">
        <v>2393</v>
      </c>
      <c r="AD452">
        <v>32</v>
      </c>
      <c r="AE452">
        <v>0</v>
      </c>
      <c r="AF452">
        <v>5.4444444444444446</v>
      </c>
      <c r="AH452" s="715"/>
      <c r="AY452">
        <v>37</v>
      </c>
      <c r="AZ452">
        <v>9</v>
      </c>
      <c r="BA452" t="s">
        <v>2452</v>
      </c>
    </row>
    <row r="453" spans="1:53" ht="18">
      <c r="A453">
        <v>31</v>
      </c>
      <c r="B453" s="681" t="s">
        <v>2387</v>
      </c>
      <c r="C453" s="674">
        <v>9</v>
      </c>
      <c r="D453" s="37">
        <v>6</v>
      </c>
      <c r="E453" s="37">
        <v>5</v>
      </c>
      <c r="F453" s="692">
        <v>9</v>
      </c>
      <c r="G453" s="12"/>
      <c r="H453" s="1490">
        <v>0</v>
      </c>
      <c r="I453" s="1490">
        <v>0</v>
      </c>
      <c r="J453" s="1490">
        <v>0</v>
      </c>
      <c r="K453" s="12"/>
      <c r="L453" s="12"/>
      <c r="M453" s="12"/>
      <c r="O453" s="12"/>
      <c r="P453" s="682">
        <f t="shared" si="29"/>
        <v>4.1428571428571432</v>
      </c>
      <c r="U453" s="41"/>
      <c r="Y453" s="715"/>
      <c r="AA453" s="41"/>
      <c r="AC453" s="678" t="s">
        <v>2394</v>
      </c>
      <c r="AD453">
        <v>32</v>
      </c>
      <c r="AE453">
        <v>0</v>
      </c>
      <c r="AF453">
        <v>6.5</v>
      </c>
      <c r="AH453" s="715"/>
      <c r="AY453">
        <v>37</v>
      </c>
      <c r="AZ453">
        <v>10</v>
      </c>
      <c r="BA453" t="s">
        <v>2450</v>
      </c>
    </row>
    <row r="454" spans="1:53" ht="18">
      <c r="A454">
        <v>31</v>
      </c>
      <c r="B454" s="681" t="s">
        <v>2388</v>
      </c>
      <c r="C454" s="674">
        <v>10</v>
      </c>
      <c r="D454" s="684">
        <v>10</v>
      </c>
      <c r="E454" s="12"/>
      <c r="F454" s="12"/>
      <c r="G454" s="1492">
        <v>0</v>
      </c>
      <c r="H454" s="1490">
        <v>0</v>
      </c>
      <c r="I454" s="12"/>
      <c r="J454" s="12"/>
      <c r="K454" s="12"/>
      <c r="L454" s="12"/>
      <c r="M454" s="12"/>
      <c r="O454" s="12"/>
      <c r="P454" s="682">
        <f t="shared" si="29"/>
        <v>5</v>
      </c>
      <c r="U454" s="41"/>
      <c r="Y454" s="715"/>
      <c r="AA454" s="41"/>
      <c r="AC454" s="678" t="s">
        <v>2395</v>
      </c>
      <c r="AD454">
        <v>32</v>
      </c>
      <c r="AE454">
        <v>0</v>
      </c>
      <c r="AF454">
        <v>5.7142857142857144</v>
      </c>
      <c r="AH454" s="715"/>
      <c r="AY454">
        <v>37</v>
      </c>
      <c r="AZ454">
        <v>11</v>
      </c>
      <c r="BA454" t="s">
        <v>2450</v>
      </c>
    </row>
    <row r="455" spans="1:53" ht="18">
      <c r="A455">
        <v>31</v>
      </c>
      <c r="B455" s="678" t="s">
        <v>2273</v>
      </c>
      <c r="C455" s="684">
        <v>11</v>
      </c>
      <c r="D455" s="12"/>
      <c r="E455" s="12"/>
      <c r="F455" s="12"/>
      <c r="G455" s="12"/>
      <c r="H455" s="12"/>
      <c r="I455" s="12"/>
      <c r="J455" s="12"/>
      <c r="K455" s="12"/>
      <c r="L455" s="12"/>
      <c r="M455" s="12"/>
      <c r="O455" s="12"/>
      <c r="P455" s="682">
        <f t="shared" si="29"/>
        <v>11</v>
      </c>
      <c r="U455" s="41"/>
      <c r="AC455" s="681" t="s">
        <v>2396</v>
      </c>
      <c r="AD455">
        <v>32</v>
      </c>
      <c r="AE455">
        <v>0</v>
      </c>
      <c r="AF455">
        <v>4.8</v>
      </c>
      <c r="AH455" s="715"/>
      <c r="AY455">
        <v>37</v>
      </c>
      <c r="AZ455" t="s">
        <v>2810</v>
      </c>
      <c r="BA455" t="s">
        <v>2450</v>
      </c>
    </row>
    <row r="456" spans="1:53" ht="15.95" customHeight="1">
      <c r="C456" s="1503"/>
      <c r="D456" s="12"/>
      <c r="E456" s="12"/>
      <c r="F456" s="12"/>
      <c r="G456" s="12"/>
      <c r="H456" s="12"/>
      <c r="I456" s="12"/>
      <c r="J456" s="12"/>
      <c r="K456" s="12"/>
      <c r="L456" s="12"/>
      <c r="M456" s="12"/>
      <c r="N456" s="12"/>
      <c r="O456" s="1497"/>
      <c r="P456" s="682"/>
      <c r="U456" s="41"/>
      <c r="Y456" s="1"/>
      <c r="AC456" s="681" t="s">
        <v>2397</v>
      </c>
      <c r="AD456">
        <v>32</v>
      </c>
      <c r="AE456">
        <v>0</v>
      </c>
      <c r="AF456">
        <v>7.666666666666667</v>
      </c>
      <c r="AH456" s="715"/>
      <c r="AY456">
        <v>38</v>
      </c>
      <c r="AZ456">
        <v>1</v>
      </c>
      <c r="BA456" t="s">
        <v>2558</v>
      </c>
    </row>
    <row r="457" spans="1:53" ht="21">
      <c r="B457" s="1" t="s">
        <v>35</v>
      </c>
      <c r="C457" s="1503"/>
      <c r="D457" s="12"/>
      <c r="E457" s="12"/>
      <c r="F457" s="12"/>
      <c r="G457" s="12"/>
      <c r="H457" s="12"/>
      <c r="I457" s="12"/>
      <c r="J457" s="12"/>
      <c r="K457" s="12"/>
      <c r="L457" s="12"/>
      <c r="M457" s="12"/>
      <c r="N457" s="12"/>
      <c r="O457" s="1490">
        <v>0</v>
      </c>
      <c r="P457" s="682">
        <f>AVERAGE(C457:O457)</f>
        <v>0</v>
      </c>
      <c r="U457" s="41"/>
      <c r="AC457" s="681" t="s">
        <v>2398</v>
      </c>
      <c r="AD457">
        <v>32</v>
      </c>
      <c r="AE457">
        <v>0</v>
      </c>
      <c r="AF457">
        <v>9.5</v>
      </c>
      <c r="AH457" s="715"/>
      <c r="AY457">
        <v>38</v>
      </c>
      <c r="AZ457">
        <v>2</v>
      </c>
      <c r="BA457" t="s">
        <v>2558</v>
      </c>
    </row>
    <row r="458" spans="1:53" ht="21">
      <c r="B458" s="649" t="s">
        <v>1440</v>
      </c>
      <c r="C458" s="646" t="s">
        <v>2795</v>
      </c>
      <c r="D458" s="646" t="s">
        <v>2798</v>
      </c>
      <c r="E458" s="646" t="s">
        <v>2799</v>
      </c>
      <c r="F458" s="646" t="s">
        <v>2800</v>
      </c>
      <c r="G458" s="646" t="s">
        <v>2801</v>
      </c>
      <c r="H458" s="646" t="s">
        <v>2802</v>
      </c>
      <c r="I458" s="646" t="s">
        <v>2803</v>
      </c>
      <c r="J458" s="646" t="s">
        <v>2804</v>
      </c>
      <c r="K458" s="646" t="s">
        <v>2805</v>
      </c>
      <c r="L458" s="646" t="s">
        <v>2806</v>
      </c>
      <c r="M458" s="646"/>
      <c r="N458" s="646"/>
      <c r="O458" s="646" t="s">
        <v>2810</v>
      </c>
      <c r="P458" s="647" t="s">
        <v>2080</v>
      </c>
      <c r="U458" s="41"/>
      <c r="Y458" s="1"/>
      <c r="AC458" s="678" t="s">
        <v>2399</v>
      </c>
      <c r="AD458">
        <v>32</v>
      </c>
      <c r="AE458">
        <v>0</v>
      </c>
      <c r="AF458">
        <v>11</v>
      </c>
      <c r="AH458" s="715"/>
      <c r="AY458">
        <v>38</v>
      </c>
      <c r="AZ458">
        <v>3</v>
      </c>
      <c r="BA458" t="s">
        <v>2564</v>
      </c>
    </row>
    <row r="459" spans="1:53" ht="18">
      <c r="A459">
        <v>32</v>
      </c>
      <c r="B459" s="677" t="s">
        <v>2389</v>
      </c>
      <c r="C459" s="37">
        <v>4</v>
      </c>
      <c r="D459" s="37">
        <v>6</v>
      </c>
      <c r="E459" s="686">
        <v>1</v>
      </c>
      <c r="F459" s="529">
        <v>1</v>
      </c>
      <c r="G459" s="37">
        <v>4</v>
      </c>
      <c r="H459" s="37">
        <v>4</v>
      </c>
      <c r="I459" s="529">
        <v>1</v>
      </c>
      <c r="J459" s="1498">
        <v>2</v>
      </c>
      <c r="K459" s="37">
        <v>2</v>
      </c>
      <c r="L459" s="37">
        <v>2</v>
      </c>
      <c r="N459" s="12"/>
      <c r="O459" s="699">
        <v>1</v>
      </c>
      <c r="P459" s="682">
        <f>AVERAGE(C459:O459)</f>
        <v>2.5454545454545454</v>
      </c>
      <c r="U459" s="41"/>
      <c r="AE459">
        <v>0</v>
      </c>
      <c r="AH459" s="715"/>
      <c r="AY459">
        <v>38</v>
      </c>
      <c r="AZ459">
        <v>4</v>
      </c>
      <c r="BA459" t="s">
        <v>2563</v>
      </c>
    </row>
    <row r="460" spans="1:53" ht="15.95" customHeight="1">
      <c r="A460">
        <v>32</v>
      </c>
      <c r="B460" s="678" t="s">
        <v>2390</v>
      </c>
      <c r="C460" s="529">
        <v>1</v>
      </c>
      <c r="D460" s="529">
        <v>1</v>
      </c>
      <c r="E460" s="37">
        <v>2</v>
      </c>
      <c r="F460" s="37">
        <v>6</v>
      </c>
      <c r="G460" s="37">
        <v>2</v>
      </c>
      <c r="H460" s="37">
        <v>3</v>
      </c>
      <c r="I460" s="37">
        <v>3</v>
      </c>
      <c r="J460" s="37">
        <v>4</v>
      </c>
      <c r="K460" s="37">
        <v>3</v>
      </c>
      <c r="L460" s="37">
        <v>3</v>
      </c>
      <c r="N460" s="12"/>
      <c r="O460" s="37">
        <v>2</v>
      </c>
      <c r="P460" s="682">
        <f>AVERAGE(C460:O460)</f>
        <v>2.7272727272727271</v>
      </c>
      <c r="U460" s="41"/>
      <c r="Y460" s="1"/>
      <c r="AC460" s="1" t="s">
        <v>11</v>
      </c>
      <c r="AE460">
        <v>0</v>
      </c>
      <c r="AH460" s="715"/>
      <c r="AY460">
        <v>38</v>
      </c>
      <c r="AZ460">
        <v>5</v>
      </c>
      <c r="BA460" t="s">
        <v>2563</v>
      </c>
    </row>
    <row r="461" spans="1:53" ht="18">
      <c r="A461">
        <v>32</v>
      </c>
      <c r="B461" s="678" t="s">
        <v>2391</v>
      </c>
      <c r="C461" s="37">
        <v>3</v>
      </c>
      <c r="D461" s="37">
        <v>3</v>
      </c>
      <c r="E461" s="37">
        <v>4</v>
      </c>
      <c r="F461" s="37">
        <v>4</v>
      </c>
      <c r="G461" s="529">
        <v>1</v>
      </c>
      <c r="H461" s="37">
        <v>2</v>
      </c>
      <c r="I461" s="37">
        <v>2</v>
      </c>
      <c r="J461" s="1499">
        <v>1</v>
      </c>
      <c r="K461" s="686">
        <v>1</v>
      </c>
      <c r="L461" s="529">
        <v>1</v>
      </c>
      <c r="N461" s="12"/>
      <c r="O461" s="37">
        <v>3</v>
      </c>
      <c r="P461" s="682">
        <f>AVERAGE(C461:O461)</f>
        <v>2.2727272727272729</v>
      </c>
      <c r="U461" s="41"/>
      <c r="AC461" s="649" t="s">
        <v>1440</v>
      </c>
      <c r="AE461">
        <v>0</v>
      </c>
      <c r="AF461" t="s">
        <v>2080</v>
      </c>
      <c r="AH461" s="715"/>
      <c r="AY461">
        <v>38</v>
      </c>
      <c r="AZ461">
        <v>6</v>
      </c>
      <c r="BA461" t="s">
        <v>2563</v>
      </c>
    </row>
    <row r="462" spans="1:53" ht="15.95" customHeight="1">
      <c r="A462">
        <v>32</v>
      </c>
      <c r="B462" s="678" t="s">
        <v>2392</v>
      </c>
      <c r="C462" s="37">
        <v>10</v>
      </c>
      <c r="D462" s="37">
        <v>2</v>
      </c>
      <c r="E462" s="37">
        <v>5</v>
      </c>
      <c r="F462" s="37">
        <v>7</v>
      </c>
      <c r="G462" s="37">
        <v>5</v>
      </c>
      <c r="H462" s="529">
        <v>1</v>
      </c>
      <c r="I462" s="37">
        <v>4</v>
      </c>
      <c r="J462" s="37">
        <v>3</v>
      </c>
      <c r="K462" s="564">
        <v>4</v>
      </c>
      <c r="L462" s="684">
        <v>4</v>
      </c>
      <c r="M462" s="12"/>
      <c r="N462" s="12"/>
      <c r="O462" s="12"/>
      <c r="P462" s="682">
        <f t="shared" ref="P462:P469" si="30">AVERAGE(C462:O462)</f>
        <v>4.5</v>
      </c>
      <c r="U462" s="41"/>
      <c r="Y462" s="1"/>
      <c r="AC462" s="677" t="s">
        <v>2400</v>
      </c>
      <c r="AD462">
        <v>33</v>
      </c>
      <c r="AE462">
        <v>5</v>
      </c>
      <c r="AF462">
        <v>2.0909090909090908</v>
      </c>
      <c r="AH462" s="715"/>
      <c r="AY462">
        <v>38</v>
      </c>
      <c r="AZ462">
        <v>7</v>
      </c>
      <c r="BA462" t="s">
        <v>2563</v>
      </c>
    </row>
    <row r="463" spans="1:53" ht="18">
      <c r="A463">
        <v>32</v>
      </c>
      <c r="B463" s="678" t="s">
        <v>2393</v>
      </c>
      <c r="C463" s="37">
        <v>7</v>
      </c>
      <c r="D463" s="37">
        <v>4</v>
      </c>
      <c r="E463" s="37">
        <v>6</v>
      </c>
      <c r="F463" s="37">
        <v>5</v>
      </c>
      <c r="G463" s="37">
        <v>6</v>
      </c>
      <c r="H463" s="37">
        <v>5</v>
      </c>
      <c r="I463" s="37">
        <v>6</v>
      </c>
      <c r="J463" s="37">
        <v>5</v>
      </c>
      <c r="K463" s="685">
        <v>5</v>
      </c>
      <c r="L463" s="12"/>
      <c r="M463" s="12"/>
      <c r="N463" s="12"/>
      <c r="O463" s="12"/>
      <c r="P463" s="682">
        <f t="shared" si="30"/>
        <v>5.4444444444444446</v>
      </c>
      <c r="U463" s="41"/>
      <c r="AC463" s="678" t="s">
        <v>2401</v>
      </c>
      <c r="AD463">
        <v>33</v>
      </c>
      <c r="AE463">
        <v>2</v>
      </c>
      <c r="AF463">
        <v>2.7272727272727271</v>
      </c>
      <c r="AH463" s="715"/>
      <c r="AY463">
        <v>38</v>
      </c>
      <c r="AZ463">
        <v>8</v>
      </c>
      <c r="BA463" t="s">
        <v>2558</v>
      </c>
    </row>
    <row r="464" spans="1:53" ht="15.95" customHeight="1">
      <c r="A464">
        <v>32</v>
      </c>
      <c r="B464" s="678" t="s">
        <v>2394</v>
      </c>
      <c r="C464" s="37">
        <v>8</v>
      </c>
      <c r="D464" s="37">
        <v>8</v>
      </c>
      <c r="E464" s="564">
        <v>3</v>
      </c>
      <c r="F464" s="683">
        <v>8</v>
      </c>
      <c r="G464" s="37">
        <v>7</v>
      </c>
      <c r="H464" s="683">
        <v>7</v>
      </c>
      <c r="I464" s="1498">
        <v>5</v>
      </c>
      <c r="J464" s="1500">
        <v>6</v>
      </c>
      <c r="K464" s="12"/>
      <c r="L464" s="12"/>
      <c r="M464" s="12"/>
      <c r="N464" s="12"/>
      <c r="O464" s="12"/>
      <c r="P464" s="682">
        <f t="shared" si="30"/>
        <v>6.5</v>
      </c>
      <c r="U464" s="41"/>
      <c r="Y464" s="1"/>
      <c r="AC464" s="678" t="s">
        <v>2402</v>
      </c>
      <c r="AD464">
        <v>33</v>
      </c>
      <c r="AE464">
        <v>3</v>
      </c>
      <c r="AF464">
        <v>2.3636363636363638</v>
      </c>
      <c r="AH464" s="715"/>
      <c r="AY464">
        <v>38</v>
      </c>
      <c r="AZ464">
        <v>9</v>
      </c>
      <c r="BA464" t="s">
        <v>2558</v>
      </c>
    </row>
    <row r="465" spans="1:53" ht="18">
      <c r="A465">
        <v>32</v>
      </c>
      <c r="B465" s="678" t="s">
        <v>2395</v>
      </c>
      <c r="C465" s="37">
        <v>6</v>
      </c>
      <c r="D465" s="37">
        <v>7</v>
      </c>
      <c r="E465" s="376">
        <v>8</v>
      </c>
      <c r="F465" s="680">
        <v>3</v>
      </c>
      <c r="G465" s="37">
        <v>3</v>
      </c>
      <c r="H465" s="37">
        <v>6</v>
      </c>
      <c r="I465" s="1501">
        <v>7</v>
      </c>
      <c r="J465" s="12"/>
      <c r="K465" s="12"/>
      <c r="L465" s="12"/>
      <c r="M465" s="12"/>
      <c r="N465" s="12"/>
      <c r="O465" s="12"/>
      <c r="P465" s="682">
        <f t="shared" si="30"/>
        <v>5.7142857142857144</v>
      </c>
      <c r="U465" s="41"/>
      <c r="Y465" s="715"/>
      <c r="AC465" s="678" t="s">
        <v>2403</v>
      </c>
      <c r="AD465">
        <v>33</v>
      </c>
      <c r="AE465">
        <v>0</v>
      </c>
      <c r="AF465">
        <v>5.4</v>
      </c>
      <c r="AH465" s="715"/>
      <c r="AY465">
        <v>38</v>
      </c>
      <c r="AZ465">
        <v>10</v>
      </c>
      <c r="BA465" t="s">
        <v>2558</v>
      </c>
    </row>
    <row r="466" spans="1:53" ht="15.95" customHeight="1">
      <c r="A466">
        <v>32</v>
      </c>
      <c r="B466" s="681" t="s">
        <v>2396</v>
      </c>
      <c r="C466" s="674">
        <v>2</v>
      </c>
      <c r="D466" s="37">
        <v>5</v>
      </c>
      <c r="E466" s="37">
        <v>7</v>
      </c>
      <c r="F466" s="37">
        <v>2</v>
      </c>
      <c r="G466" s="684">
        <v>8</v>
      </c>
      <c r="H466" s="12"/>
      <c r="I466" s="12"/>
      <c r="J466" s="12"/>
      <c r="K466" s="12"/>
      <c r="L466" s="12"/>
      <c r="M466" s="12"/>
      <c r="N466" s="12"/>
      <c r="O466" s="12"/>
      <c r="P466" s="682">
        <f t="shared" si="30"/>
        <v>4.8</v>
      </c>
      <c r="U466" s="41"/>
      <c r="AC466" s="678" t="s">
        <v>2404</v>
      </c>
      <c r="AD466">
        <v>33</v>
      </c>
      <c r="AE466">
        <v>0</v>
      </c>
      <c r="AF466">
        <v>5.875</v>
      </c>
      <c r="AH466" s="715"/>
      <c r="AY466">
        <v>38</v>
      </c>
      <c r="AZ466">
        <v>11</v>
      </c>
      <c r="BA466" t="s">
        <v>2558</v>
      </c>
    </row>
    <row r="467" spans="1:53" ht="15.95" customHeight="1">
      <c r="A467">
        <v>32</v>
      </c>
      <c r="B467" s="681" t="s">
        <v>2397</v>
      </c>
      <c r="C467" s="674">
        <v>5</v>
      </c>
      <c r="D467" s="37">
        <v>9</v>
      </c>
      <c r="E467" s="685">
        <v>9</v>
      </c>
      <c r="F467" s="12"/>
      <c r="G467" s="12"/>
      <c r="H467" s="12"/>
      <c r="I467" s="12"/>
      <c r="J467" s="12"/>
      <c r="K467" s="12"/>
      <c r="L467" s="12"/>
      <c r="M467" s="12"/>
      <c r="N467" s="12"/>
      <c r="O467" s="12"/>
      <c r="P467" s="682">
        <f t="shared" si="30"/>
        <v>7.666666666666667</v>
      </c>
      <c r="U467" s="41"/>
      <c r="Y467" s="1"/>
      <c r="AC467" s="678" t="s">
        <v>2405</v>
      </c>
      <c r="AD467">
        <v>33</v>
      </c>
      <c r="AE467">
        <v>0</v>
      </c>
      <c r="AF467">
        <v>6.5</v>
      </c>
      <c r="AH467" s="715"/>
      <c r="AY467">
        <v>38</v>
      </c>
      <c r="AZ467" t="s">
        <v>2810</v>
      </c>
      <c r="BA467" t="s">
        <v>2558</v>
      </c>
    </row>
    <row r="468" spans="1:53" ht="15.95" customHeight="1">
      <c r="A468">
        <v>32</v>
      </c>
      <c r="B468" s="681" t="s">
        <v>2398</v>
      </c>
      <c r="C468" s="674">
        <v>9</v>
      </c>
      <c r="D468" s="684">
        <v>10</v>
      </c>
      <c r="E468" s="12"/>
      <c r="F468" s="12"/>
      <c r="G468" s="12"/>
      <c r="H468" s="12"/>
      <c r="I468" s="12"/>
      <c r="J468" s="12"/>
      <c r="K468" s="12"/>
      <c r="L468" s="12"/>
      <c r="M468" s="12"/>
      <c r="N468" s="12"/>
      <c r="O468" s="12"/>
      <c r="P468" s="682">
        <f t="shared" si="30"/>
        <v>9.5</v>
      </c>
      <c r="U468" s="41"/>
      <c r="AC468" s="678" t="s">
        <v>2406</v>
      </c>
      <c r="AD468">
        <v>33</v>
      </c>
      <c r="AE468">
        <v>0</v>
      </c>
      <c r="AF468">
        <v>9</v>
      </c>
      <c r="AH468" s="715"/>
    </row>
    <row r="469" spans="1:53" ht="15.95" customHeight="1">
      <c r="A469">
        <v>32</v>
      </c>
      <c r="B469" s="678" t="s">
        <v>2399</v>
      </c>
      <c r="C469" s="684">
        <v>11</v>
      </c>
      <c r="D469" s="12"/>
      <c r="E469" s="12"/>
      <c r="F469" s="12"/>
      <c r="G469" s="12"/>
      <c r="H469" s="12"/>
      <c r="I469" s="12"/>
      <c r="J469" s="12"/>
      <c r="K469" s="12"/>
      <c r="L469" s="12"/>
      <c r="M469" s="12"/>
      <c r="N469" s="12"/>
      <c r="O469" s="12"/>
      <c r="P469" s="682">
        <f t="shared" si="30"/>
        <v>11</v>
      </c>
      <c r="U469" s="41"/>
      <c r="Y469" s="1"/>
      <c r="AC469" s="681" t="s">
        <v>2407</v>
      </c>
      <c r="AD469">
        <v>33</v>
      </c>
      <c r="AE469">
        <v>1</v>
      </c>
      <c r="AF469">
        <v>3.6666666666666665</v>
      </c>
      <c r="AH469" s="715"/>
    </row>
    <row r="470" spans="1:53" ht="18" customHeight="1">
      <c r="C470" s="1503"/>
      <c r="D470" s="12"/>
      <c r="E470" s="12"/>
      <c r="F470" s="12"/>
      <c r="G470" s="12"/>
      <c r="H470" s="58" t="s">
        <v>2797</v>
      </c>
      <c r="I470" s="58"/>
      <c r="J470" s="58"/>
      <c r="K470" s="58"/>
      <c r="L470" s="58"/>
      <c r="M470" s="58"/>
      <c r="N470" s="58"/>
      <c r="O470" s="58"/>
      <c r="P470" s="58"/>
      <c r="U470" s="41"/>
      <c r="Y470" s="715"/>
      <c r="AC470" s="681" t="s">
        <v>2408</v>
      </c>
      <c r="AD470">
        <v>33</v>
      </c>
      <c r="AE470">
        <v>0</v>
      </c>
      <c r="AF470">
        <v>4.333333333333333</v>
      </c>
      <c r="AH470" s="715"/>
    </row>
    <row r="471" spans="1:53" ht="21">
      <c r="B471" s="1" t="s">
        <v>11</v>
      </c>
      <c r="C471" s="1503"/>
      <c r="D471" s="12"/>
      <c r="E471" s="12"/>
      <c r="F471" s="12"/>
      <c r="G471" s="12"/>
      <c r="H471" s="12"/>
      <c r="I471" s="12"/>
      <c r="J471" s="1490">
        <v>0</v>
      </c>
      <c r="K471" s="12"/>
      <c r="L471" s="12"/>
      <c r="M471" s="12"/>
      <c r="N471" s="12"/>
      <c r="O471" s="1490">
        <v>0</v>
      </c>
      <c r="U471" s="41"/>
      <c r="Y471" s="644"/>
      <c r="AC471" s="681" t="s">
        <v>2409</v>
      </c>
      <c r="AD471">
        <v>33</v>
      </c>
      <c r="AE471">
        <v>0</v>
      </c>
      <c r="AF471">
        <v>5.333333333333333</v>
      </c>
      <c r="AH471" s="715"/>
    </row>
    <row r="472" spans="1:53" ht="21">
      <c r="B472" s="649" t="s">
        <v>1440</v>
      </c>
      <c r="C472" s="646" t="s">
        <v>2795</v>
      </c>
      <c r="D472" s="646" t="s">
        <v>2798</v>
      </c>
      <c r="E472" s="646" t="s">
        <v>2799</v>
      </c>
      <c r="F472" s="646" t="s">
        <v>2800</v>
      </c>
      <c r="G472" s="646" t="s">
        <v>2801</v>
      </c>
      <c r="H472" s="646" t="s">
        <v>2802</v>
      </c>
      <c r="I472" s="646" t="s">
        <v>2803</v>
      </c>
      <c r="J472" s="646" t="s">
        <v>2804</v>
      </c>
      <c r="K472" s="646" t="s">
        <v>2805</v>
      </c>
      <c r="L472" s="646" t="s">
        <v>2806</v>
      </c>
      <c r="M472" s="646"/>
      <c r="N472" s="646"/>
      <c r="O472" s="646" t="s">
        <v>2810</v>
      </c>
      <c r="P472" s="647" t="s">
        <v>2080</v>
      </c>
      <c r="U472" s="41"/>
      <c r="Y472" s="1"/>
      <c r="AC472" s="678" t="s">
        <v>2410</v>
      </c>
      <c r="AD472">
        <v>33</v>
      </c>
      <c r="AE472">
        <v>0</v>
      </c>
      <c r="AF472">
        <v>8.3333333333333339</v>
      </c>
      <c r="AH472" s="715"/>
    </row>
    <row r="473" spans="1:53" ht="18">
      <c r="A473">
        <v>33</v>
      </c>
      <c r="B473" s="677" t="s">
        <v>2400</v>
      </c>
      <c r="C473" s="37">
        <v>4</v>
      </c>
      <c r="D473" s="37">
        <v>5</v>
      </c>
      <c r="E473" s="696">
        <v>1</v>
      </c>
      <c r="F473" s="37">
        <v>2</v>
      </c>
      <c r="G473" s="37">
        <v>3</v>
      </c>
      <c r="H473" s="529">
        <v>1</v>
      </c>
      <c r="I473" s="529">
        <v>1</v>
      </c>
      <c r="J473" s="529">
        <v>1</v>
      </c>
      <c r="K473" s="37">
        <v>2</v>
      </c>
      <c r="L473" s="37">
        <v>2</v>
      </c>
      <c r="N473" s="12"/>
      <c r="O473" s="699">
        <v>1</v>
      </c>
      <c r="P473" s="682">
        <f>AVERAGE(C473:O473)</f>
        <v>2.0909090909090908</v>
      </c>
      <c r="U473" s="41"/>
      <c r="AE473">
        <v>0</v>
      </c>
      <c r="AH473" s="715"/>
    </row>
    <row r="474" spans="1:53" ht="15.95" customHeight="1">
      <c r="A474">
        <v>33</v>
      </c>
      <c r="B474" s="678" t="s">
        <v>2401</v>
      </c>
      <c r="C474" s="37">
        <v>3</v>
      </c>
      <c r="D474" s="37">
        <v>4</v>
      </c>
      <c r="E474" s="37">
        <v>6</v>
      </c>
      <c r="F474" s="693">
        <v>3</v>
      </c>
      <c r="G474" s="37">
        <v>4</v>
      </c>
      <c r="H474" s="37">
        <v>2</v>
      </c>
      <c r="I474" s="37">
        <v>2</v>
      </c>
      <c r="J474" s="37">
        <v>2</v>
      </c>
      <c r="K474" s="529">
        <v>1</v>
      </c>
      <c r="L474" s="529">
        <v>1</v>
      </c>
      <c r="N474" s="12"/>
      <c r="O474" s="37">
        <v>2</v>
      </c>
      <c r="P474" s="682">
        <f t="shared" ref="P474:P483" si="31">AVERAGE(C474:O474)</f>
        <v>2.7272727272727271</v>
      </c>
      <c r="U474" s="41"/>
      <c r="Y474" s="1"/>
      <c r="AC474" s="1" t="s">
        <v>198</v>
      </c>
      <c r="AE474">
        <v>0</v>
      </c>
      <c r="AH474" s="715"/>
    </row>
    <row r="475" spans="1:53" ht="18">
      <c r="A475">
        <v>33</v>
      </c>
      <c r="B475" s="678" t="s">
        <v>2402</v>
      </c>
      <c r="C475" s="37">
        <v>2</v>
      </c>
      <c r="D475" s="529">
        <v>1</v>
      </c>
      <c r="E475" s="37">
        <v>2</v>
      </c>
      <c r="F475" s="697">
        <v>1</v>
      </c>
      <c r="G475" s="529">
        <v>1</v>
      </c>
      <c r="H475" s="37">
        <v>3</v>
      </c>
      <c r="I475" s="37">
        <v>3</v>
      </c>
      <c r="J475" s="37">
        <v>3</v>
      </c>
      <c r="K475" s="683">
        <v>4</v>
      </c>
      <c r="L475" s="37">
        <v>3</v>
      </c>
      <c r="N475" s="12"/>
      <c r="O475" s="37">
        <v>3</v>
      </c>
      <c r="P475" s="682">
        <f t="shared" si="31"/>
        <v>2.3636363636363638</v>
      </c>
      <c r="U475" s="41"/>
      <c r="Y475" s="715"/>
      <c r="AC475" s="649" t="s">
        <v>1440</v>
      </c>
      <c r="AE475">
        <v>0</v>
      </c>
      <c r="AF475" t="s">
        <v>2080</v>
      </c>
      <c r="AH475" s="715"/>
    </row>
    <row r="476" spans="1:53" ht="15.95" customHeight="1">
      <c r="A476">
        <v>33</v>
      </c>
      <c r="B476" s="678" t="s">
        <v>2403</v>
      </c>
      <c r="C476" s="37">
        <v>9</v>
      </c>
      <c r="D476" s="37">
        <v>3</v>
      </c>
      <c r="E476" s="684">
        <v>10</v>
      </c>
      <c r="F476" s="693">
        <v>6</v>
      </c>
      <c r="G476" s="683">
        <v>6</v>
      </c>
      <c r="H476" s="37">
        <v>4</v>
      </c>
      <c r="I476" s="683">
        <v>5</v>
      </c>
      <c r="J476" s="37">
        <v>4</v>
      </c>
      <c r="K476" s="37">
        <v>3</v>
      </c>
      <c r="L476" s="684">
        <v>4</v>
      </c>
      <c r="M476" s="12"/>
      <c r="N476" s="12"/>
      <c r="O476" s="1490">
        <v>0</v>
      </c>
      <c r="P476" s="682">
        <f t="shared" si="31"/>
        <v>4.9090909090909092</v>
      </c>
      <c r="U476" s="41"/>
      <c r="AC476" s="677" t="s">
        <v>2412</v>
      </c>
      <c r="AD476">
        <v>34</v>
      </c>
      <c r="AE476">
        <v>4</v>
      </c>
      <c r="AF476">
        <v>2.7</v>
      </c>
      <c r="AH476" s="715"/>
    </row>
    <row r="477" spans="1:53" ht="15.95" customHeight="1">
      <c r="A477">
        <v>33</v>
      </c>
      <c r="B477" s="678" t="s">
        <v>2404</v>
      </c>
      <c r="C477" s="37">
        <v>10</v>
      </c>
      <c r="D477" s="683">
        <v>10</v>
      </c>
      <c r="E477" s="37">
        <v>7</v>
      </c>
      <c r="F477" s="693">
        <v>4</v>
      </c>
      <c r="G477" s="37">
        <v>2</v>
      </c>
      <c r="H477" s="37">
        <v>5</v>
      </c>
      <c r="I477" s="37">
        <v>4</v>
      </c>
      <c r="J477" s="684">
        <v>5</v>
      </c>
      <c r="K477" s="12"/>
      <c r="L477" s="12"/>
      <c r="M477" s="1490">
        <v>0</v>
      </c>
      <c r="N477" s="12"/>
      <c r="O477" s="1490">
        <v>0</v>
      </c>
      <c r="P477" s="682">
        <f t="shared" si="31"/>
        <v>4.7</v>
      </c>
      <c r="U477" s="41"/>
      <c r="Y477" s="1"/>
      <c r="AC477" s="678" t="s">
        <v>2413</v>
      </c>
      <c r="AD477">
        <v>34</v>
      </c>
      <c r="AE477">
        <v>1</v>
      </c>
      <c r="AF477">
        <v>3.8</v>
      </c>
      <c r="AH477" s="715"/>
    </row>
    <row r="478" spans="1:53" ht="15.95" customHeight="1">
      <c r="A478">
        <v>33</v>
      </c>
      <c r="B478" s="678" t="s">
        <v>2405</v>
      </c>
      <c r="C478" s="37">
        <v>6</v>
      </c>
      <c r="D478" s="37">
        <v>8</v>
      </c>
      <c r="E478" s="37">
        <v>9</v>
      </c>
      <c r="F478" s="693">
        <v>5</v>
      </c>
      <c r="G478" s="37">
        <v>5</v>
      </c>
      <c r="H478" s="684">
        <v>6</v>
      </c>
      <c r="I478" s="12"/>
      <c r="J478" s="12"/>
      <c r="K478" s="1490">
        <v>0</v>
      </c>
      <c r="L478" s="1490">
        <v>0</v>
      </c>
      <c r="M478" s="1490">
        <v>0</v>
      </c>
      <c r="N478" s="12"/>
      <c r="O478" s="1490">
        <v>0</v>
      </c>
      <c r="P478" s="682">
        <f t="shared" si="31"/>
        <v>3.9</v>
      </c>
      <c r="U478" s="41"/>
      <c r="Y478" s="644"/>
      <c r="AC478" s="678" t="s">
        <v>2414</v>
      </c>
      <c r="AD478">
        <v>34</v>
      </c>
      <c r="AE478">
        <v>3</v>
      </c>
      <c r="AF478">
        <v>3.3</v>
      </c>
      <c r="AH478" s="715"/>
    </row>
    <row r="479" spans="1:53" ht="15.95" customHeight="1">
      <c r="A479">
        <v>33</v>
      </c>
      <c r="B479" s="678" t="s">
        <v>2406</v>
      </c>
      <c r="C479" s="684">
        <v>11</v>
      </c>
      <c r="D479" s="12"/>
      <c r="E479" s="12"/>
      <c r="F479" s="695">
        <v>7</v>
      </c>
      <c r="G479" s="12"/>
      <c r="H479" s="12"/>
      <c r="I479" s="12"/>
      <c r="J479" s="1490">
        <v>0</v>
      </c>
      <c r="K479" s="1490">
        <v>0</v>
      </c>
      <c r="L479" s="1490">
        <v>0</v>
      </c>
      <c r="M479" s="12"/>
      <c r="N479" s="12"/>
      <c r="O479" s="1490">
        <v>0</v>
      </c>
      <c r="P479" s="682">
        <f t="shared" si="31"/>
        <v>3</v>
      </c>
      <c r="U479" s="41"/>
      <c r="Y479" s="1"/>
      <c r="AC479" s="678" t="s">
        <v>2415</v>
      </c>
      <c r="AD479">
        <v>34</v>
      </c>
      <c r="AE479">
        <v>0</v>
      </c>
      <c r="AF479">
        <v>5.7777777777777777</v>
      </c>
    </row>
    <row r="480" spans="1:53" ht="18" customHeight="1">
      <c r="A480">
        <v>33</v>
      </c>
      <c r="B480" s="681" t="s">
        <v>2407</v>
      </c>
      <c r="C480" s="688">
        <v>1</v>
      </c>
      <c r="D480" s="37">
        <v>7</v>
      </c>
      <c r="E480" s="37">
        <v>3</v>
      </c>
      <c r="F480" s="694" t="s">
        <v>2411</v>
      </c>
      <c r="G480" s="12"/>
      <c r="H480" s="12"/>
      <c r="I480" s="1490">
        <v>0</v>
      </c>
      <c r="J480" s="1490">
        <v>0</v>
      </c>
      <c r="K480" s="1490">
        <v>0</v>
      </c>
      <c r="L480" s="12"/>
      <c r="M480" s="12"/>
      <c r="N480" s="12"/>
      <c r="O480" s="1490">
        <v>0</v>
      </c>
      <c r="P480" s="682">
        <f t="shared" si="31"/>
        <v>1.5714285714285714</v>
      </c>
      <c r="U480" s="41"/>
      <c r="Y480" s="715"/>
      <c r="AC480" s="678" t="s">
        <v>2416</v>
      </c>
      <c r="AD480">
        <v>34</v>
      </c>
      <c r="AE480">
        <v>2</v>
      </c>
      <c r="AF480">
        <v>3.375</v>
      </c>
      <c r="AH480" s="1"/>
    </row>
    <row r="481" spans="1:34">
      <c r="A481">
        <v>33</v>
      </c>
      <c r="B481" s="681" t="s">
        <v>2408</v>
      </c>
      <c r="C481" s="674">
        <v>7</v>
      </c>
      <c r="D481" s="37">
        <v>2</v>
      </c>
      <c r="E481" s="37">
        <v>4</v>
      </c>
      <c r="F481" s="694" t="s">
        <v>2411</v>
      </c>
      <c r="G481" s="12"/>
      <c r="H481" s="1490">
        <v>0</v>
      </c>
      <c r="I481" s="1490">
        <v>0</v>
      </c>
      <c r="J481" s="1490">
        <v>0</v>
      </c>
      <c r="K481" s="12"/>
      <c r="L481" s="12"/>
      <c r="M481" s="12"/>
      <c r="N481" s="12"/>
      <c r="O481" s="1490">
        <v>0</v>
      </c>
      <c r="P481" s="682">
        <f t="shared" si="31"/>
        <v>1.8571428571428572</v>
      </c>
      <c r="U481" s="41"/>
      <c r="AC481" s="678" t="s">
        <v>2417</v>
      </c>
      <c r="AD481">
        <v>34</v>
      </c>
      <c r="AE481">
        <v>0</v>
      </c>
      <c r="AF481">
        <v>5.4285714285714288</v>
      </c>
    </row>
    <row r="482" spans="1:34" ht="15.95" customHeight="1">
      <c r="A482">
        <v>33</v>
      </c>
      <c r="B482" s="681" t="s">
        <v>2409</v>
      </c>
      <c r="C482" s="674">
        <v>5</v>
      </c>
      <c r="D482" s="37">
        <v>6</v>
      </c>
      <c r="E482" s="37">
        <v>5</v>
      </c>
      <c r="F482" s="694" t="s">
        <v>2411</v>
      </c>
      <c r="G482" s="1492">
        <v>0</v>
      </c>
      <c r="H482" s="1490">
        <v>0</v>
      </c>
      <c r="I482" s="1490">
        <v>0</v>
      </c>
      <c r="J482" s="12"/>
      <c r="K482" s="12"/>
      <c r="L482" s="12"/>
      <c r="M482" s="12"/>
      <c r="N482" s="12"/>
      <c r="O482" s="1490">
        <v>0</v>
      </c>
      <c r="P482" s="682">
        <f t="shared" si="31"/>
        <v>2.2857142857142856</v>
      </c>
      <c r="U482" s="41"/>
      <c r="Y482" s="1"/>
      <c r="AC482" s="678" t="s">
        <v>2418</v>
      </c>
      <c r="AD482">
        <v>34</v>
      </c>
      <c r="AE482">
        <v>0</v>
      </c>
      <c r="AF482">
        <v>5.5</v>
      </c>
      <c r="AH482" s="1"/>
    </row>
    <row r="483" spans="1:34">
      <c r="A483">
        <v>33</v>
      </c>
      <c r="B483" s="678" t="s">
        <v>2410</v>
      </c>
      <c r="C483" s="37">
        <v>8</v>
      </c>
      <c r="D483" s="37">
        <v>9</v>
      </c>
      <c r="E483" s="37">
        <v>8</v>
      </c>
      <c r="F483" s="694" t="s">
        <v>2411</v>
      </c>
      <c r="G483" s="12"/>
      <c r="H483" s="12"/>
      <c r="I483" s="12"/>
      <c r="J483" s="12"/>
      <c r="K483" s="12"/>
      <c r="L483" s="12"/>
      <c r="M483" s="12"/>
      <c r="N483" s="12"/>
      <c r="O483" s="1490">
        <v>0</v>
      </c>
      <c r="P483" s="682">
        <f t="shared" si="31"/>
        <v>6.25</v>
      </c>
      <c r="U483" s="41"/>
      <c r="AC483" s="681" t="s">
        <v>2419</v>
      </c>
      <c r="AD483">
        <v>34</v>
      </c>
      <c r="AE483">
        <v>0</v>
      </c>
      <c r="AF483">
        <v>5.8</v>
      </c>
    </row>
    <row r="484" spans="1:34" ht="15.95" customHeight="1">
      <c r="C484" s="12"/>
      <c r="D484" s="12"/>
      <c r="E484" s="12"/>
      <c r="F484" s="12"/>
      <c r="G484" s="12"/>
      <c r="H484" s="12"/>
      <c r="I484" s="1490">
        <v>0</v>
      </c>
      <c r="J484" s="1490">
        <v>0</v>
      </c>
      <c r="K484" s="12"/>
      <c r="L484" s="12"/>
      <c r="M484" s="12"/>
      <c r="N484" s="12"/>
      <c r="O484" s="1490">
        <v>0</v>
      </c>
      <c r="U484" s="41"/>
      <c r="Y484" s="1"/>
      <c r="AC484" s="681" t="s">
        <v>2420</v>
      </c>
      <c r="AD484">
        <v>34</v>
      </c>
      <c r="AE484">
        <v>0</v>
      </c>
      <c r="AF484">
        <v>6.25</v>
      </c>
      <c r="AH484" s="1"/>
    </row>
    <row r="485" spans="1:34" ht="21">
      <c r="B485" s="1" t="s">
        <v>198</v>
      </c>
      <c r="C485" s="12"/>
      <c r="D485" s="12"/>
      <c r="E485" s="12"/>
      <c r="F485" s="12"/>
      <c r="G485" s="12"/>
      <c r="H485" s="12"/>
      <c r="I485" s="1490">
        <v>0</v>
      </c>
      <c r="J485" s="1490">
        <v>0</v>
      </c>
      <c r="K485" s="12"/>
      <c r="L485" s="12"/>
      <c r="M485" s="12"/>
      <c r="N485" s="12"/>
      <c r="O485" s="1490">
        <v>0</v>
      </c>
      <c r="U485" s="41"/>
      <c r="Y485" s="715"/>
      <c r="AC485" s="681" t="s">
        <v>2421</v>
      </c>
      <c r="AD485">
        <v>34</v>
      </c>
      <c r="AE485">
        <v>0</v>
      </c>
      <c r="AF485">
        <v>9.3333333333333339</v>
      </c>
    </row>
    <row r="486" spans="1:34" ht="18" customHeight="1">
      <c r="B486" s="649" t="s">
        <v>1440</v>
      </c>
      <c r="C486" s="646" t="s">
        <v>2795</v>
      </c>
      <c r="D486" s="646" t="s">
        <v>2798</v>
      </c>
      <c r="E486" s="646" t="s">
        <v>2799</v>
      </c>
      <c r="F486" s="646" t="s">
        <v>2800</v>
      </c>
      <c r="G486" s="646" t="s">
        <v>2801</v>
      </c>
      <c r="H486" s="646" t="s">
        <v>2802</v>
      </c>
      <c r="I486" s="646" t="s">
        <v>2803</v>
      </c>
      <c r="J486" s="646" t="s">
        <v>2804</v>
      </c>
      <c r="K486" s="646" t="s">
        <v>2805</v>
      </c>
      <c r="L486" s="646"/>
      <c r="M486" s="646"/>
      <c r="N486" s="646"/>
      <c r="O486" s="646" t="s">
        <v>2810</v>
      </c>
      <c r="P486" s="647" t="s">
        <v>2080</v>
      </c>
      <c r="U486" s="41"/>
      <c r="AA486" s="41"/>
      <c r="AC486" s="678" t="s">
        <v>2422</v>
      </c>
      <c r="AD486">
        <v>34</v>
      </c>
      <c r="AE486">
        <v>0</v>
      </c>
      <c r="AF486">
        <v>9</v>
      </c>
      <c r="AH486" s="1"/>
    </row>
    <row r="487" spans="1:34" ht="21">
      <c r="A487">
        <v>34</v>
      </c>
      <c r="B487" s="677" t="s">
        <v>2412</v>
      </c>
      <c r="C487" s="529">
        <v>1</v>
      </c>
      <c r="D487" s="37">
        <v>4</v>
      </c>
      <c r="E487" s="37">
        <v>7</v>
      </c>
      <c r="F487" s="37">
        <v>2</v>
      </c>
      <c r="G487" s="37">
        <v>4</v>
      </c>
      <c r="H487" s="37">
        <v>3</v>
      </c>
      <c r="I487" s="529">
        <v>1</v>
      </c>
      <c r="J487" s="37">
        <v>3</v>
      </c>
      <c r="K487" s="529">
        <v>1</v>
      </c>
      <c r="M487" s="12"/>
      <c r="N487" s="12"/>
      <c r="O487" s="699">
        <v>1</v>
      </c>
      <c r="P487" s="682">
        <f>AVERAGE(C487:O487)</f>
        <v>2.7</v>
      </c>
      <c r="U487" s="41"/>
      <c r="Y487" s="1"/>
      <c r="AA487" s="41"/>
      <c r="AC487" s="678" t="s">
        <v>2423</v>
      </c>
      <c r="AD487">
        <v>34</v>
      </c>
      <c r="AE487">
        <v>0</v>
      </c>
      <c r="AF487">
        <v>12</v>
      </c>
    </row>
    <row r="488" spans="1:34" ht="15.95" customHeight="1">
      <c r="A488">
        <v>34</v>
      </c>
      <c r="B488" s="678" t="s">
        <v>2413</v>
      </c>
      <c r="C488" s="37">
        <v>5</v>
      </c>
      <c r="D488" s="37">
        <v>7</v>
      </c>
      <c r="E488" s="529">
        <v>1</v>
      </c>
      <c r="F488" s="37">
        <v>5</v>
      </c>
      <c r="G488" s="37">
        <v>6</v>
      </c>
      <c r="H488" s="37">
        <v>2</v>
      </c>
      <c r="I488" s="37">
        <v>3</v>
      </c>
      <c r="J488" s="37">
        <v>4</v>
      </c>
      <c r="K488" s="37">
        <v>3</v>
      </c>
      <c r="M488" s="12"/>
      <c r="N488" s="12"/>
      <c r="O488" s="37">
        <v>2</v>
      </c>
      <c r="P488" s="682">
        <f>AVERAGE(C488:O488)</f>
        <v>3.8</v>
      </c>
      <c r="U488" s="41"/>
      <c r="AA488" s="41"/>
      <c r="AE488">
        <v>0</v>
      </c>
      <c r="AH488" s="1"/>
    </row>
    <row r="489" spans="1:34" ht="15.95" customHeight="1">
      <c r="A489">
        <v>34</v>
      </c>
      <c r="B489" s="678" t="s">
        <v>2414</v>
      </c>
      <c r="C489" s="37">
        <v>10</v>
      </c>
      <c r="D489" s="37">
        <v>5</v>
      </c>
      <c r="E489" s="37">
        <v>4</v>
      </c>
      <c r="F489" s="529">
        <v>1</v>
      </c>
      <c r="G489" s="529">
        <v>1</v>
      </c>
      <c r="H489" s="37">
        <v>4</v>
      </c>
      <c r="I489" s="37">
        <v>2</v>
      </c>
      <c r="J489" s="529">
        <v>1</v>
      </c>
      <c r="K489" s="37">
        <v>2</v>
      </c>
      <c r="M489" s="12"/>
      <c r="N489" s="12"/>
      <c r="O489" s="37">
        <v>3</v>
      </c>
      <c r="P489" s="682">
        <f>AVERAGE(C489:N489)</f>
        <v>3.3333333333333335</v>
      </c>
      <c r="U489" s="41"/>
      <c r="Y489" s="1"/>
      <c r="AA489" s="41"/>
      <c r="AC489" s="1" t="s">
        <v>184</v>
      </c>
      <c r="AE489">
        <v>0</v>
      </c>
    </row>
    <row r="490" spans="1:34" ht="18" customHeight="1">
      <c r="A490">
        <v>34</v>
      </c>
      <c r="B490" s="678" t="s">
        <v>2415</v>
      </c>
      <c r="C490" s="37">
        <v>11</v>
      </c>
      <c r="D490" s="37">
        <v>8</v>
      </c>
      <c r="E490" s="37">
        <v>6</v>
      </c>
      <c r="F490" s="37">
        <v>8</v>
      </c>
      <c r="G490" s="37">
        <v>2</v>
      </c>
      <c r="H490" s="37">
        <v>6</v>
      </c>
      <c r="I490" s="37">
        <v>5</v>
      </c>
      <c r="J490" s="37">
        <v>2</v>
      </c>
      <c r="K490" s="684">
        <v>4</v>
      </c>
      <c r="L490" s="12"/>
      <c r="M490" s="12"/>
      <c r="N490" s="12"/>
      <c r="O490" s="1490">
        <v>0</v>
      </c>
      <c r="P490" s="682">
        <f>AVERAGE(C490:N490)</f>
        <v>5.7777777777777777</v>
      </c>
      <c r="U490" s="41"/>
      <c r="AA490" s="41"/>
      <c r="AC490" s="649" t="s">
        <v>1440</v>
      </c>
      <c r="AE490">
        <v>0</v>
      </c>
      <c r="AF490" t="s">
        <v>2080</v>
      </c>
      <c r="AH490" s="1"/>
    </row>
    <row r="491" spans="1:34" ht="15.95" customHeight="1">
      <c r="A491">
        <v>34</v>
      </c>
      <c r="B491" s="678" t="s">
        <v>2416</v>
      </c>
      <c r="C491" s="37">
        <v>6</v>
      </c>
      <c r="D491" s="529">
        <v>1</v>
      </c>
      <c r="E491" s="37">
        <v>2</v>
      </c>
      <c r="F491" s="37">
        <v>3</v>
      </c>
      <c r="G491" s="37">
        <v>5</v>
      </c>
      <c r="H491" s="529">
        <v>1</v>
      </c>
      <c r="I491" s="37">
        <v>4</v>
      </c>
      <c r="J491" s="684">
        <v>5</v>
      </c>
      <c r="K491" s="1490">
        <v>0</v>
      </c>
      <c r="L491" s="12"/>
      <c r="M491" s="12"/>
      <c r="N491" s="12"/>
      <c r="O491" s="1490">
        <v>0</v>
      </c>
      <c r="P491" s="682">
        <f>AVERAGE(C491:K491)</f>
        <v>3</v>
      </c>
      <c r="U491" s="41"/>
      <c r="Y491" s="1"/>
      <c r="AA491" s="41"/>
      <c r="AC491" s="677" t="s">
        <v>2424</v>
      </c>
      <c r="AD491">
        <v>35</v>
      </c>
      <c r="AE491">
        <v>5</v>
      </c>
      <c r="AF491">
        <v>2.75</v>
      </c>
    </row>
    <row r="492" spans="1:34" ht="15.95" customHeight="1">
      <c r="A492">
        <v>34</v>
      </c>
      <c r="B492" s="678" t="s">
        <v>2417</v>
      </c>
      <c r="C492" s="37">
        <v>3</v>
      </c>
      <c r="D492" s="37">
        <v>10</v>
      </c>
      <c r="E492" s="37">
        <v>5</v>
      </c>
      <c r="F492" s="37">
        <v>6</v>
      </c>
      <c r="G492" s="37">
        <v>3</v>
      </c>
      <c r="H492" s="37">
        <v>5</v>
      </c>
      <c r="I492" s="684">
        <v>6</v>
      </c>
      <c r="J492" s="12"/>
      <c r="K492" s="1490">
        <v>0</v>
      </c>
      <c r="L492" s="1490">
        <v>0</v>
      </c>
      <c r="M492" s="12"/>
      <c r="N492" s="12"/>
      <c r="O492" s="1490">
        <v>0</v>
      </c>
      <c r="P492" s="682">
        <f>AVERAGE(C492:L492)</f>
        <v>4.2222222222222223</v>
      </c>
      <c r="U492" s="41"/>
      <c r="AA492" s="41"/>
      <c r="AC492" s="678" t="s">
        <v>2425</v>
      </c>
      <c r="AD492">
        <v>35</v>
      </c>
      <c r="AE492">
        <v>1</v>
      </c>
      <c r="AF492">
        <v>4.333333333333333</v>
      </c>
      <c r="AH492" s="1"/>
    </row>
    <row r="493" spans="1:34" ht="15.95" customHeight="1">
      <c r="A493">
        <v>34</v>
      </c>
      <c r="B493" s="678" t="s">
        <v>2418</v>
      </c>
      <c r="C493" s="37">
        <v>2</v>
      </c>
      <c r="D493" s="37">
        <v>2</v>
      </c>
      <c r="E493" s="680">
        <v>8</v>
      </c>
      <c r="F493" s="37">
        <v>7</v>
      </c>
      <c r="G493" s="37">
        <v>7</v>
      </c>
      <c r="H493" s="684">
        <v>7</v>
      </c>
      <c r="I493" s="1490">
        <v>0</v>
      </c>
      <c r="J493" s="1490">
        <v>0</v>
      </c>
      <c r="K493" s="1490">
        <v>0</v>
      </c>
      <c r="L493" s="12"/>
      <c r="M493" s="12"/>
      <c r="N493" s="12"/>
      <c r="O493" s="1490">
        <v>0</v>
      </c>
      <c r="P493" s="682">
        <f>AVERAGE(C493:O493)</f>
        <v>3.3</v>
      </c>
      <c r="U493" s="41"/>
      <c r="Y493" s="1"/>
      <c r="AA493" s="41"/>
      <c r="AC493" s="678" t="s">
        <v>2426</v>
      </c>
      <c r="AD493">
        <v>35</v>
      </c>
      <c r="AE493">
        <v>1</v>
      </c>
      <c r="AF493">
        <v>3.1666666666666665</v>
      </c>
      <c r="AH493" s="644"/>
    </row>
    <row r="494" spans="1:34" ht="15.95" customHeight="1">
      <c r="A494">
        <v>34</v>
      </c>
      <c r="B494" s="681" t="s">
        <v>2419</v>
      </c>
      <c r="C494" s="674">
        <v>8</v>
      </c>
      <c r="D494" s="37">
        <v>6</v>
      </c>
      <c r="E494" s="37">
        <v>3</v>
      </c>
      <c r="F494" s="37">
        <v>4</v>
      </c>
      <c r="G494" s="684">
        <v>8</v>
      </c>
      <c r="H494" s="1490">
        <v>0</v>
      </c>
      <c r="I494" s="1490">
        <v>0</v>
      </c>
      <c r="J494" s="1490">
        <v>0</v>
      </c>
      <c r="K494" s="12"/>
      <c r="L494" s="12"/>
      <c r="M494" s="12"/>
      <c r="N494" s="12"/>
      <c r="O494" s="1490">
        <v>0</v>
      </c>
      <c r="P494" s="682">
        <f>AVERAGE(C494:O494)</f>
        <v>3.2222222222222223</v>
      </c>
      <c r="U494" s="41"/>
      <c r="AA494" s="41"/>
      <c r="AC494" s="678" t="s">
        <v>2427</v>
      </c>
      <c r="AD494">
        <v>35</v>
      </c>
      <c r="AE494">
        <v>2</v>
      </c>
      <c r="AF494">
        <v>4.0909090909090908</v>
      </c>
      <c r="AH494" s="1"/>
    </row>
    <row r="495" spans="1:34" ht="15.95" customHeight="1">
      <c r="A495">
        <v>34</v>
      </c>
      <c r="B495" s="681" t="s">
        <v>2420</v>
      </c>
      <c r="C495" s="674">
        <v>4</v>
      </c>
      <c r="D495" s="37">
        <v>3</v>
      </c>
      <c r="E495" s="37">
        <v>9</v>
      </c>
      <c r="F495" s="684">
        <v>9</v>
      </c>
      <c r="G495" s="1490">
        <v>0</v>
      </c>
      <c r="H495" s="1490">
        <v>0</v>
      </c>
      <c r="I495" s="1490">
        <v>0</v>
      </c>
      <c r="J495" s="12"/>
      <c r="K495" s="12"/>
      <c r="L495" s="12"/>
      <c r="M495" s="12"/>
      <c r="N495" s="12"/>
      <c r="O495" s="1490">
        <v>0</v>
      </c>
      <c r="P495" s="682">
        <f>AVERAGE(C495:O495)</f>
        <v>3.125</v>
      </c>
      <c r="U495" s="41"/>
      <c r="Y495" s="1"/>
      <c r="AA495" s="41"/>
      <c r="AC495" s="678" t="s">
        <v>2428</v>
      </c>
      <c r="AD495">
        <v>35</v>
      </c>
      <c r="AE495">
        <v>0</v>
      </c>
      <c r="AF495">
        <v>4.2</v>
      </c>
    </row>
    <row r="496" spans="1:34" ht="15.95" customHeight="1">
      <c r="A496">
        <v>34</v>
      </c>
      <c r="B496" s="681" t="s">
        <v>2421</v>
      </c>
      <c r="C496" s="674">
        <v>9</v>
      </c>
      <c r="D496" s="37">
        <v>9</v>
      </c>
      <c r="E496" s="684">
        <v>10</v>
      </c>
      <c r="F496" s="1492">
        <v>0</v>
      </c>
      <c r="G496" s="1490">
        <v>0</v>
      </c>
      <c r="H496" s="1490">
        <v>0</v>
      </c>
      <c r="I496" s="12"/>
      <c r="J496" s="12"/>
      <c r="K496" s="12"/>
      <c r="L496" s="12"/>
      <c r="M496" s="12"/>
      <c r="N496" s="12"/>
      <c r="O496" s="1490">
        <v>0</v>
      </c>
      <c r="P496" s="682">
        <f>AVERAGE(C496:O496)</f>
        <v>4</v>
      </c>
      <c r="U496" s="41"/>
      <c r="AA496" s="41"/>
      <c r="AC496" s="678" t="s">
        <v>2429</v>
      </c>
      <c r="AD496">
        <v>35</v>
      </c>
      <c r="AE496">
        <v>1</v>
      </c>
      <c r="AF496">
        <v>6.2222222222222223</v>
      </c>
      <c r="AH496" s="1"/>
    </row>
    <row r="497" spans="1:34" ht="15.95" customHeight="1">
      <c r="A497">
        <v>34</v>
      </c>
      <c r="B497" s="678" t="s">
        <v>2422</v>
      </c>
      <c r="C497" s="37">
        <v>7</v>
      </c>
      <c r="D497" s="684">
        <v>11</v>
      </c>
      <c r="E497" s="12"/>
      <c r="F497" s="12"/>
      <c r="G497" s="1490">
        <v>0</v>
      </c>
      <c r="H497" s="12"/>
      <c r="I497" s="12"/>
      <c r="J497" s="12"/>
      <c r="K497" s="12"/>
      <c r="L497" s="12"/>
      <c r="M497" s="12"/>
      <c r="N497" s="12"/>
      <c r="O497" s="1490">
        <v>0</v>
      </c>
      <c r="P497" s="682">
        <f ca="1">AVERAGE(C497:P497)</f>
        <v>9</v>
      </c>
      <c r="U497" s="41"/>
      <c r="Y497" s="1"/>
      <c r="AA497" s="41"/>
      <c r="AC497" s="678" t="s">
        <v>2430</v>
      </c>
      <c r="AD497">
        <v>35</v>
      </c>
      <c r="AE497">
        <v>0</v>
      </c>
      <c r="AF497">
        <v>6.25</v>
      </c>
    </row>
    <row r="498" spans="1:34" ht="15.95" customHeight="1">
      <c r="A498">
        <v>34</v>
      </c>
      <c r="B498" s="678" t="s">
        <v>2423</v>
      </c>
      <c r="C498" s="650">
        <v>12</v>
      </c>
      <c r="D498" s="12"/>
      <c r="E498" s="12"/>
      <c r="F498" s="12"/>
      <c r="G498" s="1490">
        <v>0</v>
      </c>
      <c r="H498" s="1490">
        <v>0</v>
      </c>
      <c r="I498" s="1490">
        <v>0</v>
      </c>
      <c r="J498" s="12"/>
      <c r="K498" s="12"/>
      <c r="L498" s="12"/>
      <c r="M498" s="12"/>
      <c r="N498" s="12"/>
      <c r="O498" s="1490">
        <v>0</v>
      </c>
      <c r="P498" s="682">
        <f ca="1">AVERAGE(C498:P498)</f>
        <v>12</v>
      </c>
      <c r="U498" s="41"/>
      <c r="AA498" s="41"/>
      <c r="AC498" s="681" t="s">
        <v>2431</v>
      </c>
      <c r="AD498">
        <v>35</v>
      </c>
      <c r="AE498">
        <v>0</v>
      </c>
      <c r="AF498">
        <v>7.7142857142857144</v>
      </c>
      <c r="AH498" s="1"/>
    </row>
    <row r="499" spans="1:34" ht="15.95" customHeight="1">
      <c r="C499" s="12"/>
      <c r="D499" s="12"/>
      <c r="E499" s="12"/>
      <c r="F499" s="12"/>
      <c r="G499" s="1490">
        <v>0</v>
      </c>
      <c r="H499" s="1490">
        <v>0</v>
      </c>
      <c r="I499" s="1490">
        <v>0</v>
      </c>
      <c r="J499" s="12"/>
      <c r="K499" s="12"/>
      <c r="L499" s="12"/>
      <c r="M499" s="12"/>
      <c r="N499" s="12"/>
      <c r="O499" s="1490">
        <v>0</v>
      </c>
      <c r="U499" s="41"/>
      <c r="Y499" s="1"/>
      <c r="AA499" s="41"/>
      <c r="AC499" s="681" t="s">
        <v>2432</v>
      </c>
      <c r="AD499">
        <v>35</v>
      </c>
      <c r="AE499">
        <v>0</v>
      </c>
      <c r="AF499">
        <v>8.3333333333333339</v>
      </c>
      <c r="AH499" s="644"/>
    </row>
    <row r="500" spans="1:34" ht="21">
      <c r="B500" s="1" t="s">
        <v>184</v>
      </c>
      <c r="C500" s="12"/>
      <c r="D500" s="12"/>
      <c r="E500" s="12"/>
      <c r="F500" s="12"/>
      <c r="G500" s="1490">
        <v>0</v>
      </c>
      <c r="H500" s="1490">
        <v>0</v>
      </c>
      <c r="I500" s="1490">
        <v>0</v>
      </c>
      <c r="J500" s="12"/>
      <c r="K500" s="12"/>
      <c r="L500" s="12"/>
      <c r="M500" s="12"/>
      <c r="N500" s="12"/>
      <c r="O500" s="1490">
        <v>0</v>
      </c>
      <c r="U500" s="41"/>
      <c r="AA500" s="41"/>
      <c r="AC500" s="681" t="s">
        <v>2433</v>
      </c>
      <c r="AD500">
        <v>35</v>
      </c>
      <c r="AE500">
        <v>0</v>
      </c>
      <c r="AF500">
        <v>7.4</v>
      </c>
      <c r="AH500" s="1"/>
    </row>
    <row r="501" spans="1:34" ht="18" customHeight="1">
      <c r="B501" s="649" t="s">
        <v>1440</v>
      </c>
      <c r="C501" s="646" t="s">
        <v>2795</v>
      </c>
      <c r="D501" s="646" t="s">
        <v>2798</v>
      </c>
      <c r="E501" s="646" t="s">
        <v>2799</v>
      </c>
      <c r="F501" s="646" t="s">
        <v>2800</v>
      </c>
      <c r="G501" s="646" t="s">
        <v>2801</v>
      </c>
      <c r="H501" s="646" t="s">
        <v>2802</v>
      </c>
      <c r="I501" s="646" t="s">
        <v>2803</v>
      </c>
      <c r="J501" s="646" t="s">
        <v>2804</v>
      </c>
      <c r="K501" s="646" t="s">
        <v>2805</v>
      </c>
      <c r="L501" s="646" t="s">
        <v>2806</v>
      </c>
      <c r="M501" s="646" t="s">
        <v>2807</v>
      </c>
      <c r="N501" s="646"/>
      <c r="O501" s="646" t="s">
        <v>2810</v>
      </c>
      <c r="P501" s="647" t="s">
        <v>2080</v>
      </c>
      <c r="U501" s="41"/>
      <c r="Y501" s="1"/>
      <c r="AA501" s="41"/>
      <c r="AC501" s="678" t="s">
        <v>2434</v>
      </c>
      <c r="AD501">
        <v>35</v>
      </c>
      <c r="AE501">
        <v>2</v>
      </c>
      <c r="AF501">
        <v>5.75</v>
      </c>
    </row>
    <row r="502" spans="1:34" ht="15.95" customHeight="1">
      <c r="A502">
        <v>35</v>
      </c>
      <c r="B502" s="677" t="s">
        <v>2424</v>
      </c>
      <c r="C502" s="37">
        <v>3</v>
      </c>
      <c r="D502" s="37">
        <v>3</v>
      </c>
      <c r="E502" s="37">
        <v>8</v>
      </c>
      <c r="F502" s="37">
        <v>8</v>
      </c>
      <c r="G502" s="37">
        <v>2</v>
      </c>
      <c r="H502" s="529">
        <v>1</v>
      </c>
      <c r="I502" s="529">
        <v>1</v>
      </c>
      <c r="J502" s="529">
        <v>1</v>
      </c>
      <c r="K502" s="529">
        <v>1</v>
      </c>
      <c r="L502" s="37">
        <v>2</v>
      </c>
      <c r="M502" s="37">
        <v>2</v>
      </c>
      <c r="O502" s="699">
        <v>1</v>
      </c>
      <c r="P502" s="682">
        <f>AVERAGE(C502:O502)</f>
        <v>2.75</v>
      </c>
      <c r="U502" s="41"/>
      <c r="AA502" s="41"/>
      <c r="AC502" s="678" t="s">
        <v>2436</v>
      </c>
      <c r="AD502">
        <v>35</v>
      </c>
      <c r="AE502">
        <v>0</v>
      </c>
      <c r="AF502">
        <v>12</v>
      </c>
      <c r="AH502" s="1"/>
    </row>
    <row r="503" spans="1:34" ht="21">
      <c r="A503">
        <v>35</v>
      </c>
      <c r="B503" s="678" t="s">
        <v>2425</v>
      </c>
      <c r="C503" s="37">
        <v>7</v>
      </c>
      <c r="D503" s="37">
        <v>9</v>
      </c>
      <c r="E503" s="37">
        <v>2</v>
      </c>
      <c r="F503" s="37">
        <v>9</v>
      </c>
      <c r="G503" s="37">
        <v>3</v>
      </c>
      <c r="H503" s="37">
        <v>3</v>
      </c>
      <c r="I503" s="37">
        <v>7</v>
      </c>
      <c r="J503" s="37">
        <v>4</v>
      </c>
      <c r="K503" s="37">
        <v>2</v>
      </c>
      <c r="L503" s="529">
        <v>1</v>
      </c>
      <c r="M503" s="37">
        <v>3</v>
      </c>
      <c r="O503" s="37">
        <v>2</v>
      </c>
      <c r="P503" s="682">
        <f>AVERAGE(C503:O503)</f>
        <v>4.333333333333333</v>
      </c>
      <c r="U503" s="41"/>
      <c r="Y503" s="1"/>
      <c r="AA503" s="41"/>
      <c r="AC503" s="678" t="s">
        <v>2435</v>
      </c>
      <c r="AD503">
        <v>35</v>
      </c>
      <c r="AE503">
        <v>0</v>
      </c>
      <c r="AF503">
        <v>13</v>
      </c>
    </row>
    <row r="504" spans="1:34" ht="15.95" customHeight="1">
      <c r="A504">
        <v>35</v>
      </c>
      <c r="B504" s="678" t="s">
        <v>2426</v>
      </c>
      <c r="C504" s="37">
        <v>2</v>
      </c>
      <c r="D504" s="37">
        <v>2</v>
      </c>
      <c r="E504" s="37">
        <v>3</v>
      </c>
      <c r="F504" s="37">
        <v>5</v>
      </c>
      <c r="G504" s="37">
        <v>6</v>
      </c>
      <c r="H504" s="37">
        <v>2</v>
      </c>
      <c r="I504" s="37">
        <v>4</v>
      </c>
      <c r="J504" s="37">
        <v>3</v>
      </c>
      <c r="K504" s="37">
        <v>4</v>
      </c>
      <c r="L504" s="8">
        <v>3</v>
      </c>
      <c r="M504" s="529">
        <v>1</v>
      </c>
      <c r="O504" s="37">
        <v>3</v>
      </c>
      <c r="P504" s="682">
        <f>AVERAGE(C504:O504)</f>
        <v>3.1666666666666665</v>
      </c>
      <c r="U504" s="41"/>
      <c r="AA504" s="41"/>
      <c r="AE504">
        <v>0</v>
      </c>
      <c r="AH504" s="1"/>
    </row>
    <row r="505" spans="1:34" ht="15.95" customHeight="1">
      <c r="A505">
        <v>35</v>
      </c>
      <c r="B505" s="678" t="s">
        <v>2427</v>
      </c>
      <c r="C505" s="37">
        <v>6</v>
      </c>
      <c r="D505" s="37">
        <v>6</v>
      </c>
      <c r="E505" s="529">
        <v>1</v>
      </c>
      <c r="F505" s="37">
        <v>2</v>
      </c>
      <c r="G505" s="529">
        <v>1</v>
      </c>
      <c r="H505" s="376">
        <v>7</v>
      </c>
      <c r="I505" s="37">
        <v>5</v>
      </c>
      <c r="J505" s="37">
        <v>6</v>
      </c>
      <c r="K505" s="37">
        <v>3</v>
      </c>
      <c r="L505" s="37">
        <v>4</v>
      </c>
      <c r="M505" s="684">
        <v>4</v>
      </c>
      <c r="N505" s="12"/>
      <c r="O505" s="1490">
        <v>0</v>
      </c>
      <c r="P505" s="682">
        <f>AVERAGE(C505:O505)</f>
        <v>3.75</v>
      </c>
      <c r="U505" s="41"/>
      <c r="Y505" s="1"/>
      <c r="AA505" s="41"/>
      <c r="AC505" s="1" t="s">
        <v>563</v>
      </c>
      <c r="AE505">
        <v>0</v>
      </c>
    </row>
    <row r="506" spans="1:34" ht="18" customHeight="1">
      <c r="A506">
        <v>35</v>
      </c>
      <c r="B506" s="678" t="s">
        <v>2428</v>
      </c>
      <c r="C506" s="37">
        <v>5</v>
      </c>
      <c r="D506" s="37">
        <v>5</v>
      </c>
      <c r="E506" s="37">
        <v>4</v>
      </c>
      <c r="F506" s="37">
        <v>3</v>
      </c>
      <c r="G506" s="37">
        <v>5</v>
      </c>
      <c r="H506" s="37">
        <v>5</v>
      </c>
      <c r="I506" s="37">
        <v>3</v>
      </c>
      <c r="J506" s="37">
        <v>2</v>
      </c>
      <c r="K506" s="37">
        <v>5</v>
      </c>
      <c r="L506" s="684">
        <v>5</v>
      </c>
      <c r="M506" s="12"/>
      <c r="N506" s="1490"/>
      <c r="O506" s="1490">
        <v>0</v>
      </c>
      <c r="P506" s="682">
        <f>AVERAGE(C506:N506)</f>
        <v>4.2</v>
      </c>
      <c r="U506" s="41"/>
      <c r="AA506" s="41"/>
      <c r="AC506" s="649" t="s">
        <v>1440</v>
      </c>
      <c r="AE506">
        <v>0</v>
      </c>
      <c r="AF506" t="s">
        <v>2080</v>
      </c>
      <c r="AH506" s="1"/>
    </row>
    <row r="507" spans="1:34" ht="15.95" customHeight="1">
      <c r="A507">
        <v>35</v>
      </c>
      <c r="B507" s="678" t="s">
        <v>2429</v>
      </c>
      <c r="C507" s="37">
        <v>11</v>
      </c>
      <c r="D507" s="37">
        <v>11</v>
      </c>
      <c r="E507" s="37">
        <v>5</v>
      </c>
      <c r="F507" s="529">
        <v>1</v>
      </c>
      <c r="G507" s="37">
        <v>7</v>
      </c>
      <c r="H507" s="37">
        <v>8</v>
      </c>
      <c r="I507" s="37">
        <v>2</v>
      </c>
      <c r="J507" s="37">
        <v>5</v>
      </c>
      <c r="K507" s="684">
        <v>6</v>
      </c>
      <c r="L507" s="12"/>
      <c r="M507" s="1490">
        <v>0</v>
      </c>
      <c r="N507" s="1490"/>
      <c r="O507" s="1490">
        <v>0</v>
      </c>
      <c r="P507" s="682">
        <f>AVERAGE(C507:N507)</f>
        <v>5.6</v>
      </c>
      <c r="U507" s="41"/>
      <c r="Y507" s="1"/>
      <c r="AA507" s="41"/>
      <c r="AC507" s="677" t="s">
        <v>2437</v>
      </c>
      <c r="AD507">
        <v>36</v>
      </c>
      <c r="AE507">
        <v>7</v>
      </c>
      <c r="AF507">
        <v>1.4545454545454546</v>
      </c>
    </row>
    <row r="508" spans="1:34" ht="15.95" customHeight="1">
      <c r="A508">
        <v>35</v>
      </c>
      <c r="B508" s="678" t="s">
        <v>2430</v>
      </c>
      <c r="C508" s="37">
        <v>4</v>
      </c>
      <c r="D508" s="37">
        <v>4</v>
      </c>
      <c r="E508" s="8">
        <v>6</v>
      </c>
      <c r="F508" s="680">
        <v>10</v>
      </c>
      <c r="G508" s="37">
        <v>9</v>
      </c>
      <c r="H508" s="37">
        <v>4</v>
      </c>
      <c r="I508" s="37">
        <v>6</v>
      </c>
      <c r="J508" s="684">
        <v>7</v>
      </c>
      <c r="K508" s="1490">
        <v>0</v>
      </c>
      <c r="L508" s="1490">
        <v>0</v>
      </c>
      <c r="M508" s="1490">
        <v>0</v>
      </c>
      <c r="N508" s="12"/>
      <c r="O508" s="1490">
        <v>0</v>
      </c>
      <c r="P508" s="682">
        <f t="shared" ref="P508:P516" si="32">AVERAGE(C508:O508)</f>
        <v>4.166666666666667</v>
      </c>
      <c r="U508" s="41"/>
      <c r="AA508" s="41"/>
      <c r="AC508" s="678" t="s">
        <v>2438</v>
      </c>
      <c r="AD508">
        <v>36</v>
      </c>
      <c r="AE508">
        <v>1</v>
      </c>
      <c r="AF508">
        <v>3.1818181818181817</v>
      </c>
      <c r="AH508" s="1"/>
    </row>
    <row r="509" spans="1:34" ht="15.95" customHeight="1">
      <c r="A509">
        <v>35</v>
      </c>
      <c r="B509" s="681" t="s">
        <v>2431</v>
      </c>
      <c r="C509" s="674">
        <v>10</v>
      </c>
      <c r="D509" s="37">
        <v>10</v>
      </c>
      <c r="E509" s="37">
        <v>9</v>
      </c>
      <c r="F509" s="37">
        <v>7</v>
      </c>
      <c r="G509" s="37">
        <v>4</v>
      </c>
      <c r="H509" s="37">
        <v>6</v>
      </c>
      <c r="I509" s="684">
        <v>8</v>
      </c>
      <c r="J509" s="1490">
        <v>0</v>
      </c>
      <c r="K509" s="1490">
        <v>0</v>
      </c>
      <c r="L509" s="1490">
        <v>0</v>
      </c>
      <c r="M509" s="12"/>
      <c r="N509" s="12"/>
      <c r="O509" s="1490">
        <v>0</v>
      </c>
      <c r="P509" s="682">
        <f t="shared" si="32"/>
        <v>4.9090909090909092</v>
      </c>
      <c r="U509" s="41"/>
      <c r="Y509" s="1"/>
      <c r="AA509" s="41"/>
      <c r="AC509" s="678" t="s">
        <v>2439</v>
      </c>
      <c r="AD509">
        <v>36</v>
      </c>
      <c r="AE509">
        <v>3</v>
      </c>
      <c r="AF509">
        <v>3</v>
      </c>
    </row>
    <row r="510" spans="1:34" ht="15.95" customHeight="1">
      <c r="A510">
        <v>35</v>
      </c>
      <c r="B510" s="681" t="s">
        <v>2432</v>
      </c>
      <c r="C510" s="674">
        <v>8</v>
      </c>
      <c r="D510" s="37">
        <v>8</v>
      </c>
      <c r="E510" s="683">
        <v>11</v>
      </c>
      <c r="F510" s="37">
        <v>6</v>
      </c>
      <c r="G510" s="37">
        <v>8</v>
      </c>
      <c r="H510" s="684">
        <v>9</v>
      </c>
      <c r="I510" s="1490">
        <v>0</v>
      </c>
      <c r="J510" s="1490">
        <v>0</v>
      </c>
      <c r="K510" s="1490">
        <v>0</v>
      </c>
      <c r="L510" s="12"/>
      <c r="M510" s="12"/>
      <c r="N510" s="12"/>
      <c r="O510" s="1490">
        <v>0</v>
      </c>
      <c r="P510" s="682">
        <f t="shared" si="32"/>
        <v>5</v>
      </c>
      <c r="U510" s="41"/>
      <c r="AA510" s="41"/>
      <c r="AC510" s="678" t="s">
        <v>2440</v>
      </c>
      <c r="AD510">
        <v>36</v>
      </c>
      <c r="AE510">
        <v>0</v>
      </c>
      <c r="AF510">
        <v>4.5</v>
      </c>
      <c r="AH510" s="1"/>
    </row>
    <row r="511" spans="1:34" ht="15.95" customHeight="1">
      <c r="A511">
        <v>35</v>
      </c>
      <c r="B511" s="681" t="s">
        <v>2433</v>
      </c>
      <c r="C511" s="674">
        <v>9</v>
      </c>
      <c r="D511" s="37">
        <v>7</v>
      </c>
      <c r="E511" s="37">
        <v>7</v>
      </c>
      <c r="F511" s="37">
        <v>4</v>
      </c>
      <c r="G511" s="684">
        <v>10</v>
      </c>
      <c r="H511" s="1490">
        <v>0</v>
      </c>
      <c r="I511" s="12"/>
      <c r="J511" s="1490">
        <v>0</v>
      </c>
      <c r="K511" s="12"/>
      <c r="L511" s="12"/>
      <c r="M511" s="12"/>
      <c r="N511" s="12"/>
      <c r="O511" s="1490">
        <v>0</v>
      </c>
      <c r="P511" s="682">
        <f t="shared" si="32"/>
        <v>4.625</v>
      </c>
      <c r="U511" s="41"/>
      <c r="Y511" s="1"/>
      <c r="AA511" s="41"/>
      <c r="AC511" s="678" t="s">
        <v>2441</v>
      </c>
      <c r="AD511">
        <v>36</v>
      </c>
      <c r="AE511">
        <v>0</v>
      </c>
      <c r="AF511">
        <v>5.5555555555555554</v>
      </c>
    </row>
    <row r="512" spans="1:34" ht="15.95" customHeight="1">
      <c r="A512">
        <v>35</v>
      </c>
      <c r="B512" s="678" t="s">
        <v>2434</v>
      </c>
      <c r="C512" s="529">
        <v>1</v>
      </c>
      <c r="D512" s="529">
        <v>1</v>
      </c>
      <c r="E512" s="37">
        <v>10</v>
      </c>
      <c r="F512" s="684">
        <v>11</v>
      </c>
      <c r="G512" s="12"/>
      <c r="H512" s="12"/>
      <c r="I512" s="1490">
        <v>0</v>
      </c>
      <c r="J512" s="12"/>
      <c r="K512" s="12"/>
      <c r="L512" s="12"/>
      <c r="M512" s="12"/>
      <c r="N512" s="12"/>
      <c r="O512" s="1490">
        <v>0</v>
      </c>
      <c r="P512" s="682">
        <f t="shared" si="32"/>
        <v>3.8333333333333335</v>
      </c>
      <c r="U512" s="41"/>
      <c r="AA512" s="41"/>
      <c r="AC512" s="678" t="s">
        <v>2442</v>
      </c>
      <c r="AD512">
        <v>36</v>
      </c>
      <c r="AE512">
        <v>0</v>
      </c>
      <c r="AF512">
        <v>5.25</v>
      </c>
      <c r="AH512" s="1"/>
    </row>
    <row r="513" spans="1:34" ht="15.95" customHeight="1">
      <c r="A513">
        <v>35</v>
      </c>
      <c r="B513" s="678" t="s">
        <v>2436</v>
      </c>
      <c r="C513">
        <v>12</v>
      </c>
      <c r="D513" s="650">
        <v>12</v>
      </c>
      <c r="E513" s="12"/>
      <c r="F513" s="12"/>
      <c r="G513" s="1490">
        <v>0</v>
      </c>
      <c r="H513" s="12"/>
      <c r="I513" s="12"/>
      <c r="J513" s="1490">
        <v>0</v>
      </c>
      <c r="K513" s="1490">
        <v>0</v>
      </c>
      <c r="L513" s="12"/>
      <c r="M513" s="12"/>
      <c r="N513" s="12"/>
      <c r="O513" s="1490">
        <v>0</v>
      </c>
      <c r="P513" s="682">
        <f t="shared" si="32"/>
        <v>4</v>
      </c>
      <c r="U513" s="41"/>
      <c r="Y513" s="1"/>
      <c r="AA513" s="41"/>
      <c r="AC513" s="678" t="s">
        <v>2443</v>
      </c>
      <c r="AD513">
        <v>36</v>
      </c>
      <c r="AE513">
        <v>0</v>
      </c>
      <c r="AF513">
        <v>7.7142857142857144</v>
      </c>
    </row>
    <row r="514" spans="1:34" ht="15.95" customHeight="1">
      <c r="A514">
        <v>35</v>
      </c>
      <c r="B514" s="678" t="s">
        <v>2435</v>
      </c>
      <c r="C514" s="650">
        <v>13</v>
      </c>
      <c r="D514" s="12"/>
      <c r="E514" s="12"/>
      <c r="F514" s="12"/>
      <c r="G514" s="12"/>
      <c r="H514" s="12"/>
      <c r="I514" s="12"/>
      <c r="J514" s="1490">
        <v>0</v>
      </c>
      <c r="K514" s="1490">
        <v>0</v>
      </c>
      <c r="L514" s="12"/>
      <c r="M514" s="12"/>
      <c r="N514" s="12"/>
      <c r="O514" s="1490">
        <v>0</v>
      </c>
      <c r="P514" s="682">
        <f t="shared" si="32"/>
        <v>3.25</v>
      </c>
      <c r="U514" s="41"/>
      <c r="AA514" s="41"/>
      <c r="AC514" s="681" t="s">
        <v>2444</v>
      </c>
      <c r="AD514">
        <v>36</v>
      </c>
      <c r="AE514">
        <v>0</v>
      </c>
      <c r="AF514">
        <v>5.166666666666667</v>
      </c>
      <c r="AH514" s="1"/>
    </row>
    <row r="515" spans="1:34" ht="15.95" customHeight="1">
      <c r="C515" s="12"/>
      <c r="D515" s="12"/>
      <c r="E515" s="12"/>
      <c r="F515" s="12"/>
      <c r="G515" s="12"/>
      <c r="H515" s="12"/>
      <c r="I515" s="12"/>
      <c r="J515" s="1490">
        <v>0</v>
      </c>
      <c r="K515" s="1490">
        <v>0</v>
      </c>
      <c r="L515" s="12"/>
      <c r="M515" s="12"/>
      <c r="N515" s="12"/>
      <c r="O515" s="1490">
        <v>0</v>
      </c>
      <c r="P515" s="682">
        <f t="shared" si="32"/>
        <v>0</v>
      </c>
      <c r="U515" s="41"/>
      <c r="Y515" s="1"/>
      <c r="AA515" s="41"/>
      <c r="AC515" s="681" t="s">
        <v>2445</v>
      </c>
      <c r="AD515">
        <v>36</v>
      </c>
      <c r="AE515">
        <v>0</v>
      </c>
      <c r="AF515">
        <v>9.1999999999999993</v>
      </c>
    </row>
    <row r="516" spans="1:34" ht="21">
      <c r="B516" s="1" t="s">
        <v>563</v>
      </c>
      <c r="C516" s="12"/>
      <c r="D516" s="12"/>
      <c r="E516" s="12"/>
      <c r="F516" s="12"/>
      <c r="G516" s="12"/>
      <c r="H516" s="12"/>
      <c r="I516" s="12"/>
      <c r="J516" s="1490">
        <v>0</v>
      </c>
      <c r="K516" s="1490">
        <v>0</v>
      </c>
      <c r="L516" s="12"/>
      <c r="M516" s="12"/>
      <c r="N516" s="12"/>
      <c r="O516" s="1490">
        <v>0</v>
      </c>
      <c r="P516" s="682">
        <f t="shared" si="32"/>
        <v>0</v>
      </c>
      <c r="U516" s="41"/>
      <c r="AA516" s="41"/>
      <c r="AC516" s="681" t="s">
        <v>2446</v>
      </c>
      <c r="AD516">
        <v>36</v>
      </c>
      <c r="AE516">
        <v>0</v>
      </c>
      <c r="AF516">
        <v>9</v>
      </c>
      <c r="AH516" s="1"/>
    </row>
    <row r="517" spans="1:34" ht="18" customHeight="1">
      <c r="B517" s="649" t="s">
        <v>1440</v>
      </c>
      <c r="C517" s="646" t="s">
        <v>2795</v>
      </c>
      <c r="D517" s="646" t="s">
        <v>2798</v>
      </c>
      <c r="E517" s="646" t="s">
        <v>2799</v>
      </c>
      <c r="F517" s="646" t="s">
        <v>2800</v>
      </c>
      <c r="G517" s="646" t="s">
        <v>2801</v>
      </c>
      <c r="H517" s="646" t="s">
        <v>2802</v>
      </c>
      <c r="I517" s="646" t="s">
        <v>2803</v>
      </c>
      <c r="J517" s="646" t="s">
        <v>2804</v>
      </c>
      <c r="K517" s="646" t="s">
        <v>2805</v>
      </c>
      <c r="L517" s="646" t="s">
        <v>2806</v>
      </c>
      <c r="M517" s="646"/>
      <c r="N517" s="646"/>
      <c r="O517" s="646" t="s">
        <v>2810</v>
      </c>
      <c r="P517" s="647" t="s">
        <v>2080</v>
      </c>
      <c r="U517" s="41"/>
      <c r="Y517" s="1"/>
      <c r="AA517" s="41"/>
      <c r="AC517" s="678" t="s">
        <v>2447</v>
      </c>
      <c r="AD517">
        <v>36</v>
      </c>
      <c r="AE517">
        <v>0</v>
      </c>
      <c r="AF517">
        <v>9</v>
      </c>
    </row>
    <row r="518" spans="1:34" ht="15.95" customHeight="1">
      <c r="A518">
        <v>36</v>
      </c>
      <c r="B518" s="677" t="s">
        <v>2437</v>
      </c>
      <c r="C518" s="37">
        <v>2</v>
      </c>
      <c r="D518" s="37">
        <v>2</v>
      </c>
      <c r="E518" s="529">
        <v>1</v>
      </c>
      <c r="F518" s="529">
        <v>1</v>
      </c>
      <c r="G518" s="529">
        <v>1</v>
      </c>
      <c r="H518" s="37">
        <v>2</v>
      </c>
      <c r="I518" s="529">
        <v>1</v>
      </c>
      <c r="J518" s="529">
        <v>1</v>
      </c>
      <c r="K518" s="529">
        <v>1</v>
      </c>
      <c r="L518" s="37">
        <v>3</v>
      </c>
      <c r="N518" s="12"/>
      <c r="O518" s="699">
        <v>1</v>
      </c>
      <c r="P518" s="682">
        <f>AVERAGE(C518:O518)</f>
        <v>1.4545454545454546</v>
      </c>
      <c r="U518" s="41"/>
      <c r="AA518" s="41"/>
      <c r="AC518" s="678" t="s">
        <v>2448</v>
      </c>
      <c r="AD518">
        <v>36</v>
      </c>
      <c r="AE518">
        <v>0</v>
      </c>
      <c r="AF518">
        <v>11.5</v>
      </c>
      <c r="AH518" s="1"/>
    </row>
    <row r="519" spans="1:34" ht="21">
      <c r="A519">
        <v>36</v>
      </c>
      <c r="B519" s="678" t="s">
        <v>2438</v>
      </c>
      <c r="C519" s="37">
        <v>4</v>
      </c>
      <c r="D519" s="37">
        <v>4</v>
      </c>
      <c r="E519" s="37">
        <v>4</v>
      </c>
      <c r="F519" s="37">
        <v>5</v>
      </c>
      <c r="G519" s="37">
        <v>2</v>
      </c>
      <c r="H519" s="529">
        <v>1</v>
      </c>
      <c r="I519" s="37">
        <v>6</v>
      </c>
      <c r="J519" s="37">
        <v>2</v>
      </c>
      <c r="K519" s="37">
        <v>3</v>
      </c>
      <c r="L519" s="37">
        <v>2</v>
      </c>
      <c r="N519" s="12"/>
      <c r="O519" s="37">
        <v>2</v>
      </c>
      <c r="P519" s="682">
        <f t="shared" ref="P519:P530" si="33">AVERAGE(C519:O519)</f>
        <v>3.1818181818181817</v>
      </c>
      <c r="U519" s="41"/>
      <c r="Y519" s="1"/>
      <c r="AA519" s="41"/>
      <c r="AC519" s="678" t="s">
        <v>2449</v>
      </c>
      <c r="AD519">
        <v>36</v>
      </c>
      <c r="AE519">
        <v>0</v>
      </c>
      <c r="AF519">
        <v>13</v>
      </c>
    </row>
    <row r="520" spans="1:34" ht="15.95" customHeight="1">
      <c r="A520">
        <v>36</v>
      </c>
      <c r="B520" s="678" t="s">
        <v>2439</v>
      </c>
      <c r="C520" s="529">
        <v>1</v>
      </c>
      <c r="D520" s="529">
        <v>1</v>
      </c>
      <c r="E520" s="37">
        <v>5</v>
      </c>
      <c r="F520" s="37">
        <v>4</v>
      </c>
      <c r="G520" s="37">
        <v>5</v>
      </c>
      <c r="H520" s="37">
        <v>3</v>
      </c>
      <c r="I520" s="37">
        <v>3</v>
      </c>
      <c r="J520" s="37">
        <v>5</v>
      </c>
      <c r="K520" s="37">
        <v>2</v>
      </c>
      <c r="L520" s="529">
        <v>1</v>
      </c>
      <c r="N520" s="12"/>
      <c r="O520" s="37">
        <v>3</v>
      </c>
      <c r="P520" s="682">
        <f t="shared" si="33"/>
        <v>3</v>
      </c>
      <c r="U520" s="41"/>
      <c r="AA520" s="41"/>
      <c r="AC520" s="37"/>
      <c r="AE520">
        <v>0</v>
      </c>
      <c r="AH520" s="1"/>
    </row>
    <row r="521" spans="1:34" ht="15.95" customHeight="1">
      <c r="A521">
        <v>36</v>
      </c>
      <c r="B521" s="678" t="s">
        <v>2440</v>
      </c>
      <c r="C521" s="37">
        <v>12</v>
      </c>
      <c r="D521" s="37">
        <v>7</v>
      </c>
      <c r="E521" s="37">
        <v>2</v>
      </c>
      <c r="F521" s="37">
        <v>2</v>
      </c>
      <c r="G521" s="37">
        <v>3</v>
      </c>
      <c r="H521" s="37">
        <v>4</v>
      </c>
      <c r="I521" s="37">
        <v>4</v>
      </c>
      <c r="J521" s="37">
        <v>3</v>
      </c>
      <c r="K521" s="37">
        <v>4</v>
      </c>
      <c r="L521" s="684">
        <v>4</v>
      </c>
      <c r="M521" s="12"/>
      <c r="N521" s="12"/>
      <c r="O521" s="1490">
        <v>0</v>
      </c>
      <c r="P521" s="682">
        <f t="shared" si="33"/>
        <v>4.0909090909090908</v>
      </c>
      <c r="U521" s="41"/>
      <c r="Y521" s="1"/>
      <c r="AA521" s="41"/>
      <c r="AC521" s="1" t="s">
        <v>1742</v>
      </c>
      <c r="AE521">
        <v>0</v>
      </c>
    </row>
    <row r="522" spans="1:34" ht="18" customHeight="1">
      <c r="A522">
        <v>36</v>
      </c>
      <c r="B522" s="678" t="s">
        <v>2441</v>
      </c>
      <c r="C522" s="37">
        <v>6</v>
      </c>
      <c r="D522" s="37">
        <v>5</v>
      </c>
      <c r="E522" s="37">
        <v>6</v>
      </c>
      <c r="F522" s="37">
        <v>7</v>
      </c>
      <c r="G522" s="37">
        <v>6</v>
      </c>
      <c r="H522" s="37">
        <v>6</v>
      </c>
      <c r="I522" s="37">
        <v>5</v>
      </c>
      <c r="J522" s="37">
        <v>4</v>
      </c>
      <c r="K522" s="684">
        <v>5</v>
      </c>
      <c r="L522" s="12"/>
      <c r="M522" s="12"/>
      <c r="N522" s="12"/>
      <c r="O522" s="1490">
        <v>0</v>
      </c>
      <c r="P522" s="682">
        <f t="shared" si="33"/>
        <v>5</v>
      </c>
      <c r="U522" s="41"/>
      <c r="Y522" s="715"/>
      <c r="AA522" s="41"/>
      <c r="AC522" s="649" t="s">
        <v>1440</v>
      </c>
      <c r="AE522">
        <v>0</v>
      </c>
      <c r="AF522" t="s">
        <v>2080</v>
      </c>
      <c r="AH522" s="1"/>
    </row>
    <row r="523" spans="1:34">
      <c r="A523">
        <v>36</v>
      </c>
      <c r="B523" s="678" t="s">
        <v>2442</v>
      </c>
      <c r="C523" s="37">
        <v>7</v>
      </c>
      <c r="D523" s="37">
        <v>6</v>
      </c>
      <c r="E523" s="37">
        <v>9</v>
      </c>
      <c r="F523" s="37">
        <v>3</v>
      </c>
      <c r="G523" s="37">
        <v>4</v>
      </c>
      <c r="H523" s="37">
        <v>5</v>
      </c>
      <c r="I523" s="37">
        <v>2</v>
      </c>
      <c r="J523" s="684">
        <v>6</v>
      </c>
      <c r="K523" s="12"/>
      <c r="L523" s="12"/>
      <c r="M523" s="12"/>
      <c r="N523" s="12"/>
      <c r="O523" s="1490">
        <v>0</v>
      </c>
      <c r="P523" s="682">
        <f t="shared" si="33"/>
        <v>4.666666666666667</v>
      </c>
      <c r="U523" s="41"/>
      <c r="AA523" s="41"/>
      <c r="AC523" s="677" t="s">
        <v>2450</v>
      </c>
      <c r="AD523">
        <v>37</v>
      </c>
      <c r="AE523">
        <v>5</v>
      </c>
      <c r="AF523">
        <v>2.4166666666666665</v>
      </c>
    </row>
    <row r="524" spans="1:34" ht="15.95" customHeight="1">
      <c r="A524">
        <v>36</v>
      </c>
      <c r="B524" s="678" t="s">
        <v>2443</v>
      </c>
      <c r="C524" s="37">
        <v>9</v>
      </c>
      <c r="D524" s="37">
        <v>9</v>
      </c>
      <c r="E524" s="37">
        <v>7</v>
      </c>
      <c r="F524" s="680">
        <v>8</v>
      </c>
      <c r="G524" s="37">
        <v>7</v>
      </c>
      <c r="H524" s="37">
        <v>7</v>
      </c>
      <c r="I524" s="684">
        <v>7</v>
      </c>
      <c r="J524" s="12"/>
      <c r="K524" s="12"/>
      <c r="L524" s="12"/>
      <c r="M524" s="12"/>
      <c r="N524" s="12"/>
      <c r="O524" s="1490">
        <v>0</v>
      </c>
      <c r="P524" s="682">
        <f t="shared" si="33"/>
        <v>6.75</v>
      </c>
      <c r="U524" s="41"/>
      <c r="Y524" s="1"/>
      <c r="AA524" s="41"/>
      <c r="AC524" s="678" t="s">
        <v>2451</v>
      </c>
      <c r="AD524">
        <v>37</v>
      </c>
      <c r="AE524">
        <v>0</v>
      </c>
      <c r="AF524">
        <v>5</v>
      </c>
      <c r="AH524" s="1"/>
    </row>
    <row r="525" spans="1:34">
      <c r="A525">
        <v>36</v>
      </c>
      <c r="B525" s="681" t="s">
        <v>2444</v>
      </c>
      <c r="C525" s="674">
        <v>3</v>
      </c>
      <c r="D525" s="37">
        <v>3</v>
      </c>
      <c r="E525" s="37">
        <v>3</v>
      </c>
      <c r="F525" s="37">
        <v>6</v>
      </c>
      <c r="G525" s="37">
        <v>8</v>
      </c>
      <c r="H525" s="684">
        <v>8</v>
      </c>
      <c r="I525" s="12"/>
      <c r="J525" s="12"/>
      <c r="K525" s="12"/>
      <c r="L525" s="12"/>
      <c r="M525" s="12"/>
      <c r="N525" s="12"/>
      <c r="O525" s="1490">
        <v>0</v>
      </c>
      <c r="P525" s="682">
        <f t="shared" si="33"/>
        <v>4.4285714285714288</v>
      </c>
      <c r="U525" s="41"/>
      <c r="AA525" s="41"/>
      <c r="AC525" s="678" t="s">
        <v>2452</v>
      </c>
      <c r="AD525">
        <v>37</v>
      </c>
      <c r="AE525">
        <v>3</v>
      </c>
      <c r="AF525">
        <v>3</v>
      </c>
    </row>
    <row r="526" spans="1:34" ht="15.95" customHeight="1">
      <c r="A526">
        <v>36</v>
      </c>
      <c r="B526" s="681" t="s">
        <v>2445</v>
      </c>
      <c r="C526" s="674">
        <v>10</v>
      </c>
      <c r="D526" s="37">
        <v>10</v>
      </c>
      <c r="E526" s="37">
        <v>8</v>
      </c>
      <c r="F526" s="37">
        <v>9</v>
      </c>
      <c r="G526" s="684">
        <v>9</v>
      </c>
      <c r="H526" s="12"/>
      <c r="I526" s="12"/>
      <c r="J526" s="12"/>
      <c r="K526" s="12"/>
      <c r="L526" s="12"/>
      <c r="M526" s="12"/>
      <c r="N526" s="12"/>
      <c r="O526" s="1490">
        <v>0</v>
      </c>
      <c r="P526" s="682">
        <f t="shared" si="33"/>
        <v>7.666666666666667</v>
      </c>
      <c r="U526" s="41"/>
      <c r="Y526" s="1"/>
      <c r="AA526" s="41"/>
      <c r="AC526" s="678" t="s">
        <v>2453</v>
      </c>
      <c r="AD526">
        <v>37</v>
      </c>
      <c r="AE526">
        <v>2</v>
      </c>
      <c r="AF526">
        <v>3.0909090909090908</v>
      </c>
      <c r="AH526" s="1"/>
    </row>
    <row r="527" spans="1:34" ht="18">
      <c r="A527">
        <v>36</v>
      </c>
      <c r="B527" s="681" t="s">
        <v>2446</v>
      </c>
      <c r="C527" s="674">
        <v>5</v>
      </c>
      <c r="D527" s="37">
        <v>11</v>
      </c>
      <c r="E527" s="37">
        <v>10</v>
      </c>
      <c r="F527" s="684">
        <v>10</v>
      </c>
      <c r="G527" s="12"/>
      <c r="H527" s="12"/>
      <c r="I527" s="12"/>
      <c r="J527" s="12"/>
      <c r="K527" s="12"/>
      <c r="L527" s="12"/>
      <c r="M527" s="12"/>
      <c r="N527" s="12"/>
      <c r="O527" s="1490">
        <v>0</v>
      </c>
      <c r="P527" s="682">
        <f t="shared" si="33"/>
        <v>7.2</v>
      </c>
      <c r="U527" s="41"/>
      <c r="Y527" s="715"/>
      <c r="AA527" s="41"/>
      <c r="AC527" s="678" t="s">
        <v>2454</v>
      </c>
      <c r="AD527">
        <v>37</v>
      </c>
      <c r="AE527">
        <v>2</v>
      </c>
      <c r="AF527">
        <v>3.8</v>
      </c>
    </row>
    <row r="528" spans="1:34" ht="15.95" customHeight="1">
      <c r="A528">
        <v>36</v>
      </c>
      <c r="B528" s="678" t="s">
        <v>2447</v>
      </c>
      <c r="C528" s="37">
        <v>8</v>
      </c>
      <c r="D528" s="37">
        <v>8</v>
      </c>
      <c r="E528" s="684">
        <v>11</v>
      </c>
      <c r="F528" s="12"/>
      <c r="G528" s="12"/>
      <c r="H528" s="12"/>
      <c r="I528" s="12"/>
      <c r="J528" s="12"/>
      <c r="K528" s="12"/>
      <c r="L528" s="12"/>
      <c r="M528" s="12"/>
      <c r="N528" s="12"/>
      <c r="O528" s="1490">
        <v>0</v>
      </c>
      <c r="P528" s="682">
        <f t="shared" si="33"/>
        <v>6.75</v>
      </c>
      <c r="U528" s="41"/>
      <c r="AA528" s="41"/>
      <c r="AC528" s="678" t="s">
        <v>2455</v>
      </c>
      <c r="AD528">
        <v>37</v>
      </c>
      <c r="AE528">
        <v>0</v>
      </c>
      <c r="AF528">
        <v>5.25</v>
      </c>
      <c r="AH528" s="1"/>
    </row>
    <row r="529" spans="1:34" ht="15.95" customHeight="1">
      <c r="A529">
        <v>36</v>
      </c>
      <c r="B529" s="678" t="s">
        <v>2448</v>
      </c>
      <c r="C529" s="37">
        <v>11</v>
      </c>
      <c r="D529" s="684">
        <v>12</v>
      </c>
      <c r="E529" s="12"/>
      <c r="F529" s="12"/>
      <c r="G529" s="12"/>
      <c r="H529" s="12"/>
      <c r="I529" s="12"/>
      <c r="J529" s="12"/>
      <c r="K529" s="12"/>
      <c r="L529" s="12"/>
      <c r="M529" s="12"/>
      <c r="N529" s="12"/>
      <c r="O529" s="1490">
        <v>0</v>
      </c>
      <c r="P529" s="682">
        <f t="shared" si="33"/>
        <v>7.666666666666667</v>
      </c>
      <c r="U529" s="41"/>
      <c r="Y529" s="1"/>
      <c r="AA529" s="41"/>
      <c r="AC529" s="678" t="s">
        <v>2456</v>
      </c>
      <c r="AD529">
        <v>37</v>
      </c>
      <c r="AE529">
        <v>0</v>
      </c>
      <c r="AF529">
        <v>7.4285714285714288</v>
      </c>
    </row>
    <row r="530" spans="1:34" ht="15.95" customHeight="1">
      <c r="A530">
        <v>36</v>
      </c>
      <c r="B530" s="678" t="s">
        <v>2449</v>
      </c>
      <c r="C530" s="684">
        <v>13</v>
      </c>
      <c r="D530" s="12"/>
      <c r="E530" s="12"/>
      <c r="F530" s="12"/>
      <c r="G530" s="12"/>
      <c r="H530" s="12"/>
      <c r="I530" s="12"/>
      <c r="J530" s="12"/>
      <c r="K530" s="12"/>
      <c r="L530" s="12"/>
      <c r="M530" s="12"/>
      <c r="N530" s="12"/>
      <c r="O530" s="1490">
        <v>0</v>
      </c>
      <c r="P530" s="682">
        <f t="shared" si="33"/>
        <v>6.5</v>
      </c>
      <c r="U530" s="41"/>
      <c r="AA530" s="41"/>
      <c r="AC530" s="681" t="s">
        <v>2457</v>
      </c>
      <c r="AD530">
        <v>37</v>
      </c>
      <c r="AE530">
        <v>0</v>
      </c>
      <c r="AF530">
        <v>6.333333333333333</v>
      </c>
      <c r="AH530" s="1"/>
    </row>
    <row r="531" spans="1:34" ht="15.95" customHeight="1">
      <c r="B531" s="37"/>
      <c r="C531" s="12"/>
      <c r="D531" s="12"/>
      <c r="E531" s="12"/>
      <c r="F531" s="12"/>
      <c r="G531" s="12"/>
      <c r="H531" s="12"/>
      <c r="I531" s="12"/>
      <c r="J531" s="12"/>
      <c r="K531" s="12"/>
      <c r="L531" s="12"/>
      <c r="M531" s="12"/>
      <c r="N531" s="12"/>
      <c r="O531" s="1490">
        <v>0</v>
      </c>
      <c r="P531" s="682">
        <f>AVERAGE(C531:O531)</f>
        <v>0</v>
      </c>
      <c r="U531" s="41"/>
      <c r="Y531" s="1"/>
      <c r="AA531" s="41"/>
      <c r="AC531" s="681" t="s">
        <v>2458</v>
      </c>
      <c r="AD531">
        <v>37</v>
      </c>
      <c r="AE531">
        <v>1</v>
      </c>
      <c r="AF531">
        <v>3.6</v>
      </c>
    </row>
    <row r="532" spans="1:34" ht="21">
      <c r="B532" s="1" t="s">
        <v>1742</v>
      </c>
      <c r="C532" s="12"/>
      <c r="D532" s="12"/>
      <c r="E532" s="12"/>
      <c r="F532" s="12"/>
      <c r="G532" s="12"/>
      <c r="H532" s="12"/>
      <c r="I532" s="12"/>
      <c r="J532" s="12"/>
      <c r="K532" s="12"/>
      <c r="L532" s="12"/>
      <c r="M532" s="12"/>
      <c r="N532" s="12"/>
      <c r="O532" s="1490">
        <v>0</v>
      </c>
      <c r="P532" s="682">
        <f>AVERAGE(C532:O532)</f>
        <v>0</v>
      </c>
      <c r="U532" s="41"/>
      <c r="Y532" s="715"/>
      <c r="AA532" s="41"/>
      <c r="AC532" s="681" t="s">
        <v>2459</v>
      </c>
      <c r="AD532">
        <v>37</v>
      </c>
      <c r="AE532">
        <v>0</v>
      </c>
      <c r="AF532">
        <v>8</v>
      </c>
      <c r="AH532" s="1"/>
    </row>
    <row r="533" spans="1:34" ht="18">
      <c r="B533" s="649" t="s">
        <v>1440</v>
      </c>
      <c r="C533" s="646" t="s">
        <v>2795</v>
      </c>
      <c r="D533" s="646" t="s">
        <v>2798</v>
      </c>
      <c r="E533" s="646" t="s">
        <v>2799</v>
      </c>
      <c r="F533" s="646" t="s">
        <v>2800</v>
      </c>
      <c r="G533" s="646" t="s">
        <v>2801</v>
      </c>
      <c r="H533" s="646" t="s">
        <v>2802</v>
      </c>
      <c r="I533" s="646" t="s">
        <v>2803</v>
      </c>
      <c r="J533" s="646" t="s">
        <v>2804</v>
      </c>
      <c r="K533" s="646" t="s">
        <v>2805</v>
      </c>
      <c r="L533" s="646" t="s">
        <v>2806</v>
      </c>
      <c r="M533" s="646" t="s">
        <v>2807</v>
      </c>
      <c r="N533" s="646"/>
      <c r="O533" s="646" t="s">
        <v>2810</v>
      </c>
      <c r="P533" s="647" t="s">
        <v>2080</v>
      </c>
      <c r="U533" s="41"/>
      <c r="Y533" s="37"/>
      <c r="AA533" s="41"/>
      <c r="AC533" s="678" t="s">
        <v>2460</v>
      </c>
      <c r="AD533">
        <v>37</v>
      </c>
      <c r="AE533">
        <v>0</v>
      </c>
      <c r="AF533">
        <v>7.666666666666667</v>
      </c>
    </row>
    <row r="534" spans="1:34" ht="15.95" customHeight="1">
      <c r="A534">
        <v>37</v>
      </c>
      <c r="B534" s="677" t="s">
        <v>2450</v>
      </c>
      <c r="C534" s="529">
        <v>1</v>
      </c>
      <c r="D534" s="37">
        <v>4</v>
      </c>
      <c r="E534" s="37">
        <v>2</v>
      </c>
      <c r="F534" s="37">
        <v>2</v>
      </c>
      <c r="G534" s="37">
        <v>2</v>
      </c>
      <c r="H534" s="676">
        <v>1</v>
      </c>
      <c r="I534" s="37">
        <v>6</v>
      </c>
      <c r="J534" s="37">
        <v>4</v>
      </c>
      <c r="K534" s="37">
        <v>4</v>
      </c>
      <c r="L534" s="529">
        <v>1</v>
      </c>
      <c r="M534" s="529">
        <v>1</v>
      </c>
      <c r="O534" s="699">
        <v>1</v>
      </c>
      <c r="P534" s="682">
        <f>AVERAGE(C534:O534)</f>
        <v>2.4166666666666665</v>
      </c>
      <c r="U534" s="41"/>
      <c r="Y534" s="1"/>
      <c r="AA534" s="41"/>
      <c r="AC534" s="678" t="s">
        <v>2461</v>
      </c>
      <c r="AD534">
        <v>37</v>
      </c>
      <c r="AE534">
        <v>0</v>
      </c>
      <c r="AF534">
        <v>7.5</v>
      </c>
      <c r="AH534" s="1"/>
    </row>
    <row r="535" spans="1:34">
      <c r="A535">
        <v>37</v>
      </c>
      <c r="B535" s="678" t="s">
        <v>2451</v>
      </c>
      <c r="C535" s="37">
        <v>5</v>
      </c>
      <c r="D535" s="37">
        <v>11</v>
      </c>
      <c r="E535" s="37">
        <v>9</v>
      </c>
      <c r="F535" s="37">
        <v>6</v>
      </c>
      <c r="G535" s="37">
        <v>5</v>
      </c>
      <c r="H535" s="37">
        <v>2</v>
      </c>
      <c r="I535" s="376">
        <v>4</v>
      </c>
      <c r="J535" s="37">
        <v>5</v>
      </c>
      <c r="K535" s="683">
        <v>5</v>
      </c>
      <c r="L535" s="37">
        <v>4</v>
      </c>
      <c r="M535" s="37">
        <v>2</v>
      </c>
      <c r="O535" s="37">
        <v>2</v>
      </c>
      <c r="P535" s="682">
        <f>AVERAGE(C535:O535)</f>
        <v>5</v>
      </c>
      <c r="U535" s="41"/>
      <c r="AA535" s="41"/>
      <c r="AC535" s="678" t="s">
        <v>2462</v>
      </c>
      <c r="AD535">
        <v>37</v>
      </c>
      <c r="AE535">
        <v>0</v>
      </c>
      <c r="AF535">
        <v>7</v>
      </c>
    </row>
    <row r="536" spans="1:34" ht="15.95" customHeight="1">
      <c r="A536">
        <v>37</v>
      </c>
      <c r="B536" s="678" t="s">
        <v>2452</v>
      </c>
      <c r="C536" s="37">
        <v>2</v>
      </c>
      <c r="D536" s="529">
        <v>1</v>
      </c>
      <c r="E536" s="37">
        <v>3</v>
      </c>
      <c r="F536" s="687">
        <v>1</v>
      </c>
      <c r="G536" s="376">
        <v>8</v>
      </c>
      <c r="H536" s="37">
        <v>5</v>
      </c>
      <c r="I536" s="37">
        <v>3</v>
      </c>
      <c r="J536" s="37">
        <v>3</v>
      </c>
      <c r="K536" s="529">
        <v>1</v>
      </c>
      <c r="L536" s="37">
        <v>3</v>
      </c>
      <c r="M536" s="37">
        <v>3</v>
      </c>
      <c r="O536" s="37">
        <v>3</v>
      </c>
      <c r="P536" s="682">
        <f>AVERAGE(C536:O536)</f>
        <v>3</v>
      </c>
      <c r="U536" s="41"/>
      <c r="AC536" s="678" t="s">
        <v>2463</v>
      </c>
      <c r="AD536">
        <v>37</v>
      </c>
      <c r="AE536">
        <v>0</v>
      </c>
      <c r="AF536">
        <v>7</v>
      </c>
      <c r="AH536" s="1"/>
    </row>
    <row r="537" spans="1:34" ht="21">
      <c r="A537">
        <v>37</v>
      </c>
      <c r="B537" s="678" t="s">
        <v>2453</v>
      </c>
      <c r="C537" s="529">
        <v>1</v>
      </c>
      <c r="D537" s="37">
        <v>3</v>
      </c>
      <c r="E537" s="37">
        <v>7</v>
      </c>
      <c r="F537" s="37">
        <v>5</v>
      </c>
      <c r="G537" s="37">
        <v>3</v>
      </c>
      <c r="H537" s="37">
        <v>3</v>
      </c>
      <c r="I537" s="529">
        <v>1</v>
      </c>
      <c r="J537" s="37">
        <v>2</v>
      </c>
      <c r="K537" s="37">
        <v>3</v>
      </c>
      <c r="L537" s="8">
        <v>2</v>
      </c>
      <c r="M537" s="684">
        <v>4</v>
      </c>
      <c r="N537" s="12"/>
      <c r="O537" s="1490">
        <v>0</v>
      </c>
      <c r="P537" s="682">
        <f>AVERAGE(C537:N537)</f>
        <v>3.0909090909090908</v>
      </c>
      <c r="U537" s="41"/>
      <c r="AC537" s="1" t="s">
        <v>2056</v>
      </c>
    </row>
    <row r="538" spans="1:34" ht="18" customHeight="1">
      <c r="A538">
        <v>37</v>
      </c>
      <c r="B538" s="678" t="s">
        <v>2454</v>
      </c>
      <c r="C538" s="37">
        <v>2</v>
      </c>
      <c r="D538" s="37">
        <v>9</v>
      </c>
      <c r="E538" s="37">
        <v>5</v>
      </c>
      <c r="F538" s="37">
        <v>7</v>
      </c>
      <c r="G538" s="529">
        <v>1</v>
      </c>
      <c r="H538" s="37">
        <v>4</v>
      </c>
      <c r="I538" s="37">
        <v>2</v>
      </c>
      <c r="J538" s="529">
        <v>1</v>
      </c>
      <c r="K538" s="37">
        <v>2</v>
      </c>
      <c r="L538" s="692">
        <v>5</v>
      </c>
      <c r="M538" s="12"/>
      <c r="N538" s="12"/>
      <c r="O538" s="1490">
        <v>0</v>
      </c>
      <c r="P538" s="682">
        <f>AVERAGE(C538:O538)</f>
        <v>3.4545454545454546</v>
      </c>
      <c r="U538" s="41"/>
      <c r="AC538" s="649" t="s">
        <v>1440</v>
      </c>
      <c r="AF538" t="s">
        <v>2080</v>
      </c>
      <c r="AH538" s="1"/>
    </row>
    <row r="539" spans="1:34">
      <c r="A539">
        <v>37</v>
      </c>
      <c r="B539" s="678" t="s">
        <v>2455</v>
      </c>
      <c r="C539" s="37">
        <v>6</v>
      </c>
      <c r="D539" s="37">
        <v>5</v>
      </c>
      <c r="E539" s="37">
        <v>4</v>
      </c>
      <c r="F539" s="37">
        <v>4</v>
      </c>
      <c r="G539" s="37">
        <v>6</v>
      </c>
      <c r="H539" s="37">
        <v>6</v>
      </c>
      <c r="I539" s="564">
        <v>5</v>
      </c>
      <c r="J539" s="684">
        <v>6</v>
      </c>
      <c r="K539" s="12"/>
      <c r="L539" s="12"/>
      <c r="M539" s="12"/>
      <c r="N539" s="12"/>
      <c r="O539" s="1490">
        <v>0</v>
      </c>
      <c r="P539" s="682">
        <f>AVERAGE(C539:N539)</f>
        <v>5.25</v>
      </c>
      <c r="U539" s="41"/>
      <c r="AC539" s="744" t="s">
        <v>2558</v>
      </c>
      <c r="AD539">
        <v>38</v>
      </c>
      <c r="AE539">
        <v>7</v>
      </c>
      <c r="AF539">
        <v>1.75</v>
      </c>
    </row>
    <row r="540" spans="1:34" ht="15.95" customHeight="1">
      <c r="A540">
        <v>37</v>
      </c>
      <c r="B540" s="678" t="s">
        <v>2456</v>
      </c>
      <c r="C540" s="37">
        <v>5</v>
      </c>
      <c r="D540" s="37">
        <v>10</v>
      </c>
      <c r="E540" s="680">
        <v>8</v>
      </c>
      <c r="F540" s="37">
        <v>8</v>
      </c>
      <c r="G540" s="37">
        <v>7</v>
      </c>
      <c r="H540" s="37">
        <v>7</v>
      </c>
      <c r="I540" s="690">
        <v>7</v>
      </c>
      <c r="J540" s="12"/>
      <c r="K540" s="12"/>
      <c r="L540" s="1490">
        <v>0</v>
      </c>
      <c r="M540" s="12"/>
      <c r="N540" s="12"/>
      <c r="O540" s="1490">
        <v>0</v>
      </c>
      <c r="P540" s="682">
        <f>AVERAGE(C540:N540)</f>
        <v>6.5</v>
      </c>
      <c r="U540" s="41"/>
      <c r="AC540" s="678" t="s">
        <v>2559</v>
      </c>
      <c r="AD540">
        <v>38</v>
      </c>
      <c r="AE540">
        <v>0</v>
      </c>
      <c r="AF540">
        <v>4.666666666666667</v>
      </c>
      <c r="AH540" s="1"/>
    </row>
    <row r="541" spans="1:34">
      <c r="A541">
        <v>37</v>
      </c>
      <c r="B541" s="681" t="s">
        <v>2457</v>
      </c>
      <c r="C541" s="674">
        <v>4</v>
      </c>
      <c r="D541" s="37">
        <v>7</v>
      </c>
      <c r="E541" s="37">
        <v>6</v>
      </c>
      <c r="F541" s="37">
        <v>9</v>
      </c>
      <c r="G541" s="37">
        <v>4</v>
      </c>
      <c r="H541" s="684">
        <v>8</v>
      </c>
      <c r="I541" s="12"/>
      <c r="J541" s="12"/>
      <c r="K541" s="1490">
        <v>0</v>
      </c>
      <c r="L541" s="12"/>
      <c r="M541" s="12"/>
      <c r="N541" s="12"/>
      <c r="O541" s="1490">
        <v>0</v>
      </c>
      <c r="P541" s="682">
        <f>AVERAGE(C541:N541)</f>
        <v>5.4285714285714288</v>
      </c>
      <c r="U541" s="41"/>
      <c r="AC541" s="678" t="s">
        <v>2560</v>
      </c>
      <c r="AD541">
        <v>38</v>
      </c>
      <c r="AE541">
        <v>0</v>
      </c>
      <c r="AF541">
        <v>4.25</v>
      </c>
    </row>
    <row r="542" spans="1:34" ht="15.95" customHeight="1">
      <c r="A542">
        <v>37</v>
      </c>
      <c r="B542" s="681" t="s">
        <v>2458</v>
      </c>
      <c r="C542" s="674">
        <v>3</v>
      </c>
      <c r="D542" s="37">
        <v>2</v>
      </c>
      <c r="E542" s="529">
        <v>1</v>
      </c>
      <c r="F542" s="37">
        <v>3</v>
      </c>
      <c r="G542" s="685">
        <v>9</v>
      </c>
      <c r="H542" s="12"/>
      <c r="I542" s="12"/>
      <c r="J542" s="1490">
        <v>0</v>
      </c>
      <c r="K542" s="12"/>
      <c r="L542" s="12"/>
      <c r="M542" s="12"/>
      <c r="N542" s="12"/>
      <c r="O542" s="1490">
        <v>0</v>
      </c>
      <c r="P542" s="682">
        <f>AVERAGE(C542:N542)</f>
        <v>3</v>
      </c>
      <c r="U542" s="41"/>
      <c r="AC542" s="678" t="s">
        <v>2561</v>
      </c>
      <c r="AD542">
        <v>38</v>
      </c>
      <c r="AE542">
        <v>0</v>
      </c>
      <c r="AF542">
        <v>4.7272727272727275</v>
      </c>
      <c r="AH542" s="1"/>
    </row>
    <row r="543" spans="1:34">
      <c r="A543">
        <v>37</v>
      </c>
      <c r="B543" s="681" t="s">
        <v>2459</v>
      </c>
      <c r="C543" s="674">
        <v>4</v>
      </c>
      <c r="D543" s="37">
        <v>8</v>
      </c>
      <c r="E543" s="37">
        <v>10</v>
      </c>
      <c r="F543" s="684">
        <v>10</v>
      </c>
      <c r="G543" s="12"/>
      <c r="H543" s="12"/>
      <c r="I543" s="1490">
        <v>0</v>
      </c>
      <c r="J543" s="12"/>
      <c r="K543" s="12"/>
      <c r="L543" s="12"/>
      <c r="M543" s="12"/>
      <c r="N543" s="12"/>
      <c r="O543" s="1490">
        <v>0</v>
      </c>
      <c r="P543" s="682">
        <f>AVERAGE(C543:O543)</f>
        <v>5.333333333333333</v>
      </c>
      <c r="U543" s="41"/>
      <c r="AC543" s="678" t="s">
        <v>2562</v>
      </c>
      <c r="AD543">
        <v>38</v>
      </c>
      <c r="AE543">
        <v>0</v>
      </c>
      <c r="AF543">
        <v>5.9</v>
      </c>
    </row>
    <row r="544" spans="1:34" ht="15.95" customHeight="1">
      <c r="A544">
        <v>37</v>
      </c>
      <c r="B544" s="678" t="s">
        <v>2460</v>
      </c>
      <c r="C544" s="37">
        <v>6</v>
      </c>
      <c r="D544" s="37">
        <v>6</v>
      </c>
      <c r="E544" s="684">
        <v>11</v>
      </c>
      <c r="F544" s="12"/>
      <c r="G544" s="12"/>
      <c r="H544" s="1490">
        <v>0</v>
      </c>
      <c r="I544" s="12"/>
      <c r="J544" s="12"/>
      <c r="K544" s="12"/>
      <c r="L544" s="12"/>
      <c r="M544" s="12"/>
      <c r="N544" s="12"/>
      <c r="O544" s="1490">
        <v>0</v>
      </c>
      <c r="P544" s="682">
        <f>AVERAGE(C544:O544)</f>
        <v>4.5999999999999996</v>
      </c>
      <c r="U544" s="41"/>
      <c r="AC544" s="678" t="s">
        <v>2563</v>
      </c>
      <c r="AD544">
        <v>38</v>
      </c>
      <c r="AE544">
        <v>4</v>
      </c>
      <c r="AF544">
        <v>2.3333333333333335</v>
      </c>
      <c r="AH544" s="1"/>
    </row>
    <row r="545" spans="1:34">
      <c r="A545">
        <v>37</v>
      </c>
      <c r="B545" s="678" t="s">
        <v>2461</v>
      </c>
      <c r="C545" s="37">
        <v>3</v>
      </c>
      <c r="D545" s="684">
        <v>12</v>
      </c>
      <c r="E545" s="12"/>
      <c r="F545" s="12"/>
      <c r="G545" s="1490">
        <v>0</v>
      </c>
      <c r="H545" s="12"/>
      <c r="I545" s="12"/>
      <c r="J545" s="12"/>
      <c r="K545" s="12"/>
      <c r="L545" s="12"/>
      <c r="M545" s="12"/>
      <c r="N545" s="12"/>
      <c r="O545" s="1490">
        <v>0</v>
      </c>
      <c r="P545" s="682">
        <f>AVERAGE(C545:O545)</f>
        <v>3.75</v>
      </c>
      <c r="U545" s="41"/>
      <c r="AC545" s="678" t="s">
        <v>2564</v>
      </c>
      <c r="AD545">
        <v>38</v>
      </c>
      <c r="AE545">
        <v>1</v>
      </c>
      <c r="AF545">
        <v>3.8571428571428572</v>
      </c>
    </row>
    <row r="546" spans="1:34" ht="15.95" customHeight="1">
      <c r="A546">
        <v>37</v>
      </c>
      <c r="B546" s="678" t="s">
        <v>2462</v>
      </c>
      <c r="C546" s="684">
        <v>7</v>
      </c>
      <c r="D546" s="12"/>
      <c r="E546" s="12"/>
      <c r="F546" s="12"/>
      <c r="G546" s="1492">
        <v>0</v>
      </c>
      <c r="H546" s="12"/>
      <c r="I546" s="12"/>
      <c r="J546" s="12"/>
      <c r="K546" s="12"/>
      <c r="L546" s="12"/>
      <c r="M546" s="12"/>
      <c r="N546" s="12"/>
      <c r="O546" s="1490">
        <v>0</v>
      </c>
      <c r="P546" s="682">
        <f>AVERAGE(C546:O546)</f>
        <v>2.3333333333333335</v>
      </c>
      <c r="U546" s="41"/>
      <c r="AC546" s="681" t="s">
        <v>2565</v>
      </c>
      <c r="AD546">
        <v>38</v>
      </c>
      <c r="AE546">
        <v>0</v>
      </c>
      <c r="AF546">
        <v>7.166666666666667</v>
      </c>
      <c r="AH546" s="1"/>
    </row>
    <row r="547" spans="1:34">
      <c r="A547">
        <v>37</v>
      </c>
      <c r="B547" s="678" t="s">
        <v>2463</v>
      </c>
      <c r="C547" s="650">
        <v>7</v>
      </c>
      <c r="D547" s="12"/>
      <c r="E547" s="12"/>
      <c r="F547" s="12"/>
      <c r="G547" s="12"/>
      <c r="H547" s="12"/>
      <c r="I547" s="12"/>
      <c r="J547" s="12"/>
      <c r="K547" s="12"/>
      <c r="L547" s="12"/>
      <c r="M547" s="12"/>
      <c r="N547" s="12"/>
      <c r="O547" s="1490">
        <v>0</v>
      </c>
      <c r="P547" s="682">
        <f>AVERAGE(C547:O547)</f>
        <v>3.5</v>
      </c>
      <c r="U547" s="41"/>
      <c r="AC547" s="681" t="s">
        <v>2566</v>
      </c>
      <c r="AD547">
        <v>38</v>
      </c>
      <c r="AE547">
        <v>0</v>
      </c>
      <c r="AF547">
        <v>6.4</v>
      </c>
    </row>
    <row r="548" spans="1:34" ht="15.95" customHeight="1">
      <c r="C548" s="12"/>
      <c r="D548" s="12"/>
      <c r="E548" s="12"/>
      <c r="F548" s="12"/>
      <c r="G548" s="12"/>
      <c r="H548" s="12"/>
      <c r="I548" s="12"/>
      <c r="J548" s="12"/>
      <c r="K548" s="12"/>
      <c r="L548" s="12"/>
      <c r="M548" s="12"/>
      <c r="N548" s="12"/>
      <c r="O548" s="722"/>
      <c r="P548" s="682"/>
      <c r="U548" s="41"/>
      <c r="AC548" s="681" t="s">
        <v>2567</v>
      </c>
      <c r="AD548">
        <v>38</v>
      </c>
      <c r="AE548">
        <v>0</v>
      </c>
      <c r="AF548">
        <v>10.25</v>
      </c>
      <c r="AH548" s="1"/>
    </row>
    <row r="549" spans="1:34" ht="21">
      <c r="B549" s="1" t="s">
        <v>2056</v>
      </c>
      <c r="C549" s="12"/>
      <c r="D549" s="12"/>
      <c r="E549" s="12"/>
      <c r="F549" s="12"/>
      <c r="G549" s="12"/>
      <c r="H549" s="12"/>
      <c r="I549" s="12"/>
      <c r="J549" s="12"/>
      <c r="K549" s="12"/>
      <c r="L549" s="12"/>
      <c r="M549" s="12"/>
      <c r="N549" s="12"/>
      <c r="O549" s="1490">
        <v>0</v>
      </c>
      <c r="P549" s="682">
        <f>AVERAGE(C549:O549)</f>
        <v>0</v>
      </c>
      <c r="U549" s="41"/>
      <c r="AC549" s="681" t="s">
        <v>2568</v>
      </c>
      <c r="AD549">
        <v>38</v>
      </c>
      <c r="AE549">
        <v>0</v>
      </c>
      <c r="AF549">
        <v>11.333333333333334</v>
      </c>
      <c r="AH549" s="37"/>
    </row>
    <row r="550" spans="1:34" ht="18" customHeight="1">
      <c r="B550" s="649" t="s">
        <v>1440</v>
      </c>
      <c r="C550" s="646" t="s">
        <v>2795</v>
      </c>
      <c r="D550" s="646" t="s">
        <v>2798</v>
      </c>
      <c r="E550" s="646" t="s">
        <v>2799</v>
      </c>
      <c r="F550" s="646" t="s">
        <v>2800</v>
      </c>
      <c r="G550" s="646" t="s">
        <v>2801</v>
      </c>
      <c r="H550" s="646" t="s">
        <v>2802</v>
      </c>
      <c r="I550" s="646" t="s">
        <v>2803</v>
      </c>
      <c r="J550" s="646" t="s">
        <v>2804</v>
      </c>
      <c r="K550" s="646" t="s">
        <v>2805</v>
      </c>
      <c r="L550" s="646" t="s">
        <v>2806</v>
      </c>
      <c r="M550" s="646" t="s">
        <v>2807</v>
      </c>
      <c r="N550" s="646"/>
      <c r="O550" s="646" t="s">
        <v>2810</v>
      </c>
      <c r="P550" s="738" t="s">
        <v>2080</v>
      </c>
      <c r="U550" s="41"/>
      <c r="AC550" s="678" t="s">
        <v>2569</v>
      </c>
      <c r="AD550">
        <v>38</v>
      </c>
      <c r="AE550">
        <v>0</v>
      </c>
      <c r="AF550">
        <v>11</v>
      </c>
      <c r="AH550" s="1"/>
    </row>
    <row r="551" spans="1:34" ht="15.95" customHeight="1">
      <c r="A551">
        <v>38</v>
      </c>
      <c r="B551" s="733" t="s">
        <v>2558</v>
      </c>
      <c r="C551" s="736">
        <v>1</v>
      </c>
      <c r="D551" s="529">
        <v>1</v>
      </c>
      <c r="E551" s="37">
        <v>2</v>
      </c>
      <c r="F551" s="37">
        <v>5</v>
      </c>
      <c r="G551" s="564">
        <v>3</v>
      </c>
      <c r="H551" s="37">
        <v>2</v>
      </c>
      <c r="I551" s="37">
        <v>2</v>
      </c>
      <c r="J551" s="687">
        <v>1</v>
      </c>
      <c r="K551" s="734">
        <v>1</v>
      </c>
      <c r="L551" s="529">
        <v>1</v>
      </c>
      <c r="M551" s="529">
        <v>1</v>
      </c>
      <c r="O551" s="737">
        <v>1</v>
      </c>
      <c r="P551" s="739">
        <f>AVERAGE(C551:O551)</f>
        <v>1.75</v>
      </c>
      <c r="U551" s="41"/>
      <c r="AC551" s="678" t="s">
        <v>2570</v>
      </c>
      <c r="AD551">
        <v>38</v>
      </c>
      <c r="AE551">
        <v>0</v>
      </c>
      <c r="AF551">
        <v>13</v>
      </c>
      <c r="AH551" s="1"/>
    </row>
    <row r="552" spans="1:34">
      <c r="A552">
        <v>38</v>
      </c>
      <c r="B552" s="678" t="s">
        <v>2559</v>
      </c>
      <c r="C552" s="37">
        <v>9</v>
      </c>
      <c r="D552" s="37">
        <v>9</v>
      </c>
      <c r="E552" s="37">
        <v>9</v>
      </c>
      <c r="F552" s="37">
        <v>4</v>
      </c>
      <c r="G552" s="37">
        <v>2</v>
      </c>
      <c r="H552" s="37">
        <v>3</v>
      </c>
      <c r="I552" s="37">
        <v>4</v>
      </c>
      <c r="J552" s="8">
        <v>3</v>
      </c>
      <c r="K552" s="376">
        <v>5</v>
      </c>
      <c r="L552" s="37">
        <v>4</v>
      </c>
      <c r="M552" s="37">
        <v>2</v>
      </c>
      <c r="O552" s="37">
        <v>2</v>
      </c>
      <c r="P552" s="739">
        <f>AVERAGE(C552:O552)</f>
        <v>4.666666666666667</v>
      </c>
      <c r="U552" s="41"/>
    </row>
    <row r="553" spans="1:34">
      <c r="A553">
        <v>38</v>
      </c>
      <c r="B553" s="678" t="s">
        <v>2560</v>
      </c>
      <c r="C553" s="37">
        <v>8</v>
      </c>
      <c r="D553" s="37">
        <v>2</v>
      </c>
      <c r="E553" s="37">
        <v>4</v>
      </c>
      <c r="F553" s="37">
        <v>7</v>
      </c>
      <c r="G553" s="564">
        <v>4</v>
      </c>
      <c r="H553" s="37">
        <v>5</v>
      </c>
      <c r="I553" s="37">
        <v>3</v>
      </c>
      <c r="J553" s="683">
        <v>6</v>
      </c>
      <c r="K553" s="37">
        <v>3</v>
      </c>
      <c r="L553" s="37">
        <v>3</v>
      </c>
      <c r="M553" s="37">
        <v>3</v>
      </c>
      <c r="O553" s="37">
        <v>3</v>
      </c>
      <c r="P553" s="739">
        <f>AVERAGE(C553:O553)</f>
        <v>4.25</v>
      </c>
      <c r="U553" s="41"/>
    </row>
    <row r="554" spans="1:34">
      <c r="A554">
        <v>38</v>
      </c>
      <c r="B554" s="678" t="s">
        <v>2561</v>
      </c>
      <c r="C554" s="37">
        <v>3</v>
      </c>
      <c r="D554" s="37">
        <v>6</v>
      </c>
      <c r="E554" s="37">
        <v>6</v>
      </c>
      <c r="F554" s="37">
        <v>3</v>
      </c>
      <c r="G554" s="376">
        <v>7</v>
      </c>
      <c r="H554" s="37">
        <v>7</v>
      </c>
      <c r="I554" s="37">
        <v>6</v>
      </c>
      <c r="J554" s="37">
        <v>4</v>
      </c>
      <c r="K554" s="37">
        <v>4</v>
      </c>
      <c r="L554" s="37">
        <v>2</v>
      </c>
      <c r="M554" s="684">
        <v>4</v>
      </c>
      <c r="N554" s="12"/>
      <c r="O554" s="1490">
        <v>0</v>
      </c>
      <c r="P554" s="739">
        <f>AVERAGE(C554:O554)</f>
        <v>4.333333333333333</v>
      </c>
      <c r="U554" s="41"/>
    </row>
    <row r="555" spans="1:34">
      <c r="A555">
        <v>38</v>
      </c>
      <c r="B555" s="678" t="s">
        <v>2562</v>
      </c>
      <c r="C555" s="37">
        <v>6</v>
      </c>
      <c r="D555" s="37">
        <v>7</v>
      </c>
      <c r="E555" s="37">
        <v>8</v>
      </c>
      <c r="F555" s="37">
        <v>9</v>
      </c>
      <c r="G555" s="37">
        <v>6</v>
      </c>
      <c r="H555" s="37">
        <v>6</v>
      </c>
      <c r="I555" s="37">
        <v>5</v>
      </c>
      <c r="J555" s="37">
        <v>5</v>
      </c>
      <c r="K555" s="37">
        <v>2</v>
      </c>
      <c r="L555" s="684">
        <v>5</v>
      </c>
      <c r="M555" s="12"/>
      <c r="N555" s="12"/>
      <c r="O555" s="1490">
        <v>0</v>
      </c>
      <c r="P555" s="739">
        <f>AVERAGE(C555:O555)</f>
        <v>5.3636363636363633</v>
      </c>
      <c r="U555" s="41"/>
    </row>
    <row r="556" spans="1:34">
      <c r="A556">
        <v>38</v>
      </c>
      <c r="B556" s="678" t="s">
        <v>2563</v>
      </c>
      <c r="C556" s="37">
        <v>2</v>
      </c>
      <c r="D556" s="37">
        <v>4</v>
      </c>
      <c r="E556" s="37">
        <v>3</v>
      </c>
      <c r="F556" s="676">
        <v>1</v>
      </c>
      <c r="G556" s="529">
        <v>1</v>
      </c>
      <c r="H556" s="529">
        <v>1</v>
      </c>
      <c r="I556" s="529">
        <v>1</v>
      </c>
      <c r="J556" s="37">
        <v>2</v>
      </c>
      <c r="K556" s="685">
        <v>6</v>
      </c>
      <c r="L556" s="12"/>
      <c r="M556" s="12"/>
      <c r="N556" s="1490">
        <v>0</v>
      </c>
      <c r="O556" s="1490">
        <v>0</v>
      </c>
      <c r="P556" s="739">
        <f>AVERAGE(C556:N556)</f>
        <v>2.1</v>
      </c>
      <c r="U556" s="41"/>
    </row>
    <row r="557" spans="1:34">
      <c r="A557">
        <v>38</v>
      </c>
      <c r="B557" s="678" t="s">
        <v>2564</v>
      </c>
      <c r="C557" s="37">
        <v>5</v>
      </c>
      <c r="D557" s="37">
        <v>3</v>
      </c>
      <c r="E557" s="735">
        <v>1</v>
      </c>
      <c r="F557" s="37">
        <v>2</v>
      </c>
      <c r="G557" s="37">
        <v>5</v>
      </c>
      <c r="H557" s="37">
        <v>4</v>
      </c>
      <c r="I557" s="684">
        <v>7</v>
      </c>
      <c r="J557" s="12"/>
      <c r="K557" s="12"/>
      <c r="L557" s="1490">
        <v>0</v>
      </c>
      <c r="M557" s="12"/>
      <c r="N557" s="12"/>
      <c r="O557" s="1490">
        <v>0</v>
      </c>
      <c r="P557" s="739">
        <f t="shared" ref="P557:P563" si="34">AVERAGE(C557:O557)</f>
        <v>3</v>
      </c>
      <c r="U557" s="41"/>
    </row>
    <row r="558" spans="1:34">
      <c r="A558">
        <v>38</v>
      </c>
      <c r="B558" s="681" t="s">
        <v>2565</v>
      </c>
      <c r="C558" s="674">
        <v>4</v>
      </c>
      <c r="D558" s="37">
        <v>8</v>
      </c>
      <c r="E558" s="37">
        <v>7</v>
      </c>
      <c r="F558" s="37">
        <v>8</v>
      </c>
      <c r="G558" s="37">
        <v>8</v>
      </c>
      <c r="H558" s="684">
        <v>8</v>
      </c>
      <c r="I558" s="12"/>
      <c r="J558" s="12"/>
      <c r="K558" s="1490">
        <v>0</v>
      </c>
      <c r="L558" s="12"/>
      <c r="M558" s="12"/>
      <c r="N558" s="12"/>
      <c r="O558" s="1490">
        <v>0</v>
      </c>
      <c r="P558" s="739">
        <f t="shared" si="34"/>
        <v>5.375</v>
      </c>
      <c r="U558" s="41"/>
    </row>
    <row r="559" spans="1:34">
      <c r="A559">
        <v>38</v>
      </c>
      <c r="B559" s="681" t="s">
        <v>2566</v>
      </c>
      <c r="C559" s="674">
        <v>7</v>
      </c>
      <c r="D559" s="37">
        <v>5</v>
      </c>
      <c r="E559" s="37">
        <v>5</v>
      </c>
      <c r="F559" s="37">
        <v>6</v>
      </c>
      <c r="G559" s="684">
        <v>9</v>
      </c>
      <c r="H559" s="12"/>
      <c r="I559" s="12"/>
      <c r="J559" s="1490">
        <v>0</v>
      </c>
      <c r="K559" s="12"/>
      <c r="L559" s="12"/>
      <c r="M559" s="12"/>
      <c r="N559" s="12"/>
      <c r="O559" s="1490">
        <v>0</v>
      </c>
      <c r="P559" s="739">
        <f t="shared" si="34"/>
        <v>4.5714285714285712</v>
      </c>
      <c r="U559" s="41"/>
    </row>
    <row r="560" spans="1:34">
      <c r="A560">
        <v>38</v>
      </c>
      <c r="B560" s="681" t="s">
        <v>2567</v>
      </c>
      <c r="C560" s="674">
        <v>11</v>
      </c>
      <c r="D560" s="37">
        <v>10</v>
      </c>
      <c r="E560" s="37">
        <v>10</v>
      </c>
      <c r="F560" s="684">
        <v>10</v>
      </c>
      <c r="G560" s="12"/>
      <c r="H560" s="12"/>
      <c r="I560" s="1490">
        <v>0</v>
      </c>
      <c r="J560" s="12"/>
      <c r="K560" s="12"/>
      <c r="L560" s="12"/>
      <c r="M560" s="12"/>
      <c r="N560" s="12"/>
      <c r="O560" s="1490">
        <v>0</v>
      </c>
      <c r="P560" s="739">
        <f t="shared" si="34"/>
        <v>6.833333333333333</v>
      </c>
      <c r="U560" s="41"/>
    </row>
    <row r="561" spans="1:21">
      <c r="A561">
        <v>38</v>
      </c>
      <c r="B561" s="681" t="s">
        <v>2568</v>
      </c>
      <c r="C561" s="674">
        <v>12</v>
      </c>
      <c r="D561" s="37">
        <v>11</v>
      </c>
      <c r="E561" s="684">
        <v>11</v>
      </c>
      <c r="F561" s="12"/>
      <c r="G561" s="12"/>
      <c r="H561" s="1490">
        <v>0</v>
      </c>
      <c r="I561" s="12"/>
      <c r="J561" s="12"/>
      <c r="K561" s="12"/>
      <c r="L561" s="12"/>
      <c r="M561" s="12"/>
      <c r="N561" s="12"/>
      <c r="O561" s="1490">
        <v>0</v>
      </c>
      <c r="P561" s="739">
        <f t="shared" si="34"/>
        <v>6.8</v>
      </c>
      <c r="U561" s="41"/>
    </row>
    <row r="562" spans="1:21">
      <c r="A562">
        <v>38</v>
      </c>
      <c r="B562" s="678" t="s">
        <v>2569</v>
      </c>
      <c r="C562" s="37">
        <v>10</v>
      </c>
      <c r="D562" s="684">
        <v>12</v>
      </c>
      <c r="E562" s="12"/>
      <c r="F562" s="12"/>
      <c r="G562" s="1490">
        <v>0</v>
      </c>
      <c r="H562" s="12"/>
      <c r="I562" s="12"/>
      <c r="J562" s="12"/>
      <c r="K562" s="12"/>
      <c r="L562" s="12"/>
      <c r="M562" s="12"/>
      <c r="N562" s="12"/>
      <c r="O562" s="1490">
        <v>0</v>
      </c>
      <c r="P562" s="739">
        <f t="shared" si="34"/>
        <v>5.5</v>
      </c>
      <c r="U562" s="41"/>
    </row>
    <row r="563" spans="1:21">
      <c r="A563">
        <v>38</v>
      </c>
      <c r="B563" s="681" t="s">
        <v>2570</v>
      </c>
      <c r="C563" s="1582">
        <v>13</v>
      </c>
      <c r="D563" s="12"/>
      <c r="E563" s="12"/>
      <c r="F563" s="12"/>
      <c r="G563" s="1492">
        <v>0</v>
      </c>
      <c r="H563" s="12"/>
      <c r="I563" s="12"/>
      <c r="J563" s="12"/>
      <c r="K563" s="12"/>
      <c r="L563" s="12"/>
      <c r="M563" s="12"/>
      <c r="N563" s="12"/>
      <c r="O563" s="1490">
        <v>0</v>
      </c>
      <c r="P563" s="739">
        <f t="shared" si="34"/>
        <v>4.333333333333333</v>
      </c>
      <c r="U563" s="41"/>
    </row>
    <row r="564" spans="1:21">
      <c r="B564" s="681"/>
      <c r="C564" s="37"/>
      <c r="D564" s="37"/>
      <c r="E564" s="37"/>
      <c r="F564" s="37"/>
      <c r="G564" s="37"/>
      <c r="H564" s="37"/>
      <c r="I564" s="37"/>
      <c r="J564" s="37"/>
      <c r="K564" s="37"/>
      <c r="L564" s="37"/>
      <c r="M564" s="37"/>
      <c r="N564" s="37"/>
      <c r="O564" s="37"/>
      <c r="U564" s="41"/>
    </row>
    <row r="565" spans="1:21">
      <c r="U565" s="41"/>
    </row>
    <row r="566" spans="1:21">
      <c r="B566" t="s">
        <v>329</v>
      </c>
      <c r="U566" s="41"/>
    </row>
    <row r="567" spans="1:21">
      <c r="B567" t="s">
        <v>2878</v>
      </c>
      <c r="U567" s="41"/>
    </row>
    <row r="568" spans="1:21">
      <c r="U568" s="41"/>
    </row>
    <row r="569" spans="1:21">
      <c r="U569" s="41"/>
    </row>
    <row r="570" spans="1:21">
      <c r="U570" s="41"/>
    </row>
    <row r="571" spans="1:21">
      <c r="U571" s="41"/>
    </row>
    <row r="572" spans="1:21">
      <c r="U572" s="41"/>
    </row>
    <row r="573" spans="1:21">
      <c r="U573" s="41"/>
    </row>
    <row r="574" spans="1:21">
      <c r="U574" s="41"/>
    </row>
    <row r="575" spans="1:21">
      <c r="U575" s="41"/>
    </row>
    <row r="576" spans="1:21">
      <c r="U576" s="41"/>
    </row>
    <row r="577" spans="21:21">
      <c r="U577" s="41"/>
    </row>
    <row r="578" spans="21:21">
      <c r="U578" s="41"/>
    </row>
    <row r="579" spans="21:21">
      <c r="U579" s="41"/>
    </row>
    <row r="580" spans="21:21">
      <c r="U580" s="41"/>
    </row>
    <row r="581" spans="21:21">
      <c r="U581" s="41"/>
    </row>
    <row r="582" spans="21:21">
      <c r="U582" s="41"/>
    </row>
    <row r="583" spans="21:21">
      <c r="U583" s="41"/>
    </row>
    <row r="584" spans="21:21">
      <c r="U584" s="41"/>
    </row>
    <row r="585" spans="21:21">
      <c r="U585" s="41"/>
    </row>
    <row r="586" spans="21:21">
      <c r="U586" s="41"/>
    </row>
    <row r="587" spans="21:21">
      <c r="U587" s="41"/>
    </row>
    <row r="588" spans="21:21">
      <c r="U588" s="41"/>
    </row>
    <row r="589" spans="21:21">
      <c r="U589" s="41"/>
    </row>
    <row r="590" spans="21:21">
      <c r="U590" s="41"/>
    </row>
    <row r="591" spans="21:21">
      <c r="U591" s="41"/>
    </row>
    <row r="592" spans="21:21">
      <c r="U592" s="41"/>
    </row>
    <row r="593" spans="21:21">
      <c r="U593" s="41"/>
    </row>
    <row r="594" spans="21:21">
      <c r="U594" s="41"/>
    </row>
    <row r="595" spans="21:21">
      <c r="U595" s="41"/>
    </row>
    <row r="596" spans="21:21">
      <c r="U596" s="41"/>
    </row>
    <row r="597" spans="21:21">
      <c r="U597" s="41"/>
    </row>
    <row r="598" spans="21:21">
      <c r="U598" s="41"/>
    </row>
    <row r="599" spans="21:21">
      <c r="U599" s="41"/>
    </row>
    <row r="600" spans="21:21">
      <c r="U600" s="41"/>
    </row>
    <row r="601" spans="21:21">
      <c r="U601" s="41"/>
    </row>
    <row r="602" spans="21:21">
      <c r="U602" s="41"/>
    </row>
    <row r="603" spans="21:21">
      <c r="U603" s="41"/>
    </row>
    <row r="604" spans="21:21">
      <c r="U604" s="41"/>
    </row>
    <row r="605" spans="21:21">
      <c r="U605" s="41"/>
    </row>
    <row r="606" spans="21:21">
      <c r="U606" s="41"/>
    </row>
    <row r="607" spans="21:21">
      <c r="U607" s="41"/>
    </row>
    <row r="608" spans="21:21">
      <c r="U608" s="41"/>
    </row>
    <row r="609" spans="21:21">
      <c r="U609" s="41"/>
    </row>
    <row r="610" spans="21:21">
      <c r="U610" s="41"/>
    </row>
    <row r="611" spans="21:21">
      <c r="U611" s="41"/>
    </row>
    <row r="612" spans="21:21">
      <c r="U612" s="41"/>
    </row>
    <row r="613" spans="21:21">
      <c r="U613" s="41"/>
    </row>
    <row r="614" spans="21:21">
      <c r="U614" s="41"/>
    </row>
    <row r="615" spans="21:21">
      <c r="U615" s="41"/>
    </row>
  </sheetData>
  <autoFilter ref="C21:O563" xr:uid="{15E345E7-763E-384F-8625-720B26B921BE}"/>
  <sortState xmlns:xlrd2="http://schemas.microsoft.com/office/spreadsheetml/2017/richdata2" ref="AH12:AK551">
    <sortCondition ref="AK551"/>
  </sortState>
  <mergeCells count="3">
    <mergeCell ref="AC8:AF8"/>
    <mergeCell ref="B3:G3"/>
    <mergeCell ref="R7:U7"/>
  </mergeCells>
  <phoneticPr fontId="3" type="noConversion"/>
  <conditionalFormatting sqref="Q1:XFD9 A1:P32 BE10:XFD10 R10:AX13 BC10:BD49 BE11:BF11 BH11:XFD11 BE12:XFD35 R14:V15 X14:AX15 R16:AX16 R17:V18 X17:AX18 R19:AX23 Q21 Q23:Q76 R24:V24 X24:AX24 R25:AX467 A33:B33 D33:P33 A34:P76 BH36:XFD125 BE36:BG467 BD50 BC51:BD125 A77:Q77 A78:P92 Q78:Q1048576 A93:M94 O93:P96 B95:M96 A95:A104 B97:P104 A105:P120 A121:L122 M121:P125 B123:L125 A123:A131 B126:P131 BC126:XFD138 A132:L132 N132:P132 A133:P147 BC139:BD467 BH139:XFD467 N148 A148:M149 O148:P151 B150:M151 A150:A160 B152:P160 A161:M161 O161:P161 A162:P176 M177 A177:L192 N177:P194 M191 B193:L194 A193:A202 B195:P202 A203:P204 N205 A205:M441 O205:P455 N219 N234 N248 N262 N276 N290 N304 N318 N332 M346:N346 N360 N374 M388:N388 N402 N416 N430 A442:N442 A443:M455 N444 A456:P457 M458:P458 A458:L459 N459:P461 B460:L461 A460:A469 B462:P469 R468:AZ472 BB468:XFD472 A470:H470 A471:P471 M472:P472 A472:L473 N473:P473 R473:XFD1048576 B474:L475 N474:O475 A474:A483 P474:P483 B476:O483 A484:P485 L486:P486 A486:K487 M487:P489 B488:K489 A488:A498 B490:P498 A499:P500 N501 A501:M502 O501:P504 B503:M504 A503:A514 B505:P514 A515:P516 M517:P517 A517:L518 N518:P518 B519:L520 N519:O520 A519:A530 P519:P530 B521:O530 A531:P532 N533 A533:M534 O533:P536 B535:M536 A535:A547 B537:P547 A548:P549 N550 A550:M551 O550:P553 B552:M553 A552:A563 B554:P563 A564:P1048576">
    <cfRule type="cellIs" dxfId="1" priority="2" operator="equal">
      <formula>0</formula>
    </cfRule>
  </conditionalFormatting>
  <conditionalFormatting sqref="AY10:BA10">
    <cfRule type="cellIs" dxfId="0" priority="1" operator="equal">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5300-A2B7-5D42-BFF0-50C5C21D4496}">
  <sheetPr codeName="Sheet17">
    <tabColor rgb="FFFFC500"/>
  </sheetPr>
  <dimension ref="B4:BU277"/>
  <sheetViews>
    <sheetView workbookViewId="0">
      <selection activeCell="AH56" sqref="AH56"/>
    </sheetView>
  </sheetViews>
  <sheetFormatPr defaultColWidth="11" defaultRowHeight="15.75"/>
  <cols>
    <col min="1" max="1" width="4.375" customWidth="1"/>
    <col min="2" max="2" width="11" customWidth="1"/>
    <col min="3" max="3" width="17.75" bestFit="1" customWidth="1"/>
    <col min="4" max="4" width="14" customWidth="1"/>
    <col min="5" max="5" width="9.625" customWidth="1"/>
    <col min="6" max="6" width="17" bestFit="1" customWidth="1"/>
    <col min="7" max="7" width="10.125" customWidth="1"/>
    <col min="8" max="8" width="10.875" customWidth="1"/>
    <col min="9" max="9" width="14.125" customWidth="1"/>
    <col min="10" max="10" width="19" bestFit="1" customWidth="1"/>
    <col min="11" max="11" width="18.875" bestFit="1" customWidth="1"/>
    <col min="12" max="13" width="40.25" bestFit="1" customWidth="1"/>
    <col min="14" max="14" width="9.625" customWidth="1"/>
    <col min="15" max="15" width="17.5" customWidth="1"/>
    <col min="16" max="22" width="8" customWidth="1"/>
    <col min="23" max="26" width="9" customWidth="1"/>
    <col min="27" max="27" width="10.875" customWidth="1"/>
    <col min="28" max="28" width="9.875" bestFit="1" customWidth="1"/>
    <col min="29" max="29" width="7.125" customWidth="1"/>
    <col min="30" max="30" width="17.875" customWidth="1"/>
    <col min="31" max="31" width="17.75" bestFit="1" customWidth="1"/>
    <col min="32" max="32" width="7.75" customWidth="1"/>
    <col min="33" max="34" width="17.75" bestFit="1" customWidth="1"/>
    <col min="35" max="35" width="9.875" bestFit="1" customWidth="1"/>
    <col min="38" max="38" width="6.875" bestFit="1" customWidth="1"/>
    <col min="40" max="40" width="7.375" bestFit="1" customWidth="1"/>
  </cols>
  <sheetData>
    <row r="4" spans="2:42" ht="33.75">
      <c r="B4" s="1761" t="s">
        <v>450</v>
      </c>
      <c r="C4" s="1761"/>
      <c r="D4" s="1761"/>
      <c r="E4" s="1761"/>
    </row>
    <row r="6" spans="2:42" ht="18.75">
      <c r="B6" s="33" t="s">
        <v>2014</v>
      </c>
      <c r="O6" s="69" t="s">
        <v>1438</v>
      </c>
    </row>
    <row r="7" spans="2:42">
      <c r="B7" s="33"/>
      <c r="O7" t="s">
        <v>1479</v>
      </c>
    </row>
    <row r="8" spans="2:42" ht="18.75">
      <c r="B8" s="69" t="s">
        <v>1359</v>
      </c>
      <c r="O8" t="s">
        <v>1480</v>
      </c>
      <c r="AK8" s="69" t="s">
        <v>1500</v>
      </c>
    </row>
    <row r="9" spans="2:42" ht="18.75">
      <c r="B9" s="35" t="s">
        <v>1522</v>
      </c>
      <c r="O9" t="s">
        <v>2052</v>
      </c>
      <c r="AE9" s="69" t="s">
        <v>1481</v>
      </c>
      <c r="AH9" s="69" t="s">
        <v>2048</v>
      </c>
      <c r="AK9" t="s">
        <v>1503</v>
      </c>
    </row>
    <row r="10" spans="2:42">
      <c r="B10" s="243" t="s">
        <v>183</v>
      </c>
      <c r="C10" s="765" t="s">
        <v>1439</v>
      </c>
      <c r="D10" s="71" t="s">
        <v>2744</v>
      </c>
      <c r="E10" s="20" t="s">
        <v>1294</v>
      </c>
      <c r="F10" s="32" t="s">
        <v>1295</v>
      </c>
      <c r="G10" s="71" t="s">
        <v>2745</v>
      </c>
      <c r="H10" s="20" t="s">
        <v>1961</v>
      </c>
      <c r="I10" s="32" t="s">
        <v>1962</v>
      </c>
      <c r="J10" s="71" t="s">
        <v>1296</v>
      </c>
      <c r="K10" s="20" t="s">
        <v>2743</v>
      </c>
      <c r="L10" s="71" t="s">
        <v>2722</v>
      </c>
      <c r="M10" s="20" t="s">
        <v>2742</v>
      </c>
      <c r="O10" s="442" t="s">
        <v>1440</v>
      </c>
      <c r="P10" s="456" t="s">
        <v>1</v>
      </c>
      <c r="Q10" s="456" t="s">
        <v>2</v>
      </c>
      <c r="R10" s="456" t="s">
        <v>3</v>
      </c>
      <c r="S10" s="456" t="s">
        <v>4</v>
      </c>
      <c r="T10" s="456" t="s">
        <v>5</v>
      </c>
      <c r="U10" s="456" t="s">
        <v>6</v>
      </c>
      <c r="V10" s="456" t="s">
        <v>7</v>
      </c>
      <c r="W10" s="456" t="s">
        <v>8</v>
      </c>
      <c r="X10" s="456" t="s">
        <v>9</v>
      </c>
      <c r="Y10" s="456" t="s">
        <v>10</v>
      </c>
      <c r="Z10" s="456" t="s">
        <v>36</v>
      </c>
      <c r="AA10" s="456" t="s">
        <v>37</v>
      </c>
      <c r="AB10" s="457" t="s">
        <v>344</v>
      </c>
      <c r="AC10" s="458" t="s">
        <v>333</v>
      </c>
      <c r="AE10" s="300" t="s">
        <v>1439</v>
      </c>
      <c r="AF10" s="458" t="s">
        <v>333</v>
      </c>
      <c r="AH10" s="1362" t="s">
        <v>1439</v>
      </c>
      <c r="AI10" s="35" t="s">
        <v>2049</v>
      </c>
      <c r="AK10" s="461" t="s">
        <v>1501</v>
      </c>
      <c r="AL10" s="462" t="s">
        <v>1294</v>
      </c>
      <c r="AM10" s="463" t="s">
        <v>1502</v>
      </c>
      <c r="AN10" s="461" t="s">
        <v>1961</v>
      </c>
    </row>
    <row r="11" spans="2:42" ht="31.5">
      <c r="B11" s="294" t="s">
        <v>126</v>
      </c>
      <c r="C11" s="295" t="s">
        <v>1441</v>
      </c>
      <c r="D11" s="1375" t="s">
        <v>1297</v>
      </c>
      <c r="E11" s="149">
        <v>27</v>
      </c>
      <c r="F11" s="293" t="s">
        <v>1298</v>
      </c>
      <c r="G11" s="35" t="s">
        <v>1299</v>
      </c>
      <c r="H11">
        <v>29</v>
      </c>
      <c r="I11" s="72" t="s">
        <v>1298</v>
      </c>
      <c r="J11" s="148" t="s">
        <v>1300</v>
      </c>
      <c r="K11" s="296" t="s">
        <v>1409</v>
      </c>
      <c r="L11" s="148" t="s">
        <v>2724</v>
      </c>
      <c r="M11" s="148" t="s">
        <v>1331</v>
      </c>
      <c r="O11" s="294" t="s">
        <v>1441</v>
      </c>
      <c r="P11" s="1371">
        <v>1</v>
      </c>
      <c r="Q11" s="1371">
        <v>3</v>
      </c>
      <c r="R11" s="1371">
        <v>3</v>
      </c>
      <c r="S11" s="1371">
        <v>6</v>
      </c>
      <c r="T11" s="1371">
        <v>4</v>
      </c>
      <c r="U11" s="1371">
        <v>3</v>
      </c>
      <c r="V11" s="1371">
        <v>3</v>
      </c>
      <c r="W11" s="1371">
        <v>3</v>
      </c>
      <c r="X11" s="1371">
        <v>1</v>
      </c>
      <c r="Y11" s="1371">
        <v>1</v>
      </c>
      <c r="Z11" s="1371">
        <v>2</v>
      </c>
      <c r="AA11" s="1371">
        <v>1</v>
      </c>
      <c r="AB11" s="459">
        <v>1</v>
      </c>
      <c r="AC11" s="1370">
        <f>AVERAGE($P$11:$AB$11)</f>
        <v>2.4615384615384617</v>
      </c>
      <c r="AE11" s="601" t="s">
        <v>1476</v>
      </c>
      <c r="AF11" s="1366">
        <f>AVERAGE($P$46:$AB$46)</f>
        <v>1.4545454545454546</v>
      </c>
      <c r="AH11" s="597" t="s">
        <v>1460</v>
      </c>
      <c r="AI11" s="1363">
        <v>8</v>
      </c>
      <c r="AK11" s="148" t="s">
        <v>1297</v>
      </c>
      <c r="AL11" s="295">
        <v>27</v>
      </c>
      <c r="AM11" s="148" t="s">
        <v>1299</v>
      </c>
      <c r="AN11" s="148">
        <v>29</v>
      </c>
      <c r="AP11" s="148"/>
    </row>
    <row r="12" spans="2:42">
      <c r="B12" s="294" t="s">
        <v>127</v>
      </c>
      <c r="C12" s="295" t="s">
        <v>1442</v>
      </c>
      <c r="D12" s="1375" t="s">
        <v>1301</v>
      </c>
      <c r="E12" s="149">
        <v>25</v>
      </c>
      <c r="F12" s="293" t="s">
        <v>1298</v>
      </c>
      <c r="G12" s="35" t="s">
        <v>1302</v>
      </c>
      <c r="H12">
        <v>25</v>
      </c>
      <c r="I12" s="72" t="s">
        <v>1298</v>
      </c>
      <c r="J12" s="148" t="s">
        <v>1300</v>
      </c>
      <c r="K12" s="148" t="s">
        <v>1411</v>
      </c>
      <c r="L12" s="148" t="s">
        <v>2724</v>
      </c>
      <c r="M12" s="148" t="s">
        <v>1410</v>
      </c>
      <c r="O12" s="294" t="s">
        <v>1442</v>
      </c>
      <c r="P12" s="1371">
        <v>6</v>
      </c>
      <c r="Q12" s="1371">
        <v>2</v>
      </c>
      <c r="R12" s="1371">
        <v>7</v>
      </c>
      <c r="S12" s="1371">
        <v>7</v>
      </c>
      <c r="T12" s="1371">
        <v>1</v>
      </c>
      <c r="U12" s="1372">
        <v>6</v>
      </c>
      <c r="V12" s="1371">
        <v>2</v>
      </c>
      <c r="W12" s="1371">
        <v>2</v>
      </c>
      <c r="X12" s="1371">
        <v>1</v>
      </c>
      <c r="Y12" s="1371">
        <v>3</v>
      </c>
      <c r="Z12" s="1371">
        <v>3</v>
      </c>
      <c r="AA12" s="1371">
        <v>3</v>
      </c>
      <c r="AB12" s="459">
        <v>1</v>
      </c>
      <c r="AC12" s="1370">
        <f>AVERAGE($P$12:$AB$12)</f>
        <v>3.3846153846153846</v>
      </c>
      <c r="AE12" s="602" t="s">
        <v>2571</v>
      </c>
      <c r="AF12" s="1367">
        <f>AVERAGE($P$48:$AA$48)</f>
        <v>1.75</v>
      </c>
      <c r="AH12" s="605" t="s">
        <v>1453</v>
      </c>
      <c r="AI12" s="1364">
        <v>7</v>
      </c>
      <c r="AK12" s="148" t="s">
        <v>1301</v>
      </c>
      <c r="AL12" s="295">
        <v>25</v>
      </c>
      <c r="AM12" s="148" t="s">
        <v>1302</v>
      </c>
      <c r="AN12" s="148">
        <v>25</v>
      </c>
      <c r="AP12" s="148"/>
    </row>
    <row r="13" spans="2:42" ht="31.5">
      <c r="B13" s="294" t="s">
        <v>128</v>
      </c>
      <c r="C13" s="295" t="s">
        <v>1443</v>
      </c>
      <c r="D13" s="1375" t="s">
        <v>1303</v>
      </c>
      <c r="E13" s="149">
        <v>24</v>
      </c>
      <c r="F13" s="293" t="s">
        <v>1305</v>
      </c>
      <c r="G13" s="35" t="s">
        <v>1304</v>
      </c>
      <c r="H13">
        <v>24</v>
      </c>
      <c r="I13" s="72" t="s">
        <v>1298</v>
      </c>
      <c r="J13" s="148" t="s">
        <v>1300</v>
      </c>
      <c r="K13" s="148" t="s">
        <v>1412</v>
      </c>
      <c r="L13" s="148" t="s">
        <v>2724</v>
      </c>
      <c r="M13" s="296" t="s">
        <v>1413</v>
      </c>
      <c r="O13" s="294" t="s">
        <v>1443</v>
      </c>
      <c r="P13" s="1371">
        <v>2</v>
      </c>
      <c r="Q13" s="1371">
        <v>5</v>
      </c>
      <c r="R13" s="1371">
        <v>3</v>
      </c>
      <c r="S13" s="1371">
        <v>2</v>
      </c>
      <c r="T13" s="1371">
        <v>4</v>
      </c>
      <c r="U13" s="1371">
        <v>2</v>
      </c>
      <c r="V13" s="1371">
        <v>1</v>
      </c>
      <c r="W13" s="1371">
        <v>2</v>
      </c>
      <c r="X13" s="1372">
        <v>5</v>
      </c>
      <c r="Y13" s="1371">
        <v>3</v>
      </c>
      <c r="Z13" s="1371">
        <v>2</v>
      </c>
      <c r="AA13" s="1371">
        <v>3</v>
      </c>
      <c r="AB13" s="459">
        <v>1</v>
      </c>
      <c r="AC13" s="1370">
        <f>AVERAGE($P$13:$AB$13)</f>
        <v>2.6923076923076925</v>
      </c>
      <c r="AE13" s="603" t="s">
        <v>1460</v>
      </c>
      <c r="AF13" s="1368">
        <f>AVERAGE($P$30:$AB$30)</f>
        <v>1.9166666666666667</v>
      </c>
      <c r="AH13" s="598" t="s">
        <v>1455</v>
      </c>
      <c r="AI13" s="1364">
        <v>7</v>
      </c>
      <c r="AK13" s="148" t="s">
        <v>1303</v>
      </c>
      <c r="AL13" s="295">
        <v>24</v>
      </c>
      <c r="AM13" s="148" t="s">
        <v>1304</v>
      </c>
      <c r="AN13" s="148">
        <v>24</v>
      </c>
      <c r="AP13" s="148"/>
    </row>
    <row r="14" spans="2:42" ht="31.5">
      <c r="B14" s="294" t="s">
        <v>129</v>
      </c>
      <c r="C14" s="295" t="s">
        <v>1444</v>
      </c>
      <c r="D14" s="1375" t="s">
        <v>1306</v>
      </c>
      <c r="E14" s="149">
        <v>29</v>
      </c>
      <c r="F14" s="293" t="s">
        <v>1298</v>
      </c>
      <c r="G14" s="35" t="s">
        <v>1307</v>
      </c>
      <c r="H14">
        <v>36</v>
      </c>
      <c r="I14" s="72" t="s">
        <v>1298</v>
      </c>
      <c r="J14" s="148" t="s">
        <v>1308</v>
      </c>
      <c r="K14" s="148" t="s">
        <v>1370</v>
      </c>
      <c r="L14" s="148" t="s">
        <v>2724</v>
      </c>
      <c r="M14" s="296" t="s">
        <v>1414</v>
      </c>
      <c r="O14" s="294" t="s">
        <v>1444</v>
      </c>
      <c r="P14" s="1371">
        <v>9</v>
      </c>
      <c r="Q14" s="1371">
        <v>2</v>
      </c>
      <c r="R14" s="1371">
        <v>3</v>
      </c>
      <c r="S14" s="1371">
        <v>5</v>
      </c>
      <c r="T14" s="1371">
        <v>4</v>
      </c>
      <c r="U14" s="1371">
        <v>2</v>
      </c>
      <c r="V14" s="1371">
        <v>5</v>
      </c>
      <c r="W14" s="1371">
        <v>2</v>
      </c>
      <c r="X14" s="1371">
        <v>1</v>
      </c>
      <c r="Y14" s="1371">
        <v>2</v>
      </c>
      <c r="Z14" s="1371">
        <v>3</v>
      </c>
      <c r="AA14" s="1371">
        <v>2</v>
      </c>
      <c r="AB14" s="459">
        <v>1</v>
      </c>
      <c r="AC14" s="1370">
        <f t="shared" ref="AC14:AC48" si="0">AVERAGE($P14:$AB14)</f>
        <v>3.1538461538461537</v>
      </c>
      <c r="AE14" s="740" t="s">
        <v>1455</v>
      </c>
      <c r="AF14" s="1369">
        <f>AVERAGE($P$25:$AB$25)</f>
        <v>2</v>
      </c>
      <c r="AH14" s="599" t="s">
        <v>1476</v>
      </c>
      <c r="AI14" s="1364">
        <v>7</v>
      </c>
      <c r="AK14" s="148" t="s">
        <v>1306</v>
      </c>
      <c r="AL14" s="295">
        <v>29</v>
      </c>
      <c r="AM14" s="148" t="s">
        <v>1307</v>
      </c>
      <c r="AN14" s="148">
        <v>36</v>
      </c>
      <c r="AP14" s="148"/>
    </row>
    <row r="15" spans="2:42">
      <c r="B15" s="294" t="s">
        <v>130</v>
      </c>
      <c r="C15" s="295" t="s">
        <v>1445</v>
      </c>
      <c r="D15" s="1375" t="s">
        <v>1307</v>
      </c>
      <c r="E15" s="149">
        <v>46</v>
      </c>
      <c r="F15" s="293" t="s">
        <v>1298</v>
      </c>
      <c r="G15" s="35" t="s">
        <v>1309</v>
      </c>
      <c r="H15">
        <v>44</v>
      </c>
      <c r="I15" s="72" t="s">
        <v>1305</v>
      </c>
      <c r="J15" s="148" t="s">
        <v>1308</v>
      </c>
      <c r="K15" s="148" t="s">
        <v>1415</v>
      </c>
      <c r="L15" s="148" t="s">
        <v>2724</v>
      </c>
      <c r="M15" s="148" t="s">
        <v>1416</v>
      </c>
      <c r="O15" s="294" t="s">
        <v>1445</v>
      </c>
      <c r="P15" s="1371">
        <v>8</v>
      </c>
      <c r="Q15" s="1371">
        <v>8</v>
      </c>
      <c r="R15" s="1371">
        <v>7</v>
      </c>
      <c r="S15" s="1371">
        <v>1</v>
      </c>
      <c r="T15" s="1371">
        <v>4</v>
      </c>
      <c r="U15" s="1371">
        <v>2</v>
      </c>
      <c r="V15" s="1371">
        <v>1</v>
      </c>
      <c r="W15" s="1371">
        <v>3</v>
      </c>
      <c r="X15" s="1371">
        <v>2</v>
      </c>
      <c r="Y15" s="1371">
        <v>4</v>
      </c>
      <c r="Z15" s="1371">
        <v>1</v>
      </c>
      <c r="AA15" s="1371">
        <v>2</v>
      </c>
      <c r="AB15" s="459">
        <v>1</v>
      </c>
      <c r="AC15" s="1370">
        <f t="shared" si="0"/>
        <v>3.3846153846153846</v>
      </c>
      <c r="AE15" s="294" t="s">
        <v>1473</v>
      </c>
      <c r="AF15" s="1370">
        <f>AVERAGE($P$43:$AB$43)</f>
        <v>2.0909090909090908</v>
      </c>
      <c r="AH15" s="598" t="s">
        <v>2571</v>
      </c>
      <c r="AI15" s="1364">
        <f>COUNTIF($P$48:$AA$48, "1")</f>
        <v>7</v>
      </c>
      <c r="AK15" s="148" t="s">
        <v>1307</v>
      </c>
      <c r="AL15" s="295">
        <v>46</v>
      </c>
      <c r="AM15" s="148" t="s">
        <v>1309</v>
      </c>
      <c r="AN15" s="148">
        <v>44</v>
      </c>
      <c r="AP15" s="148"/>
    </row>
    <row r="16" spans="2:42">
      <c r="B16" s="294" t="s">
        <v>131</v>
      </c>
      <c r="C16" s="295" t="s">
        <v>1446</v>
      </c>
      <c r="D16" s="1375" t="s">
        <v>1310</v>
      </c>
      <c r="E16" s="149">
        <v>35</v>
      </c>
      <c r="F16" s="293" t="s">
        <v>1298</v>
      </c>
      <c r="G16" s="35" t="s">
        <v>1311</v>
      </c>
      <c r="H16">
        <v>25</v>
      </c>
      <c r="I16" s="72" t="s">
        <v>1305</v>
      </c>
      <c r="J16" s="148" t="s">
        <v>1312</v>
      </c>
      <c r="K16" s="148" t="s">
        <v>1417</v>
      </c>
      <c r="L16" s="148" t="s">
        <v>2724</v>
      </c>
      <c r="M16" s="148" t="s">
        <v>1321</v>
      </c>
      <c r="O16" s="294" t="s">
        <v>1446</v>
      </c>
      <c r="P16" s="1371">
        <v>4</v>
      </c>
      <c r="Q16" s="1371">
        <v>7</v>
      </c>
      <c r="R16" s="1371">
        <v>6</v>
      </c>
      <c r="S16" s="1371">
        <v>5</v>
      </c>
      <c r="T16" s="1371">
        <v>1</v>
      </c>
      <c r="U16" s="1371">
        <v>6</v>
      </c>
      <c r="V16" s="1371">
        <v>2</v>
      </c>
      <c r="W16" s="1371">
        <v>4</v>
      </c>
      <c r="X16" s="1371">
        <v>3</v>
      </c>
      <c r="Y16" s="1371">
        <v>2</v>
      </c>
      <c r="Z16" s="1371">
        <v>2</v>
      </c>
      <c r="AA16" s="1371">
        <v>1</v>
      </c>
      <c r="AB16" s="460"/>
      <c r="AC16" s="1370">
        <f t="shared" si="0"/>
        <v>3.5833333333333335</v>
      </c>
      <c r="AE16" s="301" t="s">
        <v>1464</v>
      </c>
      <c r="AF16" s="1370">
        <f>AVERAGE($P$34:$AB$34)</f>
        <v>2.25</v>
      </c>
      <c r="AH16" s="600" t="s">
        <v>1464</v>
      </c>
      <c r="AI16" s="1365">
        <v>6</v>
      </c>
      <c r="AK16" s="148" t="s">
        <v>1310</v>
      </c>
      <c r="AL16" s="295">
        <v>35</v>
      </c>
      <c r="AM16" s="148" t="s">
        <v>1311</v>
      </c>
      <c r="AN16" s="148">
        <v>25</v>
      </c>
      <c r="AP16" s="148"/>
    </row>
    <row r="17" spans="2:42" ht="31.5">
      <c r="B17" s="294" t="s">
        <v>132</v>
      </c>
      <c r="C17" s="295" t="s">
        <v>1447</v>
      </c>
      <c r="D17" s="1375" t="s">
        <v>1313</v>
      </c>
      <c r="E17" s="149">
        <v>41</v>
      </c>
      <c r="F17" s="293" t="s">
        <v>1298</v>
      </c>
      <c r="G17" s="35" t="s">
        <v>1314</v>
      </c>
      <c r="H17">
        <v>44</v>
      </c>
      <c r="I17" s="72" t="s">
        <v>1305</v>
      </c>
      <c r="J17" s="148" t="s">
        <v>1308</v>
      </c>
      <c r="K17" s="148" t="s">
        <v>1418</v>
      </c>
      <c r="L17" s="148" t="s">
        <v>2724</v>
      </c>
      <c r="M17" s="296" t="s">
        <v>1419</v>
      </c>
      <c r="O17" s="294" t="s">
        <v>1447</v>
      </c>
      <c r="P17" s="1371">
        <v>8</v>
      </c>
      <c r="Q17" s="1371">
        <v>4</v>
      </c>
      <c r="R17" s="1371">
        <v>2</v>
      </c>
      <c r="S17" s="1371">
        <v>3</v>
      </c>
      <c r="T17" s="1371">
        <v>6</v>
      </c>
      <c r="U17" s="1371">
        <v>3</v>
      </c>
      <c r="V17" s="1371">
        <v>3</v>
      </c>
      <c r="W17" s="1371">
        <v>3</v>
      </c>
      <c r="X17" s="1371">
        <v>1</v>
      </c>
      <c r="Y17" s="1371">
        <v>1</v>
      </c>
      <c r="Z17" s="1371">
        <v>3</v>
      </c>
      <c r="AA17" s="1371">
        <v>3</v>
      </c>
      <c r="AB17" s="459">
        <v>1</v>
      </c>
      <c r="AC17" s="1370">
        <f t="shared" si="0"/>
        <v>3.1538461538461537</v>
      </c>
      <c r="AE17" s="294" t="s">
        <v>1454</v>
      </c>
      <c r="AF17" s="1370">
        <f>AVERAGE($P$24:$AB$24)</f>
        <v>2.3333333333333335</v>
      </c>
      <c r="AH17" s="604" t="s">
        <v>1441</v>
      </c>
      <c r="AI17" s="148">
        <v>5</v>
      </c>
      <c r="AK17" s="148" t="s">
        <v>1313</v>
      </c>
      <c r="AL17" s="295">
        <v>41</v>
      </c>
      <c r="AM17" s="148" t="s">
        <v>1314</v>
      </c>
      <c r="AN17" s="148">
        <v>44</v>
      </c>
      <c r="AP17" s="148"/>
    </row>
    <row r="18" spans="2:42" ht="31.5">
      <c r="B18" s="294" t="s">
        <v>133</v>
      </c>
      <c r="C18" s="295" t="s">
        <v>1448</v>
      </c>
      <c r="D18" s="1375" t="s">
        <v>1315</v>
      </c>
      <c r="E18" s="149">
        <v>24</v>
      </c>
      <c r="F18" s="293" t="s">
        <v>1298</v>
      </c>
      <c r="G18" s="35" t="s">
        <v>1302</v>
      </c>
      <c r="H18">
        <v>23</v>
      </c>
      <c r="I18" s="72" t="s">
        <v>1298</v>
      </c>
      <c r="J18" s="427" t="s">
        <v>1328</v>
      </c>
      <c r="K18" s="297" t="s">
        <v>1420</v>
      </c>
      <c r="L18" s="297" t="s">
        <v>2725</v>
      </c>
      <c r="M18" s="296" t="s">
        <v>1421</v>
      </c>
      <c r="O18" s="294" t="s">
        <v>1448</v>
      </c>
      <c r="P18" s="1371">
        <v>9</v>
      </c>
      <c r="Q18" s="1371">
        <v>2</v>
      </c>
      <c r="R18" s="1371">
        <v>2</v>
      </c>
      <c r="S18" s="1371">
        <v>3</v>
      </c>
      <c r="T18" s="1371">
        <v>4</v>
      </c>
      <c r="U18" s="1371">
        <v>2</v>
      </c>
      <c r="V18" s="1371">
        <v>3</v>
      </c>
      <c r="W18" s="1371">
        <v>2</v>
      </c>
      <c r="X18" s="1371">
        <v>1</v>
      </c>
      <c r="Y18" s="1371">
        <v>3</v>
      </c>
      <c r="Z18" s="1371">
        <v>2</v>
      </c>
      <c r="AA18" s="1373">
        <v>1</v>
      </c>
      <c r="AB18" s="459"/>
      <c r="AC18" s="1370">
        <f t="shared" si="0"/>
        <v>2.8333333333333335</v>
      </c>
      <c r="AE18" s="294" t="s">
        <v>1462</v>
      </c>
      <c r="AF18" s="1370">
        <f>AVERAGE($P$32:$AB$32)</f>
        <v>2.4166666666666665</v>
      </c>
      <c r="AH18" s="593" t="s">
        <v>1449</v>
      </c>
      <c r="AI18" s="148">
        <v>5</v>
      </c>
      <c r="AK18" s="148" t="s">
        <v>1317</v>
      </c>
      <c r="AL18" s="295">
        <v>19</v>
      </c>
      <c r="AM18" s="148"/>
      <c r="AN18" s="148"/>
      <c r="AP18" s="148"/>
    </row>
    <row r="19" spans="2:42">
      <c r="B19" s="294"/>
      <c r="C19" s="295" t="s">
        <v>1448</v>
      </c>
      <c r="D19" s="1375" t="s">
        <v>1316</v>
      </c>
      <c r="E19" s="149">
        <v>20</v>
      </c>
      <c r="F19" s="293" t="s">
        <v>1305</v>
      </c>
      <c r="G19" s="35" t="s">
        <v>1317</v>
      </c>
      <c r="H19">
        <v>19</v>
      </c>
      <c r="I19" s="72" t="s">
        <v>1298</v>
      </c>
      <c r="J19" s="427"/>
      <c r="K19" s="297"/>
      <c r="L19" s="297"/>
      <c r="M19" s="296" t="s">
        <v>1367</v>
      </c>
      <c r="O19" s="294" t="s">
        <v>1449</v>
      </c>
      <c r="P19" s="1371">
        <v>2</v>
      </c>
      <c r="Q19" s="1371">
        <v>1</v>
      </c>
      <c r="R19" s="1371">
        <v>4</v>
      </c>
      <c r="S19" s="1371">
        <v>2</v>
      </c>
      <c r="T19" s="1371">
        <v>1</v>
      </c>
      <c r="U19" s="1371">
        <v>2</v>
      </c>
      <c r="V19" s="1371">
        <v>5</v>
      </c>
      <c r="W19" s="1372">
        <v>5</v>
      </c>
      <c r="X19" s="1371">
        <v>3</v>
      </c>
      <c r="Y19" s="1372">
        <v>4</v>
      </c>
      <c r="Z19" s="1371">
        <v>1</v>
      </c>
      <c r="AA19" s="1371">
        <v>1</v>
      </c>
      <c r="AB19" s="459">
        <v>1</v>
      </c>
      <c r="AC19" s="1370">
        <f t="shared" si="0"/>
        <v>2.4615384615384617</v>
      </c>
      <c r="AE19" s="294" t="s">
        <v>1471</v>
      </c>
      <c r="AF19" s="1370">
        <f>AVERAGE($P$41:$AB$41)</f>
        <v>2.4166666666666665</v>
      </c>
      <c r="AH19" s="594" t="s">
        <v>1454</v>
      </c>
      <c r="AI19" s="148">
        <v>5</v>
      </c>
      <c r="AK19" s="148"/>
      <c r="AL19" s="295"/>
      <c r="AM19" s="148" t="s">
        <v>1315</v>
      </c>
      <c r="AN19" s="148">
        <v>24</v>
      </c>
      <c r="AP19" s="148"/>
    </row>
    <row r="20" spans="2:42" ht="31.5">
      <c r="B20" s="294" t="s">
        <v>134</v>
      </c>
      <c r="C20" s="295" t="s">
        <v>1449</v>
      </c>
      <c r="D20" s="1375" t="s">
        <v>1318</v>
      </c>
      <c r="E20" s="149">
        <v>26</v>
      </c>
      <c r="F20" s="293" t="s">
        <v>1298</v>
      </c>
      <c r="G20" s="35" t="s">
        <v>1319</v>
      </c>
      <c r="H20">
        <v>26</v>
      </c>
      <c r="I20" s="72" t="s">
        <v>1298</v>
      </c>
      <c r="J20" s="148" t="s">
        <v>1300</v>
      </c>
      <c r="K20" s="296" t="s">
        <v>1422</v>
      </c>
      <c r="L20" s="148" t="s">
        <v>2726</v>
      </c>
      <c r="M20" s="296" t="s">
        <v>1423</v>
      </c>
      <c r="O20" s="294" t="s">
        <v>1450</v>
      </c>
      <c r="P20" s="1371">
        <v>1</v>
      </c>
      <c r="Q20" s="1371">
        <v>2</v>
      </c>
      <c r="R20" s="1371">
        <v>2</v>
      </c>
      <c r="S20" s="1371">
        <v>3</v>
      </c>
      <c r="T20" s="1371">
        <v>6</v>
      </c>
      <c r="U20" s="1371">
        <v>6</v>
      </c>
      <c r="V20" s="1371">
        <v>2</v>
      </c>
      <c r="W20" s="1371">
        <v>2</v>
      </c>
      <c r="X20" s="1371">
        <v>1</v>
      </c>
      <c r="Y20" s="1371">
        <v>1</v>
      </c>
      <c r="Z20" s="1371">
        <v>3</v>
      </c>
      <c r="AA20" s="1373">
        <v>1</v>
      </c>
      <c r="AB20" s="460"/>
      <c r="AC20" s="1370">
        <f t="shared" si="0"/>
        <v>2.5</v>
      </c>
      <c r="AE20" s="294" t="s">
        <v>2015</v>
      </c>
      <c r="AF20" s="1370">
        <f>AVERAGE($P$47:$AB$47)</f>
        <v>2.4166666666666665</v>
      </c>
      <c r="AH20" s="593" t="s">
        <v>1457</v>
      </c>
      <c r="AI20" s="148">
        <v>5</v>
      </c>
      <c r="AK20" s="148" t="s">
        <v>1318</v>
      </c>
      <c r="AL20" s="295">
        <v>26</v>
      </c>
      <c r="AM20" s="148" t="s">
        <v>1319</v>
      </c>
      <c r="AN20" s="148">
        <v>26</v>
      </c>
      <c r="AP20" s="148"/>
    </row>
    <row r="21" spans="2:42">
      <c r="B21" s="294" t="s">
        <v>135</v>
      </c>
      <c r="C21" s="295" t="s">
        <v>1450</v>
      </c>
      <c r="D21" s="1375" t="s">
        <v>1319</v>
      </c>
      <c r="E21" s="149">
        <v>29</v>
      </c>
      <c r="F21" s="293" t="s">
        <v>1298</v>
      </c>
      <c r="G21" s="35" t="s">
        <v>1320</v>
      </c>
      <c r="H21">
        <v>27</v>
      </c>
      <c r="I21" s="72" t="s">
        <v>1298</v>
      </c>
      <c r="J21" s="148" t="s">
        <v>1300</v>
      </c>
      <c r="K21" s="148" t="s">
        <v>1370</v>
      </c>
      <c r="L21" s="148" t="s">
        <v>2724</v>
      </c>
      <c r="M21" s="148" t="s">
        <v>1321</v>
      </c>
      <c r="O21" s="301" t="s">
        <v>1451</v>
      </c>
      <c r="P21" s="1371">
        <v>4</v>
      </c>
      <c r="Q21" s="1371">
        <v>4</v>
      </c>
      <c r="R21" s="1371">
        <v>3</v>
      </c>
      <c r="S21" s="1371">
        <v>2</v>
      </c>
      <c r="T21" s="1371">
        <v>6</v>
      </c>
      <c r="U21" s="1371">
        <v>5</v>
      </c>
      <c r="V21" s="1371">
        <v>5</v>
      </c>
      <c r="W21" s="1371">
        <v>5</v>
      </c>
      <c r="X21" s="1371">
        <v>3</v>
      </c>
      <c r="Y21" s="1372">
        <v>4</v>
      </c>
      <c r="Z21" s="1371">
        <v>3</v>
      </c>
      <c r="AA21" s="1371">
        <v>2</v>
      </c>
      <c r="AB21" s="459">
        <v>1</v>
      </c>
      <c r="AC21" s="1370">
        <f t="shared" si="0"/>
        <v>3.6153846153846154</v>
      </c>
      <c r="AE21" s="294" t="s">
        <v>1453</v>
      </c>
      <c r="AF21" s="1370">
        <f>AVERAGE($P$23:$AB$23)</f>
        <v>2.4545454545454546</v>
      </c>
      <c r="AH21" s="594" t="s">
        <v>1462</v>
      </c>
      <c r="AI21" s="148">
        <v>5</v>
      </c>
      <c r="AK21" s="148" t="s">
        <v>1320</v>
      </c>
      <c r="AL21" s="295">
        <v>27</v>
      </c>
      <c r="AM21" s="148" t="s">
        <v>1319</v>
      </c>
      <c r="AN21" s="148">
        <v>29</v>
      </c>
      <c r="AP21" s="148"/>
    </row>
    <row r="22" spans="2:42" ht="31.5">
      <c r="B22" s="294" t="s">
        <v>136</v>
      </c>
      <c r="C22" s="1517" t="s">
        <v>1451</v>
      </c>
      <c r="D22" s="1375" t="s">
        <v>1322</v>
      </c>
      <c r="E22" s="149">
        <v>29</v>
      </c>
      <c r="F22" s="293" t="s">
        <v>1298</v>
      </c>
      <c r="G22" s="35" t="s">
        <v>1323</v>
      </c>
      <c r="H22">
        <v>23</v>
      </c>
      <c r="I22" s="72" t="s">
        <v>1305</v>
      </c>
      <c r="J22" s="148" t="s">
        <v>1324</v>
      </c>
      <c r="K22" s="296" t="s">
        <v>1424</v>
      </c>
      <c r="L22" s="148" t="s">
        <v>2727</v>
      </c>
      <c r="M22" s="296" t="s">
        <v>1425</v>
      </c>
      <c r="O22" s="294" t="s">
        <v>1452</v>
      </c>
      <c r="P22" s="1371">
        <v>3</v>
      </c>
      <c r="Q22" s="1371">
        <v>6</v>
      </c>
      <c r="R22" s="1371">
        <v>2</v>
      </c>
      <c r="S22" s="1371">
        <v>7</v>
      </c>
      <c r="T22" s="1371">
        <v>1</v>
      </c>
      <c r="U22" s="1371">
        <v>4</v>
      </c>
      <c r="V22" s="1371">
        <v>4</v>
      </c>
      <c r="W22" s="1371">
        <v>1</v>
      </c>
      <c r="X22" s="1372">
        <v>4</v>
      </c>
      <c r="Y22" s="1371">
        <v>2</v>
      </c>
      <c r="Z22" s="1373">
        <v>1</v>
      </c>
      <c r="AA22" s="1371"/>
      <c r="AB22" s="294"/>
      <c r="AC22" s="1370">
        <f t="shared" si="0"/>
        <v>3.1818181818181817</v>
      </c>
      <c r="AE22" s="294" t="s">
        <v>1441</v>
      </c>
      <c r="AF22" s="1370">
        <f>AVERAGE($P$11:$AB$11)</f>
        <v>2.4615384615384617</v>
      </c>
      <c r="AH22" s="593" t="s">
        <v>1473</v>
      </c>
      <c r="AI22" s="148">
        <v>5</v>
      </c>
      <c r="AK22" s="148" t="s">
        <v>1323</v>
      </c>
      <c r="AL22" s="295">
        <v>23</v>
      </c>
      <c r="AM22" s="148" t="s">
        <v>1322</v>
      </c>
      <c r="AN22" s="148">
        <v>29</v>
      </c>
      <c r="AP22" s="148"/>
    </row>
    <row r="23" spans="2:42" ht="31.5">
      <c r="B23" s="294" t="s">
        <v>137</v>
      </c>
      <c r="C23" s="295" t="s">
        <v>1452</v>
      </c>
      <c r="D23" s="1375" t="s">
        <v>1325</v>
      </c>
      <c r="E23" s="149">
        <v>22</v>
      </c>
      <c r="F23" s="293" t="s">
        <v>1298</v>
      </c>
      <c r="G23" s="35" t="s">
        <v>1326</v>
      </c>
      <c r="H23">
        <v>23</v>
      </c>
      <c r="I23" s="72" t="s">
        <v>1305</v>
      </c>
      <c r="J23" s="148" t="s">
        <v>1324</v>
      </c>
      <c r="K23" s="148" t="s">
        <v>1426</v>
      </c>
      <c r="L23" s="148" t="s">
        <v>2728</v>
      </c>
      <c r="M23" s="296" t="s">
        <v>1427</v>
      </c>
      <c r="O23" s="294" t="s">
        <v>1453</v>
      </c>
      <c r="P23" s="1371">
        <v>1</v>
      </c>
      <c r="Q23" s="1371">
        <v>6</v>
      </c>
      <c r="R23" s="1371">
        <v>6</v>
      </c>
      <c r="S23" s="1371">
        <v>5</v>
      </c>
      <c r="T23" s="1371">
        <v>1</v>
      </c>
      <c r="U23" s="1371">
        <v>1</v>
      </c>
      <c r="V23" s="1371">
        <v>1</v>
      </c>
      <c r="W23" s="1371">
        <v>1</v>
      </c>
      <c r="X23" s="1371">
        <v>3</v>
      </c>
      <c r="Y23" s="1371">
        <v>1</v>
      </c>
      <c r="Z23" s="1374">
        <v>1</v>
      </c>
      <c r="AA23" s="1371"/>
      <c r="AB23" s="294"/>
      <c r="AC23" s="1370">
        <f t="shared" si="0"/>
        <v>2.4545454545454546</v>
      </c>
      <c r="AE23" s="294" t="s">
        <v>1449</v>
      </c>
      <c r="AF23" s="1370">
        <f>AVERAGE($P$19:$AB$19)</f>
        <v>2.4615384615384617</v>
      </c>
      <c r="AH23" s="604" t="s">
        <v>1475</v>
      </c>
      <c r="AI23" s="148">
        <v>5</v>
      </c>
      <c r="AK23" s="148" t="s">
        <v>1325</v>
      </c>
      <c r="AL23" s="295">
        <v>22</v>
      </c>
      <c r="AM23" s="148" t="s">
        <v>1326</v>
      </c>
      <c r="AN23" s="148">
        <v>23</v>
      </c>
      <c r="AP23" s="148"/>
    </row>
    <row r="24" spans="2:42" ht="31.5">
      <c r="B24" s="294" t="s">
        <v>138</v>
      </c>
      <c r="C24" s="295" t="s">
        <v>1453</v>
      </c>
      <c r="D24" s="1375" t="s">
        <v>1315</v>
      </c>
      <c r="E24" s="149">
        <v>22</v>
      </c>
      <c r="F24" s="293" t="s">
        <v>1298</v>
      </c>
      <c r="G24" s="35" t="s">
        <v>1327</v>
      </c>
      <c r="H24">
        <v>21</v>
      </c>
      <c r="I24" s="72" t="s">
        <v>1305</v>
      </c>
      <c r="J24" s="148" t="s">
        <v>1328</v>
      </c>
      <c r="K24" s="296" t="s">
        <v>1428</v>
      </c>
      <c r="L24" s="148" t="s">
        <v>2729</v>
      </c>
      <c r="M24" s="296" t="s">
        <v>1429</v>
      </c>
      <c r="O24" s="294" t="s">
        <v>1454</v>
      </c>
      <c r="P24" s="1371">
        <v>2</v>
      </c>
      <c r="Q24" s="1371">
        <v>1</v>
      </c>
      <c r="R24" s="1371">
        <v>8</v>
      </c>
      <c r="S24" s="1371">
        <v>3</v>
      </c>
      <c r="T24" s="1371">
        <v>2</v>
      </c>
      <c r="U24" s="1371">
        <v>1</v>
      </c>
      <c r="V24" s="1371">
        <v>1</v>
      </c>
      <c r="W24" s="1371">
        <v>3</v>
      </c>
      <c r="X24" s="1371">
        <v>2</v>
      </c>
      <c r="Y24" s="1371">
        <v>3</v>
      </c>
      <c r="Z24" s="1371">
        <v>1</v>
      </c>
      <c r="AA24" s="1374">
        <v>1</v>
      </c>
      <c r="AB24" s="294"/>
      <c r="AC24" s="1370">
        <f t="shared" si="0"/>
        <v>2.3333333333333335</v>
      </c>
      <c r="AE24" s="294" t="s">
        <v>1450</v>
      </c>
      <c r="AF24" s="1370">
        <f>AVERAGE($P$20:$AB$20)</f>
        <v>2.5</v>
      </c>
      <c r="AH24" s="593" t="s">
        <v>2015</v>
      </c>
      <c r="AI24" s="148">
        <v>5</v>
      </c>
      <c r="AK24" s="148" t="s">
        <v>1315</v>
      </c>
      <c r="AL24" s="295">
        <v>22</v>
      </c>
      <c r="AM24" s="148" t="s">
        <v>1327</v>
      </c>
      <c r="AN24" s="148">
        <v>21</v>
      </c>
      <c r="AP24" s="148"/>
    </row>
    <row r="25" spans="2:42" ht="31.5">
      <c r="B25" s="294" t="s">
        <v>139</v>
      </c>
      <c r="C25" s="295" t="s">
        <v>1454</v>
      </c>
      <c r="D25" s="1375" t="s">
        <v>1329</v>
      </c>
      <c r="E25" s="149">
        <v>26</v>
      </c>
      <c r="F25" s="293" t="s">
        <v>1305</v>
      </c>
      <c r="G25" s="35" t="s">
        <v>1330</v>
      </c>
      <c r="H25">
        <v>35</v>
      </c>
      <c r="I25" s="72" t="s">
        <v>1298</v>
      </c>
      <c r="J25" s="148" t="s">
        <v>1328</v>
      </c>
      <c r="K25" s="296" t="s">
        <v>1430</v>
      </c>
      <c r="L25" s="148" t="s">
        <v>2727</v>
      </c>
      <c r="M25" s="148" t="s">
        <v>1331</v>
      </c>
      <c r="O25" s="294" t="s">
        <v>1455</v>
      </c>
      <c r="P25" s="1371">
        <v>1</v>
      </c>
      <c r="Q25" s="1371">
        <v>6</v>
      </c>
      <c r="R25" s="1371">
        <v>2</v>
      </c>
      <c r="S25" s="1371">
        <v>5</v>
      </c>
      <c r="T25" s="1371">
        <v>1</v>
      </c>
      <c r="U25" s="1371">
        <v>1</v>
      </c>
      <c r="V25" s="1371">
        <v>2</v>
      </c>
      <c r="W25" s="1371">
        <v>2</v>
      </c>
      <c r="X25" s="1371">
        <v>1</v>
      </c>
      <c r="Y25" s="1371">
        <v>1</v>
      </c>
      <c r="Z25" s="1371">
        <v>1</v>
      </c>
      <c r="AA25" s="1374">
        <v>1</v>
      </c>
      <c r="AB25" s="294"/>
      <c r="AC25" s="1370">
        <f t="shared" si="0"/>
        <v>2</v>
      </c>
      <c r="AE25" s="294" t="s">
        <v>1472</v>
      </c>
      <c r="AF25" s="1370">
        <f>AVERAGE($P$42:$AB$42)</f>
        <v>2.5454545454545454</v>
      </c>
      <c r="AH25" s="604" t="s">
        <v>1445</v>
      </c>
      <c r="AI25" s="148">
        <v>4</v>
      </c>
      <c r="AK25" s="148" t="s">
        <v>1329</v>
      </c>
      <c r="AL25" s="295">
        <v>26</v>
      </c>
      <c r="AM25" s="148" t="s">
        <v>1330</v>
      </c>
      <c r="AN25" s="148">
        <v>35</v>
      </c>
      <c r="AP25" s="148"/>
    </row>
    <row r="26" spans="2:42" ht="31.5">
      <c r="B26" s="294" t="s">
        <v>140</v>
      </c>
      <c r="C26" s="295" t="s">
        <v>1455</v>
      </c>
      <c r="D26" s="1375" t="s">
        <v>1332</v>
      </c>
      <c r="E26" s="149">
        <v>23</v>
      </c>
      <c r="F26" s="293" t="s">
        <v>1305</v>
      </c>
      <c r="G26" s="35" t="s">
        <v>1333</v>
      </c>
      <c r="H26">
        <v>23</v>
      </c>
      <c r="I26" s="72" t="s">
        <v>1298</v>
      </c>
      <c r="J26" s="148" t="s">
        <v>1324</v>
      </c>
      <c r="K26" s="148" t="s">
        <v>1334</v>
      </c>
      <c r="L26" s="148" t="s">
        <v>2723</v>
      </c>
      <c r="M26" s="296" t="s">
        <v>1431</v>
      </c>
      <c r="O26" s="294" t="s">
        <v>1456</v>
      </c>
      <c r="P26" s="1371">
        <v>8</v>
      </c>
      <c r="Q26" s="1371">
        <v>8</v>
      </c>
      <c r="R26" s="1371">
        <v>6</v>
      </c>
      <c r="S26" s="1371">
        <v>6</v>
      </c>
      <c r="T26" s="1371">
        <v>4</v>
      </c>
      <c r="U26" s="1371">
        <v>5</v>
      </c>
      <c r="V26" s="1371">
        <v>2</v>
      </c>
      <c r="W26" s="1371">
        <v>5</v>
      </c>
      <c r="X26" s="1371">
        <v>1</v>
      </c>
      <c r="Y26" s="1371">
        <v>3</v>
      </c>
      <c r="Z26" s="1371">
        <v>3</v>
      </c>
      <c r="AA26" s="1374">
        <v>1</v>
      </c>
      <c r="AB26" s="294"/>
      <c r="AC26" s="1370">
        <f t="shared" si="0"/>
        <v>4.333333333333333</v>
      </c>
      <c r="AE26" s="294" t="s">
        <v>1443</v>
      </c>
      <c r="AF26" s="1370">
        <f>AVERAGE($P$13:$AB$13)</f>
        <v>2.6923076923076925</v>
      </c>
      <c r="AH26" s="594" t="s">
        <v>1450</v>
      </c>
      <c r="AI26" s="148">
        <v>4</v>
      </c>
      <c r="AK26" s="148" t="s">
        <v>1332</v>
      </c>
      <c r="AL26" s="295">
        <v>23</v>
      </c>
      <c r="AM26" s="148" t="s">
        <v>1333</v>
      </c>
      <c r="AN26" s="148">
        <v>23</v>
      </c>
      <c r="AP26" s="148"/>
    </row>
    <row r="27" spans="2:42" ht="31.5">
      <c r="B27" s="294" t="s">
        <v>141</v>
      </c>
      <c r="C27" s="295" t="s">
        <v>1456</v>
      </c>
      <c r="D27" s="1375" t="s">
        <v>1335</v>
      </c>
      <c r="E27" s="149">
        <v>24</v>
      </c>
      <c r="F27" s="293" t="s">
        <v>1298</v>
      </c>
      <c r="G27" s="35" t="s">
        <v>321</v>
      </c>
      <c r="H27">
        <v>22</v>
      </c>
      <c r="I27" s="72" t="s">
        <v>1298</v>
      </c>
      <c r="J27" s="148" t="s">
        <v>1328</v>
      </c>
      <c r="K27" s="297" t="s">
        <v>1336</v>
      </c>
      <c r="L27" s="148" t="s">
        <v>2730</v>
      </c>
      <c r="M27" s="296" t="s">
        <v>1432</v>
      </c>
      <c r="O27" s="294" t="s">
        <v>1457</v>
      </c>
      <c r="P27" s="1371">
        <v>2</v>
      </c>
      <c r="Q27" s="1371">
        <v>7</v>
      </c>
      <c r="R27" s="1371">
        <v>8</v>
      </c>
      <c r="S27" s="1371">
        <v>1</v>
      </c>
      <c r="T27" s="1371">
        <v>1</v>
      </c>
      <c r="U27" s="1371">
        <v>4</v>
      </c>
      <c r="V27" s="1371">
        <v>1</v>
      </c>
      <c r="W27" s="1371">
        <v>5</v>
      </c>
      <c r="X27" s="1371">
        <v>3</v>
      </c>
      <c r="Y27" s="1371">
        <v>1</v>
      </c>
      <c r="Z27" s="1371">
        <v>3</v>
      </c>
      <c r="AA27" s="1374">
        <v>1</v>
      </c>
      <c r="AB27" s="294"/>
      <c r="AC27" s="1370">
        <f t="shared" si="0"/>
        <v>3.0833333333333335</v>
      </c>
      <c r="AE27" s="294" t="s">
        <v>1474</v>
      </c>
      <c r="AF27" s="1370">
        <f>AVERAGE($P$44:$AB$44)</f>
        <v>2.7</v>
      </c>
      <c r="AH27" s="594" t="s">
        <v>1472</v>
      </c>
      <c r="AI27" s="148">
        <v>4</v>
      </c>
      <c r="AK27" s="148" t="s">
        <v>321</v>
      </c>
      <c r="AL27" s="295">
        <v>22</v>
      </c>
      <c r="AM27" s="148" t="s">
        <v>1335</v>
      </c>
      <c r="AN27" s="148">
        <v>24</v>
      </c>
      <c r="AP27" s="148"/>
    </row>
    <row r="28" spans="2:42" ht="31.5">
      <c r="B28" s="294" t="s">
        <v>142</v>
      </c>
      <c r="C28" s="295" t="s">
        <v>1457</v>
      </c>
      <c r="D28" s="1375" t="s">
        <v>1337</v>
      </c>
      <c r="E28" s="149">
        <v>31</v>
      </c>
      <c r="F28" s="293" t="s">
        <v>1305</v>
      </c>
      <c r="G28" s="35" t="s">
        <v>1338</v>
      </c>
      <c r="H28">
        <v>35</v>
      </c>
      <c r="I28" s="72" t="s">
        <v>1305</v>
      </c>
      <c r="J28" s="148" t="s">
        <v>1300</v>
      </c>
      <c r="K28" s="296" t="s">
        <v>1433</v>
      </c>
      <c r="L28" s="148" t="s">
        <v>2723</v>
      </c>
      <c r="M28" s="296" t="s">
        <v>1339</v>
      </c>
      <c r="O28" s="301" t="s">
        <v>1458</v>
      </c>
      <c r="P28" s="1371">
        <v>3</v>
      </c>
      <c r="Q28" s="1371">
        <v>4</v>
      </c>
      <c r="R28" s="1371">
        <v>4</v>
      </c>
      <c r="S28" s="1371">
        <v>5</v>
      </c>
      <c r="T28" s="1371">
        <v>4</v>
      </c>
      <c r="U28" s="1371">
        <v>6</v>
      </c>
      <c r="V28" s="1371">
        <v>3</v>
      </c>
      <c r="W28" s="1371">
        <v>4</v>
      </c>
      <c r="X28" s="1371">
        <v>2</v>
      </c>
      <c r="Y28" s="1371">
        <v>2</v>
      </c>
      <c r="Z28" s="1371">
        <v>2</v>
      </c>
      <c r="AA28" s="1374">
        <v>1</v>
      </c>
      <c r="AB28" s="294"/>
      <c r="AC28" s="1370">
        <f t="shared" si="0"/>
        <v>3.3333333333333335</v>
      </c>
      <c r="AE28" s="294" t="s">
        <v>1448</v>
      </c>
      <c r="AF28" s="1370">
        <f>AVERAGE($P$18:$AB$18)</f>
        <v>2.8333333333333335</v>
      </c>
      <c r="AH28" s="594" t="s">
        <v>1474</v>
      </c>
      <c r="AI28" s="148">
        <v>4</v>
      </c>
      <c r="AK28" s="148" t="s">
        <v>1337</v>
      </c>
      <c r="AL28" s="295">
        <v>31</v>
      </c>
      <c r="AM28" s="148" t="s">
        <v>1338</v>
      </c>
      <c r="AN28" s="148">
        <v>35</v>
      </c>
      <c r="AP28" s="148"/>
    </row>
    <row r="29" spans="2:42" ht="33" customHeight="1">
      <c r="B29" s="294" t="s">
        <v>143</v>
      </c>
      <c r="C29" s="1517" t="s">
        <v>1458</v>
      </c>
      <c r="D29" s="1375" t="s">
        <v>1341</v>
      </c>
      <c r="E29" s="149">
        <v>30</v>
      </c>
      <c r="F29" s="293" t="s">
        <v>1305</v>
      </c>
      <c r="G29" s="35" t="s">
        <v>1342</v>
      </c>
      <c r="H29">
        <v>26</v>
      </c>
      <c r="I29" s="72" t="s">
        <v>1305</v>
      </c>
      <c r="J29" s="148" t="s">
        <v>1328</v>
      </c>
      <c r="K29" s="296" t="s">
        <v>1434</v>
      </c>
      <c r="L29" s="148" t="s">
        <v>2723</v>
      </c>
      <c r="M29" s="296" t="s">
        <v>1437</v>
      </c>
      <c r="O29" s="294" t="s">
        <v>1459</v>
      </c>
      <c r="P29" s="1371">
        <v>1</v>
      </c>
      <c r="Q29" s="1371">
        <v>4</v>
      </c>
      <c r="R29" s="1371">
        <v>5</v>
      </c>
      <c r="S29" s="1371">
        <v>5</v>
      </c>
      <c r="T29" s="1371">
        <v>3</v>
      </c>
      <c r="U29" s="1371">
        <v>5</v>
      </c>
      <c r="V29" s="1371">
        <v>2</v>
      </c>
      <c r="W29" s="1371">
        <v>1</v>
      </c>
      <c r="X29" s="1371">
        <v>2</v>
      </c>
      <c r="Y29" s="1371">
        <v>3</v>
      </c>
      <c r="Z29" s="1371">
        <v>2</v>
      </c>
      <c r="AA29" s="1374">
        <v>1</v>
      </c>
      <c r="AB29" s="294"/>
      <c r="AC29" s="1370">
        <f t="shared" si="0"/>
        <v>2.8333333333333335</v>
      </c>
      <c r="AE29" s="294" t="s">
        <v>1459</v>
      </c>
      <c r="AF29" s="1370">
        <f>AVERAGE($P$29:$AB$29)</f>
        <v>2.8333333333333335</v>
      </c>
      <c r="AH29" s="594" t="s">
        <v>1442</v>
      </c>
      <c r="AI29" s="148">
        <v>3</v>
      </c>
      <c r="AK29" s="148" t="s">
        <v>1342</v>
      </c>
      <c r="AL29" s="295">
        <v>26</v>
      </c>
      <c r="AM29" s="148" t="s">
        <v>1341</v>
      </c>
      <c r="AN29" s="148">
        <v>30</v>
      </c>
      <c r="AP29" s="148"/>
    </row>
    <row r="30" spans="2:42" ht="31.5">
      <c r="B30" s="294" t="s">
        <v>144</v>
      </c>
      <c r="C30" s="295" t="s">
        <v>1459</v>
      </c>
      <c r="D30" s="1375" t="s">
        <v>1343</v>
      </c>
      <c r="E30" s="149">
        <v>29</v>
      </c>
      <c r="F30" s="293" t="s">
        <v>1298</v>
      </c>
      <c r="G30" s="35" t="s">
        <v>1344</v>
      </c>
      <c r="H30">
        <v>30</v>
      </c>
      <c r="I30" s="72" t="s">
        <v>1305</v>
      </c>
      <c r="J30" s="148" t="s">
        <v>1312</v>
      </c>
      <c r="K30" s="148" t="s">
        <v>1345</v>
      </c>
      <c r="L30" s="148" t="s">
        <v>2730</v>
      </c>
      <c r="M30" s="296" t="s">
        <v>1435</v>
      </c>
      <c r="O30" s="294" t="s">
        <v>1460</v>
      </c>
      <c r="P30" s="1371">
        <v>1</v>
      </c>
      <c r="Q30" s="1371">
        <v>1</v>
      </c>
      <c r="R30" s="1371">
        <v>6</v>
      </c>
      <c r="S30" s="1371">
        <v>3</v>
      </c>
      <c r="T30" s="1371">
        <v>4</v>
      </c>
      <c r="U30" s="1371">
        <v>1</v>
      </c>
      <c r="V30" s="1371">
        <v>1</v>
      </c>
      <c r="W30" s="1371">
        <v>2</v>
      </c>
      <c r="X30" s="1371">
        <v>1</v>
      </c>
      <c r="Y30" s="1371">
        <v>1</v>
      </c>
      <c r="Z30" s="1371">
        <v>1</v>
      </c>
      <c r="AA30" s="1374">
        <v>1</v>
      </c>
      <c r="AB30" s="294"/>
      <c r="AC30" s="1370">
        <f t="shared" si="0"/>
        <v>1.9166666666666667</v>
      </c>
      <c r="AE30" s="294" t="s">
        <v>1475</v>
      </c>
      <c r="AF30" s="1370">
        <f>AVERAGE($P$45:$AB$45)</f>
        <v>2.8333333333333335</v>
      </c>
      <c r="AH30" s="593" t="s">
        <v>1447</v>
      </c>
      <c r="AI30" s="148">
        <v>3</v>
      </c>
      <c r="AK30" s="148" t="s">
        <v>1343</v>
      </c>
      <c r="AL30" s="295">
        <v>29</v>
      </c>
      <c r="AM30" s="148" t="s">
        <v>1344</v>
      </c>
      <c r="AN30" s="148">
        <v>30</v>
      </c>
      <c r="AP30" s="148"/>
    </row>
    <row r="31" spans="2:42" ht="31.5">
      <c r="B31" s="294" t="s">
        <v>145</v>
      </c>
      <c r="C31" s="295" t="s">
        <v>1460</v>
      </c>
      <c r="D31" s="1375" t="s">
        <v>1326</v>
      </c>
      <c r="E31" s="149">
        <v>30</v>
      </c>
      <c r="F31" s="293" t="s">
        <v>1305</v>
      </c>
      <c r="G31" s="35" t="s">
        <v>1346</v>
      </c>
      <c r="H31">
        <v>33</v>
      </c>
      <c r="I31" s="72" t="s">
        <v>1298</v>
      </c>
      <c r="J31" s="148" t="s">
        <v>1308</v>
      </c>
      <c r="K31" s="148" t="s">
        <v>1347</v>
      </c>
      <c r="L31" s="148" t="s">
        <v>2724</v>
      </c>
      <c r="M31" s="296" t="s">
        <v>1436</v>
      </c>
      <c r="O31" s="294" t="s">
        <v>1461</v>
      </c>
      <c r="P31" s="1371">
        <v>7</v>
      </c>
      <c r="Q31" s="1371">
        <v>5</v>
      </c>
      <c r="R31" s="1371">
        <v>5</v>
      </c>
      <c r="S31" s="1371">
        <v>4</v>
      </c>
      <c r="T31" s="1372">
        <v>7</v>
      </c>
      <c r="U31" s="1371">
        <v>6</v>
      </c>
      <c r="V31" s="1371">
        <v>5</v>
      </c>
      <c r="W31" s="1371">
        <v>5</v>
      </c>
      <c r="X31" s="1371">
        <v>4</v>
      </c>
      <c r="Y31" s="1371">
        <v>3</v>
      </c>
      <c r="Z31" s="1371">
        <v>3</v>
      </c>
      <c r="AA31" s="1374">
        <v>1</v>
      </c>
      <c r="AB31" s="294"/>
      <c r="AC31" s="1370">
        <f t="shared" si="0"/>
        <v>4.583333333333333</v>
      </c>
      <c r="AE31" s="294" t="s">
        <v>1463</v>
      </c>
      <c r="AF31" s="1370">
        <f>AVERAGE($P$33:$AB$33)</f>
        <v>2.9166666666666665</v>
      </c>
      <c r="AH31" s="594" t="s">
        <v>1452</v>
      </c>
      <c r="AI31" s="148">
        <v>3</v>
      </c>
      <c r="AK31" s="148" t="s">
        <v>1326</v>
      </c>
      <c r="AL31" s="295">
        <v>30</v>
      </c>
      <c r="AM31" s="148" t="s">
        <v>1346</v>
      </c>
      <c r="AN31" s="148">
        <v>33</v>
      </c>
      <c r="AP31" s="148"/>
    </row>
    <row r="32" spans="2:42" ht="31.5">
      <c r="B32" s="294" t="s">
        <v>146</v>
      </c>
      <c r="C32" s="295" t="s">
        <v>1461</v>
      </c>
      <c r="D32" s="1375" t="s">
        <v>1348</v>
      </c>
      <c r="E32" s="149">
        <v>43</v>
      </c>
      <c r="F32" s="293" t="s">
        <v>1298</v>
      </c>
      <c r="G32" s="35" t="s">
        <v>1349</v>
      </c>
      <c r="H32">
        <v>38</v>
      </c>
      <c r="I32" s="72" t="s">
        <v>1298</v>
      </c>
      <c r="J32" s="148" t="s">
        <v>1350</v>
      </c>
      <c r="K32" s="148" t="s">
        <v>1351</v>
      </c>
      <c r="L32" s="148" t="s">
        <v>2724</v>
      </c>
      <c r="M32" s="296" t="s">
        <v>1352</v>
      </c>
      <c r="O32" s="294" t="s">
        <v>1462</v>
      </c>
      <c r="P32" s="1371">
        <v>2</v>
      </c>
      <c r="Q32" s="1371">
        <v>1</v>
      </c>
      <c r="R32" s="1371">
        <v>3</v>
      </c>
      <c r="S32" s="1371">
        <v>7</v>
      </c>
      <c r="T32" s="1371">
        <v>4</v>
      </c>
      <c r="U32" s="1371">
        <v>1</v>
      </c>
      <c r="V32" s="1371">
        <v>1</v>
      </c>
      <c r="W32" s="1371">
        <v>1</v>
      </c>
      <c r="X32" s="1371">
        <v>4</v>
      </c>
      <c r="Y32" s="1371">
        <v>2</v>
      </c>
      <c r="Z32" s="1371">
        <v>2</v>
      </c>
      <c r="AA32" s="1374">
        <v>1</v>
      </c>
      <c r="AB32" s="294"/>
      <c r="AC32" s="1370">
        <f t="shared" si="0"/>
        <v>2.4166666666666665</v>
      </c>
      <c r="AE32" s="294" t="s">
        <v>1457</v>
      </c>
      <c r="AF32" s="1370">
        <f>AVERAGE($P$27:$AB$27)</f>
        <v>3.0833333333333335</v>
      </c>
      <c r="AH32" s="593" t="s">
        <v>1459</v>
      </c>
      <c r="AI32" s="148">
        <v>3</v>
      </c>
      <c r="AK32" s="148" t="s">
        <v>1349</v>
      </c>
      <c r="AL32" s="295">
        <v>38</v>
      </c>
      <c r="AM32" s="148" t="s">
        <v>1348</v>
      </c>
      <c r="AN32" s="148">
        <v>43</v>
      </c>
      <c r="AP32" s="148"/>
    </row>
    <row r="33" spans="2:42">
      <c r="B33" s="294" t="s">
        <v>147</v>
      </c>
      <c r="C33" s="295" t="s">
        <v>1462</v>
      </c>
      <c r="D33" s="1375" t="s">
        <v>1353</v>
      </c>
      <c r="E33" s="149">
        <v>36</v>
      </c>
      <c r="F33" s="293" t="s">
        <v>1298</v>
      </c>
      <c r="G33" s="35" t="s">
        <v>1354</v>
      </c>
      <c r="H33">
        <v>33</v>
      </c>
      <c r="I33" s="72" t="s">
        <v>1298</v>
      </c>
      <c r="J33" s="148" t="s">
        <v>1328</v>
      </c>
      <c r="K33" s="148" t="s">
        <v>1356</v>
      </c>
      <c r="L33" s="148" t="s">
        <v>2724</v>
      </c>
      <c r="M33" s="148" t="s">
        <v>1355</v>
      </c>
      <c r="O33" s="294" t="s">
        <v>1463</v>
      </c>
      <c r="P33" s="1371">
        <v>8</v>
      </c>
      <c r="Q33" s="1371">
        <v>5</v>
      </c>
      <c r="R33" s="1371">
        <v>2</v>
      </c>
      <c r="S33" s="1371">
        <v>2</v>
      </c>
      <c r="T33" s="1371">
        <v>2</v>
      </c>
      <c r="U33" s="1371">
        <v>5</v>
      </c>
      <c r="V33" s="1371">
        <v>2</v>
      </c>
      <c r="W33" s="1371">
        <v>2</v>
      </c>
      <c r="X33" s="1371">
        <v>3</v>
      </c>
      <c r="Y33" s="1371">
        <v>1</v>
      </c>
      <c r="Z33" s="1371">
        <v>2</v>
      </c>
      <c r="AA33" s="1374">
        <v>1</v>
      </c>
      <c r="AB33" s="294"/>
      <c r="AC33" s="1370">
        <f t="shared" si="0"/>
        <v>2.9166666666666665</v>
      </c>
      <c r="AE33" s="294" t="s">
        <v>1444</v>
      </c>
      <c r="AF33" s="1370">
        <f>AVERAGE($P$14:$AB$14)</f>
        <v>3.1538461538461537</v>
      </c>
      <c r="AH33" s="594" t="s">
        <v>1466</v>
      </c>
      <c r="AI33" s="148">
        <v>3</v>
      </c>
      <c r="AK33" s="148" t="s">
        <v>1354</v>
      </c>
      <c r="AL33" s="295">
        <v>33</v>
      </c>
      <c r="AM33" s="148" t="s">
        <v>1353</v>
      </c>
      <c r="AN33" s="148">
        <v>36</v>
      </c>
      <c r="AP33" s="148"/>
    </row>
    <row r="34" spans="2:42" ht="31.5">
      <c r="B34" s="294" t="s">
        <v>148</v>
      </c>
      <c r="C34" s="295" t="s">
        <v>1463</v>
      </c>
      <c r="D34" s="1375" t="s">
        <v>1357</v>
      </c>
      <c r="E34" s="149">
        <v>33</v>
      </c>
      <c r="F34" s="293" t="s">
        <v>1298</v>
      </c>
      <c r="G34" s="35" t="s">
        <v>1358</v>
      </c>
      <c r="H34">
        <v>29</v>
      </c>
      <c r="I34" s="72" t="s">
        <v>1305</v>
      </c>
      <c r="J34" s="148" t="s">
        <v>1324</v>
      </c>
      <c r="K34" s="296" t="s">
        <v>1360</v>
      </c>
      <c r="L34" s="148" t="s">
        <v>2731</v>
      </c>
      <c r="M34" s="296" t="s">
        <v>1361</v>
      </c>
      <c r="O34" s="301" t="s">
        <v>1464</v>
      </c>
      <c r="P34" s="1371">
        <v>4</v>
      </c>
      <c r="Q34" s="1371">
        <v>4</v>
      </c>
      <c r="R34" s="1371">
        <v>1</v>
      </c>
      <c r="S34" s="1371">
        <v>2</v>
      </c>
      <c r="T34" s="1371">
        <v>1</v>
      </c>
      <c r="U34" s="1371">
        <v>4</v>
      </c>
      <c r="V34" s="1371">
        <v>3</v>
      </c>
      <c r="W34" s="1371">
        <v>4</v>
      </c>
      <c r="X34" s="1371">
        <v>1</v>
      </c>
      <c r="Y34" s="1371">
        <v>1</v>
      </c>
      <c r="Z34" s="1371">
        <v>1</v>
      </c>
      <c r="AA34" s="1374">
        <v>1</v>
      </c>
      <c r="AB34" s="294"/>
      <c r="AC34" s="1370">
        <f t="shared" si="0"/>
        <v>2.25</v>
      </c>
      <c r="AE34" s="294" t="s">
        <v>1447</v>
      </c>
      <c r="AF34" s="1370">
        <f>AVERAGE($P$17:$AB$17)</f>
        <v>3.1538461538461537</v>
      </c>
      <c r="AH34" s="593" t="s">
        <v>1471</v>
      </c>
      <c r="AI34" s="148">
        <v>3</v>
      </c>
      <c r="AK34" s="148" t="s">
        <v>1358</v>
      </c>
      <c r="AL34" s="295">
        <v>29</v>
      </c>
      <c r="AM34" s="148" t="s">
        <v>1357</v>
      </c>
      <c r="AN34" s="148">
        <v>33</v>
      </c>
      <c r="AP34" s="148"/>
    </row>
    <row r="35" spans="2:42" ht="31.5">
      <c r="B35" s="294" t="s">
        <v>125</v>
      </c>
      <c r="C35" s="1517" t="s">
        <v>1464</v>
      </c>
      <c r="D35" s="1375" t="s">
        <v>1346</v>
      </c>
      <c r="E35" s="149">
        <v>59</v>
      </c>
      <c r="F35" s="293" t="s">
        <v>1298</v>
      </c>
      <c r="G35" s="35" t="s">
        <v>1362</v>
      </c>
      <c r="H35">
        <v>22</v>
      </c>
      <c r="I35" s="72" t="s">
        <v>1298</v>
      </c>
      <c r="J35" s="148" t="s">
        <v>1363</v>
      </c>
      <c r="K35" s="148" t="s">
        <v>1364</v>
      </c>
      <c r="L35" s="148" t="s">
        <v>2730</v>
      </c>
      <c r="M35" s="296" t="s">
        <v>1365</v>
      </c>
      <c r="O35" s="294" t="s">
        <v>1465</v>
      </c>
      <c r="P35" s="1371">
        <v>6</v>
      </c>
      <c r="Q35" s="1371">
        <v>8</v>
      </c>
      <c r="R35" s="1371">
        <v>5</v>
      </c>
      <c r="S35" s="1371">
        <v>4</v>
      </c>
      <c r="T35" s="1371">
        <v>7</v>
      </c>
      <c r="U35" s="1371">
        <v>6</v>
      </c>
      <c r="V35" s="1371">
        <v>3</v>
      </c>
      <c r="W35" s="1371">
        <v>4</v>
      </c>
      <c r="X35" s="1371">
        <v>4</v>
      </c>
      <c r="Y35" s="1371">
        <v>2</v>
      </c>
      <c r="Z35" s="1372">
        <v>4</v>
      </c>
      <c r="AA35" s="1374">
        <v>1</v>
      </c>
      <c r="AB35" s="294"/>
      <c r="AC35" s="1370">
        <f t="shared" si="0"/>
        <v>4.5</v>
      </c>
      <c r="AE35" s="294" t="s">
        <v>1466</v>
      </c>
      <c r="AF35" s="1370">
        <f>AVERAGE($P$36:$AB$36)</f>
        <v>3.1666666666666665</v>
      </c>
      <c r="AH35" s="604" t="s">
        <v>1443</v>
      </c>
      <c r="AI35" s="148">
        <v>2</v>
      </c>
      <c r="AK35" s="148" t="s">
        <v>1362</v>
      </c>
      <c r="AL35" s="295">
        <v>22</v>
      </c>
      <c r="AM35" s="148" t="s">
        <v>1346</v>
      </c>
      <c r="AN35" s="148">
        <v>59</v>
      </c>
      <c r="AP35" s="148"/>
    </row>
    <row r="36" spans="2:42">
      <c r="B36" s="294" t="s">
        <v>116</v>
      </c>
      <c r="C36" s="295" t="s">
        <v>1465</v>
      </c>
      <c r="D36" s="1375" t="s">
        <v>1358</v>
      </c>
      <c r="E36" s="149">
        <v>24</v>
      </c>
      <c r="F36" s="293" t="s">
        <v>1305</v>
      </c>
      <c r="G36" s="35" t="s">
        <v>1366</v>
      </c>
      <c r="H36">
        <v>29</v>
      </c>
      <c r="I36" s="72" t="s">
        <v>1305</v>
      </c>
      <c r="J36" s="148" t="s">
        <v>1300</v>
      </c>
      <c r="K36" s="148" t="s">
        <v>1347</v>
      </c>
      <c r="L36" s="148" t="s">
        <v>2732</v>
      </c>
      <c r="M36" s="296" t="s">
        <v>1367</v>
      </c>
      <c r="O36" s="294" t="s">
        <v>1466</v>
      </c>
      <c r="P36" s="1371">
        <v>3</v>
      </c>
      <c r="Q36" s="1371">
        <v>2</v>
      </c>
      <c r="R36" s="1371">
        <v>4</v>
      </c>
      <c r="S36" s="1371">
        <v>4</v>
      </c>
      <c r="T36" s="1371">
        <v>6</v>
      </c>
      <c r="U36" s="1371">
        <v>6</v>
      </c>
      <c r="V36" s="1371">
        <v>3</v>
      </c>
      <c r="W36" s="1371">
        <v>1</v>
      </c>
      <c r="X36" s="1371">
        <v>1</v>
      </c>
      <c r="Y36" s="1371">
        <v>4</v>
      </c>
      <c r="Z36" s="1371">
        <v>3</v>
      </c>
      <c r="AA36" s="1374">
        <v>1</v>
      </c>
      <c r="AB36" s="294"/>
      <c r="AC36" s="1370">
        <f t="shared" si="0"/>
        <v>3.1666666666666665</v>
      </c>
      <c r="AE36" s="294" t="s">
        <v>1468</v>
      </c>
      <c r="AF36" s="1370">
        <f>AVERAGE($P$38:$AB$38)</f>
        <v>3.1666666666666665</v>
      </c>
      <c r="AH36" s="594" t="s">
        <v>1444</v>
      </c>
      <c r="AI36" s="148">
        <v>2</v>
      </c>
      <c r="AK36" s="148" t="s">
        <v>1358</v>
      </c>
      <c r="AL36" s="295">
        <v>24</v>
      </c>
      <c r="AM36" s="148" t="s">
        <v>1366</v>
      </c>
      <c r="AN36" s="148">
        <v>29</v>
      </c>
      <c r="AP36" s="148"/>
    </row>
    <row r="37" spans="2:42" ht="30.95" customHeight="1">
      <c r="B37" s="294" t="s">
        <v>104</v>
      </c>
      <c r="C37" s="295" t="s">
        <v>1466</v>
      </c>
      <c r="D37" s="1375" t="s">
        <v>1368</v>
      </c>
      <c r="E37" s="149">
        <v>29</v>
      </c>
      <c r="F37" s="293" t="s">
        <v>1305</v>
      </c>
      <c r="G37" s="35" t="s">
        <v>1319</v>
      </c>
      <c r="H37">
        <v>26</v>
      </c>
      <c r="I37" s="72" t="s">
        <v>1298</v>
      </c>
      <c r="J37" s="148" t="s">
        <v>1369</v>
      </c>
      <c r="K37" s="296" t="s">
        <v>1372</v>
      </c>
      <c r="L37" s="148" t="s">
        <v>2724</v>
      </c>
      <c r="M37" s="296" t="s">
        <v>1371</v>
      </c>
      <c r="O37" s="294" t="s">
        <v>1467</v>
      </c>
      <c r="P37" s="1371">
        <v>8</v>
      </c>
      <c r="Q37" s="1371">
        <v>7</v>
      </c>
      <c r="R37" s="1371">
        <v>3</v>
      </c>
      <c r="S37" s="1371">
        <v>4</v>
      </c>
      <c r="T37" s="1371">
        <v>4</v>
      </c>
      <c r="U37" s="1371">
        <v>3</v>
      </c>
      <c r="V37" s="1371">
        <v>2</v>
      </c>
      <c r="W37" s="1371">
        <v>2</v>
      </c>
      <c r="X37" s="1371">
        <v>2</v>
      </c>
      <c r="Y37" s="1371">
        <v>2</v>
      </c>
      <c r="Z37" s="1371">
        <v>2</v>
      </c>
      <c r="AA37" s="1374">
        <v>1</v>
      </c>
      <c r="AB37" s="294"/>
      <c r="AC37" s="1370">
        <f t="shared" si="0"/>
        <v>3.3333333333333335</v>
      </c>
      <c r="AE37" s="294" t="s">
        <v>1452</v>
      </c>
      <c r="AF37" s="1370">
        <f>AVERAGE($P$22:$AB$22)</f>
        <v>3.1818181818181817</v>
      </c>
      <c r="AH37" s="594" t="s">
        <v>1446</v>
      </c>
      <c r="AI37" s="148">
        <v>2</v>
      </c>
      <c r="AK37" s="148" t="s">
        <v>1319</v>
      </c>
      <c r="AL37" s="295">
        <v>26</v>
      </c>
      <c r="AM37" s="148" t="s">
        <v>1368</v>
      </c>
      <c r="AN37" s="148">
        <v>29</v>
      </c>
      <c r="AP37" s="148"/>
    </row>
    <row r="38" spans="2:42" ht="31.5">
      <c r="B38" s="294" t="s">
        <v>95</v>
      </c>
      <c r="C38" s="295" t="s">
        <v>1467</v>
      </c>
      <c r="D38" s="1375" t="s">
        <v>1374</v>
      </c>
      <c r="E38" s="149">
        <v>25</v>
      </c>
      <c r="F38" s="293" t="s">
        <v>1305</v>
      </c>
      <c r="G38" s="35" t="s">
        <v>1373</v>
      </c>
      <c r="H38">
        <v>26</v>
      </c>
      <c r="I38" s="72" t="s">
        <v>1298</v>
      </c>
      <c r="J38" s="148" t="s">
        <v>1324</v>
      </c>
      <c r="K38" s="296" t="s">
        <v>1376</v>
      </c>
      <c r="L38" s="148" t="s">
        <v>2727</v>
      </c>
      <c r="M38" s="296" t="s">
        <v>1375</v>
      </c>
      <c r="O38" s="294" t="s">
        <v>1468</v>
      </c>
      <c r="P38" s="1371">
        <v>1</v>
      </c>
      <c r="Q38" s="1371">
        <v>4</v>
      </c>
      <c r="R38" s="1371">
        <v>4</v>
      </c>
      <c r="S38" s="1371">
        <v>3</v>
      </c>
      <c r="T38" s="1371">
        <v>3</v>
      </c>
      <c r="U38" s="1371">
        <v>4</v>
      </c>
      <c r="V38" s="1371">
        <v>4</v>
      </c>
      <c r="W38" s="1371">
        <v>5</v>
      </c>
      <c r="X38" s="1371">
        <v>4</v>
      </c>
      <c r="Y38" s="1371">
        <v>3</v>
      </c>
      <c r="Z38" s="1371">
        <v>2</v>
      </c>
      <c r="AA38" s="1374">
        <v>1</v>
      </c>
      <c r="AB38" s="294"/>
      <c r="AC38" s="1370">
        <f t="shared" si="0"/>
        <v>3.1666666666666665</v>
      </c>
      <c r="AE38" s="301" t="s">
        <v>1458</v>
      </c>
      <c r="AF38" s="1370">
        <f>AVERAGE($P$28:$AB$28)</f>
        <v>3.3333333333333335</v>
      </c>
      <c r="AH38" s="594" t="s">
        <v>1448</v>
      </c>
      <c r="AI38" s="148">
        <v>2</v>
      </c>
      <c r="AK38" s="148" t="s">
        <v>1374</v>
      </c>
      <c r="AL38" s="295">
        <v>25</v>
      </c>
      <c r="AM38" s="148" t="s">
        <v>1373</v>
      </c>
      <c r="AN38" s="148">
        <v>26</v>
      </c>
      <c r="AP38" s="148"/>
    </row>
    <row r="39" spans="2:42">
      <c r="B39" s="294" t="s">
        <v>85</v>
      </c>
      <c r="C39" s="295" t="s">
        <v>1468</v>
      </c>
      <c r="D39" s="1375" t="s">
        <v>1377</v>
      </c>
      <c r="E39" s="149">
        <v>29</v>
      </c>
      <c r="F39" s="293" t="s">
        <v>1305</v>
      </c>
      <c r="G39" s="35" t="s">
        <v>1378</v>
      </c>
      <c r="H39">
        <v>30</v>
      </c>
      <c r="I39" s="72" t="s">
        <v>1298</v>
      </c>
      <c r="J39" s="148" t="s">
        <v>1312</v>
      </c>
      <c r="K39" s="296" t="s">
        <v>1370</v>
      </c>
      <c r="L39" s="148" t="s">
        <v>2733</v>
      </c>
      <c r="M39" s="296" t="s">
        <v>1379</v>
      </c>
      <c r="O39" s="294" t="s">
        <v>1469</v>
      </c>
      <c r="P39" s="1371">
        <v>4</v>
      </c>
      <c r="Q39" s="1371">
        <v>6</v>
      </c>
      <c r="R39" s="1371">
        <v>6</v>
      </c>
      <c r="S39" s="1371">
        <v>7</v>
      </c>
      <c r="T39" s="1371">
        <v>6</v>
      </c>
      <c r="U39" s="1371">
        <v>5</v>
      </c>
      <c r="V39" s="1371">
        <v>4</v>
      </c>
      <c r="W39" s="1371">
        <v>3</v>
      </c>
      <c r="X39" s="1371">
        <v>4</v>
      </c>
      <c r="Y39" s="1371">
        <v>2</v>
      </c>
      <c r="Z39" s="1371">
        <v>1</v>
      </c>
      <c r="AA39" s="1374">
        <v>1</v>
      </c>
      <c r="AB39" s="294"/>
      <c r="AC39" s="1370">
        <f t="shared" si="0"/>
        <v>4.083333333333333</v>
      </c>
      <c r="AE39" s="294" t="s">
        <v>1467</v>
      </c>
      <c r="AF39" s="1370">
        <f>AVERAGE($P$37:$AB$37)</f>
        <v>3.3333333333333335</v>
      </c>
      <c r="AH39" s="594" t="s">
        <v>1456</v>
      </c>
      <c r="AI39" s="148">
        <v>2</v>
      </c>
      <c r="AK39" s="148" t="s">
        <v>1377</v>
      </c>
      <c r="AL39" s="295">
        <v>29</v>
      </c>
      <c r="AM39" s="148" t="s">
        <v>1378</v>
      </c>
      <c r="AN39" s="148">
        <v>30</v>
      </c>
      <c r="AP39" s="148"/>
    </row>
    <row r="40" spans="2:42" ht="31.5">
      <c r="B40" s="294" t="s">
        <v>66</v>
      </c>
      <c r="C40" s="295" t="s">
        <v>1469</v>
      </c>
      <c r="D40" s="1375" t="s">
        <v>1380</v>
      </c>
      <c r="E40" s="149">
        <v>36</v>
      </c>
      <c r="F40" s="293" t="s">
        <v>1305</v>
      </c>
      <c r="G40" s="35" t="s">
        <v>1381</v>
      </c>
      <c r="H40">
        <v>34</v>
      </c>
      <c r="I40" s="72" t="s">
        <v>1298</v>
      </c>
      <c r="J40" s="148" t="s">
        <v>1382</v>
      </c>
      <c r="K40" s="296" t="s">
        <v>1383</v>
      </c>
      <c r="L40" s="148" t="s">
        <v>2724</v>
      </c>
      <c r="M40" s="296" t="s">
        <v>1384</v>
      </c>
      <c r="O40" s="294" t="s">
        <v>1470</v>
      </c>
      <c r="P40" s="1371">
        <v>2</v>
      </c>
      <c r="Q40" s="1371">
        <v>1</v>
      </c>
      <c r="R40" s="1371">
        <v>5</v>
      </c>
      <c r="S40" s="1371">
        <v>2</v>
      </c>
      <c r="T40" s="1371">
        <v>6</v>
      </c>
      <c r="U40" s="1371">
        <v>6</v>
      </c>
      <c r="V40" s="1372">
        <v>5</v>
      </c>
      <c r="W40" s="1371">
        <v>5</v>
      </c>
      <c r="X40" s="1371">
        <v>4</v>
      </c>
      <c r="Y40" s="1371">
        <v>2</v>
      </c>
      <c r="Z40" s="1371">
        <v>2</v>
      </c>
      <c r="AA40" s="1374">
        <v>1</v>
      </c>
      <c r="AB40" s="294"/>
      <c r="AC40" s="1370">
        <f t="shared" si="0"/>
        <v>3.4166666666666665</v>
      </c>
      <c r="AE40" s="294" t="s">
        <v>1442</v>
      </c>
      <c r="AF40" s="1370">
        <f>AVERAGE($P$12:$AB$12)</f>
        <v>3.3846153846153846</v>
      </c>
      <c r="AH40" s="593" t="s">
        <v>1463</v>
      </c>
      <c r="AI40" s="148">
        <v>2</v>
      </c>
      <c r="AK40" s="148" t="s">
        <v>1381</v>
      </c>
      <c r="AL40" s="295">
        <v>34</v>
      </c>
      <c r="AM40" s="148" t="s">
        <v>1380</v>
      </c>
      <c r="AN40" s="148">
        <v>36</v>
      </c>
      <c r="AP40" s="148"/>
    </row>
    <row r="41" spans="2:42" ht="31.5">
      <c r="B41" s="294" t="s">
        <v>65</v>
      </c>
      <c r="C41" s="295" t="s">
        <v>1470</v>
      </c>
      <c r="D41" s="1375" t="s">
        <v>1385</v>
      </c>
      <c r="E41" s="149">
        <v>33</v>
      </c>
      <c r="F41" s="293" t="s">
        <v>1298</v>
      </c>
      <c r="G41" s="35" t="s">
        <v>1386</v>
      </c>
      <c r="H41">
        <v>28</v>
      </c>
      <c r="I41" s="72" t="s">
        <v>1305</v>
      </c>
      <c r="J41" s="148" t="s">
        <v>1324</v>
      </c>
      <c r="K41" s="296" t="s">
        <v>1387</v>
      </c>
      <c r="L41" s="148" t="s">
        <v>2734</v>
      </c>
      <c r="M41" s="296" t="s">
        <v>1388</v>
      </c>
      <c r="O41" s="294" t="s">
        <v>1471</v>
      </c>
      <c r="P41" s="1371">
        <v>2</v>
      </c>
      <c r="Q41" s="1371">
        <v>4</v>
      </c>
      <c r="R41" s="1371">
        <v>3</v>
      </c>
      <c r="S41" s="1371">
        <v>1</v>
      </c>
      <c r="T41" s="1371">
        <v>3</v>
      </c>
      <c r="U41" s="1371">
        <v>2</v>
      </c>
      <c r="V41" s="1371">
        <v>2</v>
      </c>
      <c r="W41" s="1371">
        <v>3</v>
      </c>
      <c r="X41" s="1371">
        <v>4</v>
      </c>
      <c r="Y41" s="1371">
        <v>1</v>
      </c>
      <c r="Z41" s="1371">
        <v>3</v>
      </c>
      <c r="AA41" s="1374">
        <v>1</v>
      </c>
      <c r="AB41" s="294"/>
      <c r="AC41" s="1370">
        <f t="shared" si="0"/>
        <v>2.4166666666666665</v>
      </c>
      <c r="AE41" s="294" t="s">
        <v>1445</v>
      </c>
      <c r="AF41" s="1370">
        <f>AVERAGE($P$15:$AB$15)</f>
        <v>3.3846153846153846</v>
      </c>
      <c r="AH41" s="594" t="s">
        <v>1468</v>
      </c>
      <c r="AI41" s="148">
        <v>2</v>
      </c>
      <c r="AK41" s="148" t="s">
        <v>1386</v>
      </c>
      <c r="AL41" s="295">
        <v>28</v>
      </c>
      <c r="AM41" s="148" t="s">
        <v>1385</v>
      </c>
      <c r="AN41" s="148">
        <v>33</v>
      </c>
      <c r="AP41" s="148"/>
    </row>
    <row r="42" spans="2:42" ht="31.5">
      <c r="B42" s="294" t="s">
        <v>60</v>
      </c>
      <c r="C42" s="295" t="s">
        <v>1471</v>
      </c>
      <c r="D42" s="1375" t="s">
        <v>1389</v>
      </c>
      <c r="E42" s="149">
        <v>38</v>
      </c>
      <c r="F42" s="293" t="s">
        <v>1298</v>
      </c>
      <c r="G42" s="35" t="s">
        <v>1390</v>
      </c>
      <c r="H42">
        <v>40</v>
      </c>
      <c r="I42" s="72" t="s">
        <v>1305</v>
      </c>
      <c r="J42" s="148" t="s">
        <v>1350</v>
      </c>
      <c r="K42" s="296" t="s">
        <v>1391</v>
      </c>
      <c r="L42" s="148" t="s">
        <v>2723</v>
      </c>
      <c r="M42" s="296" t="s">
        <v>1392</v>
      </c>
      <c r="O42" s="294" t="s">
        <v>1472</v>
      </c>
      <c r="P42" s="1371">
        <v>4</v>
      </c>
      <c r="Q42" s="1371">
        <v>6</v>
      </c>
      <c r="R42" s="1371">
        <v>1</v>
      </c>
      <c r="S42" s="1371">
        <v>1</v>
      </c>
      <c r="T42" s="1371">
        <v>4</v>
      </c>
      <c r="U42" s="1371">
        <v>4</v>
      </c>
      <c r="V42" s="1371">
        <v>1</v>
      </c>
      <c r="W42" s="1371">
        <v>2</v>
      </c>
      <c r="X42" s="1371">
        <v>2</v>
      </c>
      <c r="Y42" s="1371">
        <v>2</v>
      </c>
      <c r="Z42" s="1374">
        <v>1</v>
      </c>
      <c r="AB42" s="294"/>
      <c r="AC42" s="1370">
        <f t="shared" si="0"/>
        <v>2.5454545454545454</v>
      </c>
      <c r="AE42" s="294" t="s">
        <v>1470</v>
      </c>
      <c r="AF42" s="1370">
        <f>AVERAGE($P$40:$AB$40)</f>
        <v>3.4166666666666665</v>
      </c>
      <c r="AH42" s="593" t="s">
        <v>1469</v>
      </c>
      <c r="AI42" s="148">
        <v>2</v>
      </c>
      <c r="AK42" s="148" t="s">
        <v>1389</v>
      </c>
      <c r="AL42" s="295">
        <v>38</v>
      </c>
      <c r="AM42" s="148" t="s">
        <v>1390</v>
      </c>
      <c r="AN42" s="148">
        <v>40</v>
      </c>
      <c r="AP42" s="148"/>
    </row>
    <row r="43" spans="2:42" ht="31.5">
      <c r="B43" s="294" t="s">
        <v>35</v>
      </c>
      <c r="C43" s="295" t="s">
        <v>1472</v>
      </c>
      <c r="D43" s="1375" t="s">
        <v>1393</v>
      </c>
      <c r="E43" s="149">
        <v>30</v>
      </c>
      <c r="F43" s="293" t="s">
        <v>1298</v>
      </c>
      <c r="G43" s="35" t="s">
        <v>1320</v>
      </c>
      <c r="H43">
        <v>31</v>
      </c>
      <c r="I43" s="72" t="s">
        <v>1298</v>
      </c>
      <c r="J43" s="148" t="s">
        <v>1324</v>
      </c>
      <c r="K43" s="296" t="s">
        <v>1394</v>
      </c>
      <c r="L43" s="148" t="s">
        <v>2735</v>
      </c>
      <c r="M43" s="296" t="s">
        <v>1395</v>
      </c>
      <c r="O43" s="294" t="s">
        <v>1473</v>
      </c>
      <c r="P43" s="1371">
        <v>4</v>
      </c>
      <c r="Q43" s="1371">
        <v>5</v>
      </c>
      <c r="R43" s="1371">
        <v>1</v>
      </c>
      <c r="S43" s="1371">
        <v>2</v>
      </c>
      <c r="T43" s="1371">
        <v>3</v>
      </c>
      <c r="U43" s="1371">
        <v>1</v>
      </c>
      <c r="V43" s="1371">
        <v>1</v>
      </c>
      <c r="W43" s="1371">
        <v>1</v>
      </c>
      <c r="X43" s="1371">
        <v>2</v>
      </c>
      <c r="Y43" s="1371">
        <v>2</v>
      </c>
      <c r="Z43" s="1374">
        <v>1</v>
      </c>
      <c r="AB43" s="294"/>
      <c r="AC43" s="1370">
        <f t="shared" si="0"/>
        <v>2.0909090909090908</v>
      </c>
      <c r="AE43" s="294" t="s">
        <v>1446</v>
      </c>
      <c r="AF43" s="1370">
        <f>AVERAGE($P$16:$AB$16)</f>
        <v>3.5833333333333335</v>
      </c>
      <c r="AH43" s="594" t="s">
        <v>1470</v>
      </c>
      <c r="AI43" s="148">
        <v>2</v>
      </c>
      <c r="AK43" s="148" t="s">
        <v>1393</v>
      </c>
      <c r="AL43" s="295">
        <v>30</v>
      </c>
      <c r="AM43" s="148" t="s">
        <v>1320</v>
      </c>
      <c r="AN43" s="148">
        <v>31</v>
      </c>
      <c r="AP43" s="148"/>
    </row>
    <row r="44" spans="2:42">
      <c r="B44" s="294" t="s">
        <v>11</v>
      </c>
      <c r="C44" s="295" t="s">
        <v>1473</v>
      </c>
      <c r="D44" s="1375" t="s">
        <v>1309</v>
      </c>
      <c r="E44" s="149">
        <v>45</v>
      </c>
      <c r="F44" s="293" t="s">
        <v>1305</v>
      </c>
      <c r="G44" s="35" t="s">
        <v>1396</v>
      </c>
      <c r="H44">
        <v>47</v>
      </c>
      <c r="I44" s="72" t="s">
        <v>1298</v>
      </c>
      <c r="J44" s="148" t="s">
        <v>1308</v>
      </c>
      <c r="K44" s="296" t="s">
        <v>1356</v>
      </c>
      <c r="L44" s="148" t="s">
        <v>2723</v>
      </c>
      <c r="M44" s="296" t="s">
        <v>1397</v>
      </c>
      <c r="O44" s="294" t="s">
        <v>1474</v>
      </c>
      <c r="P44" s="1371">
        <v>1</v>
      </c>
      <c r="Q44" s="1371">
        <v>4</v>
      </c>
      <c r="R44" s="1371">
        <v>7</v>
      </c>
      <c r="S44" s="1371">
        <v>2</v>
      </c>
      <c r="T44" s="1371">
        <v>4</v>
      </c>
      <c r="U44" s="1371">
        <v>3</v>
      </c>
      <c r="V44" s="1371">
        <v>1</v>
      </c>
      <c r="W44" s="1371">
        <v>3</v>
      </c>
      <c r="X44" s="1371">
        <v>1</v>
      </c>
      <c r="Y44" s="1374">
        <v>1</v>
      </c>
      <c r="Z44" s="1371"/>
      <c r="AA44" s="1371"/>
      <c r="AB44" s="294"/>
      <c r="AC44" s="1370">
        <f t="shared" si="0"/>
        <v>2.7</v>
      </c>
      <c r="AE44" s="301" t="s">
        <v>1451</v>
      </c>
      <c r="AF44" s="1370">
        <f>AVERAGE($P$21:$AB$21)</f>
        <v>3.6153846153846154</v>
      </c>
      <c r="AH44" s="595" t="s">
        <v>1451</v>
      </c>
      <c r="AI44" s="148">
        <v>1</v>
      </c>
      <c r="AK44" s="148" t="s">
        <v>1309</v>
      </c>
      <c r="AL44" s="295">
        <v>45</v>
      </c>
      <c r="AM44" s="148" t="s">
        <v>1396</v>
      </c>
      <c r="AN44" s="148">
        <v>47</v>
      </c>
      <c r="AP44" s="148"/>
    </row>
    <row r="45" spans="2:42" ht="31.5">
      <c r="B45" s="294" t="s">
        <v>198</v>
      </c>
      <c r="C45" s="295" t="s">
        <v>1474</v>
      </c>
      <c r="D45" s="1375" t="s">
        <v>1398</v>
      </c>
      <c r="E45" s="149">
        <v>25</v>
      </c>
      <c r="F45" s="293" t="s">
        <v>1298</v>
      </c>
      <c r="G45" s="35" t="s">
        <v>1399</v>
      </c>
      <c r="H45">
        <v>26</v>
      </c>
      <c r="I45" s="72" t="s">
        <v>1305</v>
      </c>
      <c r="J45" s="148" t="s">
        <v>1324</v>
      </c>
      <c r="K45" s="296" t="s">
        <v>1370</v>
      </c>
      <c r="L45" s="148" t="s">
        <v>2735</v>
      </c>
      <c r="M45" s="296" t="s">
        <v>1400</v>
      </c>
      <c r="O45" s="294" t="s">
        <v>1475</v>
      </c>
      <c r="P45" s="1371">
        <v>3</v>
      </c>
      <c r="Q45" s="1371">
        <v>3</v>
      </c>
      <c r="R45" s="1371">
        <v>8</v>
      </c>
      <c r="S45" s="1371">
        <v>8</v>
      </c>
      <c r="T45" s="1371">
        <v>3</v>
      </c>
      <c r="U45" s="1371">
        <v>1</v>
      </c>
      <c r="V45" s="1371">
        <v>1</v>
      </c>
      <c r="W45" s="1371">
        <v>1</v>
      </c>
      <c r="X45" s="1371">
        <v>1</v>
      </c>
      <c r="Y45" s="1371">
        <v>2</v>
      </c>
      <c r="Z45" s="1371">
        <v>2</v>
      </c>
      <c r="AA45" s="1374">
        <v>1</v>
      </c>
      <c r="AB45" s="294"/>
      <c r="AC45" s="1370">
        <f t="shared" si="0"/>
        <v>2.8333333333333335</v>
      </c>
      <c r="AE45" s="294" t="s">
        <v>1469</v>
      </c>
      <c r="AF45" s="1370">
        <f>AVERAGE($P$39:$AB$39)</f>
        <v>4.083333333333333</v>
      </c>
      <c r="AH45" s="596" t="s">
        <v>1458</v>
      </c>
      <c r="AI45" s="148">
        <v>1</v>
      </c>
      <c r="AK45" s="148" t="s">
        <v>1398</v>
      </c>
      <c r="AL45" s="295">
        <v>25</v>
      </c>
      <c r="AM45" s="148" t="s">
        <v>1399</v>
      </c>
      <c r="AN45" s="148">
        <v>26</v>
      </c>
      <c r="AP45" s="148"/>
    </row>
    <row r="46" spans="2:42" ht="31.5">
      <c r="B46" s="294" t="s">
        <v>184</v>
      </c>
      <c r="C46" s="295" t="s">
        <v>1475</v>
      </c>
      <c r="D46" s="1375" t="s">
        <v>1401</v>
      </c>
      <c r="E46" s="149">
        <v>25</v>
      </c>
      <c r="F46" s="293" t="s">
        <v>1298</v>
      </c>
      <c r="G46" s="35" t="s">
        <v>1402</v>
      </c>
      <c r="H46">
        <v>27</v>
      </c>
      <c r="I46" s="72" t="s">
        <v>1298</v>
      </c>
      <c r="J46" s="148" t="s">
        <v>1328</v>
      </c>
      <c r="K46" s="296" t="s">
        <v>1403</v>
      </c>
      <c r="L46" s="148" t="s">
        <v>2730</v>
      </c>
      <c r="M46" s="296" t="s">
        <v>1404</v>
      </c>
      <c r="O46" s="294" t="s">
        <v>1476</v>
      </c>
      <c r="P46" s="1371">
        <v>2</v>
      </c>
      <c r="Q46" s="1371">
        <v>2</v>
      </c>
      <c r="R46" s="1371">
        <v>1</v>
      </c>
      <c r="S46" s="1371">
        <v>1</v>
      </c>
      <c r="T46" s="1371">
        <v>1</v>
      </c>
      <c r="U46" s="1371">
        <v>2</v>
      </c>
      <c r="V46" s="1371">
        <v>1</v>
      </c>
      <c r="W46" s="1371">
        <v>1</v>
      </c>
      <c r="X46" s="1371">
        <v>1</v>
      </c>
      <c r="Y46" s="1371">
        <v>3</v>
      </c>
      <c r="Z46" s="1373">
        <v>1</v>
      </c>
      <c r="AA46" s="1371"/>
      <c r="AB46" s="294"/>
      <c r="AC46" s="1370">
        <f t="shared" si="0"/>
        <v>1.4545454545454546</v>
      </c>
      <c r="AE46" s="294" t="s">
        <v>1456</v>
      </c>
      <c r="AF46" s="1370">
        <f>AVERAGE($P$26:$AB$26)</f>
        <v>4.333333333333333</v>
      </c>
      <c r="AH46" s="593" t="s">
        <v>1461</v>
      </c>
      <c r="AI46" s="148">
        <v>1</v>
      </c>
      <c r="AK46" s="148" t="s">
        <v>1401</v>
      </c>
      <c r="AL46" s="295">
        <v>25</v>
      </c>
      <c r="AM46" s="148" t="s">
        <v>1402</v>
      </c>
      <c r="AN46" s="148">
        <v>27</v>
      </c>
      <c r="AP46" s="148"/>
    </row>
    <row r="47" spans="2:42" ht="31.5">
      <c r="B47" s="294" t="s">
        <v>563</v>
      </c>
      <c r="C47" s="295" t="s">
        <v>1476</v>
      </c>
      <c r="D47" s="1375" t="s">
        <v>1405</v>
      </c>
      <c r="E47" s="149">
        <v>34</v>
      </c>
      <c r="F47" s="293" t="s">
        <v>1298</v>
      </c>
      <c r="G47" s="35" t="s">
        <v>1406</v>
      </c>
      <c r="H47">
        <v>34</v>
      </c>
      <c r="I47" s="72" t="s">
        <v>1298</v>
      </c>
      <c r="J47" s="148" t="s">
        <v>1324</v>
      </c>
      <c r="K47" s="296" t="s">
        <v>1407</v>
      </c>
      <c r="L47" s="296" t="s">
        <v>2741</v>
      </c>
      <c r="M47" s="296" t="s">
        <v>1408</v>
      </c>
      <c r="O47" s="294" t="s">
        <v>2015</v>
      </c>
      <c r="P47" s="1371">
        <v>1</v>
      </c>
      <c r="Q47" s="1371">
        <v>4</v>
      </c>
      <c r="R47" s="1371">
        <v>2</v>
      </c>
      <c r="S47" s="1371">
        <v>2</v>
      </c>
      <c r="T47" s="1371">
        <v>2</v>
      </c>
      <c r="U47" s="1371">
        <v>1</v>
      </c>
      <c r="V47" s="1371">
        <v>6</v>
      </c>
      <c r="W47" s="1371">
        <v>4</v>
      </c>
      <c r="X47" s="1371">
        <v>4</v>
      </c>
      <c r="Y47" s="1371">
        <v>1</v>
      </c>
      <c r="Z47" s="571">
        <v>1</v>
      </c>
      <c r="AA47" s="1374">
        <v>1</v>
      </c>
      <c r="AB47" s="294"/>
      <c r="AC47" s="1370">
        <f t="shared" si="0"/>
        <v>2.4166666666666665</v>
      </c>
      <c r="AE47" s="294" t="s">
        <v>1465</v>
      </c>
      <c r="AF47" s="1370">
        <f>AVERAGE($P$35:$AB$35)</f>
        <v>4.5</v>
      </c>
      <c r="AH47" s="604" t="s">
        <v>1465</v>
      </c>
      <c r="AI47" s="148">
        <v>1</v>
      </c>
      <c r="AK47" s="148" t="s">
        <v>1405</v>
      </c>
      <c r="AL47" s="295">
        <v>34</v>
      </c>
      <c r="AM47" s="148" t="s">
        <v>1406</v>
      </c>
      <c r="AN47" s="148">
        <v>34</v>
      </c>
      <c r="AP47" s="148"/>
    </row>
    <row r="48" spans="2:42">
      <c r="B48" s="294" t="s">
        <v>1742</v>
      </c>
      <c r="C48" s="295" t="s">
        <v>2015</v>
      </c>
      <c r="D48" s="1375" t="s">
        <v>2011</v>
      </c>
      <c r="E48" s="149">
        <v>28</v>
      </c>
      <c r="F48" s="293" t="s">
        <v>1298</v>
      </c>
      <c r="G48" s="35" t="s">
        <v>2012</v>
      </c>
      <c r="H48">
        <v>27</v>
      </c>
      <c r="I48" s="72" t="s">
        <v>1298</v>
      </c>
      <c r="J48" s="148" t="s">
        <v>1300</v>
      </c>
      <c r="K48" s="148" t="s">
        <v>1412</v>
      </c>
      <c r="L48" s="148" t="s">
        <v>2734</v>
      </c>
      <c r="M48" s="422" t="s">
        <v>2013</v>
      </c>
      <c r="O48" s="294" t="s">
        <v>2571</v>
      </c>
      <c r="P48" s="1371">
        <v>1</v>
      </c>
      <c r="Q48" s="1371">
        <v>1</v>
      </c>
      <c r="R48" s="1371">
        <v>2</v>
      </c>
      <c r="S48" s="1371">
        <v>5</v>
      </c>
      <c r="T48" s="1371">
        <v>3</v>
      </c>
      <c r="U48" s="1371">
        <v>2</v>
      </c>
      <c r="V48" s="1371">
        <v>2</v>
      </c>
      <c r="W48" s="1371">
        <v>1</v>
      </c>
      <c r="X48" s="1371">
        <v>1</v>
      </c>
      <c r="Y48" s="1371">
        <v>1</v>
      </c>
      <c r="Z48" s="571">
        <v>1</v>
      </c>
      <c r="AA48" s="1374">
        <v>1</v>
      </c>
      <c r="AB48" s="294"/>
      <c r="AC48" s="1370">
        <f t="shared" si="0"/>
        <v>1.75</v>
      </c>
      <c r="AE48" s="294" t="s">
        <v>1461</v>
      </c>
      <c r="AF48" s="1370">
        <f>AVERAGE($P$31:$AB$31)</f>
        <v>4.583333333333333</v>
      </c>
      <c r="AH48" s="741" t="s">
        <v>1467</v>
      </c>
      <c r="AI48" s="148">
        <v>1</v>
      </c>
      <c r="AK48" s="148" t="s">
        <v>2012</v>
      </c>
      <c r="AL48" s="295">
        <v>27</v>
      </c>
      <c r="AM48" s="148" t="s">
        <v>2011</v>
      </c>
      <c r="AN48" s="148">
        <v>28</v>
      </c>
    </row>
    <row r="49" spans="2:40">
      <c r="B49" s="294" t="s">
        <v>2056</v>
      </c>
      <c r="C49" s="295" t="s">
        <v>2571</v>
      </c>
      <c r="D49" s="1375" t="s">
        <v>2573</v>
      </c>
      <c r="E49" s="149">
        <v>27</v>
      </c>
      <c r="F49" s="293" t="s">
        <v>1298</v>
      </c>
      <c r="G49" s="35" t="s">
        <v>2572</v>
      </c>
      <c r="H49">
        <v>28</v>
      </c>
      <c r="I49" s="72" t="s">
        <v>1298</v>
      </c>
      <c r="J49" s="148" t="s">
        <v>1328</v>
      </c>
      <c r="K49" s="296" t="s">
        <v>2575</v>
      </c>
      <c r="L49" s="148" t="s">
        <v>2723</v>
      </c>
      <c r="M49" s="296" t="s">
        <v>2574</v>
      </c>
      <c r="AK49" s="148" t="s">
        <v>2573</v>
      </c>
      <c r="AL49" s="295">
        <v>27</v>
      </c>
      <c r="AM49" s="148" t="s">
        <v>2572</v>
      </c>
      <c r="AN49" s="148">
        <v>28</v>
      </c>
    </row>
    <row r="51" spans="2:40" ht="18.75">
      <c r="B51" s="69" t="s">
        <v>1482</v>
      </c>
      <c r="F51" s="35"/>
    </row>
    <row r="52" spans="2:40">
      <c r="B52" s="458" t="s">
        <v>1295</v>
      </c>
      <c r="C52" s="83" t="s">
        <v>1199</v>
      </c>
      <c r="D52" s="464" t="s">
        <v>1296</v>
      </c>
      <c r="E52" s="355" t="s">
        <v>1963</v>
      </c>
      <c r="F52" s="464" t="s">
        <v>1487</v>
      </c>
      <c r="G52" s="465" t="s">
        <v>1053</v>
      </c>
      <c r="H52" s="464" t="s">
        <v>1486</v>
      </c>
      <c r="I52" s="82" t="s">
        <v>1964</v>
      </c>
      <c r="J52" s="456" t="s">
        <v>2740</v>
      </c>
      <c r="K52" s="355" t="s">
        <v>2736</v>
      </c>
    </row>
    <row r="53" spans="2:40">
      <c r="B53" s="148" t="s">
        <v>1483</v>
      </c>
      <c r="C53">
        <f>COUNTIFS($F$11:$F$49, "Female",$I$11:$I$49,"Male")+COUNTIFS($F$11:$F$49, "Male",$I$11:$I$49,"Female")</f>
        <v>21</v>
      </c>
      <c r="D53" s="302" t="s">
        <v>1324</v>
      </c>
      <c r="E53">
        <f t="shared" ref="E53:E61" si="1">COUNTIF($J$11:$J$49,$D53)</f>
        <v>9</v>
      </c>
      <c r="F53" s="742" t="s">
        <v>1495</v>
      </c>
      <c r="G53" s="72"/>
      <c r="H53" t="s">
        <v>1340</v>
      </c>
      <c r="I53" s="72">
        <f t="shared" ref="I53:I65" si="2">COUNTIF($K$11:$K$49,"*"&amp;$H53&amp;"*")</f>
        <v>15</v>
      </c>
      <c r="J53" t="s">
        <v>2737</v>
      </c>
      <c r="K53">
        <f>COUNTIF(Table25[Team Color], "*Red*")-COUNTIF(Table25[Team Color], "Multicolored")</f>
        <v>1</v>
      </c>
    </row>
    <row r="54" spans="2:40">
      <c r="B54" s="148" t="s">
        <v>1484</v>
      </c>
      <c r="C54">
        <f>COUNTIFS($F11:$F49, "Male",$I$11:$I$49, "Male")-1</f>
        <v>14</v>
      </c>
      <c r="D54" s="302" t="s">
        <v>1300</v>
      </c>
      <c r="E54" s="72">
        <f t="shared" si="1"/>
        <v>8</v>
      </c>
      <c r="F54" s="90" t="s">
        <v>1497</v>
      </c>
      <c r="G54" s="305">
        <f>AVERAGE(E11:E49,H11:H49)</f>
        <v>29.987179487179485</v>
      </c>
      <c r="H54" t="s">
        <v>1505</v>
      </c>
      <c r="I54" s="72">
        <f t="shared" si="2"/>
        <v>10</v>
      </c>
      <c r="J54" t="s">
        <v>2725</v>
      </c>
      <c r="K54">
        <f>COUNTIF(Table25[Team Color], "*Orange*")</f>
        <v>1</v>
      </c>
    </row>
    <row r="55" spans="2:40">
      <c r="B55" s="148" t="s">
        <v>1485</v>
      </c>
      <c r="C55">
        <f>COUNTIFS($F$11:$F$49, "Female",$I$11:$I$49,"Female")</f>
        <v>3</v>
      </c>
      <c r="D55" s="302" t="s">
        <v>1328</v>
      </c>
      <c r="E55" s="72">
        <f t="shared" si="1"/>
        <v>8</v>
      </c>
      <c r="F55" s="90" t="s">
        <v>1492</v>
      </c>
      <c r="G55" s="305" cm="1">
        <f t="array" ref="G55">AVERAGE($E$11:$E$17+$H$11:$H$17,$E$20:$E$49+$H$20:$H$49,SUM($E$18:$E$19,$H$18:$H$19))</f>
        <v>61.55263157894737</v>
      </c>
      <c r="H55" t="s">
        <v>1513</v>
      </c>
      <c r="I55" s="72">
        <f t="shared" si="2"/>
        <v>7</v>
      </c>
      <c r="J55" t="s">
        <v>2730</v>
      </c>
      <c r="K55">
        <f>COUNTIF(Table25[Team Color], "*Yellow*")</f>
        <v>4</v>
      </c>
    </row>
    <row r="56" spans="2:40">
      <c r="D56" s="302" t="s">
        <v>1308</v>
      </c>
      <c r="E56" s="72">
        <f t="shared" si="1"/>
        <v>5</v>
      </c>
      <c r="F56" s="90" t="s">
        <v>1493</v>
      </c>
      <c r="G56" s="305">
        <f>AVERAGE(AN11:AN49)</f>
        <v>31.684210526315791</v>
      </c>
      <c r="H56" t="s">
        <v>1508</v>
      </c>
      <c r="I56" s="72">
        <f t="shared" si="2"/>
        <v>5</v>
      </c>
      <c r="J56" t="s">
        <v>2734</v>
      </c>
      <c r="K56">
        <f>COUNTIF(Table25[Team Color], "*Green*")</f>
        <v>2</v>
      </c>
    </row>
    <row r="57" spans="2:40">
      <c r="D57" s="302" t="s">
        <v>1312</v>
      </c>
      <c r="E57" s="72">
        <f t="shared" si="1"/>
        <v>3</v>
      </c>
      <c r="F57" s="90" t="s">
        <v>1494</v>
      </c>
      <c r="G57" s="305">
        <f>AVERAGE(AL11:AL49)</f>
        <v>28.736842105263158</v>
      </c>
      <c r="H57" t="s">
        <v>1506</v>
      </c>
      <c r="I57" s="72">
        <f t="shared" si="2"/>
        <v>5</v>
      </c>
      <c r="J57" t="s">
        <v>2723</v>
      </c>
      <c r="K57">
        <f>COUNTIF(Table25[Team Color], "*Blue*")</f>
        <v>11</v>
      </c>
    </row>
    <row r="58" spans="2:40">
      <c r="D58" s="302" t="s">
        <v>1350</v>
      </c>
      <c r="E58" s="72">
        <f t="shared" si="1"/>
        <v>2</v>
      </c>
      <c r="F58" s="35" t="s">
        <v>1496</v>
      </c>
      <c r="G58" s="72"/>
      <c r="H58" t="s">
        <v>1510</v>
      </c>
      <c r="I58" s="72">
        <f t="shared" si="2"/>
        <v>3</v>
      </c>
      <c r="J58" t="s">
        <v>2735</v>
      </c>
      <c r="K58">
        <f>COUNTIF(Table25[Team Color], "*Purple*")</f>
        <v>2</v>
      </c>
    </row>
    <row r="59" spans="2:40">
      <c r="D59" s="302" t="s">
        <v>1369</v>
      </c>
      <c r="E59" s="72">
        <f t="shared" si="1"/>
        <v>1</v>
      </c>
      <c r="F59" s="90" t="s">
        <v>1498</v>
      </c>
      <c r="G59" s="72" cm="1">
        <f t="array" ref="G59">MAX(ABS(E11:E49-H11:H49))</f>
        <v>37</v>
      </c>
      <c r="H59" t="s">
        <v>1514</v>
      </c>
      <c r="I59" s="72">
        <f t="shared" si="2"/>
        <v>3</v>
      </c>
      <c r="J59" t="s">
        <v>2738</v>
      </c>
      <c r="K59">
        <f>COUNTIF(Table25[Team Color], "*Pink*")</f>
        <v>1</v>
      </c>
    </row>
    <row r="60" spans="2:40">
      <c r="D60" s="302" t="s">
        <v>1363</v>
      </c>
      <c r="E60" s="72">
        <f t="shared" si="1"/>
        <v>1</v>
      </c>
      <c r="F60" s="90" t="s">
        <v>1499</v>
      </c>
      <c r="G60" s="72" cm="1">
        <f t="array" ref="G60">MIN(ABS(E11:E49-H11:H49))</f>
        <v>0</v>
      </c>
      <c r="H60" t="s">
        <v>1507</v>
      </c>
      <c r="I60" s="72">
        <f t="shared" si="2"/>
        <v>2</v>
      </c>
      <c r="J60" t="s">
        <v>2739</v>
      </c>
      <c r="K60">
        <f>COUNTIF(Table25[Team Color], "*Black*")+COUNTIF(Table25[Team Color], "*White*")-1</f>
        <v>2</v>
      </c>
    </row>
    <row r="61" spans="2:40">
      <c r="D61" s="302" t="s">
        <v>1382</v>
      </c>
      <c r="E61" s="72">
        <f t="shared" si="1"/>
        <v>1</v>
      </c>
      <c r="F61" s="90" t="s">
        <v>1490</v>
      </c>
      <c r="G61" s="72">
        <f>MAX($E$11:$E$49,$H$11:$H$49)</f>
        <v>59</v>
      </c>
      <c r="H61" t="s">
        <v>1511</v>
      </c>
      <c r="I61" s="72">
        <f t="shared" si="2"/>
        <v>2</v>
      </c>
      <c r="J61" t="s">
        <v>2729</v>
      </c>
      <c r="K61">
        <f>COUNTIF(Table25[Team Color], "*Camo*")</f>
        <v>1</v>
      </c>
    </row>
    <row r="62" spans="2:40">
      <c r="E62" s="72"/>
      <c r="F62" s="90" t="s">
        <v>1491</v>
      </c>
      <c r="G62" s="72" cm="1">
        <f t="array" ref="G62">MAX($E$11:$E$17+$H$11:$H$17,$E$20:$E$48+$H$20:$H$48)</f>
        <v>92</v>
      </c>
      <c r="H62" t="s">
        <v>1504</v>
      </c>
      <c r="I62" s="72">
        <f t="shared" si="2"/>
        <v>1</v>
      </c>
      <c r="J62" t="s">
        <v>2726</v>
      </c>
      <c r="K62">
        <f>COUNTIF(Table25[Team Color], "*Multicolored*")</f>
        <v>2</v>
      </c>
    </row>
    <row r="63" spans="2:40">
      <c r="F63" s="164" t="s">
        <v>1489</v>
      </c>
      <c r="G63" s="72">
        <f>MIN($E$11:$E$49,$H$11:$H$49)</f>
        <v>19</v>
      </c>
      <c r="H63" t="s">
        <v>1509</v>
      </c>
      <c r="I63" s="72">
        <f t="shared" si="2"/>
        <v>1</v>
      </c>
    </row>
    <row r="64" spans="2:40">
      <c r="F64" s="164" t="s">
        <v>1488</v>
      </c>
      <c r="G64" s="72" cm="1">
        <f t="array" ref="G64">MIN($E$11:$E$17+$H$11:$H$17,$E$20:$E$48+$H$20:$H$48)</f>
        <v>43</v>
      </c>
      <c r="H64" t="s">
        <v>1512</v>
      </c>
      <c r="I64" s="72">
        <f t="shared" si="2"/>
        <v>1</v>
      </c>
    </row>
    <row r="65" spans="2:73">
      <c r="E65" s="72"/>
      <c r="F65" s="90"/>
      <c r="G65" s="72"/>
      <c r="H65" t="s">
        <v>2576</v>
      </c>
      <c r="I65" s="72">
        <f t="shared" si="2"/>
        <v>1</v>
      </c>
    </row>
    <row r="66" spans="2:73">
      <c r="G66" s="148"/>
      <c r="I66" s="296"/>
      <c r="L66" s="26"/>
      <c r="AB66" s="26"/>
      <c r="AE66" s="26"/>
      <c r="AF66" s="26"/>
      <c r="AG66" s="26"/>
      <c r="AH66" s="26"/>
    </row>
    <row r="67" spans="2:73" ht="18.75">
      <c r="B67" s="451" t="s">
        <v>1520</v>
      </c>
      <c r="C67" s="26"/>
      <c r="D67" s="26"/>
      <c r="E67" s="26"/>
      <c r="F67" s="26"/>
      <c r="G67" s="452"/>
      <c r="H67" s="26"/>
      <c r="I67" s="453"/>
      <c r="J67" s="26"/>
      <c r="K67" s="26"/>
      <c r="L67" s="26"/>
      <c r="M67" s="26"/>
      <c r="N67" s="26"/>
      <c r="O67" s="26"/>
      <c r="P67" s="26"/>
      <c r="Q67" s="26"/>
      <c r="R67" s="26"/>
      <c r="S67" s="26"/>
      <c r="T67" s="26"/>
      <c r="U67" s="26"/>
      <c r="V67" s="26"/>
      <c r="W67" s="26"/>
      <c r="X67" s="26"/>
      <c r="Y67" s="26"/>
      <c r="Z67" s="26"/>
      <c r="AA67" s="26"/>
      <c r="AB67" s="531"/>
      <c r="AC67" s="26"/>
      <c r="AD67" s="26"/>
      <c r="AE67" s="531"/>
      <c r="AF67" s="26"/>
      <c r="AG67" s="26"/>
      <c r="AH67" s="26"/>
      <c r="AI67" s="26"/>
      <c r="AJ67" s="26"/>
      <c r="AK67" s="26"/>
      <c r="AM67" s="57"/>
      <c r="AN67" s="1600"/>
      <c r="AO67" s="1600"/>
      <c r="AP67" s="1600"/>
      <c r="AQ67" s="1600"/>
      <c r="AR67" s="1600"/>
      <c r="AS67" s="1600"/>
      <c r="AT67" s="1600"/>
      <c r="AU67" s="1600"/>
      <c r="AV67" s="1600"/>
      <c r="AW67" s="1600"/>
      <c r="AX67" s="1600"/>
      <c r="AY67" s="1600"/>
      <c r="AZ67" s="1600"/>
      <c r="BA67" s="1600"/>
      <c r="BB67" s="1600"/>
      <c r="BC67" s="1600"/>
      <c r="BD67" s="1600"/>
      <c r="BE67" s="1600"/>
      <c r="BN67" s="1600" t="s">
        <v>11</v>
      </c>
      <c r="BO67" s="1600"/>
      <c r="BP67" s="1600" t="s">
        <v>198</v>
      </c>
      <c r="BQ67" s="1600"/>
      <c r="BR67" s="1600" t="s">
        <v>184</v>
      </c>
      <c r="BS67" s="1600"/>
      <c r="BT67" s="1600" t="s">
        <v>563</v>
      </c>
      <c r="BU67" s="1600"/>
    </row>
    <row r="68" spans="2:73">
      <c r="B68" s="1759" t="s">
        <v>126</v>
      </c>
      <c r="C68" s="1759"/>
      <c r="D68" s="1759" t="s">
        <v>127</v>
      </c>
      <c r="E68" s="1759"/>
      <c r="F68" s="1759" t="s">
        <v>128</v>
      </c>
      <c r="G68" s="1759"/>
      <c r="H68" s="1759" t="s">
        <v>129</v>
      </c>
      <c r="I68" s="1759"/>
      <c r="J68" s="26"/>
      <c r="K68" s="26"/>
      <c r="L68" s="26"/>
      <c r="M68" s="26"/>
      <c r="N68" s="26"/>
      <c r="O68" s="26"/>
      <c r="P68" s="26"/>
      <c r="Q68" s="26"/>
      <c r="R68" s="26"/>
      <c r="S68" s="26"/>
      <c r="T68" s="26"/>
      <c r="U68" s="26"/>
      <c r="V68" s="26"/>
      <c r="W68" s="26"/>
      <c r="X68" s="26"/>
      <c r="Y68" s="26"/>
      <c r="Z68" s="26"/>
      <c r="AA68" s="26"/>
      <c r="AB68" s="26"/>
      <c r="AC68" s="26"/>
      <c r="AD68" s="26"/>
      <c r="AE68" s="26"/>
      <c r="AF68" s="1759"/>
      <c r="AG68" s="1759"/>
      <c r="AH68" s="531"/>
      <c r="AI68" s="26"/>
      <c r="AJ68" s="1759"/>
      <c r="AK68" s="1759"/>
      <c r="AL68" s="57"/>
    </row>
    <row r="69" spans="2:73">
      <c r="B69" s="26"/>
      <c r="C69" s="26"/>
      <c r="D69" s="26"/>
      <c r="E69" s="26"/>
      <c r="F69" s="26"/>
      <c r="G69" s="26"/>
      <c r="H69" s="26"/>
      <c r="I69" s="454"/>
      <c r="J69" s="26"/>
      <c r="K69" s="26"/>
      <c r="L69" s="26"/>
      <c r="M69" s="26"/>
      <c r="N69" s="26"/>
      <c r="O69" s="26"/>
      <c r="P69" s="26"/>
      <c r="Q69" s="26"/>
      <c r="R69" s="1759"/>
      <c r="S69" s="1759"/>
      <c r="T69" s="1759"/>
      <c r="U69" s="1759"/>
      <c r="V69" s="1759"/>
      <c r="W69" s="1759"/>
      <c r="X69" s="1759"/>
      <c r="Y69" s="1759"/>
      <c r="Z69" s="1759"/>
      <c r="AA69" s="1759"/>
      <c r="AB69" s="26"/>
      <c r="AC69" s="531"/>
      <c r="AD69" s="531"/>
      <c r="AE69" s="26"/>
      <c r="AF69" s="26"/>
      <c r="AG69" s="26"/>
      <c r="AH69" s="26"/>
      <c r="AI69" s="531"/>
      <c r="AJ69" s="26"/>
      <c r="AK69" s="26"/>
    </row>
    <row r="70" spans="2:73">
      <c r="B70" s="26"/>
      <c r="C70" s="26"/>
      <c r="D70" s="26"/>
      <c r="E70" s="26"/>
      <c r="F70" s="26"/>
      <c r="G70" s="26"/>
      <c r="H70" s="26"/>
      <c r="I70" s="453"/>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row>
    <row r="71" spans="2:73">
      <c r="B71" s="26"/>
      <c r="C71" s="26"/>
      <c r="D71" s="26"/>
      <c r="E71" s="26"/>
      <c r="F71" s="26"/>
      <c r="G71" s="26"/>
      <c r="H71" s="26"/>
      <c r="I71" s="453"/>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W71" s="1600" t="s">
        <v>35</v>
      </c>
      <c r="AX71" s="1600"/>
    </row>
    <row r="72" spans="2:73">
      <c r="B72" s="26"/>
      <c r="C72" s="26"/>
      <c r="D72" s="26"/>
      <c r="E72" s="26"/>
      <c r="F72" s="26"/>
      <c r="G72" s="26"/>
      <c r="H72" s="26"/>
      <c r="I72" s="452"/>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row>
    <row r="73" spans="2:73">
      <c r="B73" s="26"/>
      <c r="C73" s="26"/>
      <c r="D73" s="26"/>
      <c r="E73" s="26"/>
      <c r="F73" s="26"/>
      <c r="G73" s="26"/>
      <c r="H73" s="26"/>
      <c r="I73" s="452"/>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row>
    <row r="74" spans="2:73">
      <c r="B74" s="26"/>
      <c r="C74" s="26"/>
      <c r="D74" s="26"/>
      <c r="E74" s="26"/>
      <c r="F74" s="26"/>
      <c r="G74" s="26"/>
      <c r="H74" s="26"/>
      <c r="I74" s="452"/>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row>
    <row r="75" spans="2:73">
      <c r="B75" s="26"/>
      <c r="C75" s="26"/>
      <c r="D75" s="26"/>
      <c r="E75" s="26"/>
      <c r="F75" s="26"/>
      <c r="G75" s="26"/>
      <c r="H75" s="26"/>
      <c r="I75" s="452"/>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row>
    <row r="76" spans="2:73">
      <c r="B76" s="26"/>
      <c r="C76" s="26"/>
      <c r="D76" s="26"/>
      <c r="E76" s="26"/>
      <c r="F76" s="26"/>
      <c r="G76" s="26"/>
      <c r="H76" s="26"/>
      <c r="I76" s="453"/>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row>
    <row r="77" spans="2:73">
      <c r="B77" s="26"/>
      <c r="C77" s="26"/>
      <c r="D77" s="26"/>
      <c r="E77" s="26"/>
      <c r="F77" s="26"/>
      <c r="G77" s="26"/>
      <c r="H77" s="26"/>
      <c r="I77" s="452"/>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row>
    <row r="78" spans="2:73">
      <c r="B78" s="26"/>
      <c r="C78" s="26"/>
      <c r="D78" s="26"/>
      <c r="E78" s="26"/>
      <c r="F78" s="26"/>
      <c r="G78" s="26"/>
      <c r="H78" s="26"/>
      <c r="I78" s="453"/>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row>
    <row r="79" spans="2:73">
      <c r="B79" s="1760" t="s">
        <v>1441</v>
      </c>
      <c r="C79" s="1760"/>
      <c r="D79" s="1760" t="s">
        <v>1442</v>
      </c>
      <c r="E79" s="1760"/>
      <c r="F79" s="1760" t="s">
        <v>1443</v>
      </c>
      <c r="G79" s="1760"/>
      <c r="H79" s="1760" t="s">
        <v>1444</v>
      </c>
      <c r="I79" s="1760"/>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row>
    <row r="80" spans="2:73">
      <c r="B80" s="26"/>
      <c r="C80" s="26"/>
      <c r="D80" s="26"/>
      <c r="E80" s="26"/>
      <c r="F80" s="26"/>
      <c r="G80" s="26"/>
      <c r="H80" s="26"/>
      <c r="I80" s="453"/>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row>
    <row r="81" spans="2:37">
      <c r="B81" s="1759" t="s">
        <v>130</v>
      </c>
      <c r="C81" s="1759"/>
      <c r="D81" s="1759" t="s">
        <v>131</v>
      </c>
      <c r="E81" s="1759"/>
      <c r="F81" s="1759" t="s">
        <v>132</v>
      </c>
      <c r="G81" s="1759"/>
      <c r="H81" s="1759" t="s">
        <v>133</v>
      </c>
      <c r="I81" s="1759"/>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row>
    <row r="82" spans="2:37">
      <c r="B82" s="26"/>
      <c r="C82" s="26"/>
      <c r="D82" s="26"/>
      <c r="E82" s="26"/>
      <c r="F82" s="26"/>
      <c r="G82" s="26"/>
      <c r="H82" s="26"/>
      <c r="I82" s="453"/>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row>
    <row r="83" spans="2:37">
      <c r="B83" s="26"/>
      <c r="C83" s="26"/>
      <c r="D83" s="26"/>
      <c r="E83" s="26"/>
      <c r="F83" s="26"/>
      <c r="G83" s="26"/>
      <c r="H83" s="26"/>
      <c r="I83" s="453"/>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row>
    <row r="84" spans="2:37">
      <c r="B84" s="26"/>
      <c r="C84" s="26"/>
      <c r="D84" s="26"/>
      <c r="E84" s="26"/>
      <c r="F84" s="26"/>
      <c r="G84" s="26"/>
      <c r="H84" s="26"/>
      <c r="I84" s="453"/>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row>
    <row r="85" spans="2:37">
      <c r="B85" s="26"/>
      <c r="C85" s="26"/>
      <c r="D85" s="26"/>
      <c r="E85" s="26"/>
      <c r="F85" s="26"/>
      <c r="G85" s="26"/>
      <c r="H85" s="26"/>
      <c r="I85" s="453"/>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row>
    <row r="86" spans="2:37">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row>
    <row r="87" spans="2:37">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row>
    <row r="88" spans="2:37">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row>
    <row r="89" spans="2:37">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row>
    <row r="90" spans="2:37">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row>
    <row r="91" spans="2:37">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row>
    <row r="92" spans="2:37">
      <c r="B92" s="1760" t="s">
        <v>1445</v>
      </c>
      <c r="C92" s="1760"/>
      <c r="D92" s="1760" t="s">
        <v>1446</v>
      </c>
      <c r="E92" s="1760"/>
      <c r="F92" s="1760" t="s">
        <v>1447</v>
      </c>
      <c r="G92" s="1760"/>
      <c r="H92" s="1760" t="s">
        <v>1448</v>
      </c>
      <c r="I92" s="1760"/>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row>
    <row r="93" spans="2:37">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row>
    <row r="94" spans="2:37">
      <c r="B94" s="1759" t="s">
        <v>134</v>
      </c>
      <c r="C94" s="1759"/>
      <c r="D94" s="1759" t="s">
        <v>135</v>
      </c>
      <c r="E94" s="1759"/>
      <c r="F94" s="1759" t="s">
        <v>136</v>
      </c>
      <c r="G94" s="1759"/>
      <c r="H94" s="1759" t="s">
        <v>137</v>
      </c>
      <c r="I94" s="1759"/>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row>
    <row r="95" spans="2:37">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row>
    <row r="96" spans="2:37">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row>
    <row r="97" spans="2:37">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row>
    <row r="98" spans="2:37">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row>
    <row r="99" spans="2:37">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row>
    <row r="100" spans="2:37">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row>
    <row r="101" spans="2:37">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row>
    <row r="102" spans="2:37">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row>
    <row r="103" spans="2:37">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row>
    <row r="104" spans="2:37">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row>
    <row r="105" spans="2:37">
      <c r="B105" s="1760" t="s">
        <v>1449</v>
      </c>
      <c r="C105" s="1760"/>
      <c r="D105" s="1760" t="s">
        <v>1521</v>
      </c>
      <c r="E105" s="1760"/>
      <c r="F105" s="1760" t="s">
        <v>1451</v>
      </c>
      <c r="G105" s="1760"/>
      <c r="H105" s="1760" t="s">
        <v>1452</v>
      </c>
      <c r="I105" s="1760"/>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row>
    <row r="106" spans="2:37">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row>
    <row r="107" spans="2:37">
      <c r="B107" s="1759" t="s">
        <v>138</v>
      </c>
      <c r="C107" s="1759"/>
      <c r="D107" s="1759" t="s">
        <v>139</v>
      </c>
      <c r="E107" s="1759"/>
      <c r="F107" s="1759" t="s">
        <v>140</v>
      </c>
      <c r="G107" s="1759"/>
      <c r="H107" s="1759" t="s">
        <v>141</v>
      </c>
      <c r="I107" s="1759"/>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row>
    <row r="108" spans="2:37">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row>
    <row r="109" spans="2:37">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row>
    <row r="110" spans="2:37">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row>
    <row r="111" spans="2:37">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row>
    <row r="112" spans="2:37">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row>
    <row r="113" spans="2:37">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row>
    <row r="114" spans="2:37">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row>
    <row r="115" spans="2:37">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row>
    <row r="116" spans="2:37">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row>
    <row r="117" spans="2:37">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row>
    <row r="118" spans="2:37">
      <c r="B118" s="1760" t="s">
        <v>1453</v>
      </c>
      <c r="C118" s="1760"/>
      <c r="D118" s="1760" t="s">
        <v>1454</v>
      </c>
      <c r="E118" s="1760"/>
      <c r="F118" s="1760" t="s">
        <v>1455</v>
      </c>
      <c r="G118" s="1760"/>
      <c r="H118" s="1760" t="s">
        <v>1456</v>
      </c>
      <c r="I118" s="1760"/>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row>
    <row r="119" spans="2:37">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row>
    <row r="120" spans="2:37">
      <c r="B120" s="1759" t="s">
        <v>142</v>
      </c>
      <c r="C120" s="1759"/>
      <c r="D120" s="1759" t="s">
        <v>143</v>
      </c>
      <c r="E120" s="1759"/>
      <c r="F120" s="1759" t="s">
        <v>144</v>
      </c>
      <c r="G120" s="1759"/>
      <c r="H120" s="1759" t="s">
        <v>145</v>
      </c>
      <c r="I120" s="1759"/>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row>
    <row r="121" spans="2:37">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row>
    <row r="122" spans="2:37">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row>
    <row r="123" spans="2:37">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row>
    <row r="124" spans="2:37">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row>
    <row r="125" spans="2:37">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row>
    <row r="126" spans="2:37">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row>
    <row r="127" spans="2:37">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row>
    <row r="128" spans="2:37">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row>
    <row r="129" spans="2:37">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row>
    <row r="130" spans="2:37">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row>
    <row r="131" spans="2:37">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row>
    <row r="132" spans="2:37">
      <c r="B132" s="1760" t="s">
        <v>1457</v>
      </c>
      <c r="C132" s="1760"/>
      <c r="D132" s="1760" t="s">
        <v>1458</v>
      </c>
      <c r="E132" s="1760"/>
      <c r="F132" s="1760" t="s">
        <v>1459</v>
      </c>
      <c r="G132" s="1760"/>
      <c r="H132" s="1760" t="s">
        <v>1460</v>
      </c>
      <c r="I132" s="1760"/>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row>
    <row r="133" spans="2:37">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row>
    <row r="134" spans="2:37">
      <c r="B134" s="1759" t="s">
        <v>146</v>
      </c>
      <c r="C134" s="1759"/>
      <c r="D134" s="1759" t="s">
        <v>147</v>
      </c>
      <c r="E134" s="1759"/>
      <c r="F134" s="1759" t="s">
        <v>148</v>
      </c>
      <c r="G134" s="1759"/>
      <c r="H134" s="1759" t="s">
        <v>125</v>
      </c>
      <c r="I134" s="1759"/>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row>
    <row r="135" spans="2:37">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row>
    <row r="136" spans="2:37">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row>
    <row r="137" spans="2:37">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row>
    <row r="138" spans="2:37">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row>
    <row r="139" spans="2:37">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row>
    <row r="140" spans="2:37">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row>
    <row r="141" spans="2:37">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row>
    <row r="142" spans="2:37">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row>
    <row r="143" spans="2:37">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row>
    <row r="144" spans="2:37">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row>
    <row r="145" spans="2:37">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row>
    <row r="146" spans="2:37">
      <c r="B146" s="1760" t="s">
        <v>1461</v>
      </c>
      <c r="C146" s="1760"/>
      <c r="D146" s="1760" t="s">
        <v>1462</v>
      </c>
      <c r="E146" s="1760"/>
      <c r="F146" s="1760" t="s">
        <v>1463</v>
      </c>
      <c r="G146" s="1760"/>
      <c r="H146" s="1760" t="s">
        <v>1464</v>
      </c>
      <c r="I146" s="1760"/>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row>
    <row r="147" spans="2:37">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row>
    <row r="148" spans="2:37">
      <c r="B148" s="1759" t="s">
        <v>116</v>
      </c>
      <c r="C148" s="1759"/>
      <c r="D148" s="1759" t="s">
        <v>104</v>
      </c>
      <c r="E148" s="1759"/>
      <c r="F148" s="1759" t="s">
        <v>95</v>
      </c>
      <c r="G148" s="1759"/>
      <c r="H148" s="1759" t="s">
        <v>85</v>
      </c>
      <c r="I148" s="1759"/>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row>
    <row r="149" spans="2:37">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row>
    <row r="150" spans="2:37">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row>
    <row r="151" spans="2:37">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row>
    <row r="152" spans="2:37">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row>
    <row r="153" spans="2:37">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row>
    <row r="154" spans="2:37">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row>
    <row r="155" spans="2:37">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row>
    <row r="156" spans="2:37">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row>
    <row r="157" spans="2:37">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row>
    <row r="158" spans="2:37">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row>
    <row r="159" spans="2:37">
      <c r="B159" s="1760" t="s">
        <v>1465</v>
      </c>
      <c r="C159" s="1760"/>
      <c r="D159" s="1760" t="s">
        <v>1466</v>
      </c>
      <c r="E159" s="1760"/>
      <c r="F159" s="1760" t="s">
        <v>1467</v>
      </c>
      <c r="G159" s="1760"/>
      <c r="H159" s="1760" t="s">
        <v>1468</v>
      </c>
      <c r="I159" s="1762"/>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row>
    <row r="160" spans="2:37">
      <c r="B160" s="455"/>
      <c r="C160" s="455"/>
      <c r="D160" s="455"/>
      <c r="E160" s="455"/>
      <c r="F160" s="455"/>
      <c r="G160" s="455"/>
      <c r="H160" s="455"/>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row>
    <row r="161" spans="2:37">
      <c r="B161" s="1759" t="s">
        <v>66</v>
      </c>
      <c r="C161" s="1759"/>
      <c r="D161" s="1759" t="s">
        <v>65</v>
      </c>
      <c r="E161" s="1759"/>
      <c r="F161" s="1759" t="s">
        <v>60</v>
      </c>
      <c r="G161" s="1759"/>
      <c r="H161" s="1759" t="s">
        <v>35</v>
      </c>
      <c r="I161" s="1759"/>
      <c r="J161" s="1600"/>
      <c r="K161" s="1600"/>
      <c r="L161" s="1600"/>
      <c r="M161" s="1600"/>
      <c r="N161" s="1600"/>
      <c r="O161" s="1600"/>
      <c r="P161" s="26"/>
      <c r="Q161" s="26"/>
      <c r="R161" s="26"/>
      <c r="S161" s="26"/>
      <c r="T161" s="26"/>
      <c r="U161" s="26"/>
      <c r="V161" s="26"/>
      <c r="W161" s="26"/>
      <c r="X161" s="26"/>
      <c r="Y161" s="26"/>
      <c r="Z161" s="26"/>
      <c r="AA161" s="26"/>
      <c r="AB161" s="26"/>
      <c r="AC161" s="26"/>
      <c r="AD161" s="26"/>
      <c r="AE161" s="26"/>
      <c r="AF161" s="26"/>
      <c r="AG161" s="26"/>
      <c r="AH161" s="26"/>
      <c r="AI161" s="26"/>
      <c r="AJ161" s="26"/>
      <c r="AK161" s="26"/>
    </row>
    <row r="162" spans="2:37">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row>
    <row r="163" spans="2:37">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row>
    <row r="164" spans="2:37">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row>
    <row r="165" spans="2:37">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row>
    <row r="166" spans="2:37">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row>
    <row r="167" spans="2:37">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row>
    <row r="168" spans="2:37">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row>
    <row r="169" spans="2:37">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row>
    <row r="170" spans="2:37">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row>
    <row r="171" spans="2:37">
      <c r="B171" s="1760" t="s">
        <v>1469</v>
      </c>
      <c r="C171" s="1760"/>
      <c r="D171" s="1760" t="s">
        <v>1470</v>
      </c>
      <c r="E171" s="1760"/>
      <c r="F171" s="1760" t="s">
        <v>1471</v>
      </c>
      <c r="G171" s="1760"/>
      <c r="H171" s="1760" t="s">
        <v>1472</v>
      </c>
      <c r="I171" s="1762"/>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row>
    <row r="172" spans="2:37">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row>
    <row r="173" spans="2:37">
      <c r="B173" s="1759" t="s">
        <v>11</v>
      </c>
      <c r="C173" s="1759"/>
      <c r="D173" s="1759" t="s">
        <v>198</v>
      </c>
      <c r="E173" s="1759"/>
      <c r="F173" s="1759" t="s">
        <v>184</v>
      </c>
      <c r="G173" s="1759"/>
      <c r="H173" s="1759" t="s">
        <v>563</v>
      </c>
      <c r="I173" s="1759"/>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row>
    <row r="174" spans="2:37">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row>
    <row r="175" spans="2:37">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row>
    <row r="176" spans="2:37">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row>
    <row r="177" spans="2:38">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row>
    <row r="178" spans="2:38">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row>
    <row r="179" spans="2:38">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row>
    <row r="180" spans="2:38">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row>
    <row r="181" spans="2:38">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row>
    <row r="182" spans="2:38">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row>
    <row r="183" spans="2:38">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row>
    <row r="184" spans="2:38">
      <c r="B184" s="1760" t="s">
        <v>1473</v>
      </c>
      <c r="C184" s="1760"/>
      <c r="D184" s="1760" t="s">
        <v>1474</v>
      </c>
      <c r="E184" s="1760"/>
      <c r="F184" s="1760" t="s">
        <v>1475</v>
      </c>
      <c r="G184" s="1760"/>
      <c r="H184" s="1760" t="s">
        <v>1476</v>
      </c>
      <c r="I184" s="1760"/>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row>
    <row r="185" spans="2:38">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row>
    <row r="186" spans="2:38">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row>
    <row r="187" spans="2:38">
      <c r="B187" s="1759" t="s">
        <v>1742</v>
      </c>
      <c r="C187" s="1759"/>
      <c r="D187" s="1759" t="s">
        <v>2056</v>
      </c>
      <c r="E187" s="1759"/>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row>
    <row r="188" spans="2:38">
      <c r="C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row>
    <row r="189" spans="2:38">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row>
    <row r="190" spans="2:38">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row>
    <row r="191" spans="2:38">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row>
    <row r="192" spans="2:38">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row>
    <row r="193" spans="2:38">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row>
    <row r="194" spans="2:38">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row>
    <row r="195" spans="2:38">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row>
    <row r="196" spans="2:38">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row>
    <row r="197" spans="2:38">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row>
    <row r="198" spans="2:38">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row>
    <row r="199" spans="2:38">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row>
    <row r="200" spans="2:38">
      <c r="B200" s="1760" t="s">
        <v>2015</v>
      </c>
      <c r="C200" s="1760"/>
      <c r="D200" s="1760" t="s">
        <v>2577</v>
      </c>
      <c r="E200" s="1760"/>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row>
    <row r="201" spans="2:38">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row>
    <row r="202" spans="2:38">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row>
    <row r="203" spans="2:38">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row>
    <row r="204" spans="2:38">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row>
    <row r="205" spans="2:38">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row>
    <row r="206" spans="2:38">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row>
    <row r="207" spans="2:38">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row>
    <row r="208" spans="2:38">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row>
    <row r="209" spans="2:38">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row>
    <row r="210" spans="2:38">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row>
    <row r="211" spans="2:38">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row>
    <row r="212" spans="2:38">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row>
    <row r="213" spans="2:38">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row>
    <row r="214" spans="2:38">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row>
    <row r="215" spans="2:38">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row>
    <row r="216" spans="2:38">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row>
    <row r="217" spans="2:38">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row>
    <row r="218" spans="2:38">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row>
    <row r="219" spans="2:38">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row>
    <row r="220" spans="2:38">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row>
    <row r="221" spans="2:38">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row>
    <row r="222" spans="2:38">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row>
    <row r="223" spans="2:38">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row>
    <row r="224" spans="2:38">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row>
    <row r="225" spans="2:38">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row>
    <row r="226" spans="2:38">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row>
    <row r="227" spans="2:38">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row>
    <row r="228" spans="2:38">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row>
    <row r="229" spans="2:38">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row>
    <row r="230" spans="2:38">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row>
    <row r="231" spans="2:38">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row>
    <row r="232" spans="2:38">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row>
    <row r="233" spans="2:38">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row>
    <row r="234" spans="2:38">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row>
    <row r="235" spans="2:38">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row>
    <row r="236" spans="2:38">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row>
    <row r="237" spans="2:38">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row>
    <row r="238" spans="2:38">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row>
    <row r="239" spans="2:38">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row>
    <row r="240" spans="2:38">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row>
    <row r="241" spans="2:38">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row>
    <row r="242" spans="2:38">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row>
    <row r="243" spans="2:38">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row>
    <row r="244" spans="2:38">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row>
    <row r="245" spans="2:38">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row>
    <row r="246" spans="2:38">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row>
    <row r="247" spans="2:38">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row>
    <row r="248" spans="2:38">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row>
    <row r="249" spans="2:38">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row>
    <row r="250" spans="2:38">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row>
    <row r="251" spans="2:38">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row>
    <row r="252" spans="2:38">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row>
    <row r="253" spans="2:38">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row>
    <row r="254" spans="2:38">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row>
    <row r="255" spans="2:38">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row>
    <row r="256" spans="2:38">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row>
    <row r="257" spans="2:38">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row>
    <row r="258" spans="2:38">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row>
    <row r="259" spans="2:38">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row>
    <row r="260" spans="2:38">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row>
    <row r="261" spans="2:38">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row>
    <row r="262" spans="2:38">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row>
    <row r="263" spans="2:38">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row>
    <row r="264" spans="2:38">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row>
    <row r="265" spans="2:38">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row>
    <row r="266" spans="2:38">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row>
    <row r="267" spans="2:38">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row>
    <row r="268" spans="2:38">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row>
    <row r="269" spans="2:38">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row>
    <row r="270" spans="2:38">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row>
    <row r="271" spans="2:38">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row>
    <row r="272" spans="2:38">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row>
    <row r="273" spans="2:38">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row>
    <row r="274" spans="2:38">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row>
    <row r="275" spans="2:38">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row>
    <row r="276" spans="2:38">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row>
    <row r="277" spans="2:38">
      <c r="B277" s="26"/>
      <c r="C277" s="26"/>
      <c r="D277" s="26"/>
      <c r="E277" s="26"/>
      <c r="F277" s="26"/>
      <c r="G277" s="26"/>
      <c r="H277" s="26"/>
      <c r="I277" s="26"/>
      <c r="J277" s="26"/>
      <c r="K277" s="26"/>
      <c r="M277" s="26"/>
      <c r="N277" s="26"/>
      <c r="O277" s="26"/>
      <c r="P277" s="26"/>
      <c r="Q277" s="26"/>
      <c r="R277" s="26"/>
      <c r="S277" s="26"/>
      <c r="T277" s="26"/>
      <c r="U277" s="26"/>
      <c r="V277" s="26"/>
      <c r="W277" s="26"/>
      <c r="X277" s="26"/>
      <c r="Y277" s="26"/>
      <c r="Z277" s="26"/>
      <c r="AA277" s="26"/>
      <c r="AC277" s="26"/>
      <c r="AD277" s="26"/>
      <c r="AI277" s="26"/>
      <c r="AJ277" s="26"/>
      <c r="AK277" s="26"/>
      <c r="AL277" s="26"/>
    </row>
  </sheetData>
  <sortState xmlns:xlrd2="http://schemas.microsoft.com/office/spreadsheetml/2017/richdata2" ref="H53:I64">
    <sortCondition descending="1" ref="I64"/>
  </sortState>
  <mergeCells count="101">
    <mergeCell ref="B173:C173"/>
    <mergeCell ref="D173:E173"/>
    <mergeCell ref="F173:G173"/>
    <mergeCell ref="H173:I173"/>
    <mergeCell ref="B184:C184"/>
    <mergeCell ref="D184:E184"/>
    <mergeCell ref="F184:G184"/>
    <mergeCell ref="H184:I184"/>
    <mergeCell ref="B161:C161"/>
    <mergeCell ref="D161:E161"/>
    <mergeCell ref="F161:G161"/>
    <mergeCell ref="H161:I161"/>
    <mergeCell ref="B171:C171"/>
    <mergeCell ref="D171:E171"/>
    <mergeCell ref="F171:G171"/>
    <mergeCell ref="H171:I171"/>
    <mergeCell ref="F132:G132"/>
    <mergeCell ref="H132:I132"/>
    <mergeCell ref="B107:C107"/>
    <mergeCell ref="D107:E107"/>
    <mergeCell ref="F107:G107"/>
    <mergeCell ref="B159:C159"/>
    <mergeCell ref="D159:E159"/>
    <mergeCell ref="F159:G159"/>
    <mergeCell ref="H159:I159"/>
    <mergeCell ref="B134:C134"/>
    <mergeCell ref="D134:E134"/>
    <mergeCell ref="F134:G134"/>
    <mergeCell ref="H134:I134"/>
    <mergeCell ref="B146:C146"/>
    <mergeCell ref="D146:E146"/>
    <mergeCell ref="F146:G146"/>
    <mergeCell ref="H146:I146"/>
    <mergeCell ref="BT67:BU67"/>
    <mergeCell ref="F79:G79"/>
    <mergeCell ref="H79:I79"/>
    <mergeCell ref="B92:C92"/>
    <mergeCell ref="D92:E92"/>
    <mergeCell ref="F92:G92"/>
    <mergeCell ref="H92:I92"/>
    <mergeCell ref="L161:M161"/>
    <mergeCell ref="N161:O161"/>
    <mergeCell ref="AW71:AX71"/>
    <mergeCell ref="BN67:BO67"/>
    <mergeCell ref="BP67:BQ67"/>
    <mergeCell ref="BR67:BS67"/>
    <mergeCell ref="AV67:AW67"/>
    <mergeCell ref="AX67:AY67"/>
    <mergeCell ref="AZ67:BA67"/>
    <mergeCell ref="Z69:AA69"/>
    <mergeCell ref="AF68:AG68"/>
    <mergeCell ref="BB67:BC67"/>
    <mergeCell ref="BD67:BE67"/>
    <mergeCell ref="J161:K161"/>
    <mergeCell ref="AJ68:AK68"/>
    <mergeCell ref="AN67:AO67"/>
    <mergeCell ref="AP67:AQ67"/>
    <mergeCell ref="AR67:AS67"/>
    <mergeCell ref="AT67:AU67"/>
    <mergeCell ref="X69:Y69"/>
    <mergeCell ref="D81:E81"/>
    <mergeCell ref="F81:G81"/>
    <mergeCell ref="H81:I81"/>
    <mergeCell ref="R69:S69"/>
    <mergeCell ref="T69:U69"/>
    <mergeCell ref="V69:W69"/>
    <mergeCell ref="B4:E4"/>
    <mergeCell ref="B68:C68"/>
    <mergeCell ref="B79:C79"/>
    <mergeCell ref="D68:E68"/>
    <mergeCell ref="D79:E79"/>
    <mergeCell ref="F68:G68"/>
    <mergeCell ref="H68:I68"/>
    <mergeCell ref="B105:C105"/>
    <mergeCell ref="D105:E105"/>
    <mergeCell ref="F105:G105"/>
    <mergeCell ref="H105:I105"/>
    <mergeCell ref="D187:E187"/>
    <mergeCell ref="D200:E200"/>
    <mergeCell ref="B94:C94"/>
    <mergeCell ref="D94:E94"/>
    <mergeCell ref="F94:G94"/>
    <mergeCell ref="H94:I94"/>
    <mergeCell ref="B81:C81"/>
    <mergeCell ref="B187:C187"/>
    <mergeCell ref="B200:C200"/>
    <mergeCell ref="B120:C120"/>
    <mergeCell ref="D120:E120"/>
    <mergeCell ref="F120:G120"/>
    <mergeCell ref="H120:I120"/>
    <mergeCell ref="B132:C132"/>
    <mergeCell ref="D132:E132"/>
    <mergeCell ref="H107:I107"/>
    <mergeCell ref="B118:C118"/>
    <mergeCell ref="D118:E118"/>
    <mergeCell ref="F118:G118"/>
    <mergeCell ref="H118:I118"/>
    <mergeCell ref="B148:C148"/>
    <mergeCell ref="D148:E148"/>
    <mergeCell ref="F148:G148"/>
    <mergeCell ref="H148:I148"/>
  </mergeCells>
  <phoneticPr fontId="3" type="noConversion"/>
  <pageMargins left="0.7" right="0.7" top="0.75" bottom="0.75" header="0.3" footer="0.3"/>
  <drawing r:id="rId1"/>
  <tableParts count="6">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A06D-1714-4444-8636-0EEE07D0AC89}">
  <sheetPr codeName="Sheet18">
    <tabColor rgb="FFFFA000"/>
  </sheetPr>
  <dimension ref="B4:Y178"/>
  <sheetViews>
    <sheetView topLeftCell="F4" workbookViewId="0">
      <selection activeCell="Z10" sqref="Z10"/>
    </sheetView>
  </sheetViews>
  <sheetFormatPr defaultColWidth="11" defaultRowHeight="15.75"/>
  <cols>
    <col min="3" max="3" width="12" customWidth="1"/>
    <col min="5" max="5" width="12.875" customWidth="1"/>
    <col min="20" max="20" width="13.125" bestFit="1" customWidth="1"/>
    <col min="21" max="21" width="14.875" bestFit="1" customWidth="1"/>
    <col min="22" max="22" width="13.125" bestFit="1" customWidth="1"/>
    <col min="24" max="24" width="9.125" bestFit="1" customWidth="1"/>
    <col min="25" max="25" width="13.625" bestFit="1" customWidth="1"/>
  </cols>
  <sheetData>
    <row r="4" spans="2:25" ht="33.75">
      <c r="B4" s="1761" t="s">
        <v>1218</v>
      </c>
      <c r="C4" s="1761"/>
      <c r="D4" s="1761"/>
    </row>
    <row r="6" spans="2:25" ht="32.1" customHeight="1">
      <c r="B6" s="1701" t="s">
        <v>1669</v>
      </c>
      <c r="C6" s="1702"/>
      <c r="D6" s="1702"/>
      <c r="E6" s="1702"/>
      <c r="F6" s="1702"/>
      <c r="G6" s="1702"/>
      <c r="H6" s="1702"/>
      <c r="I6" s="1702"/>
      <c r="J6" s="1702"/>
      <c r="K6" s="1702"/>
      <c r="L6" s="1702"/>
      <c r="M6" s="1702"/>
    </row>
    <row r="8" spans="2:25" ht="18">
      <c r="B8" s="1764" t="s">
        <v>1570</v>
      </c>
      <c r="C8" s="1764"/>
      <c r="E8" s="382" t="s">
        <v>1589</v>
      </c>
      <c r="F8" s="383"/>
      <c r="L8" s="383" t="s">
        <v>1572</v>
      </c>
      <c r="M8" s="383"/>
    </row>
    <row r="9" spans="2:25" ht="15.95" customHeight="1">
      <c r="B9" s="317" t="s">
        <v>1110</v>
      </c>
      <c r="C9" s="83" t="s">
        <v>1571</v>
      </c>
      <c r="E9" s="1701" t="s">
        <v>2023</v>
      </c>
      <c r="F9" s="1701"/>
      <c r="G9" s="1701"/>
      <c r="H9" s="1701"/>
      <c r="I9" s="1701"/>
      <c r="J9" s="1701"/>
      <c r="L9" s="1701" t="s">
        <v>1573</v>
      </c>
      <c r="M9" s="1702"/>
      <c r="N9" s="1702"/>
      <c r="O9" s="1702"/>
      <c r="P9" s="1702"/>
      <c r="Q9" s="1702"/>
    </row>
    <row r="10" spans="2:25">
      <c r="B10" s="316" t="s">
        <v>10</v>
      </c>
      <c r="C10" s="33">
        <f>COUNTIF(Logs!L$9:L$1401, "Final Leg")</f>
        <v>1</v>
      </c>
      <c r="E10" s="1701"/>
      <c r="F10" s="1701"/>
      <c r="G10" s="1701"/>
      <c r="H10" s="1701"/>
      <c r="I10" s="1701"/>
      <c r="J10" s="1701"/>
      <c r="L10" s="1702"/>
      <c r="M10" s="1702"/>
      <c r="N10" s="1702"/>
      <c r="O10" s="1702"/>
      <c r="P10" s="1702"/>
      <c r="Q10" s="1702"/>
    </row>
    <row r="11" spans="2:25">
      <c r="B11" s="163" t="s">
        <v>36</v>
      </c>
      <c r="C11" s="33">
        <f>COUNTIF(Logs!M$10:M$1401, "Final Leg")</f>
        <v>5</v>
      </c>
      <c r="E11" s="1701"/>
      <c r="F11" s="1701"/>
      <c r="G11" s="1701"/>
      <c r="H11" s="1701"/>
      <c r="I11" s="1701"/>
      <c r="J11" s="1701"/>
      <c r="L11" s="83" t="s">
        <v>1213</v>
      </c>
      <c r="M11" s="83" t="s">
        <v>1214</v>
      </c>
      <c r="N11" s="83" t="s">
        <v>1206</v>
      </c>
      <c r="O11" s="380" t="s">
        <v>183</v>
      </c>
      <c r="P11" s="1763" t="s">
        <v>1575</v>
      </c>
      <c r="Q11" s="1763"/>
      <c r="R11" s="1763"/>
      <c r="S11" s="380" t="s">
        <v>329</v>
      </c>
      <c r="T11" s="1763" t="s">
        <v>2835</v>
      </c>
      <c r="U11" s="1763"/>
      <c r="V11" s="1763"/>
      <c r="W11" s="1763"/>
      <c r="X11" s="1763"/>
      <c r="Y11" s="1763"/>
    </row>
    <row r="12" spans="2:25">
      <c r="B12" s="163" t="s">
        <v>37</v>
      </c>
      <c r="C12" s="33">
        <f>COUNTIF(Logs!N$9:N$1401, "Final Leg")</f>
        <v>24</v>
      </c>
      <c r="E12" s="347" t="s">
        <v>0</v>
      </c>
      <c r="F12" s="83" t="s">
        <v>1571</v>
      </c>
      <c r="G12" s="82" t="s">
        <v>333</v>
      </c>
      <c r="H12" s="372" t="s">
        <v>1628</v>
      </c>
      <c r="I12" s="400" t="s">
        <v>1609</v>
      </c>
      <c r="L12" s="379" t="s">
        <v>1120</v>
      </c>
      <c r="M12">
        <v>40</v>
      </c>
      <c r="N12" s="162">
        <v>1.0555555555555556</v>
      </c>
      <c r="O12" s="164" t="s">
        <v>126</v>
      </c>
      <c r="P12" s="70" t="s">
        <v>1576</v>
      </c>
      <c r="Q12" t="s">
        <v>1515</v>
      </c>
      <c r="S12" s="732" t="s">
        <v>126</v>
      </c>
      <c r="T12" t="s">
        <v>2494</v>
      </c>
      <c r="U12" t="s">
        <v>2485</v>
      </c>
    </row>
    <row r="13" spans="2:25">
      <c r="B13" s="163" t="s">
        <v>344</v>
      </c>
      <c r="C13" s="33">
        <f>COUNTIF(Logs!O$9:O$1401, "Final Leg")</f>
        <v>8</v>
      </c>
      <c r="E13" s="353" t="s">
        <v>12</v>
      </c>
      <c r="F13" s="319">
        <v>245</v>
      </c>
      <c r="G13" s="399">
        <f>F13/37</f>
        <v>6.6216216216216219</v>
      </c>
      <c r="H13" s="41">
        <v>4.4008911339556498</v>
      </c>
      <c r="I13" s="392">
        <f>(G13-H13)/G13</f>
        <v>0.33537562466792231</v>
      </c>
      <c r="L13" s="379" t="s">
        <v>1115</v>
      </c>
      <c r="M13">
        <v>2</v>
      </c>
      <c r="N13" s="162">
        <v>5.5555555555555552E-2</v>
      </c>
      <c r="O13" s="164" t="s">
        <v>127</v>
      </c>
      <c r="P13" s="70" t="s">
        <v>1577</v>
      </c>
      <c r="Q13" t="s">
        <v>1576</v>
      </c>
      <c r="R13" t="s">
        <v>1516</v>
      </c>
      <c r="S13" s="578" t="s">
        <v>127</v>
      </c>
      <c r="T13" t="s">
        <v>2495</v>
      </c>
      <c r="U13" t="s">
        <v>2496</v>
      </c>
      <c r="V13" t="s">
        <v>2497</v>
      </c>
      <c r="W13" t="s">
        <v>2486</v>
      </c>
    </row>
    <row r="14" spans="2:25">
      <c r="E14" s="231" t="s">
        <v>14</v>
      </c>
      <c r="F14" s="8">
        <v>48</v>
      </c>
      <c r="G14" s="399">
        <f>F14/37</f>
        <v>1.2972972972972974</v>
      </c>
      <c r="H14" s="41">
        <v>1.0073831186734412</v>
      </c>
      <c r="I14" s="392">
        <f>(G14-H14)/G14</f>
        <v>0.22347551268922244</v>
      </c>
      <c r="L14" s="379" t="s">
        <v>1141</v>
      </c>
      <c r="M14">
        <v>1</v>
      </c>
      <c r="N14" s="162">
        <v>2.7777777777777776E-2</v>
      </c>
      <c r="O14" s="164" t="s">
        <v>128</v>
      </c>
      <c r="P14" s="70" t="s">
        <v>1577</v>
      </c>
      <c r="Q14" t="s">
        <v>1578</v>
      </c>
      <c r="S14" s="578" t="s">
        <v>128</v>
      </c>
      <c r="T14" t="s">
        <v>2498</v>
      </c>
      <c r="U14" t="s">
        <v>2499</v>
      </c>
      <c r="V14" t="s">
        <v>2487</v>
      </c>
    </row>
    <row r="15" spans="2:25">
      <c r="E15" s="354" t="s">
        <v>13</v>
      </c>
      <c r="F15" s="33">
        <v>13</v>
      </c>
      <c r="G15" s="399">
        <f>F15/37</f>
        <v>0.35135135135135137</v>
      </c>
      <c r="H15" s="41">
        <v>0.87585863956831689</v>
      </c>
      <c r="I15" s="392">
        <f>(G15-H15)/G15</f>
        <v>-1.4928284356944401</v>
      </c>
      <c r="L15" s="83" t="s">
        <v>1215</v>
      </c>
      <c r="M15" s="83" t="s">
        <v>1214</v>
      </c>
      <c r="N15" s="83" t="s">
        <v>1206</v>
      </c>
      <c r="O15" s="164" t="s">
        <v>129</v>
      </c>
      <c r="P15" s="381" t="s">
        <v>1577</v>
      </c>
      <c r="Q15" s="58" t="s">
        <v>1579</v>
      </c>
      <c r="S15" s="578" t="s">
        <v>129</v>
      </c>
      <c r="T15" t="s">
        <v>2500</v>
      </c>
      <c r="U15" t="s">
        <v>2501</v>
      </c>
      <c r="V15" t="s">
        <v>2502</v>
      </c>
      <c r="W15" t="s">
        <v>2488</v>
      </c>
    </row>
    <row r="16" spans="2:25">
      <c r="G16" s="281"/>
      <c r="H16" s="281"/>
      <c r="I16" s="56"/>
      <c r="L16" s="375" t="s">
        <v>266</v>
      </c>
      <c r="M16">
        <v>36</v>
      </c>
      <c r="N16" s="162">
        <v>1</v>
      </c>
      <c r="O16" s="164" t="s">
        <v>130</v>
      </c>
      <c r="P16" s="70" t="s">
        <v>1518</v>
      </c>
      <c r="S16" s="578" t="s">
        <v>130</v>
      </c>
      <c r="T16" t="s">
        <v>2503</v>
      </c>
      <c r="U16" t="s">
        <v>2489</v>
      </c>
    </row>
    <row r="17" spans="2:25" ht="18">
      <c r="B17" s="383" t="s">
        <v>1590</v>
      </c>
      <c r="C17" s="383"/>
      <c r="L17" s="375" t="s">
        <v>311</v>
      </c>
      <c r="M17">
        <v>2</v>
      </c>
      <c r="N17" s="162">
        <v>5.5555555555555552E-2</v>
      </c>
      <c r="O17" s="164" t="s">
        <v>131</v>
      </c>
      <c r="P17" s="70" t="s">
        <v>1577</v>
      </c>
      <c r="Q17" t="s">
        <v>1580</v>
      </c>
      <c r="S17" s="578" t="s">
        <v>131</v>
      </c>
      <c r="T17" t="s">
        <v>2498</v>
      </c>
      <c r="U17" t="s">
        <v>2490</v>
      </c>
    </row>
    <row r="18" spans="2:25">
      <c r="B18" s="1780" t="s">
        <v>1591</v>
      </c>
      <c r="C18" s="1781"/>
      <c r="D18" s="83" t="s">
        <v>1571</v>
      </c>
      <c r="E18" s="355" t="s">
        <v>1592</v>
      </c>
      <c r="L18" s="375" t="s">
        <v>1200</v>
      </c>
      <c r="M18">
        <v>1</v>
      </c>
      <c r="N18" s="162">
        <v>2.7777777777777776E-2</v>
      </c>
      <c r="O18" s="164" t="s">
        <v>132</v>
      </c>
      <c r="P18" s="70" t="s">
        <v>1517</v>
      </c>
      <c r="S18" s="578" t="s">
        <v>132</v>
      </c>
      <c r="T18" t="s">
        <v>2504</v>
      </c>
      <c r="U18" t="s">
        <v>2505</v>
      </c>
      <c r="V18" t="s">
        <v>2506</v>
      </c>
      <c r="W18" t="s">
        <v>2507</v>
      </c>
      <c r="X18" t="s">
        <v>2491</v>
      </c>
      <c r="Y18" t="s">
        <v>2508</v>
      </c>
    </row>
    <row r="19" spans="2:25">
      <c r="B19" s="1769" t="s">
        <v>25</v>
      </c>
      <c r="C19" s="1770"/>
      <c r="D19">
        <f>COUNTIF(Logs!$AC$9:'Logs'!$AC$649,  "*"&amp;B19&amp;"*")+ COUNTIF(Logs!$AB$100:'Logs'!$AB$112,  "*"&amp;B19&amp;"*") + COUNTIF(Logs!$AB$139:'Logs'!$AB$150,  "*"&amp;B19&amp;"*")+ COUNTIF(Logs!$AB$177:'Logs'!$AB$189,  "*"&amp;B19&amp;"*") + COUNTIF(Logs!$AA$213:'Logs'!$AA$242,  "*"&amp;B19&amp;"*") + COUNTIF(Logs!$AB$250:'Logs'!$AB$564,  "*"&amp;B19&amp;"*") + COUNTIF(Logs!$AA$572:'Logs'!$AA$600,  "*"&amp;B19&amp;"*") + COUNTIF(Logs!$Z$607:'Logs'!$Z$616,  "*"&amp;B19&amp;"*")+ COUNTIF(Logs!$AB$623:'Logs'!$AB$632,  "*"&amp;B19&amp;"*") + COUNTIF(Logs!$AA$640:'Logs'!$AA$649,  "*"&amp;B19&amp;"*")+ COUNTIF(Logs!$AB$665:'Logs'!$AB$663,  "*"&amp;B19&amp;"*")+COUNTIF(Logs!$AB$671:'Logs'!$AB$681,  "*"&amp;B19&amp;"*")</f>
        <v>27</v>
      </c>
      <c r="E19" s="143">
        <f>D19/37</f>
        <v>0.72972972972972971</v>
      </c>
      <c r="L19" s="375" t="s">
        <v>1219</v>
      </c>
      <c r="M19">
        <v>1</v>
      </c>
      <c r="N19" s="162">
        <v>2.7777777777777776E-2</v>
      </c>
      <c r="O19" s="164" t="s">
        <v>133</v>
      </c>
      <c r="P19" s="70" t="s">
        <v>1515</v>
      </c>
      <c r="S19" s="578" t="s">
        <v>133</v>
      </c>
      <c r="T19" t="s">
        <v>2509</v>
      </c>
      <c r="U19" t="s">
        <v>2510</v>
      </c>
      <c r="V19" t="s">
        <v>2511</v>
      </c>
      <c r="W19" t="s">
        <v>2492</v>
      </c>
    </row>
    <row r="20" spans="2:25">
      <c r="B20" s="1771" t="s">
        <v>28</v>
      </c>
      <c r="C20" s="1772"/>
      <c r="D20">
        <f>COUNTIF(Logs!$AC$9:'Logs'!$AC$649,  "*"&amp;B20&amp;"*")+ COUNTIF(Logs!$AB$100:'Logs'!$AB$112,  "*"&amp;B20&amp;"*") + COUNTIF(Logs!$AB$139:'Logs'!$AB$150,  "*"&amp;B20&amp;"*")+ COUNTIF(Logs!$AB$177:'Logs'!$AB$189,  "*"&amp;B20&amp;"*") + COUNTIF(Logs!$AA$213:'Logs'!$AA$242,  "*"&amp;B20&amp;"*") + COUNTIF(Logs!$AB$250:'Logs'!$AB$564,  "*"&amp;B20&amp;"*") + COUNTIF(Logs!$AA$572:'Logs'!$AA$600,  "*"&amp;B20&amp;"*") + COUNTIF(Logs!$Z$607:'Logs'!$Z$616,  "*"&amp;B20&amp;"*")+ COUNTIF(Logs!$AB$623:'Logs'!$AB$632,  "*"&amp;B20&amp;"*") + COUNTIF(Logs!$AA$640:'Logs'!$AA$649,  "*"&amp;B20&amp;"*")+ COUNTIF(Logs!$AB$665:'Logs'!$AB$663,  "*"&amp;B20&amp;"*")+COUNTIF(Logs!$AB$671:'Logs'!$AB$681,  "*"&amp;B20&amp;"*")</f>
        <v>24</v>
      </c>
      <c r="E20" s="143">
        <f t="shared" ref="E20:E39" si="0">D20/37</f>
        <v>0.64864864864864868</v>
      </c>
      <c r="F20" s="12"/>
      <c r="L20" s="375" t="s">
        <v>270</v>
      </c>
      <c r="M20">
        <v>1</v>
      </c>
      <c r="N20" s="162">
        <v>2.7777777777777776E-2</v>
      </c>
      <c r="O20" s="164" t="s">
        <v>134</v>
      </c>
      <c r="P20" s="70" t="s">
        <v>1576</v>
      </c>
      <c r="Q20" t="s">
        <v>1581</v>
      </c>
      <c r="S20" s="578" t="s">
        <v>134</v>
      </c>
      <c r="T20" t="s">
        <v>2512</v>
      </c>
      <c r="U20" t="s">
        <v>2513</v>
      </c>
      <c r="V20" t="s">
        <v>2493</v>
      </c>
    </row>
    <row r="21" spans="2:25">
      <c r="B21" s="1618" t="s">
        <v>26</v>
      </c>
      <c r="C21" s="1773"/>
      <c r="D21">
        <f>COUNTIF(Logs!$AC$9:'Logs'!$AC$649,  "*"&amp;B21&amp;"*")+ COUNTIF(Logs!$AB$100:'Logs'!$AB$112,  "*"&amp;B21&amp;"*") + COUNTIF(Logs!$AB$139:'Logs'!$AB$150,  "*"&amp;B21&amp;"*")+ COUNTIF(Logs!$AB$177:'Logs'!$AB$189,  "*"&amp;B21&amp;"*") + COUNTIF(Logs!$AA$213:'Logs'!$AA$242,  "*"&amp;B21&amp;"*") + COUNTIF(Logs!$AB$250:'Logs'!$AB$564,  "*"&amp;B21&amp;"*") + COUNTIF(Logs!$AA$572:'Logs'!$AA$600,  "*"&amp;B21&amp;"*") + COUNTIF(Logs!$Z$607:'Logs'!$Z$616,  "*"&amp;B21&amp;"*")+ COUNTIF(Logs!$AB$623:'Logs'!$AB$632,  "*"&amp;B21&amp;"*") + COUNTIF(Logs!$AA$640:'Logs'!$AA$649,  "*"&amp;B21&amp;"*")+ COUNTIF(Logs!$AB$665:'Logs'!$AB$663,  "*"&amp;B21&amp;"*")+COUNTIF(Logs!$AB$671:'Logs'!$AB$681,  "*"&amp;B21&amp;"*")</f>
        <v>23</v>
      </c>
      <c r="E21" s="143">
        <f t="shared" si="0"/>
        <v>0.6216216216216216</v>
      </c>
      <c r="L21" s="83" t="s">
        <v>1574</v>
      </c>
      <c r="M21" s="83" t="s">
        <v>1214</v>
      </c>
      <c r="N21" s="83" t="s">
        <v>1206</v>
      </c>
      <c r="O21" s="164" t="s">
        <v>135</v>
      </c>
      <c r="P21" s="381" t="s">
        <v>1515</v>
      </c>
      <c r="S21" s="578" t="s">
        <v>135</v>
      </c>
      <c r="T21" t="s">
        <v>2514</v>
      </c>
      <c r="U21" t="s">
        <v>2515</v>
      </c>
      <c r="V21" t="s">
        <v>2516</v>
      </c>
      <c r="W21" t="s">
        <v>2514</v>
      </c>
      <c r="X21" t="s">
        <v>2485</v>
      </c>
      <c r="Y21" t="s">
        <v>2517</v>
      </c>
    </row>
    <row r="22" spans="2:25">
      <c r="B22" s="1774" t="s">
        <v>21</v>
      </c>
      <c r="C22" s="1775"/>
      <c r="D22">
        <f>COUNTIF(Logs!$AC$9:'Logs'!$AC$649,  "*"&amp;B22&amp;"*")+ COUNTIF(Logs!$AB$100:'Logs'!$AB$112,  "*"&amp;B22&amp;"*") + COUNTIF(Logs!$AB$139:'Logs'!$AB$150,  "*"&amp;B22&amp;"*")+ COUNTIF(Logs!$AB$177:'Logs'!$AB$189,  "*"&amp;B22&amp;"*") + COUNTIF(Logs!$AA$213:'Logs'!$AA$242,  "*"&amp;B22&amp;"*") + COUNTIF(Logs!$AB$250:'Logs'!$AB$564,  "*"&amp;B22&amp;"*") + COUNTIF(Logs!$AA$572:'Logs'!$AA$600,  "*"&amp;B22&amp;"*") + COUNTIF(Logs!$Z$607:'Logs'!$Z$616,  "*"&amp;B22&amp;"*")+ COUNTIF(Logs!$AB$623:'Logs'!$AB$632,  "*"&amp;B22&amp;"*") + COUNTIF(Logs!$AA$640:'Logs'!$AA$649,  "*"&amp;B22&amp;"*")+ COUNTIF(Logs!$AB$665:'Logs'!$AB$663,  "*"&amp;B22&amp;"*")+COUNTIF(Logs!$AB$671:'Logs'!$AB$681,  "*"&amp;B22&amp;"*")</f>
        <v>20</v>
      </c>
      <c r="E22" s="143">
        <f t="shared" si="0"/>
        <v>0.54054054054054057</v>
      </c>
      <c r="F22" s="12"/>
      <c r="L22" s="375" t="s">
        <v>1516</v>
      </c>
      <c r="M22">
        <f t="shared" ref="M22:M40" si="1">COUNTIF($P$12:$R$49,L22)</f>
        <v>8</v>
      </c>
      <c r="N22" s="162">
        <f t="shared" ref="N22:N40" si="2">M22/37</f>
        <v>0.21621621621621623</v>
      </c>
      <c r="O22" s="164" t="s">
        <v>136</v>
      </c>
      <c r="P22" s="70" t="s">
        <v>1577</v>
      </c>
      <c r="Q22" t="s">
        <v>1516</v>
      </c>
      <c r="S22" s="578" t="s">
        <v>136</v>
      </c>
      <c r="T22" t="s">
        <v>2498</v>
      </c>
      <c r="U22" t="s">
        <v>2518</v>
      </c>
      <c r="V22" t="s">
        <v>2486</v>
      </c>
    </row>
    <row r="23" spans="2:25">
      <c r="B23" s="1785" t="s">
        <v>44</v>
      </c>
      <c r="C23" s="1786"/>
      <c r="D23">
        <f>COUNTIF(Logs!$AC$9:'Logs'!$AC$649,  "*"&amp;B23&amp;"*")+ COUNTIF(Logs!$AB$100:'Logs'!$AB$112,  "*"&amp;B23&amp;"*") + COUNTIF(Logs!$AB$139:'Logs'!$AB$150,  "*"&amp;B23&amp;"*")+ COUNTIF(Logs!$AB$177:'Logs'!$AB$189,  "*"&amp;B23&amp;"*") + COUNTIF(Logs!$AA$213:'Logs'!$AA$242,  "*"&amp;B23&amp;"*") + COUNTIF(Logs!$AB$250:'Logs'!$AB$564,  "*"&amp;B23&amp;"*") + COUNTIF(Logs!$AA$572:'Logs'!$AA$600,  "*"&amp;B23&amp;"*") + COUNTIF(Logs!$Z$607:'Logs'!$Z$616,  "*"&amp;B23&amp;"*")+ COUNTIF(Logs!$AB$623:'Logs'!$AB$632,  "*"&amp;B23&amp;"*") + COUNTIF(Logs!$AA$640:'Logs'!$AA$649,  "*"&amp;B23&amp;"*")+ COUNTIF(Logs!$AB$665:'Logs'!$AB$663,  "*"&amp;B23&amp;"*")+COUNTIF(Logs!$AB$671:'Logs'!$AB$681,  "*"&amp;B23&amp;"*")</f>
        <v>17</v>
      </c>
      <c r="E23" s="143">
        <f t="shared" si="0"/>
        <v>0.45945945945945948</v>
      </c>
      <c r="L23" s="375" t="s">
        <v>1577</v>
      </c>
      <c r="M23">
        <f t="shared" si="1"/>
        <v>7</v>
      </c>
      <c r="N23" s="162">
        <f t="shared" si="2"/>
        <v>0.1891891891891892</v>
      </c>
      <c r="O23" s="164" t="s">
        <v>137</v>
      </c>
      <c r="P23" s="70" t="s">
        <v>1576</v>
      </c>
      <c r="S23" s="578" t="s">
        <v>137</v>
      </c>
      <c r="T23" t="s">
        <v>2512</v>
      </c>
      <c r="U23" t="s">
        <v>2519</v>
      </c>
    </row>
    <row r="24" spans="2:25">
      <c r="B24" s="1783" t="s">
        <v>24</v>
      </c>
      <c r="C24" s="1784"/>
      <c r="D24">
        <f>COUNTIF(Logs!$AC$9:'Logs'!$AC$649,  "*"&amp;B24&amp;"*")+ COUNTIF(Logs!$AB$100:'Logs'!$AB$112,  "*"&amp;B24&amp;"*") + COUNTIF(Logs!$AB$139:'Logs'!$AB$150,  "*"&amp;B24&amp;"*")+ COUNTIF(Logs!$AB$177:'Logs'!$AB$189,  "*"&amp;B24&amp;"*") + COUNTIF(Logs!$AA$213:'Logs'!$AA$242,  "*"&amp;B24&amp;"*") + COUNTIF(Logs!$AB$250:'Logs'!$AB$564,  "*"&amp;B24&amp;"*") + COUNTIF(Logs!$AA$572:'Logs'!$AA$600,  "*"&amp;B24&amp;"*") + COUNTIF(Logs!$Z$607:'Logs'!$Z$616,  "*"&amp;B24&amp;"*")+ COUNTIF(Logs!$AB$623:'Logs'!$AB$632,  "*"&amp;B24&amp;"*") + COUNTIF(Logs!$AA$640:'Logs'!$AA$649,  "*"&amp;B24&amp;"*")+ COUNTIF(Logs!$AB$665:'Logs'!$AB$663,  "*"&amp;B24&amp;"*")+COUNTIF(Logs!$AB$671:'Logs'!$AB$681,  "*"&amp;B24&amp;"*")</f>
        <v>14</v>
      </c>
      <c r="E24" s="143">
        <f t="shared" si="0"/>
        <v>0.3783783783783784</v>
      </c>
      <c r="F24" s="12"/>
      <c r="L24" s="375" t="s">
        <v>1515</v>
      </c>
      <c r="M24">
        <f t="shared" si="1"/>
        <v>6</v>
      </c>
      <c r="N24" s="162">
        <f t="shared" si="2"/>
        <v>0.16216216216216217</v>
      </c>
      <c r="O24" s="164" t="s">
        <v>138</v>
      </c>
      <c r="P24" s="70" t="s">
        <v>1582</v>
      </c>
      <c r="S24" s="578" t="s">
        <v>138</v>
      </c>
      <c r="T24" t="s">
        <v>2520</v>
      </c>
      <c r="U24" t="s">
        <v>2521</v>
      </c>
      <c r="V24" t="s">
        <v>2522</v>
      </c>
    </row>
    <row r="25" spans="2:25">
      <c r="B25" s="1614" t="s">
        <v>20</v>
      </c>
      <c r="C25" s="1782"/>
      <c r="D25">
        <f>COUNTIF(Logs!$AC$9:'Logs'!$AC$649,  "*"&amp;B25&amp;"*")+ COUNTIF(Logs!$AB$100:'Logs'!$AB$112,  "*"&amp;B25&amp;"*") + COUNTIF(Logs!$AB$139:'Logs'!$AB$150,  "*"&amp;B25&amp;"*")+ COUNTIF(Logs!$AB$177:'Logs'!$AB$189,  "*"&amp;B25&amp;"*") + COUNTIF(Logs!$AA$213:'Logs'!$AA$242,  "*"&amp;B25&amp;"*") + COUNTIF(Logs!$AB$250:'Logs'!$AB$564,  "*"&amp;B25&amp;"*") + COUNTIF(Logs!$AA$572:'Logs'!$AA$600,  "*"&amp;B25&amp;"*") + COUNTIF(Logs!$Z$607:'Logs'!$Z$616,  "*"&amp;B25&amp;"*")+ COUNTIF(Logs!$AB$623:'Logs'!$AB$632,  "*"&amp;B25&amp;"*") + COUNTIF(Logs!$AA$640:'Logs'!$AA$649,  "*"&amp;B25&amp;"*")+ COUNTIF(Logs!$AB$665:'Logs'!$AB$663,  "*"&amp;B25&amp;"*")+COUNTIF(Logs!$AB$671:'Logs'!$AB$681,  "*"&amp;B25&amp;"*")</f>
        <v>15</v>
      </c>
      <c r="E25" s="143">
        <f t="shared" si="0"/>
        <v>0.40540540540540543</v>
      </c>
      <c r="F25" s="12"/>
      <c r="L25" s="375" t="s">
        <v>1576</v>
      </c>
      <c r="M25">
        <f t="shared" si="1"/>
        <v>5</v>
      </c>
      <c r="N25" s="162">
        <f t="shared" si="2"/>
        <v>0.13513513513513514</v>
      </c>
      <c r="O25" s="164" t="s">
        <v>139</v>
      </c>
      <c r="P25" s="70" t="s">
        <v>1577</v>
      </c>
      <c r="S25" s="578" t="s">
        <v>139</v>
      </c>
      <c r="T25" t="s">
        <v>2523</v>
      </c>
      <c r="U25" t="s">
        <v>2524</v>
      </c>
      <c r="V25" t="s">
        <v>2526</v>
      </c>
      <c r="W25" t="s">
        <v>2525</v>
      </c>
    </row>
    <row r="26" spans="2:25">
      <c r="B26" s="1626" t="s">
        <v>22</v>
      </c>
      <c r="C26" s="1799"/>
      <c r="D26">
        <f>COUNTIF(Logs!$AC$9:'Logs'!$AC$649,  "*"&amp;B26&amp;"*")+ COUNTIF(Logs!$AB$100:'Logs'!$AB$112,  "*"&amp;B26&amp;"*") + COUNTIF(Logs!$AB$139:'Logs'!$AB$150,  "*"&amp;B26&amp;"*")+ COUNTIF(Logs!$AB$177:'Logs'!$AB$189,  "*"&amp;B26&amp;"*") + COUNTIF(Logs!$AA$213:'Logs'!$AA$242,  "*"&amp;B26&amp;"*") + COUNTIF(Logs!$AB$250:'Logs'!$AB$564,  "*"&amp;B26&amp;"*") + COUNTIF(Logs!$AA$572:'Logs'!$AA$600,  "*"&amp;B26&amp;"*") + COUNTIF(Logs!$Z$607:'Logs'!$Z$616,  "*"&amp;B26&amp;"*")+ COUNTIF(Logs!$AB$623:'Logs'!$AB$632,  "*"&amp;B26&amp;"*") + COUNTIF(Logs!$AA$640:'Logs'!$AA$649,  "*"&amp;B26&amp;"*")+ COUNTIF(Logs!$AB$665:'Logs'!$AB$663,  "*"&amp;B26&amp;"*")+COUNTIF(Logs!$AB$671:'Logs'!$AB$681,  "*"&amp;B26&amp;"*")</f>
        <v>11</v>
      </c>
      <c r="E26" s="143">
        <f t="shared" si="0"/>
        <v>0.29729729729729731</v>
      </c>
      <c r="L26" s="375" t="s">
        <v>1517</v>
      </c>
      <c r="M26">
        <f t="shared" si="1"/>
        <v>3</v>
      </c>
      <c r="N26" s="162">
        <f t="shared" si="2"/>
        <v>8.1081081081081086E-2</v>
      </c>
      <c r="O26" s="164" t="s">
        <v>140</v>
      </c>
      <c r="P26" s="70" t="s">
        <v>1583</v>
      </c>
      <c r="S26" s="578" t="s">
        <v>140</v>
      </c>
      <c r="T26" t="s">
        <v>2527</v>
      </c>
    </row>
    <row r="27" spans="2:25">
      <c r="B27" s="1800" t="s">
        <v>124</v>
      </c>
      <c r="C27" s="1801"/>
      <c r="D27">
        <f>COUNTIF(Logs!$AC$9:'Logs'!$AC$649,  "*"&amp;B27&amp;"*")+ COUNTIF(Logs!$AB$100:'Logs'!$AB$112,  "*"&amp;B27&amp;"*") + COUNTIF(Logs!$AB$139:'Logs'!$AB$150,  "*"&amp;B27&amp;"*")+ COUNTIF(Logs!$AB$177:'Logs'!$AB$189,  "*"&amp;B27&amp;"*") + COUNTIF(Logs!$AA$213:'Logs'!$AA$242,  "*"&amp;B27&amp;"*") + COUNTIF(Logs!$AB$250:'Logs'!$AB$564,  "*"&amp;B27&amp;"*") + COUNTIF(Logs!$AA$572:'Logs'!$AA$600,  "*"&amp;B27&amp;"*") + COUNTIF(Logs!$Z$607:'Logs'!$Z$616,  "*"&amp;B27&amp;"*")+ COUNTIF(Logs!$AB$623:'Logs'!$AB$632,  "*"&amp;B27&amp;"*") + COUNTIF(Logs!$AA$640:'Logs'!$AA$649,  "*"&amp;B27&amp;"*")+ COUNTIF(Logs!$AB$665:'Logs'!$AB$663,  "*"&amp;B27&amp;"*")+COUNTIF(Logs!$AB$671:'Logs'!$AB$681,  "*"&amp;B27&amp;"*")</f>
        <v>3</v>
      </c>
      <c r="E27" s="143">
        <f t="shared" si="0"/>
        <v>8.1081081081081086E-2</v>
      </c>
      <c r="L27" s="375" t="s">
        <v>1517</v>
      </c>
      <c r="M27">
        <f t="shared" si="1"/>
        <v>3</v>
      </c>
      <c r="N27" s="162">
        <f t="shared" si="2"/>
        <v>8.1081081081081086E-2</v>
      </c>
      <c r="O27" s="164" t="s">
        <v>141</v>
      </c>
      <c r="P27" s="70" t="s">
        <v>1516</v>
      </c>
      <c r="S27" s="578" t="s">
        <v>141</v>
      </c>
      <c r="T27" t="s">
        <v>2486</v>
      </c>
    </row>
    <row r="28" spans="2:25">
      <c r="B28" s="1802" t="s">
        <v>216</v>
      </c>
      <c r="C28" s="1803"/>
      <c r="D28">
        <f>COUNTIF(Logs!$AC$9:'Logs'!$AC$649,  "*"&amp;B28&amp;"*")+ COUNTIF(Logs!$AB$100:'Logs'!$AB$112,  "*"&amp;B28&amp;"*") + COUNTIF(Logs!$AB$139:'Logs'!$AB$150,  "*"&amp;B28&amp;"*")+ COUNTIF(Logs!$AB$177:'Logs'!$AB$189,  "*"&amp;B28&amp;"*") + COUNTIF(Logs!$AA$213:'Logs'!$AA$242,  "*"&amp;B28&amp;"*") + COUNTIF(Logs!$AB$250:'Logs'!$AB$564,  "*"&amp;B28&amp;"*") + COUNTIF(Logs!$AA$572:'Logs'!$AA$600,  "*"&amp;B28&amp;"*") + COUNTIF(Logs!$Z$607:'Logs'!$Z$616,  "*"&amp;B28&amp;"*")+ COUNTIF(Logs!$AB$623:'Logs'!$AB$632,  "*"&amp;B28&amp;"*") + COUNTIF(Logs!$AA$640:'Logs'!$AA$649,  "*"&amp;B28&amp;"*")+ COUNTIF(Logs!$AB$665:'Logs'!$AB$663,  "*"&amp;B28&amp;"*")+COUNTIF(Logs!$AB$671:'Logs'!$AB$681,  "*"&amp;B28&amp;"*")</f>
        <v>4</v>
      </c>
      <c r="E28" s="143">
        <f t="shared" si="0"/>
        <v>0.10810810810810811</v>
      </c>
      <c r="L28" s="375" t="s">
        <v>1580</v>
      </c>
      <c r="M28">
        <f t="shared" si="1"/>
        <v>2</v>
      </c>
      <c r="N28" s="162">
        <f t="shared" si="2"/>
        <v>5.4054054054054057E-2</v>
      </c>
      <c r="O28" s="164" t="s">
        <v>142</v>
      </c>
      <c r="P28" s="70" t="s">
        <v>1516</v>
      </c>
      <c r="S28" s="578" t="s">
        <v>142</v>
      </c>
      <c r="T28" t="s">
        <v>2528</v>
      </c>
      <c r="U28" t="s">
        <v>2529</v>
      </c>
      <c r="V28" t="s">
        <v>2544</v>
      </c>
      <c r="W28" t="s">
        <v>2530</v>
      </c>
    </row>
    <row r="29" spans="2:25">
      <c r="B29" s="1804" t="s">
        <v>244</v>
      </c>
      <c r="C29" s="1805"/>
      <c r="D29">
        <f>COUNTIF(Logs!$AC$9:'Logs'!$AC$649,  "*"&amp;B29&amp;"*")+ COUNTIF(Logs!$AB$100:'Logs'!$AB$112,  "*"&amp;B29&amp;"*") + COUNTIF(Logs!$AB$139:'Logs'!$AB$150,  "*"&amp;B29&amp;"*")+ COUNTIF(Logs!$AB$177:'Logs'!$AB$189,  "*"&amp;B29&amp;"*") + COUNTIF(Logs!$AA$213:'Logs'!$AA$242,  "*"&amp;B29&amp;"*") + COUNTIF(Logs!$AB$250:'Logs'!$AB$564,  "*"&amp;B29&amp;"*") + COUNTIF(Logs!$AA$572:'Logs'!$AA$600,  "*"&amp;B29&amp;"*") + COUNTIF(Logs!$Z$607:'Logs'!$Z$616,  "*"&amp;B29&amp;"*")+ COUNTIF(Logs!$AB$623:'Logs'!$AB$632,  "*"&amp;B29&amp;"*") + COUNTIF(Logs!$AA$640:'Logs'!$AA$649,  "*"&amp;B29&amp;"*")+ COUNTIF(Logs!$AB$665:'Logs'!$AB$663,  "*"&amp;B29&amp;"*")+COUNTIF(Logs!$AB$671:'Logs'!$AB$681,  "*"&amp;B29&amp;"*")</f>
        <v>7</v>
      </c>
      <c r="E29" s="143">
        <f t="shared" si="0"/>
        <v>0.1891891891891892</v>
      </c>
      <c r="F29" s="12"/>
      <c r="L29" s="375" t="s">
        <v>1583</v>
      </c>
      <c r="M29">
        <f t="shared" si="1"/>
        <v>2</v>
      </c>
      <c r="N29" s="162">
        <f t="shared" si="2"/>
        <v>5.4054054054054057E-2</v>
      </c>
      <c r="O29" s="164" t="s">
        <v>143</v>
      </c>
      <c r="P29" s="70" t="s">
        <v>1517</v>
      </c>
      <c r="S29" s="578" t="s">
        <v>143</v>
      </c>
      <c r="T29" t="s">
        <v>2491</v>
      </c>
      <c r="U29" t="s">
        <v>2531</v>
      </c>
      <c r="V29" t="s">
        <v>2532</v>
      </c>
      <c r="W29" t="s">
        <v>2533</v>
      </c>
      <c r="X29" t="s">
        <v>2534</v>
      </c>
      <c r="Y29" t="s">
        <v>2535</v>
      </c>
    </row>
    <row r="30" spans="2:25">
      <c r="B30" s="1765" t="s">
        <v>93</v>
      </c>
      <c r="C30" s="1766"/>
      <c r="D30">
        <f>COUNTIF(Logs!$AC$9:'Logs'!$AC$649,  "*"&amp;B30&amp;"*")+ COUNTIF(Logs!$AB$100:'Logs'!$AB$112,  "*"&amp;B30&amp;"*") + COUNTIF(Logs!$AB$139:'Logs'!$AB$150,  "*"&amp;B30&amp;"*")+ COUNTIF(Logs!$AB$177:'Logs'!$AB$189,  "*"&amp;B30&amp;"*") + COUNTIF(Logs!$AA$213:'Logs'!$AA$242,  "*"&amp;B30&amp;"*") + COUNTIF(Logs!$AB$250:'Logs'!$AB$564,  "*"&amp;B30&amp;"*") + COUNTIF(Logs!$AA$572:'Logs'!$AA$600,  "*"&amp;B30&amp;"*") + COUNTIF(Logs!$Z$607:'Logs'!$Z$616,  "*"&amp;B30&amp;"*")+ COUNTIF(Logs!$AB$623:'Logs'!$AB$632,  "*"&amp;B30&amp;"*") + COUNTIF(Logs!$AA$640:'Logs'!$AA$649,  "*"&amp;B30&amp;"*")+ COUNTIF(Logs!$AB$665:'Logs'!$AB$663,  "*"&amp;B30&amp;"*")+COUNTIF(Logs!$AB$671:'Logs'!$AB$681,  "*"&amp;B30&amp;"*")</f>
        <v>4</v>
      </c>
      <c r="E30" s="143">
        <f t="shared" si="0"/>
        <v>0.10810810810810811</v>
      </c>
      <c r="F30" s="12"/>
      <c r="L30" s="375" t="s">
        <v>1518</v>
      </c>
      <c r="M30">
        <f t="shared" si="1"/>
        <v>2</v>
      </c>
      <c r="N30" s="162">
        <f t="shared" si="2"/>
        <v>5.4054054054054057E-2</v>
      </c>
      <c r="O30" s="164" t="s">
        <v>144</v>
      </c>
      <c r="P30" s="70" t="s">
        <v>293</v>
      </c>
      <c r="S30" s="578" t="s">
        <v>144</v>
      </c>
      <c r="T30" t="s">
        <v>2536</v>
      </c>
    </row>
    <row r="31" spans="2:25">
      <c r="B31" s="1767" t="s">
        <v>27</v>
      </c>
      <c r="C31" s="1768"/>
      <c r="D31">
        <f>COUNTIF(Logs!$AC$9:'Logs'!$AC$649,  "*"&amp;B31&amp;"*")+ COUNTIF(Logs!$AB$100:'Logs'!$AB$112,  "*"&amp;B31&amp;"*") + COUNTIF(Logs!$AB$139:'Logs'!$AB$150,  "*"&amp;B31&amp;"*")+ COUNTIF(Logs!$AB$177:'Logs'!$AB$189,  "*"&amp;B31&amp;"*") + COUNTIF(Logs!$AA$213:'Logs'!$AA$242,  "*"&amp;B31&amp;"*") + COUNTIF(Logs!$AB$250:'Logs'!$AB$564,  "*"&amp;B31&amp;"*") + COUNTIF(Logs!$AA$572:'Logs'!$AA$600,  "*"&amp;B31&amp;"*") + COUNTIF(Logs!$Z$607:'Logs'!$Z$616,  "*"&amp;B31&amp;"*")+ COUNTIF(Logs!$AB$623:'Logs'!$AB$632,  "*"&amp;B31&amp;"*") + COUNTIF(Logs!$AA$640:'Logs'!$AA$649,  "*"&amp;B31&amp;"*")+ COUNTIF(Logs!$AB$665:'Logs'!$AB$663,  "*"&amp;B31&amp;"*")+COUNTIF(Logs!$AB$671:'Logs'!$AB$681,  "*"&amp;B31&amp;"*")</f>
        <v>2</v>
      </c>
      <c r="E31" s="143">
        <f t="shared" si="0"/>
        <v>5.4054054054054057E-2</v>
      </c>
      <c r="L31" s="375" t="s">
        <v>1579</v>
      </c>
      <c r="M31">
        <f t="shared" si="1"/>
        <v>1</v>
      </c>
      <c r="N31" s="162">
        <f t="shared" si="2"/>
        <v>2.7027027027027029E-2</v>
      </c>
      <c r="O31" s="164" t="s">
        <v>145</v>
      </c>
      <c r="P31" s="70" t="s">
        <v>1577</v>
      </c>
      <c r="S31" s="578" t="s">
        <v>145</v>
      </c>
      <c r="T31" t="s">
        <v>2498</v>
      </c>
      <c r="U31" t="s">
        <v>2537</v>
      </c>
      <c r="V31" t="s">
        <v>2538</v>
      </c>
    </row>
    <row r="32" spans="2:25">
      <c r="B32" s="1787" t="s">
        <v>120</v>
      </c>
      <c r="C32" s="1788"/>
      <c r="D32">
        <f>COUNTIF(Logs!$AC$9:'Logs'!$AC$649,  "*"&amp;B32&amp;"*")+ COUNTIF(Logs!$AB$100:'Logs'!$AB$112,  "*"&amp;B32&amp;"*") + COUNTIF(Logs!$AB$139:'Logs'!$AB$150,  "*"&amp;B32&amp;"*")+ COUNTIF(Logs!$AB$177:'Logs'!$AB$189,  "*"&amp;B32&amp;"*") + COUNTIF(Logs!$AA$213:'Logs'!$AA$242,  "*"&amp;B32&amp;"*") + COUNTIF(Logs!$AB$250:'Logs'!$AB$564,  "*"&amp;B32&amp;"*") + COUNTIF(Logs!$AA$572:'Logs'!$AA$600,  "*"&amp;B32&amp;"*") + COUNTIF(Logs!$Z$607:'Logs'!$Z$616,  "*"&amp;B32&amp;"*")+ COUNTIF(Logs!$AB$623:'Logs'!$AB$632,  "*"&amp;B32&amp;"*") + COUNTIF(Logs!$AA$640:'Logs'!$AA$649,  "*"&amp;B32&amp;"*")+ COUNTIF(Logs!$AB$665:'Logs'!$AB$663,  "*"&amp;B32&amp;"*")+COUNTIF(Logs!$AB$671:'Logs'!$AB$681,  "*"&amp;B32&amp;"*")</f>
        <v>2</v>
      </c>
      <c r="E32" s="143">
        <f t="shared" si="0"/>
        <v>5.4054054054054057E-2</v>
      </c>
      <c r="F32" s="12"/>
      <c r="L32" s="375" t="s">
        <v>1581</v>
      </c>
      <c r="M32">
        <f t="shared" si="1"/>
        <v>1</v>
      </c>
      <c r="N32" s="162">
        <f t="shared" si="2"/>
        <v>2.7027027027027029E-2</v>
      </c>
      <c r="O32" s="164" t="s">
        <v>146</v>
      </c>
      <c r="P32" s="70" t="s">
        <v>1515</v>
      </c>
      <c r="S32" s="578" t="s">
        <v>146</v>
      </c>
      <c r="T32" t="s">
        <v>2485</v>
      </c>
    </row>
    <row r="33" spans="2:23">
      <c r="B33" s="1789" t="s">
        <v>29</v>
      </c>
      <c r="C33" s="1790"/>
      <c r="D33">
        <f>COUNTIF(Logs!$AC$9:'Logs'!$AC$649,  "*"&amp;B33&amp;"*")+ COUNTIF(Logs!$AB$100:'Logs'!$AB$112,  "*"&amp;B33&amp;"*") + COUNTIF(Logs!$AB$139:'Logs'!$AB$150,  "*"&amp;B33&amp;"*")+ COUNTIF(Logs!$AB$177:'Logs'!$AB$189,  "*"&amp;B33&amp;"*") + COUNTIF(Logs!$AA$213:'Logs'!$AA$242,  "*"&amp;B33&amp;"*") + COUNTIF(Logs!$AB$250:'Logs'!$AB$564,  "*"&amp;B33&amp;"*") + COUNTIF(Logs!$AA$572:'Logs'!$AA$600,  "*"&amp;B33&amp;"*") + COUNTIF(Logs!$Z$607:'Logs'!$Z$616,  "*"&amp;B33&amp;"*")+ COUNTIF(Logs!$AB$623:'Logs'!$AB$632,  "*"&amp;B33&amp;"*") + COUNTIF(Logs!$AA$640:'Logs'!$AA$649,  "*"&amp;B33&amp;"*")+ COUNTIF(Logs!$AB$665:'Logs'!$AB$663,  "*"&amp;B33&amp;"*")+COUNTIF(Logs!$AB$671:'Logs'!$AB$681,  "*"&amp;B33&amp;"*")</f>
        <v>2</v>
      </c>
      <c r="E33" s="143">
        <f t="shared" si="0"/>
        <v>5.4054054054054057E-2</v>
      </c>
      <c r="L33" s="375" t="s">
        <v>293</v>
      </c>
      <c r="M33">
        <f t="shared" si="1"/>
        <v>1</v>
      </c>
      <c r="N33" s="162">
        <f t="shared" si="2"/>
        <v>2.7027027027027029E-2</v>
      </c>
      <c r="O33" s="164" t="s">
        <v>147</v>
      </c>
      <c r="P33" s="70" t="s">
        <v>1584</v>
      </c>
      <c r="S33" s="578" t="s">
        <v>147</v>
      </c>
      <c r="T33" t="s">
        <v>2539</v>
      </c>
      <c r="U33" t="s">
        <v>1584</v>
      </c>
      <c r="V33" t="s">
        <v>2540</v>
      </c>
    </row>
    <row r="34" spans="2:23">
      <c r="B34" s="1791" t="s">
        <v>43</v>
      </c>
      <c r="C34" s="1792"/>
      <c r="D34">
        <f>COUNTIF(Logs!$AC$9:'Logs'!$AC$649,  "*"&amp;B34&amp;"*")+ COUNTIF(Logs!$AB$100:'Logs'!$AB$112,  "*"&amp;B34&amp;"*") + COUNTIF(Logs!$AB$139:'Logs'!$AB$150,  "*"&amp;B34&amp;"*")+ COUNTIF(Logs!$AB$177:'Logs'!$AB$189,  "*"&amp;B34&amp;"*") + COUNTIF(Logs!$AA$213:'Logs'!$AA$242,  "*"&amp;B34&amp;"*") + COUNTIF(Logs!$AB$250:'Logs'!$AB$564,  "*"&amp;B34&amp;"*") + COUNTIF(Logs!$AA$572:'Logs'!$AA$600,  "*"&amp;B34&amp;"*") + COUNTIF(Logs!$Z$607:'Logs'!$Z$616,  "*"&amp;B34&amp;"*")+ COUNTIF(Logs!$AB$623:'Logs'!$AB$632,  "*"&amp;B34&amp;"*") + COUNTIF(Logs!$AA$640:'Logs'!$AA$649,  "*"&amp;B34&amp;"*")+ COUNTIF(Logs!$AB$665:'Logs'!$AB$663,  "*"&amp;B34&amp;"*")+COUNTIF(Logs!$AB$671:'Logs'!$AB$681,  "*"&amp;B34&amp;"*")</f>
        <v>2</v>
      </c>
      <c r="E34" s="143">
        <f t="shared" si="0"/>
        <v>5.4054054054054057E-2</v>
      </c>
      <c r="L34" s="375" t="s">
        <v>1585</v>
      </c>
      <c r="M34">
        <f t="shared" si="1"/>
        <v>1</v>
      </c>
      <c r="N34" s="162">
        <f t="shared" si="2"/>
        <v>2.7027027027027029E-2</v>
      </c>
      <c r="O34" s="164" t="s">
        <v>148</v>
      </c>
      <c r="P34" s="70" t="s">
        <v>1576</v>
      </c>
      <c r="S34" s="578" t="s">
        <v>148</v>
      </c>
      <c r="T34" t="s">
        <v>2541</v>
      </c>
      <c r="U34" t="s">
        <v>2542</v>
      </c>
      <c r="V34" t="s">
        <v>2541</v>
      </c>
    </row>
    <row r="35" spans="2:23">
      <c r="B35" s="1793" t="s">
        <v>47</v>
      </c>
      <c r="C35" s="1794"/>
      <c r="D35">
        <f>COUNTIF(Logs!$AC$9:'Logs'!$AC$649,  "*"&amp;B35&amp;"*")+ COUNTIF(Logs!$AB$100:'Logs'!$AB$112,  "*"&amp;B35&amp;"*") + COUNTIF(Logs!$AB$139:'Logs'!$AB$150,  "*"&amp;B35&amp;"*")+ COUNTIF(Logs!$AB$177:'Logs'!$AB$189,  "*"&amp;B35&amp;"*") + COUNTIF(Logs!$AA$213:'Logs'!$AA$242,  "*"&amp;B35&amp;"*") + COUNTIF(Logs!$AB$250:'Logs'!$AB$564,  "*"&amp;B35&amp;"*") + COUNTIF(Logs!$AA$572:'Logs'!$AA$600,  "*"&amp;B35&amp;"*") + COUNTIF(Logs!$Z$607:'Logs'!$Z$616,  "*"&amp;B35&amp;"*")+ COUNTIF(Logs!$AB$623:'Logs'!$AB$632,  "*"&amp;B35&amp;"*") + COUNTIF(Logs!$AA$640:'Logs'!$AA$649,  "*"&amp;B35&amp;"*")+ COUNTIF(Logs!$AB$665:'Logs'!$AB$663,  "*"&amp;B35&amp;"*")+COUNTIF(Logs!$AB$671:'Logs'!$AB$681,  "*"&amp;B35&amp;"*")</f>
        <v>4</v>
      </c>
      <c r="E35" s="143">
        <f t="shared" si="0"/>
        <v>0.10810810810810811</v>
      </c>
      <c r="L35" s="375" t="s">
        <v>1519</v>
      </c>
      <c r="M35">
        <f t="shared" si="1"/>
        <v>1</v>
      </c>
      <c r="N35" s="162">
        <f t="shared" si="2"/>
        <v>2.7027027027027029E-2</v>
      </c>
      <c r="O35" s="164" t="s">
        <v>125</v>
      </c>
      <c r="P35" s="70" t="s">
        <v>1583</v>
      </c>
      <c r="S35" s="578" t="s">
        <v>125</v>
      </c>
      <c r="T35" t="s">
        <v>2527</v>
      </c>
      <c r="U35" t="s">
        <v>2543</v>
      </c>
      <c r="V35" t="s">
        <v>2527</v>
      </c>
    </row>
    <row r="36" spans="2:23">
      <c r="B36" s="1795" t="s">
        <v>234</v>
      </c>
      <c r="C36" s="1796"/>
      <c r="D36">
        <f>COUNTIF(Logs!$AC$9:'Logs'!$AC$649,  "*"&amp;B36&amp;"*")+ COUNTIF(Logs!$AB$100:'Logs'!$AB$112,  "*"&amp;B36&amp;"*") + COUNTIF(Logs!$AB$139:'Logs'!$AB$150,  "*"&amp;B36&amp;"*")+ COUNTIF(Logs!$AB$177:'Logs'!$AB$189,  "*"&amp;B36&amp;"*") + COUNTIF(Logs!$AA$213:'Logs'!$AA$242,  "*"&amp;B36&amp;"*") + COUNTIF(Logs!$AB$250:'Logs'!$AB$564,  "*"&amp;B36&amp;"*") + COUNTIF(Logs!$AA$572:'Logs'!$AA$600,  "*"&amp;B36&amp;"*") + COUNTIF(Logs!$Z$607:'Logs'!$Z$616,  "*"&amp;B36&amp;"*")+ COUNTIF(Logs!$AB$623:'Logs'!$AB$632,  "*"&amp;B36&amp;"*") + COUNTIF(Logs!$AA$640:'Logs'!$AA$649,  "*"&amp;B36&amp;"*")+ COUNTIF(Logs!$AB$665:'Logs'!$AB$663,  "*"&amp;B36&amp;"*")+COUNTIF(Logs!$AB$671:'Logs'!$AB$681,  "*"&amp;B36&amp;"*")</f>
        <v>2</v>
      </c>
      <c r="E36" s="143">
        <f t="shared" si="0"/>
        <v>5.4054054054054057E-2</v>
      </c>
      <c r="F36" s="12"/>
      <c r="L36" s="375" t="s">
        <v>1582</v>
      </c>
      <c r="M36">
        <f t="shared" si="1"/>
        <v>1</v>
      </c>
      <c r="N36" s="162">
        <f t="shared" si="2"/>
        <v>2.7027027027027029E-2</v>
      </c>
      <c r="O36" s="164" t="s">
        <v>116</v>
      </c>
      <c r="P36" s="70" t="s">
        <v>1516</v>
      </c>
      <c r="S36" s="578" t="s">
        <v>116</v>
      </c>
      <c r="T36" t="s">
        <v>2544</v>
      </c>
      <c r="U36" t="s">
        <v>2545</v>
      </c>
      <c r="V36" t="s">
        <v>2546</v>
      </c>
      <c r="W36" t="s">
        <v>2547</v>
      </c>
    </row>
    <row r="37" spans="2:23">
      <c r="B37" s="1797" t="s">
        <v>23</v>
      </c>
      <c r="C37" s="1798"/>
      <c r="D37">
        <f>COUNTIF(Logs!$AC$9:'Logs'!$AC$649,  "*"&amp;B37&amp;"*")+ COUNTIF(Logs!$AB$100:'Logs'!$AB$112,  "*"&amp;B37&amp;"*") + COUNTIF(Logs!$AB$139:'Logs'!$AB$150,  "*"&amp;B37&amp;"*")+ COUNTIF(Logs!$AB$177:'Logs'!$AB$189,  "*"&amp;B37&amp;"*") + COUNTIF(Logs!$AA$213:'Logs'!$AA$242,  "*"&amp;B37&amp;"*") + COUNTIF(Logs!$AB$250:'Logs'!$AB$564,  "*"&amp;B37&amp;"*") + COUNTIF(Logs!$AA$572:'Logs'!$AA$600,  "*"&amp;B37&amp;"*") + COUNTIF(Logs!$Z$607:'Logs'!$Z$616,  "*"&amp;B37&amp;"*")+ COUNTIF(Logs!$AB$623:'Logs'!$AB$632,  "*"&amp;B37&amp;"*") + COUNTIF(Logs!$AA$640:'Logs'!$AA$649,  "*"&amp;B37&amp;"*")+ COUNTIF(Logs!$AB$665:'Logs'!$AB$663,  "*"&amp;B37&amp;"*")+COUNTIF(Logs!$AB$671:'Logs'!$AB$681,  "*"&amp;B37&amp;"*")</f>
        <v>2</v>
      </c>
      <c r="E37" s="143">
        <f t="shared" si="0"/>
        <v>5.4054054054054057E-2</v>
      </c>
      <c r="L37" s="375" t="s">
        <v>1588</v>
      </c>
      <c r="M37">
        <f t="shared" si="1"/>
        <v>1</v>
      </c>
      <c r="N37" s="162">
        <f t="shared" si="2"/>
        <v>2.7027027027027029E-2</v>
      </c>
      <c r="O37" s="164" t="s">
        <v>104</v>
      </c>
      <c r="P37" s="70" t="s">
        <v>1518</v>
      </c>
      <c r="S37" s="578" t="s">
        <v>104</v>
      </c>
      <c r="T37" t="s">
        <v>2489</v>
      </c>
    </row>
    <row r="38" spans="2:23">
      <c r="B38" s="1776" t="s">
        <v>114</v>
      </c>
      <c r="C38" s="1777"/>
      <c r="D38">
        <f>COUNTIF(Logs!$AC$9:'Logs'!$AC$649,  "*"&amp;B38&amp;"*")+ COUNTIF(Logs!$AB$100:'Logs'!$AB$112,  "*"&amp;B38&amp;"*") + COUNTIF(Logs!$AB$139:'Logs'!$AB$150,  "*"&amp;B38&amp;"*")+ COUNTIF(Logs!$AB$177:'Logs'!$AB$189,  "*"&amp;B38&amp;"*") + COUNTIF(Logs!$AA$213:'Logs'!$AA$242,  "*"&amp;B38&amp;"*") + COUNTIF(Logs!$AB$250:'Logs'!$AB$564,  "*"&amp;B38&amp;"*") + COUNTIF(Logs!$AA$572:'Logs'!$AA$600,  "*"&amp;B38&amp;"*") + COUNTIF(Logs!$Z$607:'Logs'!$Z$616,  "*"&amp;B38&amp;"*")+ COUNTIF(Logs!$AB$623:'Logs'!$AB$632,  "*"&amp;B38&amp;"*") + COUNTIF(Logs!$AA$640:'Logs'!$AA$649,  "*"&amp;B38&amp;"*")+ COUNTIF(Logs!$AB$665:'Logs'!$AB$663,  "*"&amp;B38&amp;"*")+COUNTIF(Logs!$AB$671:'Logs'!$AB$681,  "*"&amp;B38&amp;"*")</f>
        <v>1</v>
      </c>
      <c r="E38" s="143">
        <f t="shared" si="0"/>
        <v>2.7027027027027029E-2</v>
      </c>
      <c r="F38" s="12"/>
      <c r="L38" s="375" t="s">
        <v>1586</v>
      </c>
      <c r="M38">
        <f t="shared" si="1"/>
        <v>1</v>
      </c>
      <c r="N38" s="162">
        <f t="shared" si="2"/>
        <v>2.7027027027027029E-2</v>
      </c>
      <c r="O38" s="164" t="s">
        <v>95</v>
      </c>
      <c r="P38" s="70" t="s">
        <v>1515</v>
      </c>
      <c r="S38" s="578" t="s">
        <v>95</v>
      </c>
      <c r="T38" t="s">
        <v>2485</v>
      </c>
      <c r="U38" t="s">
        <v>2548</v>
      </c>
    </row>
    <row r="39" spans="2:23">
      <c r="B39" s="1778" t="s">
        <v>109</v>
      </c>
      <c r="C39" s="1779"/>
      <c r="D39">
        <f>COUNTIF(Logs!$AC$9:'Logs'!$AC$649,  "*"&amp;B39&amp;"*")+ COUNTIF(Logs!$AB$100:'Logs'!$AB$112,  "*"&amp;B39&amp;"*") + COUNTIF(Logs!$AB$139:'Logs'!$AB$150,  "*"&amp;B39&amp;"*")+ COUNTIF(Logs!$AB$177:'Logs'!$AB$189,  "*"&amp;B39&amp;"*") + COUNTIF(Logs!$AA$213:'Logs'!$AA$242,  "*"&amp;B39&amp;"*") + COUNTIF(Logs!$AB$250:'Logs'!$AB$564,  "*"&amp;B39&amp;"*") + COUNTIF(Logs!$AA$572:'Logs'!$AA$600,  "*"&amp;B39&amp;"*") + COUNTIF(Logs!$Z$607:'Logs'!$Z$616,  "*"&amp;B39&amp;"*")+ COUNTIF(Logs!$AB$623:'Logs'!$AB$632,  "*"&amp;B39&amp;"*") + COUNTIF(Logs!$AA$640:'Logs'!$AA$649,  "*"&amp;B39&amp;"*")+ COUNTIF(Logs!$AB$665:'Logs'!$AB$663,  "*"&amp;B39&amp;"*")+COUNTIF(Logs!$AB$671:'Logs'!$AB$681,  "*"&amp;B39&amp;"*")</f>
        <v>2</v>
      </c>
      <c r="E39" s="143">
        <f t="shared" si="0"/>
        <v>5.4054054054054057E-2</v>
      </c>
      <c r="L39" s="375" t="s">
        <v>1587</v>
      </c>
      <c r="M39">
        <f t="shared" si="1"/>
        <v>1</v>
      </c>
      <c r="N39" s="162">
        <f t="shared" si="2"/>
        <v>2.7027027027027029E-2</v>
      </c>
      <c r="O39" s="164" t="s">
        <v>85</v>
      </c>
      <c r="P39" s="70" t="s">
        <v>1516</v>
      </c>
      <c r="S39" s="578" t="s">
        <v>85</v>
      </c>
      <c r="T39" t="s">
        <v>2544</v>
      </c>
      <c r="U39" t="s">
        <v>2549</v>
      </c>
      <c r="V39" t="s">
        <v>2550</v>
      </c>
    </row>
    <row r="40" spans="2:23">
      <c r="E40" s="143"/>
      <c r="L40" s="375" t="s">
        <v>1584</v>
      </c>
      <c r="M40">
        <f t="shared" si="1"/>
        <v>1</v>
      </c>
      <c r="N40" s="162">
        <f t="shared" si="2"/>
        <v>2.7027027027027029E-2</v>
      </c>
      <c r="O40" s="164" t="s">
        <v>66</v>
      </c>
      <c r="P40" s="70" t="s">
        <v>1580</v>
      </c>
      <c r="S40" s="578" t="s">
        <v>66</v>
      </c>
      <c r="T40" t="s">
        <v>2490</v>
      </c>
    </row>
    <row r="41" spans="2:23" ht="18">
      <c r="B41" s="383" t="s">
        <v>1624</v>
      </c>
      <c r="F41" s="12"/>
      <c r="O41" s="164" t="s">
        <v>65</v>
      </c>
      <c r="P41" s="70" t="s">
        <v>1516</v>
      </c>
      <c r="S41" s="578" t="s">
        <v>65</v>
      </c>
      <c r="T41" t="s">
        <v>2486</v>
      </c>
      <c r="U41" t="s">
        <v>2551</v>
      </c>
    </row>
    <row r="42" spans="2:23">
      <c r="B42" t="s">
        <v>1625</v>
      </c>
      <c r="O42" s="164" t="s">
        <v>60</v>
      </c>
      <c r="P42" s="70" t="s">
        <v>1519</v>
      </c>
      <c r="S42" s="578" t="s">
        <v>60</v>
      </c>
      <c r="T42" t="s">
        <v>2552</v>
      </c>
    </row>
    <row r="43" spans="2:23">
      <c r="B43" t="s">
        <v>1627</v>
      </c>
      <c r="D43" s="398" t="s">
        <v>1626</v>
      </c>
      <c r="F43" s="12"/>
      <c r="O43" s="164" t="s">
        <v>35</v>
      </c>
      <c r="P43" s="70" t="s">
        <v>1585</v>
      </c>
      <c r="S43" s="578" t="s">
        <v>35</v>
      </c>
      <c r="T43" t="s">
        <v>2553</v>
      </c>
    </row>
    <row r="44" spans="2:23">
      <c r="F44" s="12"/>
      <c r="O44" s="164" t="s">
        <v>11</v>
      </c>
      <c r="P44" s="70" t="s">
        <v>1516</v>
      </c>
      <c r="S44" s="578" t="s">
        <v>11</v>
      </c>
      <c r="T44" t="s">
        <v>2544</v>
      </c>
      <c r="U44" t="s">
        <v>2011</v>
      </c>
    </row>
    <row r="45" spans="2:23">
      <c r="O45" s="164" t="s">
        <v>198</v>
      </c>
      <c r="P45" s="70" t="s">
        <v>1586</v>
      </c>
      <c r="S45" s="578" t="s">
        <v>198</v>
      </c>
      <c r="T45" t="s">
        <v>2554</v>
      </c>
    </row>
    <row r="46" spans="2:23">
      <c r="F46" s="12"/>
      <c r="O46" s="164" t="s">
        <v>184</v>
      </c>
      <c r="P46" s="70" t="s">
        <v>1587</v>
      </c>
      <c r="S46" s="578" t="s">
        <v>184</v>
      </c>
      <c r="T46" t="s">
        <v>2487</v>
      </c>
      <c r="U46" t="s">
        <v>2555</v>
      </c>
      <c r="V46" t="s">
        <v>2556</v>
      </c>
    </row>
    <row r="47" spans="2:23">
      <c r="F47" s="12"/>
      <c r="O47" s="164" t="s">
        <v>563</v>
      </c>
      <c r="P47" s="70" t="s">
        <v>1588</v>
      </c>
      <c r="S47" s="578" t="s">
        <v>563</v>
      </c>
      <c r="T47" t="s">
        <v>2557</v>
      </c>
    </row>
    <row r="48" spans="2:23">
      <c r="O48" s="578" t="s">
        <v>1742</v>
      </c>
      <c r="P48" s="70" t="s">
        <v>1517</v>
      </c>
      <c r="S48" s="578" t="s">
        <v>1742</v>
      </c>
      <c r="T48" t="s">
        <v>2491</v>
      </c>
    </row>
    <row r="49" spans="6:20">
      <c r="O49" s="578" t="s">
        <v>2056</v>
      </c>
      <c r="P49" s="70" t="s">
        <v>1515</v>
      </c>
      <c r="S49" s="578" t="s">
        <v>2056</v>
      </c>
      <c r="T49" t="s">
        <v>2485</v>
      </c>
    </row>
    <row r="50" spans="6:20">
      <c r="F50" s="12"/>
    </row>
    <row r="51" spans="6:20">
      <c r="F51" s="12"/>
    </row>
    <row r="54" spans="6:20">
      <c r="F54" s="12"/>
    </row>
    <row r="55" spans="6:20">
      <c r="F55" s="44"/>
    </row>
    <row r="58" spans="6:20">
      <c r="F58" s="12"/>
    </row>
    <row r="59" spans="6:20">
      <c r="F59" s="12"/>
    </row>
    <row r="60" spans="6:20">
      <c r="F60" s="12"/>
    </row>
    <row r="64" spans="6:20">
      <c r="F64" s="12"/>
    </row>
    <row r="66" spans="6:6">
      <c r="F66" s="37"/>
    </row>
    <row r="70" spans="6:6">
      <c r="F70" s="12"/>
    </row>
    <row r="72" spans="6:6">
      <c r="F72" s="12"/>
    </row>
    <row r="76" spans="6:6">
      <c r="F76" s="12"/>
    </row>
    <row r="79" spans="6:6">
      <c r="F79" s="12"/>
    </row>
    <row r="84" spans="6:6">
      <c r="F84" s="12"/>
    </row>
    <row r="85" spans="6:6">
      <c r="F85" s="12"/>
    </row>
    <row r="89" spans="6:6">
      <c r="F89" s="12"/>
    </row>
    <row r="90" spans="6:6">
      <c r="F90" s="12"/>
    </row>
    <row r="92" spans="6:6">
      <c r="F92" s="12"/>
    </row>
    <row r="97" spans="6:6">
      <c r="F97" s="12"/>
    </row>
    <row r="98" spans="6:6">
      <c r="F98" s="12"/>
    </row>
    <row r="101" spans="6:6">
      <c r="F101" s="12"/>
    </row>
    <row r="102" spans="6:6">
      <c r="F102" s="12"/>
    </row>
    <row r="106" spans="6:6">
      <c r="F106" s="12"/>
    </row>
    <row r="107" spans="6:6">
      <c r="F107" s="37"/>
    </row>
    <row r="111" spans="6:6">
      <c r="F111" s="12"/>
    </row>
    <row r="113" spans="6:6">
      <c r="F113" s="12"/>
    </row>
    <row r="114" spans="6:6">
      <c r="F114" s="385"/>
    </row>
    <row r="115" spans="6:6">
      <c r="F115" s="12"/>
    </row>
    <row r="123" spans="6:6">
      <c r="F123" s="12"/>
    </row>
    <row r="126" spans="6:6">
      <c r="F126" s="12"/>
    </row>
    <row r="127" spans="6:6">
      <c r="F127" s="12"/>
    </row>
    <row r="131" spans="6:6">
      <c r="F131" s="12"/>
    </row>
    <row r="133" spans="6:6">
      <c r="F133" s="12"/>
    </row>
    <row r="137" spans="6:6">
      <c r="F137" s="12"/>
    </row>
    <row r="143" spans="6:6">
      <c r="F143" s="12"/>
    </row>
    <row r="146" spans="6:6">
      <c r="F146" s="12"/>
    </row>
    <row r="148" spans="6:6">
      <c r="F148" s="12"/>
    </row>
    <row r="152" spans="6:6">
      <c r="F152" s="12"/>
    </row>
    <row r="155" spans="6:6">
      <c r="F155" s="12"/>
    </row>
    <row r="157" spans="6:6">
      <c r="F157" s="12"/>
    </row>
    <row r="160" spans="6:6">
      <c r="F160" s="12"/>
    </row>
    <row r="163" spans="6:6">
      <c r="F163" s="12"/>
    </row>
    <row r="164" spans="6:6">
      <c r="F164" s="12"/>
    </row>
    <row r="167" spans="6:6">
      <c r="F167" s="12"/>
    </row>
    <row r="173" spans="6:6">
      <c r="F173" s="12"/>
    </row>
    <row r="174" spans="6:6">
      <c r="F174" s="12"/>
    </row>
    <row r="178" spans="6:6">
      <c r="F178" s="12"/>
    </row>
  </sheetData>
  <sortState xmlns:xlrd2="http://schemas.microsoft.com/office/spreadsheetml/2017/richdata2" ref="L22:N40">
    <sortCondition descending="1" ref="N40"/>
  </sortState>
  <mergeCells count="29">
    <mergeCell ref="B38:C38"/>
    <mergeCell ref="B39:C39"/>
    <mergeCell ref="B18:C18"/>
    <mergeCell ref="B25:C25"/>
    <mergeCell ref="B24:C24"/>
    <mergeCell ref="B23:C23"/>
    <mergeCell ref="B32:C32"/>
    <mergeCell ref="B33:C33"/>
    <mergeCell ref="B34:C34"/>
    <mergeCell ref="B35:C35"/>
    <mergeCell ref="B36:C36"/>
    <mergeCell ref="B37:C37"/>
    <mergeCell ref="B26:C26"/>
    <mergeCell ref="B27:C27"/>
    <mergeCell ref="B28:C28"/>
    <mergeCell ref="B29:C29"/>
    <mergeCell ref="B30:C30"/>
    <mergeCell ref="B31:C31"/>
    <mergeCell ref="B19:C19"/>
    <mergeCell ref="B20:C20"/>
    <mergeCell ref="B21:C21"/>
    <mergeCell ref="B22:C22"/>
    <mergeCell ref="T11:Y11"/>
    <mergeCell ref="P11:R11"/>
    <mergeCell ref="E9:J11"/>
    <mergeCell ref="B4:D4"/>
    <mergeCell ref="B6:M6"/>
    <mergeCell ref="B8:C8"/>
    <mergeCell ref="L9:Q10"/>
  </mergeCells>
  <phoneticPr fontId="3" type="noConversion"/>
  <hyperlinks>
    <hyperlink ref="D43" r:id="rId1" xr:uid="{6F95664C-BCC8-6145-9FB6-453AE7276B26}"/>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02902-7F82-F744-A3DC-1523DB4138D7}">
  <sheetPr codeName="Sheet19">
    <tabColor theme="0"/>
  </sheetPr>
  <dimension ref="B4:AG170"/>
  <sheetViews>
    <sheetView topLeftCell="A37" workbookViewId="0">
      <selection activeCell="B10" sqref="B10:O132"/>
    </sheetView>
  </sheetViews>
  <sheetFormatPr defaultColWidth="11" defaultRowHeight="15.75"/>
  <cols>
    <col min="2" max="2" width="13" customWidth="1"/>
    <col min="3" max="3" width="10.875" customWidth="1"/>
  </cols>
  <sheetData>
    <row r="4" spans="2:15" ht="33.75">
      <c r="B4" s="1806" t="s">
        <v>1562</v>
      </c>
      <c r="C4" s="1807"/>
      <c r="D4" s="1808"/>
    </row>
    <row r="6" spans="2:15" ht="225.95" customHeight="1">
      <c r="B6" s="1701" t="s">
        <v>2050</v>
      </c>
      <c r="C6" s="1701"/>
      <c r="D6" s="1701"/>
      <c r="E6" s="1701"/>
      <c r="F6" s="1701"/>
      <c r="G6" s="1701"/>
      <c r="H6" s="1701"/>
      <c r="I6" s="1701"/>
      <c r="J6" s="1701"/>
      <c r="K6" s="1701"/>
    </row>
    <row r="8" spans="2:15" ht="18.75">
      <c r="B8" s="68" t="s">
        <v>2601</v>
      </c>
    </row>
    <row r="9" spans="2:15">
      <c r="B9" s="1508" t="s">
        <v>2819</v>
      </c>
    </row>
    <row r="10" spans="2:15">
      <c r="B10" s="1483" t="s">
        <v>77</v>
      </c>
    </row>
    <row r="11" spans="2:15" ht="16.5" thickBot="1">
      <c r="B11" s="1509" t="s">
        <v>329</v>
      </c>
      <c r="C11" s="844" t="s">
        <v>1</v>
      </c>
      <c r="D11" s="844" t="s">
        <v>2</v>
      </c>
      <c r="E11" s="844" t="s">
        <v>3</v>
      </c>
      <c r="F11" s="844" t="s">
        <v>4</v>
      </c>
      <c r="G11" s="844" t="s">
        <v>5</v>
      </c>
      <c r="H11" s="844" t="s">
        <v>6</v>
      </c>
      <c r="I11" s="844" t="s">
        <v>7</v>
      </c>
      <c r="J11" s="844" t="s">
        <v>8</v>
      </c>
      <c r="K11" s="844" t="s">
        <v>9</v>
      </c>
      <c r="L11" s="844" t="s">
        <v>10</v>
      </c>
      <c r="M11" s="844" t="s">
        <v>36</v>
      </c>
      <c r="N11" s="844" t="s">
        <v>37</v>
      </c>
      <c r="O11" s="844" t="s">
        <v>344</v>
      </c>
    </row>
    <row r="12" spans="2:15">
      <c r="B12" s="842" t="s">
        <v>137</v>
      </c>
      <c r="F12">
        <v>5</v>
      </c>
      <c r="J12">
        <v>6</v>
      </c>
    </row>
    <row r="13" spans="2:15">
      <c r="B13" s="842" t="s">
        <v>138</v>
      </c>
      <c r="E13">
        <v>4</v>
      </c>
    </row>
    <row r="14" spans="2:15">
      <c r="B14" s="842" t="s">
        <v>139</v>
      </c>
      <c r="F14" s="656">
        <v>5</v>
      </c>
      <c r="M14">
        <v>6</v>
      </c>
    </row>
    <row r="15" spans="2:15">
      <c r="B15" s="842" t="s">
        <v>140</v>
      </c>
      <c r="E15" s="656">
        <v>4</v>
      </c>
      <c r="L15">
        <v>4</v>
      </c>
    </row>
    <row r="16" spans="2:15">
      <c r="B16" s="842" t="s">
        <v>141</v>
      </c>
      <c r="G16" s="656">
        <v>6</v>
      </c>
      <c r="K16">
        <v>5</v>
      </c>
    </row>
    <row r="17" spans="2:15">
      <c r="B17" s="842" t="s">
        <v>95</v>
      </c>
      <c r="K17">
        <v>6</v>
      </c>
      <c r="L17">
        <v>4</v>
      </c>
    </row>
    <row r="18" spans="2:15">
      <c r="B18" s="842" t="s">
        <v>66</v>
      </c>
      <c r="J18">
        <v>2</v>
      </c>
    </row>
    <row r="19" spans="2:15" ht="16.5" thickBot="1">
      <c r="B19" s="843" t="s">
        <v>184</v>
      </c>
      <c r="C19" s="844"/>
      <c r="D19" s="844"/>
      <c r="E19" s="844"/>
      <c r="F19" s="844"/>
      <c r="G19" s="844"/>
      <c r="H19" s="857">
        <v>4</v>
      </c>
      <c r="I19" s="844"/>
      <c r="J19" s="844"/>
      <c r="K19" s="844"/>
      <c r="L19" s="844"/>
      <c r="M19" s="844"/>
      <c r="N19" s="844"/>
      <c r="O19" s="844"/>
    </row>
    <row r="20" spans="2:15">
      <c r="B20" s="845" t="s">
        <v>1495</v>
      </c>
      <c r="C20" t="str">
        <f>IF(COUNTA(C12:C19)&gt;0, AVERAGE(C12:C19), "")</f>
        <v/>
      </c>
      <c r="D20" t="str">
        <f t="shared" ref="D20:O20" si="0">IF(COUNTA(D12:D19)&gt;0, AVERAGE(D12:D19), "")</f>
        <v/>
      </c>
      <c r="E20">
        <f t="shared" si="0"/>
        <v>4</v>
      </c>
      <c r="F20">
        <f t="shared" si="0"/>
        <v>5</v>
      </c>
      <c r="G20">
        <f t="shared" si="0"/>
        <v>6</v>
      </c>
      <c r="H20">
        <f t="shared" si="0"/>
        <v>4</v>
      </c>
      <c r="I20" t="str">
        <f t="shared" si="0"/>
        <v/>
      </c>
      <c r="J20">
        <f t="shared" si="0"/>
        <v>4</v>
      </c>
      <c r="K20">
        <f t="shared" si="0"/>
        <v>5.5</v>
      </c>
      <c r="L20">
        <f t="shared" si="0"/>
        <v>4</v>
      </c>
      <c r="M20">
        <f t="shared" si="0"/>
        <v>6</v>
      </c>
      <c r="N20" t="str">
        <f t="shared" si="0"/>
        <v/>
      </c>
      <c r="O20" t="str">
        <f t="shared" si="0"/>
        <v/>
      </c>
    </row>
    <row r="21" spans="2:15">
      <c r="B21" s="846" t="s">
        <v>1214</v>
      </c>
      <c r="C21" t="str">
        <f>IF(COUNTA(C12:C19)&gt;0, COUNTA(C12:C19), "")</f>
        <v/>
      </c>
      <c r="D21" t="str">
        <f t="shared" ref="D21:O21" si="1">IF(COUNTA(D12:D19)&gt;0, COUNTA(D12:D19), "")</f>
        <v/>
      </c>
      <c r="E21">
        <f t="shared" si="1"/>
        <v>2</v>
      </c>
      <c r="F21">
        <f t="shared" si="1"/>
        <v>2</v>
      </c>
      <c r="G21">
        <f t="shared" si="1"/>
        <v>1</v>
      </c>
      <c r="H21" s="861">
        <f t="shared" si="1"/>
        <v>1</v>
      </c>
      <c r="I21" t="str">
        <f t="shared" si="1"/>
        <v/>
      </c>
      <c r="J21">
        <f t="shared" si="1"/>
        <v>2</v>
      </c>
      <c r="K21">
        <f t="shared" si="1"/>
        <v>2</v>
      </c>
      <c r="L21">
        <f t="shared" si="1"/>
        <v>2</v>
      </c>
      <c r="M21">
        <f t="shared" si="1"/>
        <v>1</v>
      </c>
      <c r="N21" t="str">
        <f t="shared" si="1"/>
        <v/>
      </c>
      <c r="O21" t="str">
        <f t="shared" si="1"/>
        <v/>
      </c>
    </row>
    <row r="22" spans="2:15">
      <c r="B22" s="859" t="s">
        <v>150</v>
      </c>
      <c r="C22" s="862">
        <f>COUNTA(C12:O19)</f>
        <v>13</v>
      </c>
      <c r="D22" s="860"/>
      <c r="E22" s="860"/>
      <c r="F22" s="860"/>
      <c r="G22" s="860"/>
      <c r="I22" s="860"/>
      <c r="J22" s="860"/>
      <c r="K22" s="860"/>
      <c r="L22" s="860"/>
      <c r="M22" s="860"/>
      <c r="N22" s="860"/>
      <c r="O22" s="860"/>
    </row>
    <row r="23" spans="2:15">
      <c r="B23" s="852" t="s">
        <v>333</v>
      </c>
      <c r="C23" s="851">
        <f>AVERAGE(C12:O19)</f>
        <v>4.6923076923076925</v>
      </c>
    </row>
    <row r="24" spans="2:15">
      <c r="B24" s="852" t="s">
        <v>1530</v>
      </c>
      <c r="C24" s="58">
        <f>MIN(C12:O19)</f>
        <v>2</v>
      </c>
    </row>
    <row r="25" spans="2:15">
      <c r="B25" s="852" t="s">
        <v>1276</v>
      </c>
      <c r="C25" s="58">
        <f>MAX(C12:O19)</f>
        <v>6</v>
      </c>
    </row>
    <row r="26" spans="2:15">
      <c r="B26" s="53"/>
    </row>
    <row r="27" spans="2:15">
      <c r="B27" s="1483" t="s">
        <v>1565</v>
      </c>
    </row>
    <row r="28" spans="2:15" ht="16.5" thickBot="1">
      <c r="B28" s="1509" t="s">
        <v>329</v>
      </c>
      <c r="C28" s="844" t="s">
        <v>1</v>
      </c>
      <c r="D28" s="844" t="s">
        <v>2</v>
      </c>
      <c r="E28" s="844" t="s">
        <v>3</v>
      </c>
      <c r="F28" s="844" t="s">
        <v>4</v>
      </c>
      <c r="G28" s="844" t="s">
        <v>5</v>
      </c>
      <c r="H28" s="844" t="s">
        <v>6</v>
      </c>
      <c r="I28" s="844" t="s">
        <v>7</v>
      </c>
      <c r="J28" s="844" t="s">
        <v>8</v>
      </c>
      <c r="K28" s="844" t="s">
        <v>9</v>
      </c>
      <c r="L28" s="844" t="s">
        <v>10</v>
      </c>
      <c r="M28" s="844" t="s">
        <v>36</v>
      </c>
      <c r="N28" s="844" t="s">
        <v>37</v>
      </c>
      <c r="O28" s="844" t="s">
        <v>344</v>
      </c>
    </row>
    <row r="29" spans="2:15">
      <c r="B29" s="842" t="s">
        <v>142</v>
      </c>
      <c r="K29">
        <v>4</v>
      </c>
    </row>
    <row r="30" spans="2:15">
      <c r="B30" s="842" t="s">
        <v>143</v>
      </c>
      <c r="G30">
        <v>5</v>
      </c>
      <c r="K30">
        <v>7</v>
      </c>
    </row>
    <row r="31" spans="2:15" ht="15.95" customHeight="1">
      <c r="B31" s="842" t="s">
        <v>144</v>
      </c>
      <c r="I31">
        <v>5</v>
      </c>
      <c r="J31">
        <v>7</v>
      </c>
    </row>
    <row r="32" spans="2:15">
      <c r="B32" s="842" t="s">
        <v>145</v>
      </c>
      <c r="J32">
        <v>4</v>
      </c>
    </row>
    <row r="33" spans="2:33">
      <c r="B33" s="842" t="s">
        <v>146</v>
      </c>
      <c r="E33">
        <v>6</v>
      </c>
      <c r="K33">
        <v>5</v>
      </c>
    </row>
    <row r="34" spans="2:33">
      <c r="B34" s="842" t="s">
        <v>147</v>
      </c>
      <c r="G34">
        <v>5</v>
      </c>
      <c r="L34">
        <v>7</v>
      </c>
    </row>
    <row r="35" spans="2:33">
      <c r="B35" s="842" t="s">
        <v>148</v>
      </c>
      <c r="G35">
        <v>4</v>
      </c>
      <c r="J35">
        <v>6</v>
      </c>
    </row>
    <row r="36" spans="2:33" ht="18.75">
      <c r="B36" s="842" t="s">
        <v>125</v>
      </c>
      <c r="J36">
        <v>4</v>
      </c>
      <c r="L36">
        <v>7</v>
      </c>
      <c r="AD36" s="68"/>
    </row>
    <row r="37" spans="2:33">
      <c r="B37" s="842" t="s">
        <v>116</v>
      </c>
      <c r="G37">
        <v>9</v>
      </c>
      <c r="K37">
        <v>7</v>
      </c>
      <c r="AD37" s="865"/>
      <c r="AE37" s="56"/>
      <c r="AF37" s="281"/>
      <c r="AG37" s="281"/>
    </row>
    <row r="38" spans="2:33">
      <c r="B38" s="842" t="s">
        <v>104</v>
      </c>
      <c r="C38" s="656">
        <v>4</v>
      </c>
      <c r="J38">
        <v>5</v>
      </c>
      <c r="AD38" s="90"/>
    </row>
    <row r="39" spans="2:33">
      <c r="B39" s="842" t="s">
        <v>95</v>
      </c>
      <c r="F39">
        <v>6</v>
      </c>
      <c r="AD39" s="90"/>
    </row>
    <row r="40" spans="2:33">
      <c r="B40" s="842" t="s">
        <v>85</v>
      </c>
      <c r="L40">
        <v>5</v>
      </c>
      <c r="AD40" s="90"/>
    </row>
    <row r="41" spans="2:33">
      <c r="B41" s="842" t="s">
        <v>66</v>
      </c>
      <c r="E41" s="656">
        <v>3</v>
      </c>
      <c r="G41">
        <v>5</v>
      </c>
      <c r="AD41" s="90"/>
    </row>
    <row r="42" spans="2:33">
      <c r="B42" s="842" t="s">
        <v>65</v>
      </c>
      <c r="H42">
        <v>2</v>
      </c>
      <c r="J42">
        <v>2</v>
      </c>
      <c r="AD42" s="90"/>
    </row>
    <row r="43" spans="2:33">
      <c r="B43" s="842" t="s">
        <v>60</v>
      </c>
      <c r="D43">
        <v>4</v>
      </c>
      <c r="J43" s="45">
        <v>3</v>
      </c>
      <c r="L43">
        <v>4</v>
      </c>
      <c r="AD43" s="90"/>
    </row>
    <row r="44" spans="2:33">
      <c r="B44" s="842" t="s">
        <v>35</v>
      </c>
      <c r="E44">
        <v>5</v>
      </c>
      <c r="K44">
        <v>6</v>
      </c>
      <c r="AD44" s="90"/>
    </row>
    <row r="45" spans="2:33">
      <c r="B45" s="842" t="s">
        <v>1742</v>
      </c>
      <c r="G45" s="855">
        <v>1</v>
      </c>
      <c r="I45">
        <v>7</v>
      </c>
      <c r="AD45" s="90"/>
    </row>
    <row r="46" spans="2:33" ht="16.5" thickBot="1">
      <c r="B46" s="843" t="s">
        <v>2056</v>
      </c>
      <c r="C46" s="844"/>
      <c r="D46" s="844"/>
      <c r="E46" s="844"/>
      <c r="F46" s="844"/>
      <c r="G46" s="844">
        <v>4</v>
      </c>
      <c r="H46" s="844"/>
      <c r="I46" s="844"/>
      <c r="J46" s="844"/>
      <c r="K46" s="847">
        <v>2</v>
      </c>
      <c r="L46" s="844"/>
      <c r="M46" s="844"/>
      <c r="N46" s="844"/>
      <c r="O46" s="844"/>
      <c r="AD46" s="90"/>
    </row>
    <row r="47" spans="2:33">
      <c r="B47" s="846" t="s">
        <v>1495</v>
      </c>
      <c r="C47" s="776">
        <f>IF(COUNTA(C29:C46)&gt;0, AVERAGE(C29:C46), "")</f>
        <v>4</v>
      </c>
      <c r="D47" s="776">
        <f t="shared" ref="D47:M47" si="2">IF(COUNTA(D29:D46)&gt;0, AVERAGE(D29:D46), "")</f>
        <v>4</v>
      </c>
      <c r="E47" s="776">
        <f t="shared" si="2"/>
        <v>4.666666666666667</v>
      </c>
      <c r="F47" s="776">
        <f t="shared" si="2"/>
        <v>6</v>
      </c>
      <c r="G47" s="776">
        <f t="shared" si="2"/>
        <v>4.7142857142857144</v>
      </c>
      <c r="H47" s="776">
        <f t="shared" si="2"/>
        <v>2</v>
      </c>
      <c r="I47" s="776">
        <f t="shared" si="2"/>
        <v>6</v>
      </c>
      <c r="J47" s="776">
        <f t="shared" si="2"/>
        <v>4.4285714285714288</v>
      </c>
      <c r="K47" s="776">
        <f t="shared" si="2"/>
        <v>5.166666666666667</v>
      </c>
      <c r="L47" s="776">
        <f t="shared" si="2"/>
        <v>5.75</v>
      </c>
      <c r="M47" s="776" t="str">
        <f t="shared" si="2"/>
        <v/>
      </c>
      <c r="N47" s="776" t="str">
        <f>IF(COUNTA(N29:N46)&gt;0, AVERAGE(N29:N46), "")</f>
        <v/>
      </c>
      <c r="AD47" s="90"/>
    </row>
    <row r="48" spans="2:33">
      <c r="B48" s="846" t="s">
        <v>1214</v>
      </c>
      <c r="C48">
        <f>IF(COUNTA(C29:C46)&gt;0, COUNTA(C29:C46), "")</f>
        <v>1</v>
      </c>
      <c r="D48">
        <f t="shared" ref="D48:O48" si="3">IF(COUNTA(D29:D46)&gt;0, COUNTA(D29:D46), "")</f>
        <v>1</v>
      </c>
      <c r="E48">
        <f t="shared" si="3"/>
        <v>3</v>
      </c>
      <c r="F48">
        <f t="shared" si="3"/>
        <v>1</v>
      </c>
      <c r="G48">
        <f t="shared" si="3"/>
        <v>7</v>
      </c>
      <c r="H48">
        <f t="shared" si="3"/>
        <v>1</v>
      </c>
      <c r="I48">
        <f t="shared" si="3"/>
        <v>2</v>
      </c>
      <c r="J48">
        <f t="shared" si="3"/>
        <v>7</v>
      </c>
      <c r="K48">
        <f t="shared" si="3"/>
        <v>6</v>
      </c>
      <c r="L48">
        <f t="shared" si="3"/>
        <v>4</v>
      </c>
      <c r="M48" t="str">
        <f t="shared" si="3"/>
        <v/>
      </c>
      <c r="N48" t="str">
        <f t="shared" si="3"/>
        <v/>
      </c>
      <c r="O48" t="str">
        <f t="shared" si="3"/>
        <v/>
      </c>
      <c r="AD48" s="90"/>
    </row>
    <row r="49" spans="2:30">
      <c r="B49" s="859" t="s">
        <v>150</v>
      </c>
      <c r="C49" s="862">
        <f>COUNTA(C29:O46)</f>
        <v>33</v>
      </c>
      <c r="D49" s="860"/>
      <c r="E49" s="860"/>
      <c r="F49" s="860"/>
      <c r="G49" s="860"/>
      <c r="H49" s="860"/>
      <c r="I49" s="860"/>
      <c r="J49" s="860"/>
      <c r="K49" s="860"/>
      <c r="L49" s="860"/>
      <c r="M49" s="860"/>
      <c r="N49" s="860"/>
      <c r="O49" s="860"/>
      <c r="AD49" s="90"/>
    </row>
    <row r="50" spans="2:30">
      <c r="B50" s="852" t="s">
        <v>333</v>
      </c>
      <c r="C50" s="851">
        <f>AVERAGE(C29:O46)</f>
        <v>4.8484848484848486</v>
      </c>
      <c r="AD50" s="90"/>
    </row>
    <row r="51" spans="2:30">
      <c r="B51" s="852" t="s">
        <v>1530</v>
      </c>
      <c r="C51" s="58">
        <f>MIN(C29:O46)</f>
        <v>1</v>
      </c>
      <c r="AD51" s="90"/>
    </row>
    <row r="52" spans="2:30">
      <c r="B52" s="852" t="s">
        <v>1276</v>
      </c>
      <c r="C52" s="58">
        <f>MAX(C29:O46)</f>
        <v>9</v>
      </c>
      <c r="AD52" s="90"/>
    </row>
    <row r="53" spans="2:30">
      <c r="AD53" s="90"/>
    </row>
    <row r="54" spans="2:30">
      <c r="B54" s="1512" t="s">
        <v>42</v>
      </c>
      <c r="AD54" s="90"/>
    </row>
    <row r="55" spans="2:30" ht="16.5" thickBot="1">
      <c r="B55" s="1509" t="s">
        <v>329</v>
      </c>
      <c r="C55" s="844" t="s">
        <v>1</v>
      </c>
      <c r="D55" s="844" t="s">
        <v>2</v>
      </c>
      <c r="E55" s="844" t="s">
        <v>3</v>
      </c>
      <c r="F55" s="844" t="s">
        <v>4</v>
      </c>
      <c r="G55" s="844" t="s">
        <v>5</v>
      </c>
      <c r="H55" s="844" t="s">
        <v>6</v>
      </c>
      <c r="I55" s="844" t="s">
        <v>7</v>
      </c>
      <c r="J55" s="844" t="s">
        <v>8</v>
      </c>
      <c r="K55" s="844" t="s">
        <v>9</v>
      </c>
      <c r="L55" s="844" t="s">
        <v>10</v>
      </c>
      <c r="M55" s="844" t="s">
        <v>36</v>
      </c>
      <c r="N55" s="844" t="s">
        <v>37</v>
      </c>
      <c r="O55" s="844" t="s">
        <v>344</v>
      </c>
      <c r="AD55" s="90"/>
    </row>
    <row r="56" spans="2:30">
      <c r="B56" s="842" t="s">
        <v>130</v>
      </c>
      <c r="C56">
        <v>6</v>
      </c>
      <c r="D56">
        <v>3</v>
      </c>
      <c r="E56">
        <v>3</v>
      </c>
      <c r="F56">
        <v>2</v>
      </c>
      <c r="G56">
        <v>5</v>
      </c>
      <c r="H56">
        <v>3</v>
      </c>
      <c r="I56">
        <v>3</v>
      </c>
      <c r="J56">
        <v>3</v>
      </c>
      <c r="K56">
        <v>4</v>
      </c>
      <c r="L56">
        <v>2</v>
      </c>
      <c r="M56">
        <v>4</v>
      </c>
      <c r="N56">
        <v>4</v>
      </c>
      <c r="AD56" s="90"/>
    </row>
    <row r="57" spans="2:30">
      <c r="B57" s="842" t="s">
        <v>131</v>
      </c>
      <c r="E57">
        <v>6</v>
      </c>
      <c r="J57">
        <v>6</v>
      </c>
      <c r="L57">
        <v>3</v>
      </c>
      <c r="AD57" s="90"/>
    </row>
    <row r="58" spans="2:30">
      <c r="B58" s="842" t="s">
        <v>132</v>
      </c>
      <c r="E58">
        <v>2</v>
      </c>
      <c r="AD58" s="287"/>
    </row>
    <row r="59" spans="2:30">
      <c r="B59" s="842" t="s">
        <v>133</v>
      </c>
      <c r="H59">
        <v>3</v>
      </c>
      <c r="K59">
        <v>8</v>
      </c>
    </row>
    <row r="60" spans="2:30">
      <c r="B60" s="842" t="s">
        <v>134</v>
      </c>
      <c r="G60">
        <v>5</v>
      </c>
      <c r="L60">
        <v>4</v>
      </c>
    </row>
    <row r="61" spans="2:30">
      <c r="B61" s="842" t="s">
        <v>136</v>
      </c>
      <c r="K61">
        <v>3</v>
      </c>
      <c r="M61">
        <v>3</v>
      </c>
    </row>
    <row r="62" spans="2:30">
      <c r="B62" s="1809" t="s">
        <v>35</v>
      </c>
      <c r="D62">
        <v>4</v>
      </c>
      <c r="F62">
        <v>3</v>
      </c>
      <c r="G62">
        <v>5</v>
      </c>
      <c r="H62">
        <v>4</v>
      </c>
      <c r="I62">
        <v>4</v>
      </c>
      <c r="J62" s="90">
        <v>5</v>
      </c>
    </row>
    <row r="63" spans="2:30" ht="16.5" thickBot="1">
      <c r="B63" s="1809"/>
      <c r="J63" s="90">
        <v>10</v>
      </c>
    </row>
    <row r="64" spans="2:30">
      <c r="B64" s="845" t="s">
        <v>1495</v>
      </c>
      <c r="C64" s="849">
        <f t="shared" ref="C64:I64" si="4">IF(COUNTA(C56:C62)&gt;0, AVERAGE(C56:C62), "")</f>
        <v>6</v>
      </c>
      <c r="D64" s="849">
        <f t="shared" si="4"/>
        <v>3.5</v>
      </c>
      <c r="E64" s="849">
        <f t="shared" si="4"/>
        <v>3.6666666666666665</v>
      </c>
      <c r="F64" s="849">
        <f t="shared" si="4"/>
        <v>2.5</v>
      </c>
      <c r="G64" s="849">
        <f t="shared" si="4"/>
        <v>5</v>
      </c>
      <c r="H64" s="849">
        <f t="shared" si="4"/>
        <v>3.3333333333333335</v>
      </c>
      <c r="I64" s="849">
        <f t="shared" si="4"/>
        <v>3.5</v>
      </c>
      <c r="J64" s="849">
        <f>IF(COUNTA(J56:J63)&gt;0, AVERAGE(J56:J63), "")</f>
        <v>6</v>
      </c>
      <c r="K64" s="849">
        <f t="shared" ref="K64:O64" si="5">IF(COUNTA(K56:K63)&gt;0, AVERAGE(K56:K63), "")</f>
        <v>5</v>
      </c>
      <c r="L64" s="849">
        <f t="shared" si="5"/>
        <v>3</v>
      </c>
      <c r="M64" s="849">
        <f t="shared" si="5"/>
        <v>3.5</v>
      </c>
      <c r="N64" s="849">
        <f t="shared" si="5"/>
        <v>4</v>
      </c>
      <c r="O64" s="849" t="str">
        <f t="shared" si="5"/>
        <v/>
      </c>
    </row>
    <row r="65" spans="2:15">
      <c r="B65" s="846" t="s">
        <v>1214</v>
      </c>
      <c r="C65">
        <f t="shared" ref="C65:I65" si="6">IF(COUNTA(C56:C62)&gt;0, COUNTA(C56:C62), "")</f>
        <v>1</v>
      </c>
      <c r="D65">
        <f t="shared" si="6"/>
        <v>2</v>
      </c>
      <c r="E65">
        <f t="shared" si="6"/>
        <v>3</v>
      </c>
      <c r="F65">
        <f t="shared" si="6"/>
        <v>2</v>
      </c>
      <c r="G65">
        <f t="shared" si="6"/>
        <v>3</v>
      </c>
      <c r="H65">
        <f t="shared" si="6"/>
        <v>3</v>
      </c>
      <c r="I65">
        <f t="shared" si="6"/>
        <v>2</v>
      </c>
      <c r="J65">
        <f>IF(COUNTA(J56:J63)&gt;0, COUNTA(J56:J63), "")</f>
        <v>4</v>
      </c>
      <c r="K65">
        <f t="shared" ref="K65:O65" si="7">IF(COUNTA(K56:K63)&gt;0, COUNTA(K56:K63), "")</f>
        <v>3</v>
      </c>
      <c r="L65">
        <f t="shared" si="7"/>
        <v>3</v>
      </c>
      <c r="M65">
        <f t="shared" si="7"/>
        <v>2</v>
      </c>
      <c r="N65">
        <f t="shared" si="7"/>
        <v>1</v>
      </c>
      <c r="O65" t="str">
        <f t="shared" si="7"/>
        <v/>
      </c>
    </row>
    <row r="66" spans="2:15">
      <c r="B66" s="859" t="s">
        <v>150</v>
      </c>
      <c r="C66" s="862">
        <f>COUNTA(C56:O63)</f>
        <v>29</v>
      </c>
      <c r="D66" s="860"/>
      <c r="E66" s="860"/>
      <c r="F66" s="860"/>
      <c r="G66" s="860"/>
      <c r="H66" s="860"/>
      <c r="I66" s="860"/>
      <c r="J66" s="860"/>
      <c r="K66" s="860"/>
      <c r="L66" s="860"/>
      <c r="M66" s="860"/>
      <c r="N66" s="860"/>
      <c r="O66" s="860"/>
    </row>
    <row r="67" spans="2:15">
      <c r="B67" s="852" t="s">
        <v>333</v>
      </c>
      <c r="C67" s="851">
        <f>AVERAGE(C56:O63)</f>
        <v>4.1379310344827589</v>
      </c>
    </row>
    <row r="68" spans="2:15">
      <c r="B68" s="852" t="s">
        <v>1530</v>
      </c>
      <c r="C68" s="58">
        <f>MIN(C56:O63)</f>
        <v>2</v>
      </c>
    </row>
    <row r="69" spans="2:15">
      <c r="B69" s="852" t="s">
        <v>1276</v>
      </c>
      <c r="C69" s="58">
        <f>MAX(C56:O63)</f>
        <v>10</v>
      </c>
    </row>
    <row r="70" spans="2:15">
      <c r="B70" s="54"/>
    </row>
    <row r="71" spans="2:15">
      <c r="B71" s="723" t="s">
        <v>2603</v>
      </c>
    </row>
    <row r="72" spans="2:15">
      <c r="B72" s="1511" t="s">
        <v>87</v>
      </c>
    </row>
    <row r="73" spans="2:15" ht="16.5" thickBot="1">
      <c r="B73" s="1509" t="s">
        <v>329</v>
      </c>
      <c r="C73" s="844" t="s">
        <v>1</v>
      </c>
      <c r="D73" s="844" t="s">
        <v>2</v>
      </c>
      <c r="E73" s="844" t="s">
        <v>3</v>
      </c>
      <c r="F73" s="844" t="s">
        <v>4</v>
      </c>
      <c r="G73" s="844" t="s">
        <v>5</v>
      </c>
      <c r="H73" s="844" t="s">
        <v>6</v>
      </c>
      <c r="I73" s="844" t="s">
        <v>7</v>
      </c>
      <c r="J73" s="844" t="s">
        <v>8</v>
      </c>
      <c r="K73" s="844" t="s">
        <v>9</v>
      </c>
      <c r="L73" s="844" t="s">
        <v>10</v>
      </c>
      <c r="M73" s="844" t="s">
        <v>36</v>
      </c>
      <c r="N73" s="844" t="s">
        <v>37</v>
      </c>
      <c r="O73" s="844" t="s">
        <v>344</v>
      </c>
    </row>
    <row r="74" spans="2:15">
      <c r="B74" s="842" t="s">
        <v>142</v>
      </c>
      <c r="C74">
        <v>5</v>
      </c>
    </row>
    <row r="75" spans="2:15">
      <c r="B75" s="842" t="s">
        <v>143</v>
      </c>
      <c r="C75">
        <v>5</v>
      </c>
    </row>
    <row r="76" spans="2:15">
      <c r="B76" s="842" t="s">
        <v>144</v>
      </c>
      <c r="C76">
        <v>8</v>
      </c>
    </row>
    <row r="77" spans="2:15">
      <c r="B77" s="842" t="s">
        <v>145</v>
      </c>
      <c r="C77">
        <v>6</v>
      </c>
    </row>
    <row r="78" spans="2:15">
      <c r="B78" s="842" t="s">
        <v>146</v>
      </c>
      <c r="D78" s="35">
        <v>7</v>
      </c>
    </row>
    <row r="79" spans="2:15">
      <c r="B79" s="842" t="s">
        <v>147</v>
      </c>
      <c r="C79" s="45">
        <v>7</v>
      </c>
    </row>
    <row r="80" spans="2:15">
      <c r="B80" s="842" t="s">
        <v>148</v>
      </c>
      <c r="C80" s="45">
        <v>6</v>
      </c>
    </row>
    <row r="81" spans="2:15">
      <c r="B81" s="842" t="s">
        <v>125</v>
      </c>
      <c r="C81" s="45">
        <v>6</v>
      </c>
    </row>
    <row r="82" spans="2:15">
      <c r="B82" s="842" t="s">
        <v>116</v>
      </c>
      <c r="D82">
        <v>6</v>
      </c>
    </row>
    <row r="83" spans="2:15">
      <c r="B83" s="842" t="s">
        <v>104</v>
      </c>
      <c r="C83">
        <v>4</v>
      </c>
    </row>
    <row r="84" spans="2:15">
      <c r="B84" s="842" t="s">
        <v>95</v>
      </c>
      <c r="C84">
        <v>5</v>
      </c>
    </row>
    <row r="85" spans="2:15">
      <c r="B85" s="842" t="s">
        <v>85</v>
      </c>
      <c r="H85">
        <v>7</v>
      </c>
    </row>
    <row r="86" spans="2:15">
      <c r="B86" s="842" t="s">
        <v>184</v>
      </c>
      <c r="C86" s="35">
        <v>4</v>
      </c>
      <c r="J86" s="35">
        <v>4</v>
      </c>
    </row>
    <row r="87" spans="2:15">
      <c r="B87" s="842" t="s">
        <v>1742</v>
      </c>
      <c r="E87" s="35">
        <v>3</v>
      </c>
      <c r="J87" s="35">
        <v>1</v>
      </c>
    </row>
    <row r="88" spans="2:15" ht="16.5" thickBot="1">
      <c r="B88" s="842" t="s">
        <v>2056</v>
      </c>
      <c r="C88" s="673">
        <v>2</v>
      </c>
    </row>
    <row r="89" spans="2:15">
      <c r="B89" s="845" t="s">
        <v>333</v>
      </c>
      <c r="C89" s="849">
        <f>IF(COUNTA(C74:C88)&gt;0, AVERAGE(C74:C88), "")</f>
        <v>5.2727272727272725</v>
      </c>
      <c r="D89" s="849">
        <f t="shared" ref="D89:O89" si="8">IF(COUNTA(D74:D88)&gt;0, AVERAGE(D74:D88), "")</f>
        <v>6.5</v>
      </c>
      <c r="E89" s="849">
        <f t="shared" si="8"/>
        <v>3</v>
      </c>
      <c r="F89" s="849" t="str">
        <f t="shared" si="8"/>
        <v/>
      </c>
      <c r="G89" s="849" t="str">
        <f t="shared" si="8"/>
        <v/>
      </c>
      <c r="H89" s="849">
        <f t="shared" si="8"/>
        <v>7</v>
      </c>
      <c r="I89" s="849" t="str">
        <f t="shared" si="8"/>
        <v/>
      </c>
      <c r="J89" s="849">
        <f t="shared" si="8"/>
        <v>2.5</v>
      </c>
      <c r="K89" s="849" t="str">
        <f t="shared" si="8"/>
        <v/>
      </c>
      <c r="L89" s="849" t="str">
        <f t="shared" si="8"/>
        <v/>
      </c>
      <c r="M89" s="849" t="str">
        <f t="shared" si="8"/>
        <v/>
      </c>
      <c r="N89" s="849" t="str">
        <f t="shared" si="8"/>
        <v/>
      </c>
      <c r="O89" s="849" t="str">
        <f t="shared" si="8"/>
        <v/>
      </c>
    </row>
    <row r="90" spans="2:15">
      <c r="B90" s="863" t="s">
        <v>1214</v>
      </c>
      <c r="C90" s="861">
        <f>IF(COUNTA(C74:C88)&gt;0, COUNTA(C74:C88), "")</f>
        <v>11</v>
      </c>
      <c r="D90" s="861">
        <f t="shared" ref="D90:O90" si="9">IF(COUNTA(D74:D88)&gt;0, COUNTA(D74:D88), "")</f>
        <v>2</v>
      </c>
      <c r="E90" s="861">
        <f t="shared" si="9"/>
        <v>1</v>
      </c>
      <c r="F90" s="861" t="str">
        <f t="shared" si="9"/>
        <v/>
      </c>
      <c r="G90" s="861" t="str">
        <f t="shared" si="9"/>
        <v/>
      </c>
      <c r="H90" s="861">
        <f t="shared" si="9"/>
        <v>1</v>
      </c>
      <c r="I90" s="861" t="str">
        <f t="shared" si="9"/>
        <v/>
      </c>
      <c r="J90" s="861">
        <f t="shared" si="9"/>
        <v>2</v>
      </c>
      <c r="K90" s="861" t="str">
        <f t="shared" si="9"/>
        <v/>
      </c>
      <c r="L90" s="861" t="str">
        <f t="shared" si="9"/>
        <v/>
      </c>
      <c r="M90" s="861" t="str">
        <f t="shared" si="9"/>
        <v/>
      </c>
      <c r="N90" s="861" t="str">
        <f t="shared" si="9"/>
        <v/>
      </c>
      <c r="O90" s="861" t="str">
        <f t="shared" si="9"/>
        <v/>
      </c>
    </row>
    <row r="91" spans="2:15">
      <c r="B91" s="864" t="s">
        <v>150</v>
      </c>
      <c r="C91">
        <f>COUNTA(C74:O88)+4</f>
        <v>21</v>
      </c>
    </row>
    <row r="92" spans="2:15">
      <c r="B92" s="52"/>
    </row>
    <row r="93" spans="2:15">
      <c r="B93" s="1482" t="s">
        <v>1566</v>
      </c>
    </row>
    <row r="94" spans="2:15" ht="16.5" thickBot="1">
      <c r="B94" s="1509" t="s">
        <v>329</v>
      </c>
      <c r="C94" s="844" t="s">
        <v>1</v>
      </c>
      <c r="D94" s="844" t="s">
        <v>2</v>
      </c>
      <c r="E94" s="844" t="s">
        <v>3</v>
      </c>
      <c r="F94" s="844" t="s">
        <v>4</v>
      </c>
      <c r="G94" s="844" t="s">
        <v>5</v>
      </c>
      <c r="H94" s="844" t="s">
        <v>6</v>
      </c>
      <c r="I94" s="844" t="s">
        <v>7</v>
      </c>
      <c r="J94" s="844" t="s">
        <v>8</v>
      </c>
      <c r="K94" s="844" t="s">
        <v>9</v>
      </c>
      <c r="L94" s="844" t="s">
        <v>10</v>
      </c>
      <c r="M94" s="844" t="s">
        <v>36</v>
      </c>
      <c r="N94" s="844" t="s">
        <v>37</v>
      </c>
      <c r="O94" s="844" t="s">
        <v>344</v>
      </c>
    </row>
    <row r="95" spans="2:15">
      <c r="B95" s="842" t="s">
        <v>65</v>
      </c>
      <c r="D95">
        <v>4</v>
      </c>
      <c r="F95">
        <v>5</v>
      </c>
    </row>
    <row r="96" spans="2:15">
      <c r="B96" s="842" t="s">
        <v>60</v>
      </c>
      <c r="F96">
        <v>7</v>
      </c>
      <c r="H96">
        <v>8</v>
      </c>
    </row>
    <row r="97" spans="2:15" ht="16.5" thickBot="1">
      <c r="B97" s="843" t="s">
        <v>1742</v>
      </c>
      <c r="C97" s="844"/>
      <c r="D97" s="844"/>
      <c r="E97" s="844"/>
      <c r="F97" s="844"/>
      <c r="G97" s="844"/>
      <c r="H97" s="844"/>
      <c r="I97" s="844"/>
      <c r="J97" s="844"/>
      <c r="K97" s="844"/>
      <c r="L97" s="844">
        <v>3</v>
      </c>
      <c r="M97" s="844"/>
      <c r="N97" s="844"/>
      <c r="O97" s="844"/>
    </row>
    <row r="98" spans="2:15">
      <c r="B98" s="850" t="s">
        <v>333</v>
      </c>
      <c r="C98" s="58">
        <f>AVERAGE(C95:O97)</f>
        <v>5.4</v>
      </c>
    </row>
    <row r="99" spans="2:15">
      <c r="B99" s="52"/>
    </row>
    <row r="100" spans="2:15">
      <c r="B100" s="1510" t="s">
        <v>1567</v>
      </c>
    </row>
    <row r="101" spans="2:15" ht="16.5" thickBot="1">
      <c r="B101" s="1509" t="s">
        <v>329</v>
      </c>
      <c r="C101" s="844" t="s">
        <v>1</v>
      </c>
      <c r="D101" s="844" t="s">
        <v>2</v>
      </c>
      <c r="E101" s="844" t="s">
        <v>3</v>
      </c>
      <c r="F101" s="844" t="s">
        <v>4</v>
      </c>
      <c r="G101" s="844" t="s">
        <v>5</v>
      </c>
      <c r="H101" s="844" t="s">
        <v>6</v>
      </c>
      <c r="I101" s="844" t="s">
        <v>7</v>
      </c>
      <c r="J101" s="844" t="s">
        <v>8</v>
      </c>
      <c r="K101" s="844" t="s">
        <v>9</v>
      </c>
      <c r="L101" s="844" t="s">
        <v>10</v>
      </c>
      <c r="M101" s="844" t="s">
        <v>36</v>
      </c>
      <c r="N101" s="844" t="s">
        <v>37</v>
      </c>
      <c r="O101" s="844" t="s">
        <v>344</v>
      </c>
    </row>
    <row r="102" spans="2:15">
      <c r="B102" s="842" t="s">
        <v>135</v>
      </c>
      <c r="J102" s="90">
        <v>2</v>
      </c>
    </row>
    <row r="103" spans="2:15">
      <c r="B103" s="842"/>
      <c r="J103" s="90">
        <v>3</v>
      </c>
    </row>
    <row r="104" spans="2:15">
      <c r="B104" s="842" t="s">
        <v>136</v>
      </c>
      <c r="J104" s="90">
        <v>3</v>
      </c>
    </row>
    <row r="105" spans="2:15">
      <c r="B105" s="842"/>
      <c r="J105" s="90">
        <v>4</v>
      </c>
    </row>
    <row r="106" spans="2:15">
      <c r="B106" s="842" t="s">
        <v>2590</v>
      </c>
      <c r="F106">
        <v>2</v>
      </c>
    </row>
    <row r="107" spans="2:15" ht="16.5" thickBot="1">
      <c r="B107" s="843" t="s">
        <v>1742</v>
      </c>
      <c r="C107" s="844"/>
      <c r="D107" s="844">
        <v>3</v>
      </c>
      <c r="E107" s="844"/>
      <c r="F107" s="844"/>
      <c r="G107" s="844"/>
      <c r="H107" s="844"/>
      <c r="I107" s="844"/>
      <c r="J107" s="844"/>
      <c r="K107" s="844"/>
      <c r="L107" s="844"/>
      <c r="M107" s="844"/>
      <c r="N107" s="844"/>
      <c r="O107" s="844"/>
    </row>
    <row r="108" spans="2:15">
      <c r="B108" s="852" t="s">
        <v>333</v>
      </c>
      <c r="C108" s="851">
        <f>AVERAGE(C102:O107)</f>
        <v>2.8333333333333335</v>
      </c>
    </row>
    <row r="110" spans="2:15">
      <c r="B110" s="1513" t="s">
        <v>1568</v>
      </c>
    </row>
    <row r="111" spans="2:15" ht="16.5" thickBot="1">
      <c r="B111" s="1509" t="s">
        <v>329</v>
      </c>
      <c r="C111" s="844" t="s">
        <v>1</v>
      </c>
      <c r="D111" s="844" t="s">
        <v>2</v>
      </c>
      <c r="E111" s="844" t="s">
        <v>3</v>
      </c>
      <c r="F111" s="844" t="s">
        <v>4</v>
      </c>
      <c r="G111" s="844" t="s">
        <v>5</v>
      </c>
      <c r="H111" s="844" t="s">
        <v>6</v>
      </c>
      <c r="I111" s="844" t="s">
        <v>7</v>
      </c>
      <c r="J111" s="844" t="s">
        <v>8</v>
      </c>
      <c r="K111" s="844" t="s">
        <v>9</v>
      </c>
      <c r="L111" s="844" t="s">
        <v>10</v>
      </c>
      <c r="M111" s="844" t="s">
        <v>36</v>
      </c>
      <c r="N111" s="844" t="s">
        <v>37</v>
      </c>
      <c r="O111" s="844" t="s">
        <v>344</v>
      </c>
    </row>
    <row r="112" spans="2:15">
      <c r="B112" s="853" t="s">
        <v>66</v>
      </c>
      <c r="N112">
        <v>4</v>
      </c>
    </row>
    <row r="113" spans="2:15">
      <c r="B113" s="842" t="s">
        <v>198</v>
      </c>
      <c r="C113" s="90" t="s">
        <v>2593</v>
      </c>
    </row>
    <row r="114" spans="2:15">
      <c r="B114" s="842" t="s">
        <v>184</v>
      </c>
      <c r="N114">
        <v>3</v>
      </c>
    </row>
    <row r="115" spans="2:15">
      <c r="B115" s="842" t="s">
        <v>1742</v>
      </c>
      <c r="N115" s="792" t="s">
        <v>2593</v>
      </c>
    </row>
    <row r="116" spans="2:15">
      <c r="B116" s="842" t="s">
        <v>2056</v>
      </c>
      <c r="M116">
        <v>6</v>
      </c>
    </row>
    <row r="118" spans="2:15">
      <c r="B118" s="1484" t="s">
        <v>167</v>
      </c>
    </row>
    <row r="119" spans="2:15" ht="16.5" thickBot="1">
      <c r="B119" s="1509" t="s">
        <v>329</v>
      </c>
      <c r="C119" s="844" t="s">
        <v>1</v>
      </c>
      <c r="D119" s="844" t="s">
        <v>2</v>
      </c>
      <c r="E119" s="844" t="s">
        <v>3</v>
      </c>
      <c r="F119" s="844" t="s">
        <v>4</v>
      </c>
      <c r="G119" s="844" t="s">
        <v>5</v>
      </c>
      <c r="H119" s="844" t="s">
        <v>6</v>
      </c>
      <c r="I119" s="844" t="s">
        <v>7</v>
      </c>
      <c r="J119" s="844" t="s">
        <v>8</v>
      </c>
      <c r="K119" s="844" t="s">
        <v>9</v>
      </c>
      <c r="L119" s="844" t="s">
        <v>10</v>
      </c>
      <c r="M119" s="844" t="s">
        <v>36</v>
      </c>
      <c r="N119" s="844" t="s">
        <v>37</v>
      </c>
      <c r="O119" s="844" t="s">
        <v>344</v>
      </c>
    </row>
    <row r="120" spans="2:15">
      <c r="B120" s="842" t="s">
        <v>65</v>
      </c>
      <c r="I120" s="90" t="s">
        <v>2598</v>
      </c>
    </row>
    <row r="121" spans="2:15">
      <c r="B121" s="52"/>
    </row>
    <row r="122" spans="2:15">
      <c r="B122" s="1514" t="s">
        <v>1971</v>
      </c>
    </row>
    <row r="123" spans="2:15" ht="16.5" thickBot="1">
      <c r="B123" s="1509" t="s">
        <v>329</v>
      </c>
      <c r="C123" s="844" t="s">
        <v>1</v>
      </c>
      <c r="D123" s="844" t="s">
        <v>2</v>
      </c>
      <c r="E123" s="844" t="s">
        <v>3</v>
      </c>
      <c r="F123" s="844" t="s">
        <v>4</v>
      </c>
      <c r="G123" s="844" t="s">
        <v>5</v>
      </c>
      <c r="H123" s="844" t="s">
        <v>6</v>
      </c>
      <c r="I123" s="844" t="s">
        <v>7</v>
      </c>
      <c r="J123" s="844" t="s">
        <v>8</v>
      </c>
      <c r="K123" s="844" t="s">
        <v>9</v>
      </c>
      <c r="L123" s="844" t="s">
        <v>10</v>
      </c>
      <c r="M123" s="844" t="s">
        <v>36</v>
      </c>
      <c r="N123" s="844" t="s">
        <v>37</v>
      </c>
      <c r="O123" s="844" t="s">
        <v>344</v>
      </c>
    </row>
    <row r="124" spans="2:15">
      <c r="B124" s="842" t="s">
        <v>1742</v>
      </c>
      <c r="F124">
        <v>4</v>
      </c>
    </row>
    <row r="125" spans="2:15" ht="16.5" thickBot="1">
      <c r="B125" s="842" t="s">
        <v>2056</v>
      </c>
      <c r="E125">
        <v>2</v>
      </c>
    </row>
    <row r="126" spans="2:15">
      <c r="B126" s="850" t="s">
        <v>333</v>
      </c>
      <c r="C126" s="854">
        <f>AVERAGE(C124:O125)</f>
        <v>3</v>
      </c>
      <c r="D126" s="848"/>
      <c r="E126" s="848"/>
      <c r="F126" s="848"/>
      <c r="G126" s="848"/>
      <c r="H126" s="848"/>
      <c r="I126" s="848"/>
      <c r="J126" s="848"/>
      <c r="K126" s="848"/>
      <c r="L126" s="848"/>
      <c r="M126" s="848"/>
      <c r="N126" s="848"/>
      <c r="O126" s="848"/>
    </row>
    <row r="128" spans="2:15">
      <c r="B128" s="1515" t="s">
        <v>1526</v>
      </c>
    </row>
    <row r="129" spans="2:15" ht="16.5" thickBot="1">
      <c r="B129" s="1509" t="s">
        <v>329</v>
      </c>
      <c r="C129" s="844" t="s">
        <v>1</v>
      </c>
      <c r="D129" s="844" t="s">
        <v>2</v>
      </c>
      <c r="E129" s="844" t="s">
        <v>3</v>
      </c>
      <c r="F129" s="844" t="s">
        <v>4</v>
      </c>
      <c r="G129" s="844" t="s">
        <v>5</v>
      </c>
      <c r="H129" s="844" t="s">
        <v>6</v>
      </c>
      <c r="I129" s="844" t="s">
        <v>7</v>
      </c>
      <c r="J129" s="844" t="s">
        <v>8</v>
      </c>
      <c r="K129" s="844" t="s">
        <v>9</v>
      </c>
      <c r="L129" s="844" t="s">
        <v>10</v>
      </c>
      <c r="M129" s="844" t="s">
        <v>36</v>
      </c>
      <c r="N129" s="844" t="s">
        <v>37</v>
      </c>
      <c r="O129" s="844" t="s">
        <v>344</v>
      </c>
    </row>
    <row r="130" spans="2:15">
      <c r="B130" s="842" t="s">
        <v>116</v>
      </c>
      <c r="C130">
        <v>6</v>
      </c>
    </row>
    <row r="131" spans="2:15" ht="16.5" thickBot="1">
      <c r="B131" s="842" t="s">
        <v>104</v>
      </c>
      <c r="E131">
        <v>3</v>
      </c>
    </row>
    <row r="132" spans="2:15">
      <c r="B132" s="850" t="s">
        <v>333</v>
      </c>
      <c r="C132" s="854">
        <f>AVERAGE(C130:O131)</f>
        <v>4.5</v>
      </c>
      <c r="D132" s="848"/>
      <c r="E132" s="848"/>
      <c r="F132" s="848"/>
      <c r="G132" s="848"/>
      <c r="H132" s="848"/>
      <c r="I132" s="848"/>
      <c r="J132" s="848"/>
      <c r="K132" s="848"/>
      <c r="L132" s="848"/>
      <c r="M132" s="848"/>
      <c r="N132" s="848"/>
      <c r="O132" s="848"/>
    </row>
    <row r="134" spans="2:15">
      <c r="B134" s="35"/>
    </row>
    <row r="135" spans="2:15" ht="15.95" customHeight="1">
      <c r="B135" s="388"/>
      <c r="C135" s="388"/>
      <c r="D135" s="388"/>
      <c r="E135" s="388"/>
      <c r="F135" s="388"/>
      <c r="G135" s="388"/>
      <c r="H135" s="388"/>
      <c r="I135" s="388"/>
      <c r="J135" s="388"/>
    </row>
    <row r="136" spans="2:15">
      <c r="B136" s="388"/>
      <c r="C136" s="388"/>
      <c r="D136" s="388"/>
      <c r="E136" s="388"/>
      <c r="F136" s="388"/>
      <c r="G136" s="388"/>
      <c r="H136" s="388"/>
      <c r="I136" s="388"/>
      <c r="J136" s="388"/>
    </row>
    <row r="137" spans="2:15">
      <c r="B137" s="388"/>
      <c r="C137" s="388"/>
      <c r="D137" s="388"/>
      <c r="E137" s="388"/>
      <c r="F137" s="388"/>
      <c r="G137" s="388"/>
      <c r="H137" s="388"/>
      <c r="I137" s="388"/>
      <c r="J137" s="388"/>
    </row>
    <row r="138" spans="2:15">
      <c r="B138" s="378"/>
    </row>
    <row r="139" spans="2:15">
      <c r="B139" s="378"/>
    </row>
    <row r="140" spans="2:15" ht="15.95" customHeight="1">
      <c r="B140" s="390"/>
      <c r="C140" s="390"/>
      <c r="D140" s="390"/>
      <c r="E140" s="390"/>
      <c r="F140" s="390"/>
      <c r="G140" s="390"/>
      <c r="H140" s="390"/>
    </row>
    <row r="141" spans="2:15">
      <c r="B141" s="390"/>
      <c r="C141" s="390"/>
      <c r="D141" s="390"/>
      <c r="E141" s="390"/>
      <c r="F141" s="390"/>
      <c r="G141" s="390"/>
      <c r="H141" s="390"/>
    </row>
    <row r="142" spans="2:15">
      <c r="B142" s="378"/>
    </row>
    <row r="143" spans="2:15">
      <c r="B143" s="378"/>
    </row>
    <row r="144" spans="2:15">
      <c r="B144" s="378"/>
    </row>
    <row r="147" spans="18:22" ht="18.75">
      <c r="R147" s="68"/>
    </row>
    <row r="148" spans="18:22">
      <c r="R148" s="317"/>
      <c r="S148" s="35"/>
    </row>
    <row r="149" spans="18:22">
      <c r="R149" s="840"/>
    </row>
    <row r="150" spans="18:22">
      <c r="R150" s="90"/>
      <c r="T150" s="378"/>
    </row>
    <row r="151" spans="18:22">
      <c r="R151" s="90"/>
    </row>
    <row r="152" spans="18:22">
      <c r="R152" s="840"/>
    </row>
    <row r="153" spans="18:22">
      <c r="R153" s="840"/>
    </row>
    <row r="154" spans="18:22">
      <c r="R154" s="840"/>
    </row>
    <row r="155" spans="18:22">
      <c r="R155" s="90"/>
    </row>
    <row r="156" spans="18:22">
      <c r="R156" s="147"/>
    </row>
    <row r="157" spans="18:22">
      <c r="R157" s="90"/>
      <c r="S157" s="58"/>
      <c r="V157" s="12"/>
    </row>
    <row r="158" spans="18:22">
      <c r="R158" s="841"/>
      <c r="S158" s="58"/>
      <c r="V158" s="12"/>
    </row>
    <row r="160" spans="18:22">
      <c r="R160" s="35"/>
      <c r="V160" s="12"/>
    </row>
    <row r="161" spans="18:24">
      <c r="R161" s="390"/>
      <c r="S161" s="422"/>
      <c r="T161" s="422"/>
      <c r="U161" s="422"/>
      <c r="V161" s="422"/>
      <c r="W161" s="422"/>
      <c r="X161" s="422"/>
    </row>
    <row r="162" spans="18:24">
      <c r="R162" s="422"/>
      <c r="S162" s="422"/>
      <c r="T162" s="422"/>
      <c r="U162" s="422"/>
      <c r="V162" s="422"/>
      <c r="W162" s="422"/>
      <c r="X162" s="422"/>
    </row>
    <row r="163" spans="18:24">
      <c r="R163" s="422"/>
      <c r="S163" s="422"/>
      <c r="T163" s="422"/>
      <c r="U163" s="422"/>
      <c r="V163" s="422"/>
      <c r="W163" s="422"/>
      <c r="X163" s="422"/>
    </row>
    <row r="164" spans="18:24">
      <c r="R164" s="378"/>
    </row>
    <row r="165" spans="18:24">
      <c r="R165" s="378"/>
    </row>
    <row r="166" spans="18:24">
      <c r="R166" s="390"/>
      <c r="S166" s="390"/>
      <c r="T166" s="390"/>
      <c r="U166" s="390"/>
      <c r="V166" s="390"/>
      <c r="W166" s="390"/>
      <c r="X166" s="390"/>
    </row>
    <row r="167" spans="18:24">
      <c r="R167" s="390"/>
      <c r="S167" s="390"/>
      <c r="T167" s="390"/>
      <c r="U167" s="390"/>
      <c r="V167" s="390"/>
      <c r="W167" s="390"/>
      <c r="X167" s="390"/>
    </row>
    <row r="168" spans="18:24">
      <c r="R168" s="378"/>
    </row>
    <row r="169" spans="18:24">
      <c r="R169" s="378"/>
    </row>
    <row r="170" spans="18:24">
      <c r="R170" s="378"/>
    </row>
  </sheetData>
  <mergeCells count="3">
    <mergeCell ref="B4:D4"/>
    <mergeCell ref="B6:K6"/>
    <mergeCell ref="B62:B63"/>
  </mergeCells>
  <phoneticPr fontId="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8C4F-EBCB-4E4B-A321-6AA946FEF453}">
  <sheetPr codeName="Sheet20">
    <tabColor rgb="FF663300"/>
  </sheetPr>
  <dimension ref="B3:J10"/>
  <sheetViews>
    <sheetView workbookViewId="0">
      <selection activeCell="G13" sqref="G13"/>
    </sheetView>
  </sheetViews>
  <sheetFormatPr defaultColWidth="11" defaultRowHeight="15.75"/>
  <sheetData>
    <row r="3" spans="2:10" ht="33.75">
      <c r="B3" s="1810" t="s">
        <v>2812</v>
      </c>
      <c r="C3" s="1810"/>
      <c r="D3" s="1810"/>
    </row>
    <row r="6" spans="2:10">
      <c r="B6" s="1701" t="s">
        <v>2813</v>
      </c>
      <c r="C6" s="1701"/>
      <c r="D6" s="1701"/>
      <c r="E6" s="1701"/>
      <c r="F6" s="1701"/>
      <c r="G6" s="1701"/>
      <c r="H6" s="1701"/>
      <c r="I6" s="1701"/>
    </row>
    <row r="7" spans="2:10">
      <c r="B7" s="1701"/>
      <c r="C7" s="1701"/>
      <c r="D7" s="1701"/>
      <c r="E7" s="1701"/>
      <c r="F7" s="1701"/>
      <c r="G7" s="1701"/>
      <c r="H7" s="1701"/>
      <c r="I7" s="1701"/>
    </row>
    <row r="8" spans="2:10" ht="15.75" customHeight="1">
      <c r="B8" s="1701" t="s">
        <v>2817</v>
      </c>
      <c r="C8" s="1701"/>
      <c r="D8" s="1701"/>
      <c r="E8" s="1701"/>
      <c r="F8" s="1701"/>
      <c r="G8" s="1701"/>
      <c r="H8" s="1701"/>
      <c r="I8" s="1701"/>
      <c r="J8" s="422"/>
    </row>
    <row r="9" spans="2:10">
      <c r="B9" s="1701"/>
      <c r="C9" s="1701"/>
      <c r="D9" s="1701"/>
      <c r="E9" s="1701"/>
      <c r="F9" s="1701"/>
      <c r="G9" s="1701"/>
      <c r="H9" s="1701"/>
      <c r="I9" s="1701"/>
      <c r="J9" s="422"/>
    </row>
    <row r="10" spans="2:10">
      <c r="B10" s="71" t="s">
        <v>329</v>
      </c>
      <c r="C10" s="71" t="s">
        <v>2814</v>
      </c>
      <c r="D10" s="71" t="s">
        <v>1678</v>
      </c>
      <c r="E10" s="71" t="s">
        <v>2815</v>
      </c>
      <c r="F10" s="71" t="s">
        <v>2818</v>
      </c>
      <c r="G10" s="71" t="s">
        <v>2816</v>
      </c>
    </row>
  </sheetData>
  <mergeCells count="3">
    <mergeCell ref="B3:D3"/>
    <mergeCell ref="B6:I7"/>
    <mergeCell ref="B8:I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316BB-B1CA-604C-A78B-6816FC0A69F7}">
  <sheetPr codeName="Sheet24">
    <tabColor theme="3"/>
  </sheetPr>
  <dimension ref="B3:AO29"/>
  <sheetViews>
    <sheetView workbookViewId="0">
      <selection activeCell="Q8" sqref="Q8"/>
    </sheetView>
  </sheetViews>
  <sheetFormatPr defaultColWidth="11" defaultRowHeight="15.75"/>
  <cols>
    <col min="11" max="11" width="13.625" bestFit="1" customWidth="1"/>
    <col min="12" max="12" width="13.75" bestFit="1" customWidth="1"/>
    <col min="13" max="13" width="13.875" bestFit="1" customWidth="1"/>
    <col min="14" max="14" width="13.75" bestFit="1" customWidth="1"/>
    <col min="15" max="15" width="13.875" bestFit="1" customWidth="1"/>
    <col min="17" max="17" width="13.625" bestFit="1" customWidth="1"/>
    <col min="19" max="19" width="15" bestFit="1" customWidth="1"/>
    <col min="21" max="21" width="15" bestFit="1" customWidth="1"/>
    <col min="23" max="23" width="13.875" bestFit="1" customWidth="1"/>
    <col min="25" max="25" width="13.875" bestFit="1" customWidth="1"/>
    <col min="27" max="27" width="15" bestFit="1" customWidth="1"/>
    <col min="29" max="29" width="15" bestFit="1" customWidth="1"/>
    <col min="30" max="30" width="7.875" bestFit="1" customWidth="1"/>
    <col min="31" max="31" width="14.625" customWidth="1"/>
    <col min="32" max="32" width="6.75" customWidth="1"/>
    <col min="33" max="33" width="13.5" bestFit="1" customWidth="1"/>
  </cols>
  <sheetData>
    <row r="3" spans="2:13" ht="33.75">
      <c r="B3" s="1816" t="s">
        <v>2056</v>
      </c>
      <c r="C3" s="1816"/>
      <c r="D3" s="1816"/>
      <c r="I3" s="40" t="s">
        <v>2025</v>
      </c>
      <c r="M3" s="40" t="s">
        <v>2026</v>
      </c>
    </row>
    <row r="5" spans="2:13" ht="15.75" customHeight="1">
      <c r="B5" s="1701" t="s">
        <v>2820</v>
      </c>
      <c r="C5" s="1701"/>
      <c r="D5" s="1701"/>
      <c r="E5" s="1701"/>
      <c r="F5" s="1701"/>
      <c r="G5" s="1701"/>
      <c r="H5" s="1701"/>
    </row>
    <row r="6" spans="2:13">
      <c r="B6" s="1701"/>
      <c r="C6" s="1701"/>
      <c r="D6" s="1701"/>
      <c r="E6" s="1701"/>
      <c r="F6" s="1701"/>
      <c r="G6" s="1701"/>
      <c r="H6" s="1701"/>
    </row>
    <row r="7" spans="2:13">
      <c r="B7" s="1701"/>
      <c r="C7" s="1701"/>
      <c r="D7" s="1701"/>
      <c r="E7" s="1701"/>
      <c r="F7" s="1701"/>
      <c r="G7" s="1701"/>
      <c r="H7" s="1701"/>
    </row>
    <row r="8" spans="2:13">
      <c r="B8" s="1701"/>
      <c r="C8" s="1701"/>
      <c r="D8" s="1701"/>
      <c r="E8" s="1701"/>
      <c r="F8" s="1701"/>
      <c r="G8" s="1701"/>
      <c r="H8" s="1701"/>
    </row>
    <row r="9" spans="2:13">
      <c r="B9" s="1701"/>
      <c r="C9" s="1701"/>
      <c r="D9" s="1701"/>
      <c r="E9" s="1701"/>
      <c r="F9" s="1701"/>
      <c r="G9" s="1701"/>
      <c r="H9" s="1701"/>
    </row>
    <row r="10" spans="2:13">
      <c r="B10" s="422"/>
      <c r="C10" s="422"/>
      <c r="D10" s="422"/>
      <c r="E10" s="422"/>
      <c r="F10" s="422"/>
      <c r="G10" s="422"/>
      <c r="H10" s="422"/>
    </row>
    <row r="11" spans="2:13">
      <c r="B11" s="35" t="s">
        <v>2829</v>
      </c>
    </row>
    <row r="12" spans="2:13">
      <c r="B12" s="378" t="s">
        <v>2830</v>
      </c>
    </row>
    <row r="13" spans="2:13">
      <c r="B13" s="378" t="s">
        <v>2831</v>
      </c>
    </row>
    <row r="14" spans="2:13">
      <c r="B14" s="378" t="s">
        <v>2832</v>
      </c>
    </row>
    <row r="15" spans="2:13">
      <c r="B15" s="378" t="s">
        <v>2833</v>
      </c>
    </row>
    <row r="16" spans="2:13">
      <c r="B16" s="378" t="s">
        <v>2834</v>
      </c>
    </row>
    <row r="17" spans="2:41" ht="19.5" thickBot="1">
      <c r="B17" s="378" t="s">
        <v>2837</v>
      </c>
      <c r="I17" s="40" t="s">
        <v>2026</v>
      </c>
    </row>
    <row r="18" spans="2:41">
      <c r="B18" s="378" t="s">
        <v>2838</v>
      </c>
      <c r="I18" s="1518" t="s">
        <v>1110</v>
      </c>
      <c r="J18" s="1817" t="s">
        <v>1</v>
      </c>
      <c r="K18" s="1814"/>
      <c r="L18" s="1814" t="s">
        <v>2</v>
      </c>
      <c r="M18" s="1814"/>
      <c r="N18" s="1814" t="s">
        <v>3</v>
      </c>
      <c r="O18" s="1814"/>
      <c r="P18" s="1814" t="s">
        <v>4</v>
      </c>
      <c r="Q18" s="1814"/>
      <c r="R18" s="1814" t="s">
        <v>5</v>
      </c>
      <c r="S18" s="1814"/>
      <c r="T18" s="1814" t="s">
        <v>6</v>
      </c>
      <c r="U18" s="1814"/>
      <c r="V18" s="1814" t="s">
        <v>7</v>
      </c>
      <c r="W18" s="1814"/>
      <c r="X18" s="1814" t="s">
        <v>8</v>
      </c>
      <c r="Y18" s="1814"/>
      <c r="Z18" s="1814" t="s">
        <v>9</v>
      </c>
      <c r="AA18" s="1814"/>
      <c r="AB18" s="1814" t="s">
        <v>10</v>
      </c>
      <c r="AC18" s="1814"/>
      <c r="AD18" s="1519" t="s">
        <v>36</v>
      </c>
      <c r="AE18" s="1519"/>
      <c r="AF18" s="1811" t="s">
        <v>37</v>
      </c>
      <c r="AG18" s="1812"/>
      <c r="AJ18" s="1600"/>
      <c r="AK18" s="1600"/>
      <c r="AN18" s="1813"/>
      <c r="AO18" s="1813"/>
    </row>
    <row r="19" spans="2:41" ht="16.5" thickBot="1">
      <c r="I19" s="1472" t="s">
        <v>1198</v>
      </c>
      <c r="J19" s="1473" t="s">
        <v>286</v>
      </c>
      <c r="K19" s="1474" t="s">
        <v>1126</v>
      </c>
      <c r="L19" s="1473" t="s">
        <v>2061</v>
      </c>
      <c r="M19" s="1474" t="s">
        <v>1125</v>
      </c>
      <c r="N19" s="1473" t="s">
        <v>2061</v>
      </c>
      <c r="O19" s="1474" t="s">
        <v>1125</v>
      </c>
      <c r="P19" s="1473" t="s">
        <v>1137</v>
      </c>
      <c r="Q19" s="1474" t="s">
        <v>1126</v>
      </c>
      <c r="R19" s="1473" t="s">
        <v>285</v>
      </c>
      <c r="S19" s="1474" t="s">
        <v>1143</v>
      </c>
      <c r="T19" s="1473" t="s">
        <v>285</v>
      </c>
      <c r="U19" s="1474" t="s">
        <v>1143</v>
      </c>
      <c r="V19" s="1473" t="s">
        <v>1216</v>
      </c>
      <c r="W19" s="1474" t="s">
        <v>1125</v>
      </c>
      <c r="X19" s="1473" t="s">
        <v>1216</v>
      </c>
      <c r="Y19" s="1474" t="s">
        <v>1125</v>
      </c>
      <c r="Z19" s="1473" t="s">
        <v>271</v>
      </c>
      <c r="AA19" s="1474" t="s">
        <v>1143</v>
      </c>
      <c r="AB19" s="1473" t="s">
        <v>304</v>
      </c>
      <c r="AC19" s="1474" t="s">
        <v>1143</v>
      </c>
      <c r="AD19" s="1473" t="s">
        <v>270</v>
      </c>
      <c r="AE19" s="1474" t="s">
        <v>1115</v>
      </c>
      <c r="AF19" s="1475" t="s">
        <v>266</v>
      </c>
      <c r="AG19" s="1480" t="s">
        <v>1120</v>
      </c>
      <c r="AJ19" s="52"/>
      <c r="AK19" s="61"/>
      <c r="AN19" s="65"/>
      <c r="AO19" s="397"/>
    </row>
    <row r="20" spans="2:41">
      <c r="D20" t="s">
        <v>2821</v>
      </c>
    </row>
    <row r="21" spans="2:41" ht="18.75">
      <c r="D21" s="68" t="s">
        <v>2042</v>
      </c>
      <c r="I21" s="68" t="s">
        <v>1604</v>
      </c>
    </row>
    <row r="22" spans="2:41">
      <c r="D22" s="378" t="s">
        <v>2034</v>
      </c>
      <c r="I22" s="585" t="s">
        <v>1632</v>
      </c>
      <c r="J22" s="308" t="s">
        <v>12</v>
      </c>
      <c r="K22" s="309" t="s">
        <v>14</v>
      </c>
      <c r="L22" s="310" t="s">
        <v>13</v>
      </c>
      <c r="M22" s="91" t="s">
        <v>182</v>
      </c>
    </row>
    <row r="23" spans="2:41">
      <c r="D23" s="378" t="s">
        <v>2822</v>
      </c>
      <c r="J23">
        <f>Challenges!D50</f>
        <v>64</v>
      </c>
      <c r="K23">
        <f>Challenges!E50</f>
        <v>13</v>
      </c>
      <c r="L23">
        <f>Challenges!F50</f>
        <v>7</v>
      </c>
      <c r="M23" s="291">
        <f>Challenges!C50</f>
        <v>86</v>
      </c>
    </row>
    <row r="24" spans="2:41">
      <c r="D24" s="378" t="s">
        <v>2823</v>
      </c>
      <c r="I24" s="147" t="s">
        <v>2828</v>
      </c>
      <c r="J24" s="392">
        <f>(J23-Challenges!D49)/Challenges!D49</f>
        <v>-4.4776119402985072E-2</v>
      </c>
      <c r="K24" s="392">
        <f>(K23-Challenges!E49)/Challenges!E49</f>
        <v>0</v>
      </c>
      <c r="L24" s="392">
        <f>(L23-Challenges!F49)/Challenges!F49</f>
        <v>0</v>
      </c>
      <c r="M24" s="583">
        <f>(M23-Challenges!C49)/Challenges!C49</f>
        <v>-4.4444444444444446E-2</v>
      </c>
    </row>
    <row r="25" spans="2:41" ht="15.75" customHeight="1">
      <c r="D25" s="378" t="s">
        <v>2824</v>
      </c>
      <c r="I25" s="147" t="s">
        <v>2031</v>
      </c>
      <c r="J25" s="392">
        <f>(J23-'Route Info'!C52)/'Route Info'!C52</f>
        <v>0.20634920634920631</v>
      </c>
      <c r="K25" s="392">
        <f>(K23-'Road Block'!C49)/'Road Block'!C49</f>
        <v>9.2920353982300835E-2</v>
      </c>
      <c r="L25" s="392">
        <f>(L23-Detour!C49)/Detour!C49</f>
        <v>-0.32487309644670048</v>
      </c>
      <c r="M25" s="583">
        <f>(M23-AVERAGE(Challenges!C13:C50))/AVERAGE(Challenges!C13:C50)</f>
        <v>8.8607594936708861E-2</v>
      </c>
    </row>
    <row r="26" spans="2:41">
      <c r="D26" s="378" t="s">
        <v>2825</v>
      </c>
      <c r="I26" s="586" t="s">
        <v>1633</v>
      </c>
      <c r="J26" s="1555" t="s">
        <v>27</v>
      </c>
      <c r="K26" s="1556" t="s">
        <v>1270</v>
      </c>
      <c r="L26" s="1557" t="s">
        <v>43</v>
      </c>
      <c r="M26" s="1558" t="s">
        <v>120</v>
      </c>
      <c r="N26" s="1578" t="s">
        <v>47</v>
      </c>
      <c r="O26" s="1559" t="s">
        <v>46</v>
      </c>
      <c r="P26" s="1560" t="s">
        <v>397</v>
      </c>
      <c r="Q26" s="1561" t="s">
        <v>155</v>
      </c>
      <c r="R26" s="1562" t="s">
        <v>24</v>
      </c>
      <c r="S26" s="1563" t="s">
        <v>23</v>
      </c>
      <c r="T26" s="1564" t="s">
        <v>29</v>
      </c>
      <c r="U26" s="1565" t="s">
        <v>93</v>
      </c>
      <c r="V26" s="1566" t="s">
        <v>1269</v>
      </c>
      <c r="W26" s="309" t="s">
        <v>26</v>
      </c>
      <c r="X26" s="1567" t="s">
        <v>109</v>
      </c>
      <c r="Y26" s="1568" t="s">
        <v>114</v>
      </c>
      <c r="Z26" s="1569" t="s">
        <v>1272</v>
      </c>
      <c r="AA26" s="1570" t="s">
        <v>68</v>
      </c>
      <c r="AB26" s="1571" t="s">
        <v>234</v>
      </c>
      <c r="AC26" s="1572" t="s">
        <v>124</v>
      </c>
      <c r="AD26" s="1573" t="s">
        <v>74</v>
      </c>
      <c r="AE26" s="311" t="s">
        <v>1271</v>
      </c>
      <c r="AF26" s="1574" t="s">
        <v>20</v>
      </c>
      <c r="AG26" s="1575" t="s">
        <v>44</v>
      </c>
      <c r="AH26" s="1576" t="s">
        <v>339</v>
      </c>
      <c r="AI26" s="310" t="s">
        <v>73</v>
      </c>
      <c r="AJ26" s="1577" t="s">
        <v>216</v>
      </c>
      <c r="AK26" s="584" t="s">
        <v>21</v>
      </c>
      <c r="AL26" s="83" t="s">
        <v>182</v>
      </c>
    </row>
    <row r="27" spans="2:41">
      <c r="D27" s="1815" t="s">
        <v>2826</v>
      </c>
      <c r="E27" s="1815"/>
      <c r="F27" s="1815"/>
      <c r="G27" s="1815"/>
      <c r="J27">
        <f>Keywords!D79</f>
        <v>2</v>
      </c>
      <c r="K27">
        <f>Keywords!E79</f>
        <v>7</v>
      </c>
      <c r="L27">
        <f>Keywords!F79</f>
        <v>3</v>
      </c>
      <c r="M27">
        <f>Keywords!G79</f>
        <v>1</v>
      </c>
      <c r="N27">
        <f>Keywords!H79</f>
        <v>4</v>
      </c>
      <c r="O27">
        <f>Keywords!I79</f>
        <v>2</v>
      </c>
      <c r="P27">
        <f>Keywords!J79</f>
        <v>0</v>
      </c>
      <c r="Q27">
        <f>Keywords!K79</f>
        <v>3</v>
      </c>
      <c r="R27">
        <f>Keywords!L79</f>
        <v>5</v>
      </c>
      <c r="S27">
        <f>Keywords!M79</f>
        <v>0</v>
      </c>
      <c r="T27">
        <f>Keywords!N79</f>
        <v>3</v>
      </c>
      <c r="U27">
        <f>Keywords!O79</f>
        <v>0</v>
      </c>
      <c r="V27">
        <f>Keywords!P79</f>
        <v>5</v>
      </c>
      <c r="W27">
        <f>Keywords!Q79</f>
        <v>3</v>
      </c>
      <c r="X27">
        <f>Keywords!R79</f>
        <v>3</v>
      </c>
      <c r="Y27">
        <f>Keywords!S79</f>
        <v>0</v>
      </c>
      <c r="Z27">
        <f>Keywords!T79</f>
        <v>4</v>
      </c>
      <c r="AA27">
        <f>Keywords!U79</f>
        <v>1</v>
      </c>
      <c r="AB27">
        <f>Keywords!V79</f>
        <v>1</v>
      </c>
      <c r="AC27">
        <f>Keywords!W79</f>
        <v>1</v>
      </c>
      <c r="AD27">
        <f>Keywords!X79</f>
        <v>0</v>
      </c>
      <c r="AE27">
        <f>Keywords!Y79</f>
        <v>7</v>
      </c>
      <c r="AF27">
        <f>Keywords!Z79</f>
        <v>4</v>
      </c>
      <c r="AG27">
        <f>Keywords!AA79</f>
        <v>6</v>
      </c>
      <c r="AH27">
        <f>Keywords!AB79</f>
        <v>1</v>
      </c>
      <c r="AI27">
        <f>Keywords!AC79</f>
        <v>0</v>
      </c>
      <c r="AJ27">
        <f>Keywords!AD79</f>
        <v>0</v>
      </c>
      <c r="AK27">
        <f>Keywords!AE79</f>
        <v>12</v>
      </c>
      <c r="AL27" s="291">
        <f ca="1">SUM(J27:AL27)</f>
        <v>78</v>
      </c>
    </row>
    <row r="28" spans="2:41">
      <c r="D28" s="378" t="s">
        <v>2827</v>
      </c>
      <c r="E28" s="1516"/>
      <c r="I28" s="147" t="s">
        <v>2828</v>
      </c>
      <c r="J28" s="392">
        <f>IF(Keywords!D78&gt;0, (J27-Keywords!D78)/Keywords!D78, "Infinite %")</f>
        <v>1</v>
      </c>
      <c r="K28" s="392">
        <f>IF(Keywords!E78&gt;0, (K27-Keywords!E78)/Keywords!E78, "Infinite %")</f>
        <v>-0.125</v>
      </c>
      <c r="L28" s="392">
        <f>IF(Keywords!F78&gt;0, (L27-Keywords!F78)/Keywords!F78, "Infinite %")</f>
        <v>0</v>
      </c>
      <c r="M28" s="392" t="str">
        <f>IF(Keywords!G78&gt;0, (M27-Keywords!G78)/Keywords!G78, "Infinite %")</f>
        <v>Infinite %</v>
      </c>
      <c r="N28" s="392">
        <f>IF(Keywords!H78&gt;0, (N27-Keywords!H78)/Keywords!H78, "Infinite %")</f>
        <v>3</v>
      </c>
      <c r="O28" s="392">
        <f>IF(Keywords!I78&gt;0, (O27-Keywords!I78)/Keywords!I78, "Infinite %")</f>
        <v>1</v>
      </c>
      <c r="P28" s="392" t="str">
        <f>IF(Keywords!J78&gt;0, (P27-Keywords!J78)/Keywords!J78, "Infinite %")</f>
        <v>Infinite %</v>
      </c>
      <c r="Q28" s="392">
        <f>IF(Keywords!K78&gt;0, (Q27-Keywords!K78)/Keywords!K78, "Infinite %")</f>
        <v>0.5</v>
      </c>
      <c r="R28" s="392">
        <f>IF(Keywords!L78&gt;0, (R27-Keywords!L78)/Keywords!L78, "Infinite %")</f>
        <v>-0.2857142857142857</v>
      </c>
      <c r="S28" s="392" t="str">
        <f>IF(Keywords!M78&gt;0, (S27-Keywords!M78)/Keywords!M78, "Infinite %")</f>
        <v>Infinite %</v>
      </c>
      <c r="T28" s="392">
        <f>IF(Keywords!N78&gt;0, (T27-Keywords!N78)/Keywords!N78, "Infinite %")</f>
        <v>0.5</v>
      </c>
      <c r="U28" s="392" t="str">
        <f>IF(Keywords!O78&gt;0, (U27-Keywords!O78)/Keywords!O78, "Infinite %")</f>
        <v>Infinite %</v>
      </c>
      <c r="V28" s="392">
        <f>IF(Keywords!P78&gt;0, (V27-Keywords!P78)/Keywords!P78, "Infinite %")</f>
        <v>0.66666666666666663</v>
      </c>
      <c r="W28" s="392">
        <f>IF(Keywords!Q78&gt;0, (W27-Keywords!Q78)/Keywords!Q78, "Infinite %")</f>
        <v>0.5</v>
      </c>
      <c r="X28" s="392">
        <f>IF(Keywords!R78&gt;0, (X27-Keywords!R78)/Keywords!R78, "Infinite %")</f>
        <v>0</v>
      </c>
      <c r="Y28" s="392" t="str">
        <f>IF(Keywords!S78&gt;0, (Y27-Keywords!S78)/Keywords!S78, "Infinite %")</f>
        <v>Infinite %</v>
      </c>
      <c r="Z28" s="392">
        <f>IF(Keywords!T78&gt;0, (Z27-Keywords!T78)/Keywords!T78, "Infinite %")</f>
        <v>0</v>
      </c>
      <c r="AA28" s="392">
        <f>IF(Keywords!U78&gt;0, (AA27-Keywords!U78)/Keywords!U78, "Infinite %")</f>
        <v>0</v>
      </c>
      <c r="AB28" s="392" t="str">
        <f>IF(Keywords!V78&gt;0, (AB27-Keywords!V78)/Keywords!V78, "Infinite %")</f>
        <v>Infinite %</v>
      </c>
      <c r="AC28" s="392">
        <f>IF(Keywords!W78&gt;0, (AC27-Keywords!W78)/Keywords!W78, "Infinite %")</f>
        <v>0</v>
      </c>
      <c r="AD28" s="392" t="str">
        <f>IF(Keywords!X78&gt;0, (AD27-Keywords!X78)/Keywords!X78, "Infinite %")</f>
        <v>Infinite %</v>
      </c>
      <c r="AE28" s="392">
        <f>IF(Keywords!Y78&gt;0, (AE27-Keywords!Y78)/Keywords!Y78, "Infinite %")</f>
        <v>-0.22222222222222221</v>
      </c>
      <c r="AF28" s="392">
        <f>IF(Keywords!Z78&gt;0, (AF27-Keywords!Z78)/Keywords!Z78, "Infinite %")</f>
        <v>0.33333333333333331</v>
      </c>
      <c r="AG28" s="392">
        <f>IF(Keywords!AA78&gt;0, (AG27-Keywords!AA78)/Keywords!AA78, "Infinite %")</f>
        <v>0.5</v>
      </c>
      <c r="AH28" s="392" t="str">
        <f>IF(Keywords!AB78&gt;0, (AH27-Keywords!AB78)/Keywords!AB78, "Infinite %")</f>
        <v>Infinite %</v>
      </c>
      <c r="AI28" s="392">
        <f>IF(Keywords!AC78&gt;0, (AI27-Keywords!AC78)/Keywords!AC78, "Infinite %")</f>
        <v>-1</v>
      </c>
      <c r="AJ28" s="392">
        <f>IF(Keywords!AD78&gt;0, (AJ27-Keywords!AD78)/Keywords!AD78, "Infinite %")</f>
        <v>-1</v>
      </c>
      <c r="AK28" s="392">
        <f>IF(Keywords!AE78&gt;0, (AK27-Keywords!AE78)/Keywords!AE78, "Infinite %")</f>
        <v>0.2</v>
      </c>
      <c r="AL28" s="583">
        <f ca="1">(AL27-Keywords!C78)/Keywords!C78</f>
        <v>0.14705882352941177</v>
      </c>
    </row>
    <row r="29" spans="2:41">
      <c r="I29" s="147" t="s">
        <v>2031</v>
      </c>
      <c r="J29" s="392">
        <f>IF(Keywords!D81&gt;0, (J27-Keywords!D81)/Keywords!D81, "Infinite %")</f>
        <v>-0.18279569892473113</v>
      </c>
      <c r="K29" s="392">
        <f>IF(Keywords!E81&gt;0, (K27-Keywords!E81)/Keywords!E81, "Infinite %")</f>
        <v>0.43010752688172055</v>
      </c>
      <c r="L29" s="392">
        <f>IF(Keywords!F81&gt;0, (L27-Keywords!F81)/Keywords!F81, "Infinite %")</f>
        <v>1.3265306122448979</v>
      </c>
      <c r="M29" s="392">
        <f>IF(Keywords!G81&gt;0, (M27-Keywords!G81)/Keywords!G81, "Infinite %")</f>
        <v>-0.11627906976744183</v>
      </c>
      <c r="N29" s="392">
        <f>IF(Keywords!H81&gt;0, (N27-Keywords!H81)/Keywords!H81, "Infinite %")</f>
        <v>0.76744186046511631</v>
      </c>
      <c r="O29" s="392">
        <f>IF(Keywords!I81&gt;0, (O27-Keywords!I81)/Keywords!I81, "Infinite %")</f>
        <v>0.72727272727272718</v>
      </c>
      <c r="P29" s="392">
        <f>IF(Keywords!J81&gt;0, (P27-Keywords!J81)/Keywords!J81, "Infinite %")</f>
        <v>-1</v>
      </c>
      <c r="Q29" s="392">
        <f>IF(Keywords!K81&gt;0, (Q27-Keywords!K81)/Keywords!K81, "Infinite %")</f>
        <v>1.5909090909090908</v>
      </c>
      <c r="R29" s="392">
        <f>IF(Keywords!L81&gt;0, (R27-Keywords!L81)/Keywords!L81, "Infinite %")</f>
        <v>-5.9405940594059424E-2</v>
      </c>
      <c r="S29" s="392">
        <f>IF(Keywords!M81&gt;0, (S27-Keywords!M81)/Keywords!M81, "Infinite %")</f>
        <v>-1</v>
      </c>
      <c r="T29" s="392">
        <f>IF(Keywords!N81&gt;0, (T27-Keywords!N81)/Keywords!N81, "Infinite %")</f>
        <v>0.72727272727272718</v>
      </c>
      <c r="U29" s="392">
        <f>IF(Keywords!O81&gt;0, (U27-Keywords!O81)/Keywords!O81, "Infinite %")</f>
        <v>-1</v>
      </c>
      <c r="V29" s="392">
        <f>IF(Keywords!P81&gt;0, (V27-Keywords!P81)/Keywords!P81, "Infinite %")</f>
        <v>1.4358974358974357</v>
      </c>
      <c r="W29" s="392">
        <f>IF(Keywords!Q81&gt;0, (W27-Keywords!Q81)/Keywords!Q81, "Infinite %")</f>
        <v>-6.5573770491803338E-2</v>
      </c>
      <c r="X29" s="392">
        <f>IF(Keywords!R81&gt;0, (X27-Keywords!R81)/Keywords!R81, "Infinite %")</f>
        <v>1.6511627906976745</v>
      </c>
      <c r="Y29" s="392">
        <f>IF(Keywords!S81&gt;0, (Y27-Keywords!S81)/Keywords!S81, "Infinite %")</f>
        <v>-1</v>
      </c>
      <c r="Z29" s="392">
        <f>IF(Keywords!T81&gt;0, (Z27-Keywords!T81)/Keywords!T81, "Infinite %")</f>
        <v>1.2028985507246375</v>
      </c>
      <c r="AA29" s="392">
        <f>IF(Keywords!U81&gt;0, (AA27-Keywords!U81)/Keywords!U81, "Infinite %")</f>
        <v>0.90000000000000013</v>
      </c>
      <c r="AB29" s="392">
        <f>IF(Keywords!V81&gt;0, (AB27-Keywords!V81)/Keywords!V81, "Infinite %")</f>
        <v>0.65217391304347827</v>
      </c>
      <c r="AC29" s="392">
        <f>IF(Keywords!W81&gt;0, (AC27-Keywords!W81)/Keywords!W81, "Infinite %")</f>
        <v>0.31034482758620685</v>
      </c>
      <c r="AD29" s="392">
        <f>IF(Keywords!X81&gt;0, (AD27-Keywords!X81)/Keywords!X81, "Infinite %")</f>
        <v>-1</v>
      </c>
      <c r="AE29" s="392">
        <f>IF(Keywords!Y81&gt;0, (AE27-Keywords!Y81)/Keywords!Y81, "Infinite %")</f>
        <v>-0.14469453376205788</v>
      </c>
      <c r="AF29" s="392">
        <f>IF(Keywords!Z81&gt;0, (AF27-Keywords!Z81)/Keywords!Z81, "Infinite %")</f>
        <v>0.87654320987654299</v>
      </c>
      <c r="AG29" s="392">
        <f>IF(Keywords!AA81&gt;0, (AG27-Keywords!AA81)/Keywords!AA81, "Infinite %")</f>
        <v>4.4052863436123109E-3</v>
      </c>
      <c r="AH29" s="392">
        <f>IF(Keywords!AB81&gt;0, (AH27-Keywords!AB81)/Keywords!AB81, "Infinite %")</f>
        <v>1</v>
      </c>
      <c r="AI29" s="392">
        <f>IF(Keywords!AC81&gt;0, (AI27-Keywords!AC81)/Keywords!AC81, "Infinite %")</f>
        <v>-1</v>
      </c>
      <c r="AJ29" s="392">
        <f>IF(Keywords!AD81&gt;0, (AJ27-Keywords!AD81)/Keywords!AD81, "Infinite %")</f>
        <v>-1</v>
      </c>
      <c r="AK29" s="392">
        <f>IF(Keywords!AE81&gt;0, (AK27-Keywords!AE81)/Keywords!AE81, "Infinite %")</f>
        <v>0.5724137931034482</v>
      </c>
      <c r="AL29" s="583">
        <f ca="1">(AL27-Keywords!C81)/Keywords!C81</f>
        <v>0.32855221873599283</v>
      </c>
    </row>
  </sheetData>
  <mergeCells count="16">
    <mergeCell ref="D27:G27"/>
    <mergeCell ref="B3:D3"/>
    <mergeCell ref="B5:H9"/>
    <mergeCell ref="J18:K18"/>
    <mergeCell ref="L18:M18"/>
    <mergeCell ref="N18:O18"/>
    <mergeCell ref="P18:Q18"/>
    <mergeCell ref="R18:S18"/>
    <mergeCell ref="T18:U18"/>
    <mergeCell ref="V18:W18"/>
    <mergeCell ref="AJ18:AK18"/>
    <mergeCell ref="AF18:AG18"/>
    <mergeCell ref="AN18:AO18"/>
    <mergeCell ref="X18:Y18"/>
    <mergeCell ref="Z18:AA18"/>
    <mergeCell ref="AB18:AC1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CAE1A-6907-424D-91DD-B88DD1CBFF55}">
  <sheetPr codeName="Sheet3"/>
  <dimension ref="B2:Z22"/>
  <sheetViews>
    <sheetView workbookViewId="0"/>
  </sheetViews>
  <sheetFormatPr defaultColWidth="10.875" defaultRowHeight="15.75"/>
  <cols>
    <col min="1" max="1" width="5" style="26" customWidth="1"/>
    <col min="2" max="2" width="2.625" style="26" customWidth="1"/>
    <col min="3" max="3" width="3.875" style="26" customWidth="1"/>
    <col min="4" max="4" width="7.5" style="26" customWidth="1"/>
    <col min="5" max="5" width="12.5" style="26" bestFit="1" customWidth="1"/>
    <col min="6" max="6" width="12.125" style="26" customWidth="1"/>
    <col min="7" max="7" width="12" style="26" bestFit="1" customWidth="1"/>
    <col min="8" max="8" width="12.125" style="26" bestFit="1" customWidth="1"/>
    <col min="9" max="9" width="11" style="26" customWidth="1"/>
    <col min="10" max="10" width="12" style="26" customWidth="1"/>
    <col min="11" max="11" width="10.875" style="26" customWidth="1"/>
    <col min="12" max="12" width="12.625" style="26" customWidth="1"/>
    <col min="13" max="16" width="11.125" style="26" customWidth="1"/>
    <col min="17" max="17" width="4" style="26" customWidth="1"/>
    <col min="18" max="18" width="12.5" style="26" bestFit="1" customWidth="1"/>
    <col min="19" max="21" width="10.875" style="26"/>
    <col min="22" max="22" width="6.625" style="26" customWidth="1"/>
    <col min="23" max="23" width="6.875" style="26" customWidth="1"/>
    <col min="24" max="16384" width="10.875" style="26"/>
  </cols>
  <sheetData>
    <row r="2" spans="2:26" ht="9.9499999999999993" customHeight="1" thickBot="1"/>
    <row r="3" spans="2:26" ht="48.95" customHeight="1">
      <c r="B3" s="623"/>
      <c r="C3" s="1818" t="s">
        <v>2058</v>
      </c>
      <c r="D3" s="1818"/>
      <c r="E3" s="1818"/>
      <c r="F3" s="1818"/>
      <c r="G3" s="1818"/>
      <c r="H3" s="1818"/>
      <c r="I3" s="1818"/>
      <c r="J3" s="1818"/>
      <c r="K3" s="1818"/>
      <c r="L3" s="1818"/>
      <c r="M3" s="1818"/>
      <c r="N3" s="1818"/>
      <c r="O3" s="1818"/>
      <c r="P3" s="1818"/>
      <c r="Q3" s="1818"/>
      <c r="R3" s="1818"/>
      <c r="S3" s="1818"/>
      <c r="T3" s="1818"/>
      <c r="U3" s="1818"/>
      <c r="V3" s="624"/>
      <c r="W3" s="625"/>
    </row>
    <row r="4" spans="2:26" ht="23.25">
      <c r="B4" s="626"/>
      <c r="E4" s="1819" t="s">
        <v>1678</v>
      </c>
      <c r="F4" s="1819"/>
      <c r="G4" s="612" t="s">
        <v>200</v>
      </c>
      <c r="H4" s="619" t="s">
        <v>2063</v>
      </c>
      <c r="J4" s="1819" t="s">
        <v>1564</v>
      </c>
      <c r="K4" s="1819"/>
      <c r="L4" s="1826" t="s">
        <v>2064</v>
      </c>
      <c r="M4" s="1826"/>
      <c r="N4" s="632"/>
      <c r="O4" s="632"/>
      <c r="P4" s="632"/>
      <c r="Q4" s="615"/>
      <c r="S4" s="535"/>
      <c r="T4" s="535"/>
      <c r="U4" s="535"/>
      <c r="V4" s="535"/>
      <c r="W4" s="627"/>
      <c r="X4" s="535"/>
      <c r="Y4" s="535"/>
      <c r="Z4" s="535"/>
    </row>
    <row r="5" spans="2:26" ht="23.25">
      <c r="B5" s="626"/>
      <c r="E5" s="1822" t="s">
        <v>12</v>
      </c>
      <c r="F5" s="1822"/>
      <c r="G5" s="608">
        <f>COUNTIF($E$12:$P$21, E5)</f>
        <v>64</v>
      </c>
      <c r="H5" s="620">
        <f>G5/COUNTA(E11:M11)</f>
        <v>7.1111111111111107</v>
      </c>
      <c r="J5" s="1823" t="s">
        <v>87</v>
      </c>
      <c r="K5" s="1823"/>
      <c r="L5" s="1827" t="s">
        <v>2065</v>
      </c>
      <c r="M5" s="1827"/>
      <c r="N5" s="616"/>
      <c r="O5" s="616"/>
      <c r="P5" s="616"/>
      <c r="W5" s="628"/>
    </row>
    <row r="6" spans="2:26" ht="23.25">
      <c r="B6" s="626"/>
      <c r="E6" s="1823" t="s">
        <v>14</v>
      </c>
      <c r="F6" s="1823"/>
      <c r="G6" s="608">
        <f>COUNTIF($E$12:$P$21, E6)</f>
        <v>13</v>
      </c>
      <c r="H6" s="620">
        <f>G6/COUNTA(E12:M12)</f>
        <v>1.4444444444444444</v>
      </c>
      <c r="J6" s="1821" t="s">
        <v>1971</v>
      </c>
      <c r="K6" s="1821"/>
      <c r="L6" s="1827" t="s">
        <v>2484</v>
      </c>
      <c r="M6" s="1827"/>
      <c r="N6" s="616"/>
      <c r="O6" s="616"/>
      <c r="P6" s="616"/>
      <c r="W6" s="628"/>
    </row>
    <row r="7" spans="2:26" ht="23.25">
      <c r="B7" s="626"/>
      <c r="E7" s="1824" t="s">
        <v>13</v>
      </c>
      <c r="F7" s="1824"/>
      <c r="G7" s="608">
        <f>COUNTIF($E$12:$P$21, E7)</f>
        <v>7</v>
      </c>
      <c r="H7" s="620">
        <f>G7/COUNTA(E13:M13)</f>
        <v>0.77777777777777779</v>
      </c>
      <c r="J7" s="1820" t="s">
        <v>1565</v>
      </c>
      <c r="K7" s="1820"/>
      <c r="L7" s="1827" t="s">
        <v>2070</v>
      </c>
      <c r="M7" s="1827"/>
      <c r="N7" s="616"/>
      <c r="O7" s="616"/>
      <c r="P7" s="616"/>
      <c r="W7" s="628"/>
    </row>
    <row r="8" spans="2:26" ht="23.25">
      <c r="B8" s="626"/>
      <c r="E8" s="1830" t="s">
        <v>71</v>
      </c>
      <c r="F8" s="1830"/>
      <c r="G8" s="608">
        <f>COUNTIF($E$12:$P$21, E8)</f>
        <v>1</v>
      </c>
      <c r="H8" s="620">
        <f>G8/COUNTA(E14:M14)</f>
        <v>0.1111111111111111</v>
      </c>
      <c r="J8" s="1828" t="s">
        <v>1568</v>
      </c>
      <c r="K8" s="1828"/>
      <c r="L8" s="1829" t="s">
        <v>2483</v>
      </c>
      <c r="M8" s="1827"/>
      <c r="W8" s="628"/>
    </row>
    <row r="9" spans="2:26" ht="23.25">
      <c r="B9" s="626"/>
      <c r="E9" s="1825" t="s">
        <v>231</v>
      </c>
      <c r="F9" s="1825"/>
      <c r="G9" s="608">
        <f>COUNTIF($E$12:$P$21, E9)</f>
        <v>1</v>
      </c>
      <c r="H9" s="620">
        <f>G9/COUNTA(E15:M15)</f>
        <v>0.1111111111111111</v>
      </c>
      <c r="J9" s="618" t="s">
        <v>2066</v>
      </c>
      <c r="K9" s="621"/>
      <c r="L9" s="621"/>
      <c r="M9" s="622"/>
      <c r="W9" s="628"/>
    </row>
    <row r="10" spans="2:26">
      <c r="B10" s="626"/>
      <c r="E10" s="633"/>
      <c r="G10" s="633"/>
      <c r="H10" s="633"/>
      <c r="W10" s="628"/>
    </row>
    <row r="11" spans="2:26" ht="18" customHeight="1">
      <c r="B11" s="626"/>
      <c r="C11" s="641" t="s">
        <v>1635</v>
      </c>
      <c r="D11" s="641"/>
      <c r="E11" s="607" t="s">
        <v>1</v>
      </c>
      <c r="F11" s="607" t="s">
        <v>2</v>
      </c>
      <c r="G11" s="607" t="s">
        <v>3</v>
      </c>
      <c r="H11" s="607" t="s">
        <v>4</v>
      </c>
      <c r="I11" s="607" t="s">
        <v>5</v>
      </c>
      <c r="J11" s="607" t="s">
        <v>6</v>
      </c>
      <c r="K11" s="607" t="s">
        <v>7</v>
      </c>
      <c r="L11" s="607" t="s">
        <v>8</v>
      </c>
      <c r="M11" s="607" t="s">
        <v>9</v>
      </c>
      <c r="N11" s="607" t="s">
        <v>10</v>
      </c>
      <c r="O11" s="607" t="s">
        <v>36</v>
      </c>
      <c r="P11" s="607" t="s">
        <v>37</v>
      </c>
      <c r="W11" s="628"/>
    </row>
    <row r="12" spans="2:26" ht="16.5" thickBot="1">
      <c r="B12" s="626"/>
      <c r="D12" s="766" t="s">
        <v>185</v>
      </c>
      <c r="E12" s="3" t="s">
        <v>12</v>
      </c>
      <c r="F12" s="3" t="s">
        <v>12</v>
      </c>
      <c r="G12" s="3" t="s">
        <v>12</v>
      </c>
      <c r="H12" s="3" t="s">
        <v>12</v>
      </c>
      <c r="I12" s="3" t="s">
        <v>12</v>
      </c>
      <c r="J12" s="3" t="s">
        <v>12</v>
      </c>
      <c r="K12" s="3" t="s">
        <v>12</v>
      </c>
      <c r="L12" s="3" t="s">
        <v>12</v>
      </c>
      <c r="M12" s="3" t="s">
        <v>12</v>
      </c>
      <c r="N12" s="3" t="s">
        <v>12</v>
      </c>
      <c r="O12" s="3" t="s">
        <v>12</v>
      </c>
      <c r="P12" s="3" t="s">
        <v>12</v>
      </c>
      <c r="W12" s="628"/>
    </row>
    <row r="13" spans="2:26" ht="16.5" thickBot="1">
      <c r="B13" s="626"/>
      <c r="D13" s="766" t="s">
        <v>186</v>
      </c>
      <c r="E13" s="613" t="s">
        <v>12</v>
      </c>
      <c r="F13" s="5" t="s">
        <v>14</v>
      </c>
      <c r="G13" s="617" t="s">
        <v>14</v>
      </c>
      <c r="H13" s="3" t="s">
        <v>12</v>
      </c>
      <c r="I13" s="4" t="s">
        <v>13</v>
      </c>
      <c r="J13" s="4" t="s">
        <v>13</v>
      </c>
      <c r="K13" s="5" t="s">
        <v>14</v>
      </c>
      <c r="L13" s="5" t="s">
        <v>14</v>
      </c>
      <c r="M13" s="614" t="s">
        <v>12</v>
      </c>
      <c r="N13" s="3" t="s">
        <v>12</v>
      </c>
      <c r="O13" s="3" t="s">
        <v>12</v>
      </c>
      <c r="P13" s="3" t="s">
        <v>12</v>
      </c>
      <c r="W13" s="628"/>
    </row>
    <row r="14" spans="2:26" ht="16.5" thickBot="1">
      <c r="B14" s="626"/>
      <c r="D14" s="766" t="s">
        <v>187</v>
      </c>
      <c r="E14" s="3" t="s">
        <v>12</v>
      </c>
      <c r="F14" s="3" t="s">
        <v>12</v>
      </c>
      <c r="G14" s="3" t="s">
        <v>12</v>
      </c>
      <c r="H14" s="3" t="s">
        <v>12</v>
      </c>
      <c r="I14" s="3" t="s">
        <v>12</v>
      </c>
      <c r="J14" s="3" t="s">
        <v>12</v>
      </c>
      <c r="K14" s="3" t="s">
        <v>12</v>
      </c>
      <c r="L14" s="3" t="s">
        <v>12</v>
      </c>
      <c r="M14" s="4" t="s">
        <v>13</v>
      </c>
      <c r="N14" s="5" t="s">
        <v>14</v>
      </c>
      <c r="O14" s="3" t="s">
        <v>12</v>
      </c>
      <c r="P14" s="3" t="s">
        <v>12</v>
      </c>
      <c r="W14" s="628"/>
    </row>
    <row r="15" spans="2:26" ht="16.5" thickBot="1">
      <c r="B15" s="626"/>
      <c r="D15" s="766" t="s">
        <v>188</v>
      </c>
      <c r="E15" s="3" t="s">
        <v>12</v>
      </c>
      <c r="F15" s="4" t="s">
        <v>13</v>
      </c>
      <c r="G15" s="3" t="s">
        <v>12</v>
      </c>
      <c r="H15" s="19" t="s">
        <v>71</v>
      </c>
      <c r="I15" s="614" t="s">
        <v>12</v>
      </c>
      <c r="J15" s="5" t="s">
        <v>14</v>
      </c>
      <c r="K15" s="3" t="s">
        <v>12</v>
      </c>
      <c r="L15" s="4" t="s">
        <v>13</v>
      </c>
      <c r="M15" s="3" t="s">
        <v>12</v>
      </c>
      <c r="N15" s="3" t="s">
        <v>12</v>
      </c>
      <c r="O15" s="3" t="s">
        <v>12</v>
      </c>
      <c r="P15" s="3" t="s">
        <v>12</v>
      </c>
      <c r="W15" s="628"/>
      <c r="X15" s="610"/>
    </row>
    <row r="16" spans="2:26" ht="16.5" thickBot="1">
      <c r="B16" s="626"/>
      <c r="D16" s="766" t="s">
        <v>189</v>
      </c>
      <c r="E16" s="38" t="s">
        <v>231</v>
      </c>
      <c r="F16" s="3" t="s">
        <v>12</v>
      </c>
      <c r="G16" s="3" t="s">
        <v>12</v>
      </c>
      <c r="H16" s="3" t="s">
        <v>12</v>
      </c>
      <c r="I16" s="5" t="s">
        <v>14</v>
      </c>
      <c r="J16" s="3" t="s">
        <v>12</v>
      </c>
      <c r="K16" s="3" t="s">
        <v>12</v>
      </c>
      <c r="L16" s="3" t="s">
        <v>12</v>
      </c>
      <c r="M16" s="3" t="s">
        <v>12</v>
      </c>
      <c r="N16" s="5" t="s">
        <v>14</v>
      </c>
      <c r="O16" s="5" t="s">
        <v>14</v>
      </c>
      <c r="P16" s="3" t="s">
        <v>12</v>
      </c>
      <c r="W16" s="628"/>
    </row>
    <row r="17" spans="2:23" ht="16.5" thickBot="1">
      <c r="B17" s="626"/>
      <c r="D17" s="766" t="s">
        <v>190</v>
      </c>
      <c r="E17" s="3" t="s">
        <v>12</v>
      </c>
      <c r="F17" s="3" t="s">
        <v>12</v>
      </c>
      <c r="G17" s="5" t="s">
        <v>14</v>
      </c>
      <c r="H17" s="5" t="s">
        <v>14</v>
      </c>
      <c r="I17" s="3" t="s">
        <v>12</v>
      </c>
      <c r="J17" s="609"/>
      <c r="K17" s="4" t="s">
        <v>13</v>
      </c>
      <c r="L17" s="3" t="s">
        <v>12</v>
      </c>
      <c r="M17" s="5" t="s">
        <v>14</v>
      </c>
      <c r="N17" s="3" t="s">
        <v>12</v>
      </c>
      <c r="O17" s="729" t="s">
        <v>12</v>
      </c>
      <c r="P17" s="3" t="s">
        <v>12</v>
      </c>
      <c r="Q17" s="728"/>
      <c r="W17" s="628"/>
    </row>
    <row r="18" spans="2:23">
      <c r="B18" s="626"/>
      <c r="D18" s="766" t="s">
        <v>191</v>
      </c>
      <c r="E18" s="3" t="s">
        <v>12</v>
      </c>
      <c r="G18" s="3" t="s">
        <v>12</v>
      </c>
      <c r="H18" s="3" t="s">
        <v>12</v>
      </c>
      <c r="I18" s="609"/>
      <c r="J18" s="609"/>
      <c r="K18" s="3" t="s">
        <v>12</v>
      </c>
      <c r="L18" s="3" t="s">
        <v>12</v>
      </c>
      <c r="M18" s="3" t="s">
        <v>12</v>
      </c>
      <c r="N18" s="3" t="s">
        <v>12</v>
      </c>
      <c r="O18" s="609"/>
      <c r="P18" s="3" t="s">
        <v>12</v>
      </c>
      <c r="W18" s="628"/>
    </row>
    <row r="19" spans="2:23">
      <c r="B19" s="626"/>
      <c r="D19" s="766" t="s">
        <v>192</v>
      </c>
      <c r="E19" s="3" t="s">
        <v>12</v>
      </c>
      <c r="H19" s="4" t="s">
        <v>13</v>
      </c>
      <c r="I19"/>
      <c r="N19" s="3" t="s">
        <v>12</v>
      </c>
      <c r="O19" s="609"/>
      <c r="P19" s="3" t="s">
        <v>12</v>
      </c>
      <c r="W19" s="628"/>
    </row>
    <row r="20" spans="2:23">
      <c r="B20" s="626"/>
      <c r="D20" s="766" t="s">
        <v>193</v>
      </c>
      <c r="E20" s="5" t="s">
        <v>14</v>
      </c>
      <c r="H20" s="3" t="s">
        <v>12</v>
      </c>
      <c r="I20" s="12"/>
      <c r="J20" s="609"/>
      <c r="W20" s="628"/>
    </row>
    <row r="21" spans="2:23">
      <c r="B21" s="626"/>
      <c r="D21" s="766" t="s">
        <v>194</v>
      </c>
      <c r="E21" s="3" t="s">
        <v>12</v>
      </c>
      <c r="W21" s="628"/>
    </row>
    <row r="22" spans="2:23" ht="9.9499999999999993" customHeight="1" thickBot="1">
      <c r="B22" s="629"/>
      <c r="C22" s="630"/>
      <c r="D22" s="630"/>
      <c r="E22" s="630"/>
      <c r="F22" s="630"/>
      <c r="G22" s="630"/>
      <c r="H22" s="630"/>
      <c r="I22" s="630"/>
      <c r="J22" s="630"/>
      <c r="K22" s="630"/>
      <c r="L22" s="630"/>
      <c r="M22" s="630"/>
      <c r="N22" s="630"/>
      <c r="O22" s="630"/>
      <c r="P22" s="630"/>
      <c r="Q22" s="630"/>
      <c r="R22" s="630"/>
      <c r="S22" s="630"/>
      <c r="T22" s="630"/>
      <c r="U22" s="630"/>
      <c r="V22" s="630"/>
      <c r="W22" s="631"/>
    </row>
  </sheetData>
  <mergeCells count="17">
    <mergeCell ref="E9:F9"/>
    <mergeCell ref="L4:M4"/>
    <mergeCell ref="L5:M5"/>
    <mergeCell ref="L6:M6"/>
    <mergeCell ref="L7:M7"/>
    <mergeCell ref="J5:K5"/>
    <mergeCell ref="J8:K8"/>
    <mergeCell ref="L8:M8"/>
    <mergeCell ref="E8:F8"/>
    <mergeCell ref="C3:U3"/>
    <mergeCell ref="E4:F4"/>
    <mergeCell ref="J4:K4"/>
    <mergeCell ref="J7:K7"/>
    <mergeCell ref="J6:K6"/>
    <mergeCell ref="E5:F5"/>
    <mergeCell ref="E6:F6"/>
    <mergeCell ref="E7:F7"/>
  </mergeCells>
  <phoneticPr fontId="3"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4F8F9-479E-0447-837B-58C46EF1EF3F}">
  <sheetPr codeName="Sheet21">
    <tabColor theme="4" tint="-0.499984740745262"/>
  </sheetPr>
  <dimension ref="B4:AK32"/>
  <sheetViews>
    <sheetView topLeftCell="B1" workbookViewId="0"/>
  </sheetViews>
  <sheetFormatPr defaultColWidth="11" defaultRowHeight="15.75"/>
  <cols>
    <col min="9" max="9" width="11" customWidth="1"/>
    <col min="10" max="10" width="12.125" customWidth="1"/>
    <col min="11" max="11" width="12.875" customWidth="1"/>
    <col min="12" max="12" width="10.125" bestFit="1" customWidth="1"/>
    <col min="13" max="13" width="8.625" customWidth="1"/>
    <col min="14" max="14" width="10.125" customWidth="1"/>
    <col min="21" max="21" width="12.875" customWidth="1"/>
    <col min="24" max="24" width="11.625" customWidth="1"/>
    <col min="26" max="26" width="11" customWidth="1"/>
    <col min="28" max="28" width="12.625" customWidth="1"/>
    <col min="33" max="33" width="11.875" customWidth="1"/>
    <col min="36" max="36" width="12.125" customWidth="1"/>
    <col min="37" max="37" width="14.5" customWidth="1"/>
  </cols>
  <sheetData>
    <row r="4" spans="2:13" ht="33.75">
      <c r="B4" s="1832" t="s">
        <v>1593</v>
      </c>
      <c r="C4" s="1832"/>
      <c r="D4" s="1832"/>
      <c r="E4" s="1832"/>
    </row>
    <row r="5" spans="2:13">
      <c r="B5" s="45"/>
    </row>
    <row r="6" spans="2:13" ht="15.95" customHeight="1">
      <c r="B6" s="1701" t="s">
        <v>1594</v>
      </c>
      <c r="C6" s="1701"/>
      <c r="D6" s="1701"/>
      <c r="E6" s="1701"/>
      <c r="F6" s="1701"/>
      <c r="G6" s="1701"/>
      <c r="H6" s="1701"/>
      <c r="I6" s="1701"/>
      <c r="J6" s="1701"/>
      <c r="K6" s="1701"/>
    </row>
    <row r="7" spans="2:13">
      <c r="B7" s="1701"/>
      <c r="C7" s="1701"/>
      <c r="D7" s="1701"/>
      <c r="E7" s="1701"/>
      <c r="F7" s="1701"/>
      <c r="G7" s="1701"/>
      <c r="H7" s="1701"/>
      <c r="I7" s="1701"/>
      <c r="J7" s="1701"/>
      <c r="K7" s="1701"/>
    </row>
    <row r="8" spans="2:13">
      <c r="B8" s="1701"/>
      <c r="C8" s="1701"/>
      <c r="D8" s="1701"/>
      <c r="E8" s="1701"/>
      <c r="F8" s="1701"/>
      <c r="G8" s="1701"/>
      <c r="H8" s="1701"/>
      <c r="I8" s="1701"/>
      <c r="J8" s="1701"/>
      <c r="K8" s="1701"/>
    </row>
    <row r="9" spans="2:13">
      <c r="B9" s="1701"/>
      <c r="C9" s="1701"/>
      <c r="D9" s="1701"/>
      <c r="E9" s="1701"/>
      <c r="F9" s="1701"/>
      <c r="G9" s="1701"/>
      <c r="H9" s="1701"/>
      <c r="I9" s="1701"/>
      <c r="J9" s="1701"/>
      <c r="K9" s="1701"/>
    </row>
    <row r="11" spans="2:13" ht="18">
      <c r="B11" s="377" t="s">
        <v>1595</v>
      </c>
      <c r="I11" s="377" t="s">
        <v>1604</v>
      </c>
    </row>
    <row r="12" spans="2:13">
      <c r="B12" s="1831" t="s">
        <v>1598</v>
      </c>
      <c r="C12" s="1705"/>
      <c r="D12" s="1705"/>
      <c r="E12" s="1705"/>
      <c r="F12" s="1705"/>
      <c r="G12" s="1705"/>
      <c r="I12" s="384" t="s">
        <v>1632</v>
      </c>
    </row>
    <row r="13" spans="2:13">
      <c r="B13" s="1705"/>
      <c r="C13" s="1705"/>
      <c r="D13" s="1705"/>
      <c r="E13" s="1705"/>
      <c r="F13" s="1705"/>
      <c r="G13" s="1705"/>
      <c r="I13" s="439" t="s">
        <v>183</v>
      </c>
      <c r="J13" s="466" t="s">
        <v>12</v>
      </c>
      <c r="K13" s="467" t="s">
        <v>14</v>
      </c>
      <c r="L13" s="468" t="s">
        <v>13</v>
      </c>
      <c r="M13" s="469" t="s">
        <v>200</v>
      </c>
    </row>
    <row r="14" spans="2:13">
      <c r="B14" s="388"/>
      <c r="C14" s="389" t="s">
        <v>1599</v>
      </c>
      <c r="D14" s="149"/>
      <c r="E14" s="149"/>
      <c r="F14" s="149"/>
      <c r="G14" s="149"/>
      <c r="I14" s="163" t="s">
        <v>11</v>
      </c>
      <c r="J14" s="319">
        <f>COUNTIF(Logs!$C$591:$N$600, "*"&amp;J$13&amp;"*")</f>
        <v>43</v>
      </c>
      <c r="K14" s="8">
        <f>COUNTIF(Logs!$C$591:$N$600, "*"&amp;K$13&amp;"*")</f>
        <v>11</v>
      </c>
      <c r="L14" s="33">
        <f>COUNTIF(Logs!$C$591:$N$600, "*"&amp;L$13&amp;"*")</f>
        <v>8</v>
      </c>
      <c r="M14" s="70">
        <f>SUM(J14:L14) + 1</f>
        <v>63</v>
      </c>
    </row>
    <row r="15" spans="2:13">
      <c r="B15" s="149"/>
      <c r="C15" s="389" t="s">
        <v>1600</v>
      </c>
      <c r="D15" s="149"/>
      <c r="E15" s="149"/>
      <c r="F15" s="149"/>
      <c r="G15" s="149"/>
      <c r="I15" s="163" t="s">
        <v>198</v>
      </c>
      <c r="J15" s="319">
        <f>COUNTIF(Logs!$C$607:$N$616, "*"&amp;J$13&amp;"*")</f>
        <v>39</v>
      </c>
      <c r="K15" s="8">
        <f>COUNTIF(Logs!$C$607:$N$616, "*"&amp;K$13&amp;"*")</f>
        <v>12</v>
      </c>
      <c r="L15" s="33">
        <f>COUNTIF(Logs!$C$607:$N$616, "*"&amp;L$13&amp;"*")</f>
        <v>9</v>
      </c>
      <c r="M15" s="70">
        <f>SUM(J15:L15)</f>
        <v>60</v>
      </c>
    </row>
    <row r="16" spans="2:13" ht="15.95" customHeight="1">
      <c r="B16" s="388"/>
      <c r="C16" s="1831" t="s">
        <v>1601</v>
      </c>
      <c r="D16" s="1831"/>
      <c r="E16" s="1831"/>
      <c r="F16" s="1831"/>
      <c r="G16" s="1831"/>
      <c r="I16" s="163" t="s">
        <v>184</v>
      </c>
      <c r="J16" s="319">
        <f>COUNTIF(Logs!$C$623:$N$632, "*"&amp;J$13&amp;"*")</f>
        <v>57</v>
      </c>
      <c r="K16" s="8">
        <f>COUNTIF(Logs!$C$623:$N$632, "*"&amp;K$13&amp;"*")</f>
        <v>12</v>
      </c>
      <c r="L16" s="33">
        <f>COUNTIF(Logs!$C$623:$N$632, "*"&amp;L$13&amp;"*")</f>
        <v>10</v>
      </c>
      <c r="M16" s="70">
        <f>SUM(J16:L16) + 2</f>
        <v>81</v>
      </c>
    </row>
    <row r="17" spans="2:37">
      <c r="B17" s="378" t="s">
        <v>1670</v>
      </c>
      <c r="I17" s="273" t="s">
        <v>563</v>
      </c>
      <c r="J17" s="320">
        <f>COUNTIF(Logs!$C$640:$N$649, "*"&amp;J$13&amp;"*")</f>
        <v>45</v>
      </c>
      <c r="K17" s="322">
        <f>COUNTIF(Logs!$C$640:$N$649, "*"&amp;K$13&amp;"*")</f>
        <v>14</v>
      </c>
      <c r="L17" s="325">
        <f>COUNTIF(Logs!$C$640:$N$649, "*"&amp;L$13&amp;"*")</f>
        <v>10</v>
      </c>
      <c r="M17" s="145">
        <f>SUM(J17:L17)</f>
        <v>69</v>
      </c>
    </row>
    <row r="18" spans="2:37" ht="15.95" customHeight="1">
      <c r="B18" s="1831" t="s">
        <v>1597</v>
      </c>
      <c r="C18" s="1831"/>
      <c r="D18" s="1831"/>
      <c r="E18" s="1831"/>
      <c r="F18" s="1831"/>
      <c r="G18" s="1831"/>
      <c r="I18" s="272" t="s">
        <v>1495</v>
      </c>
      <c r="J18">
        <f>AVERAGE(J14:J17)</f>
        <v>46</v>
      </c>
      <c r="K18">
        <f>AVERAGE(K14:K17)</f>
        <v>12.25</v>
      </c>
      <c r="L18">
        <f>AVERAGE(L14:L17)</f>
        <v>9.25</v>
      </c>
      <c r="M18">
        <f>AVERAGE(M14:M17)</f>
        <v>68.25</v>
      </c>
    </row>
    <row r="19" spans="2:37" ht="15.95" customHeight="1">
      <c r="B19" s="1831"/>
      <c r="C19" s="1831"/>
      <c r="D19" s="1831"/>
      <c r="E19" s="1831"/>
      <c r="F19" s="1831"/>
      <c r="G19" s="1831"/>
      <c r="I19" s="58" t="s">
        <v>1630</v>
      </c>
    </row>
    <row r="20" spans="2:37">
      <c r="B20" s="1831"/>
      <c r="C20" s="1831"/>
      <c r="D20" s="1831"/>
      <c r="E20" s="1831"/>
      <c r="F20" s="1831"/>
      <c r="G20" s="1831"/>
      <c r="I20" s="287" t="s">
        <v>1606</v>
      </c>
      <c r="J20" s="391">
        <v>51</v>
      </c>
      <c r="K20" s="391">
        <v>11.5454545</v>
      </c>
      <c r="L20" s="391">
        <v>9.6363599999999998</v>
      </c>
      <c r="M20" s="391">
        <v>75.7272727</v>
      </c>
    </row>
    <row r="21" spans="2:37" ht="15.95" customHeight="1">
      <c r="B21" s="1831" t="s">
        <v>1596</v>
      </c>
      <c r="C21" s="1831"/>
      <c r="D21" s="1831"/>
      <c r="E21" s="1831"/>
      <c r="F21" s="1831"/>
      <c r="G21" s="1831"/>
      <c r="I21" s="393" t="s">
        <v>1609</v>
      </c>
      <c r="J21" s="394">
        <f>(J18-J20)/J18</f>
        <v>-0.10869565217391304</v>
      </c>
      <c r="K21" s="394">
        <f>(K18-K20)/K18</f>
        <v>5.7513918367346942E-2</v>
      </c>
      <c r="L21" s="394">
        <f>(L18-L20)/L18</f>
        <v>-4.1768648648648626E-2</v>
      </c>
      <c r="M21" s="394">
        <f>(M18-M20)/M18</f>
        <v>-0.10955710915750916</v>
      </c>
    </row>
    <row r="22" spans="2:37" ht="15.95" customHeight="1">
      <c r="B22" s="1831"/>
      <c r="C22" s="1831"/>
      <c r="D22" s="1831"/>
      <c r="E22" s="1831"/>
      <c r="F22" s="1831"/>
      <c r="G22" s="1831"/>
    </row>
    <row r="23" spans="2:37">
      <c r="B23" s="1815" t="s">
        <v>1607</v>
      </c>
      <c r="C23" s="1833"/>
      <c r="D23" s="1833"/>
      <c r="E23" s="1833"/>
      <c r="F23" s="1833"/>
      <c r="G23" s="1833"/>
      <c r="I23" s="401" t="s">
        <v>1633</v>
      </c>
    </row>
    <row r="24" spans="2:37">
      <c r="B24" s="1833"/>
      <c r="C24" s="1833"/>
      <c r="D24" s="1833"/>
      <c r="E24" s="1833"/>
      <c r="F24" s="1833"/>
      <c r="G24" s="1833"/>
      <c r="I24" s="439" t="s">
        <v>183</v>
      </c>
      <c r="J24" s="470" t="s">
        <v>27</v>
      </c>
      <c r="K24" s="471" t="s">
        <v>1270</v>
      </c>
      <c r="L24" s="472" t="s">
        <v>43</v>
      </c>
      <c r="M24" s="473" t="s">
        <v>120</v>
      </c>
      <c r="N24" s="474" t="s">
        <v>46</v>
      </c>
      <c r="O24" s="497" t="s">
        <v>397</v>
      </c>
      <c r="P24" s="475" t="s">
        <v>155</v>
      </c>
      <c r="Q24" s="476" t="s">
        <v>24</v>
      </c>
      <c r="R24" s="477" t="s">
        <v>484</v>
      </c>
      <c r="S24" s="478" t="s">
        <v>23</v>
      </c>
      <c r="T24" s="479" t="s">
        <v>29</v>
      </c>
      <c r="U24" s="480" t="s">
        <v>93</v>
      </c>
      <c r="V24" s="481" t="s">
        <v>1269</v>
      </c>
      <c r="W24" s="482" t="s">
        <v>26</v>
      </c>
      <c r="X24" s="483" t="s">
        <v>109</v>
      </c>
      <c r="Y24" s="484" t="s">
        <v>114</v>
      </c>
      <c r="Z24" s="485" t="s">
        <v>1272</v>
      </c>
      <c r="AA24" s="494" t="s">
        <v>68</v>
      </c>
      <c r="AB24" s="486" t="s">
        <v>234</v>
      </c>
      <c r="AC24" s="495" t="s">
        <v>124</v>
      </c>
      <c r="AD24" s="487" t="s">
        <v>74</v>
      </c>
      <c r="AE24" s="488" t="s">
        <v>1271</v>
      </c>
      <c r="AF24" s="489" t="s">
        <v>20</v>
      </c>
      <c r="AG24" s="490" t="s">
        <v>44</v>
      </c>
      <c r="AH24" s="491" t="s">
        <v>339</v>
      </c>
      <c r="AI24" s="496" t="s">
        <v>73</v>
      </c>
      <c r="AJ24" s="492" t="s">
        <v>216</v>
      </c>
      <c r="AK24" s="493" t="s">
        <v>21</v>
      </c>
    </row>
    <row r="25" spans="2:37" ht="15.95" customHeight="1">
      <c r="B25" s="1833"/>
      <c r="C25" s="1833"/>
      <c r="D25" s="1833"/>
      <c r="E25" s="1833"/>
      <c r="F25" s="1833"/>
      <c r="G25" s="1833"/>
      <c r="I25" s="316" t="s">
        <v>11</v>
      </c>
      <c r="J25">
        <v>1</v>
      </c>
      <c r="K25">
        <v>8</v>
      </c>
      <c r="L25">
        <v>0</v>
      </c>
      <c r="M25">
        <v>0</v>
      </c>
      <c r="N25">
        <v>0</v>
      </c>
      <c r="O25">
        <v>0</v>
      </c>
      <c r="P25">
        <v>0</v>
      </c>
      <c r="Q25">
        <v>9</v>
      </c>
      <c r="R25">
        <v>0</v>
      </c>
      <c r="S25">
        <v>1</v>
      </c>
      <c r="T25">
        <v>2</v>
      </c>
      <c r="U25">
        <v>0</v>
      </c>
      <c r="V25">
        <v>0</v>
      </c>
      <c r="W25">
        <v>1</v>
      </c>
      <c r="X25">
        <v>0</v>
      </c>
      <c r="Y25">
        <v>0</v>
      </c>
      <c r="Z25">
        <v>2</v>
      </c>
      <c r="AA25">
        <v>0</v>
      </c>
      <c r="AB25">
        <v>0</v>
      </c>
      <c r="AC25">
        <v>0</v>
      </c>
      <c r="AD25">
        <v>0</v>
      </c>
      <c r="AE25">
        <v>8</v>
      </c>
      <c r="AF25">
        <v>1</v>
      </c>
      <c r="AG25">
        <v>3</v>
      </c>
      <c r="AH25">
        <v>0</v>
      </c>
      <c r="AI25">
        <v>1</v>
      </c>
      <c r="AJ25">
        <v>0</v>
      </c>
      <c r="AK25">
        <v>6</v>
      </c>
    </row>
    <row r="26" spans="2:37">
      <c r="B26" s="1815" t="s">
        <v>1608</v>
      </c>
      <c r="C26" s="1833"/>
      <c r="D26" s="1833"/>
      <c r="E26" s="1833"/>
      <c r="F26" s="1833"/>
      <c r="G26" s="1833"/>
      <c r="I26" s="163" t="s">
        <v>198</v>
      </c>
      <c r="J26">
        <v>1</v>
      </c>
      <c r="K26">
        <v>4</v>
      </c>
      <c r="L26">
        <v>1</v>
      </c>
      <c r="M26">
        <v>1</v>
      </c>
      <c r="N26">
        <v>1</v>
      </c>
      <c r="O26">
        <v>0</v>
      </c>
      <c r="P26">
        <v>2</v>
      </c>
      <c r="Q26">
        <v>7</v>
      </c>
      <c r="R26">
        <v>0</v>
      </c>
      <c r="S26">
        <v>0</v>
      </c>
      <c r="T26">
        <v>1</v>
      </c>
      <c r="U26">
        <v>0</v>
      </c>
      <c r="V26">
        <v>2</v>
      </c>
      <c r="W26">
        <v>2</v>
      </c>
      <c r="X26">
        <v>2</v>
      </c>
      <c r="Y26">
        <v>0</v>
      </c>
      <c r="Z26">
        <v>6</v>
      </c>
      <c r="AA26">
        <v>1</v>
      </c>
      <c r="AB26">
        <v>0</v>
      </c>
      <c r="AC26">
        <v>0</v>
      </c>
      <c r="AD26">
        <v>0</v>
      </c>
      <c r="AE26">
        <v>5</v>
      </c>
      <c r="AF26">
        <v>1</v>
      </c>
      <c r="AG26">
        <v>1</v>
      </c>
      <c r="AH26">
        <v>0</v>
      </c>
      <c r="AI26">
        <v>1</v>
      </c>
      <c r="AJ26">
        <v>1</v>
      </c>
      <c r="AK26">
        <v>8</v>
      </c>
    </row>
    <row r="27" spans="2:37">
      <c r="B27" s="1833"/>
      <c r="C27" s="1833"/>
      <c r="D27" s="1833"/>
      <c r="E27" s="1833"/>
      <c r="F27" s="1833"/>
      <c r="G27" s="1833"/>
      <c r="I27" s="163" t="s">
        <v>184</v>
      </c>
      <c r="J27">
        <v>0</v>
      </c>
      <c r="K27">
        <v>9</v>
      </c>
      <c r="L27">
        <v>1</v>
      </c>
      <c r="M27">
        <v>2</v>
      </c>
      <c r="N27">
        <v>0</v>
      </c>
      <c r="O27">
        <v>0</v>
      </c>
      <c r="P27">
        <v>3</v>
      </c>
      <c r="Q27">
        <v>6</v>
      </c>
      <c r="R27">
        <v>0</v>
      </c>
      <c r="S27">
        <v>0</v>
      </c>
      <c r="T27">
        <v>2</v>
      </c>
      <c r="U27">
        <v>0</v>
      </c>
      <c r="V27">
        <v>2</v>
      </c>
      <c r="W27">
        <v>4</v>
      </c>
      <c r="X27">
        <v>1</v>
      </c>
      <c r="Y27">
        <v>1</v>
      </c>
      <c r="Z27">
        <v>3</v>
      </c>
      <c r="AA27">
        <v>0</v>
      </c>
      <c r="AB27">
        <v>0</v>
      </c>
      <c r="AC27">
        <v>2</v>
      </c>
      <c r="AD27">
        <v>0</v>
      </c>
      <c r="AE27">
        <v>8</v>
      </c>
      <c r="AF27">
        <v>1</v>
      </c>
      <c r="AG27">
        <v>9</v>
      </c>
      <c r="AH27">
        <v>0</v>
      </c>
      <c r="AI27">
        <v>0</v>
      </c>
      <c r="AJ27">
        <v>1</v>
      </c>
      <c r="AK27">
        <v>9</v>
      </c>
    </row>
    <row r="28" spans="2:37">
      <c r="B28" s="1815" t="s">
        <v>1603</v>
      </c>
      <c r="C28" s="1815"/>
      <c r="D28" s="1815"/>
      <c r="E28" s="1815"/>
      <c r="F28" s="1815"/>
      <c r="G28" s="1815"/>
      <c r="I28" s="163" t="s">
        <v>563</v>
      </c>
      <c r="J28">
        <v>0</v>
      </c>
      <c r="K28">
        <v>8</v>
      </c>
      <c r="L28">
        <v>1</v>
      </c>
      <c r="M28">
        <v>0</v>
      </c>
      <c r="N28">
        <v>2</v>
      </c>
      <c r="O28">
        <v>0</v>
      </c>
      <c r="P28">
        <v>1</v>
      </c>
      <c r="Q28">
        <v>7</v>
      </c>
      <c r="R28">
        <v>0</v>
      </c>
      <c r="S28">
        <v>0</v>
      </c>
      <c r="T28">
        <v>0</v>
      </c>
      <c r="U28">
        <v>0</v>
      </c>
      <c r="V28">
        <v>5</v>
      </c>
      <c r="W28">
        <v>0</v>
      </c>
      <c r="X28">
        <v>0</v>
      </c>
      <c r="Y28">
        <v>0</v>
      </c>
      <c r="Z28">
        <v>5</v>
      </c>
      <c r="AA28">
        <v>2</v>
      </c>
      <c r="AB28">
        <v>0</v>
      </c>
      <c r="AC28">
        <v>1</v>
      </c>
      <c r="AD28">
        <v>1</v>
      </c>
      <c r="AE28">
        <v>10</v>
      </c>
      <c r="AF28">
        <v>3</v>
      </c>
      <c r="AG28">
        <v>3</v>
      </c>
      <c r="AH28">
        <v>1</v>
      </c>
      <c r="AI28">
        <v>1</v>
      </c>
      <c r="AJ28">
        <v>2</v>
      </c>
      <c r="AK28">
        <v>8</v>
      </c>
    </row>
    <row r="29" spans="2:37">
      <c r="B29" s="1815"/>
      <c r="C29" s="1815"/>
      <c r="D29" s="1815"/>
      <c r="E29" s="1815"/>
      <c r="F29" s="1815"/>
      <c r="G29" s="1815"/>
      <c r="I29" s="318" t="s">
        <v>1495</v>
      </c>
      <c r="J29" s="105">
        <f>AVERAGE(J25:J28)</f>
        <v>0.5</v>
      </c>
      <c r="K29" s="105">
        <f t="shared" ref="K29:AB29" si="0">AVERAGE(K25:K28)</f>
        <v>7.25</v>
      </c>
      <c r="L29" s="105">
        <f t="shared" si="0"/>
        <v>0.75</v>
      </c>
      <c r="M29" s="105">
        <f t="shared" si="0"/>
        <v>0.75</v>
      </c>
      <c r="N29" s="105">
        <f t="shared" si="0"/>
        <v>0.75</v>
      </c>
      <c r="O29" s="105">
        <f t="shared" si="0"/>
        <v>0</v>
      </c>
      <c r="P29" s="105">
        <f t="shared" si="0"/>
        <v>1.5</v>
      </c>
      <c r="Q29" s="105">
        <f t="shared" si="0"/>
        <v>7.25</v>
      </c>
      <c r="R29" s="105">
        <f t="shared" si="0"/>
        <v>0</v>
      </c>
      <c r="S29" s="105">
        <f t="shared" si="0"/>
        <v>0.25</v>
      </c>
      <c r="T29" s="105">
        <f t="shared" si="0"/>
        <v>1.25</v>
      </c>
      <c r="U29" s="105">
        <f t="shared" si="0"/>
        <v>0</v>
      </c>
      <c r="V29" s="105">
        <f t="shared" si="0"/>
        <v>2.25</v>
      </c>
      <c r="W29" s="105">
        <f t="shared" si="0"/>
        <v>1.75</v>
      </c>
      <c r="X29" s="105">
        <f t="shared" si="0"/>
        <v>0.75</v>
      </c>
      <c r="Y29" s="105">
        <f t="shared" si="0"/>
        <v>0.25</v>
      </c>
      <c r="Z29" s="105">
        <f t="shared" si="0"/>
        <v>4</v>
      </c>
      <c r="AA29" s="105">
        <f t="shared" si="0"/>
        <v>0.75</v>
      </c>
      <c r="AB29" s="105">
        <f t="shared" si="0"/>
        <v>0</v>
      </c>
      <c r="AC29" s="105">
        <f t="shared" ref="AC29:AK29" si="1">AVERAGE(AC25:AC28)</f>
        <v>0.75</v>
      </c>
      <c r="AD29" s="105">
        <f t="shared" si="1"/>
        <v>0.25</v>
      </c>
      <c r="AE29" s="105">
        <f t="shared" si="1"/>
        <v>7.75</v>
      </c>
      <c r="AF29" s="105">
        <f t="shared" si="1"/>
        <v>1.5</v>
      </c>
      <c r="AG29" s="105">
        <f t="shared" si="1"/>
        <v>4</v>
      </c>
      <c r="AH29" s="105">
        <f t="shared" si="1"/>
        <v>0.25</v>
      </c>
      <c r="AI29" s="105">
        <f t="shared" si="1"/>
        <v>0.75</v>
      </c>
      <c r="AJ29" s="105">
        <f t="shared" si="1"/>
        <v>1</v>
      </c>
      <c r="AK29" s="105">
        <f t="shared" si="1"/>
        <v>7.75</v>
      </c>
    </row>
    <row r="30" spans="2:37">
      <c r="B30" s="1815"/>
      <c r="C30" s="1815"/>
      <c r="D30" s="1815"/>
      <c r="E30" s="1815"/>
      <c r="F30" s="1815"/>
      <c r="G30" s="1815"/>
      <c r="I30" s="58" t="s">
        <v>1605</v>
      </c>
    </row>
    <row r="31" spans="2:37">
      <c r="B31" s="1831" t="s">
        <v>1602</v>
      </c>
      <c r="C31" s="1831"/>
      <c r="D31" s="1831"/>
      <c r="E31" s="1831"/>
      <c r="F31" s="1831"/>
      <c r="G31" s="1831"/>
      <c r="I31" s="299" t="s">
        <v>1606</v>
      </c>
      <c r="J31" s="395">
        <v>2</v>
      </c>
      <c r="K31" s="395">
        <v>7</v>
      </c>
      <c r="L31" s="395">
        <v>0.36363636363636365</v>
      </c>
      <c r="M31" s="395">
        <v>0.18181818181818182</v>
      </c>
      <c r="N31" s="395">
        <v>0.45454545454545453</v>
      </c>
      <c r="O31" s="395">
        <v>0</v>
      </c>
      <c r="P31" s="395">
        <v>1</v>
      </c>
      <c r="Q31" s="395">
        <v>2.2727272727272729</v>
      </c>
      <c r="R31" s="395">
        <v>9.0909090909090912E-2</v>
      </c>
      <c r="S31" s="395">
        <v>9.0909090909090912E-2</v>
      </c>
      <c r="T31" s="395">
        <v>1.2727272727272727</v>
      </c>
      <c r="U31" s="395">
        <v>0.27272727272727271</v>
      </c>
      <c r="V31" s="395">
        <v>0.36363636363636365</v>
      </c>
      <c r="W31" s="395">
        <v>2.7272727272727271</v>
      </c>
      <c r="X31" s="395">
        <v>0.54545454545454541</v>
      </c>
      <c r="Y31" s="395">
        <v>0.54545454545454541</v>
      </c>
      <c r="Z31" s="395">
        <v>2.2727272727272729</v>
      </c>
      <c r="AA31" s="395">
        <v>0.63636363636363635</v>
      </c>
      <c r="AB31" s="395">
        <v>0</v>
      </c>
      <c r="AC31" s="395">
        <v>0.18181818181818182</v>
      </c>
      <c r="AD31" s="395">
        <v>9.0909090909090912E-2</v>
      </c>
      <c r="AE31" s="395">
        <v>7.6363636363636367</v>
      </c>
      <c r="AF31" s="395">
        <v>1.3636363636363635</v>
      </c>
      <c r="AG31" s="395">
        <v>3.2727272727272729</v>
      </c>
      <c r="AH31" s="395">
        <v>0</v>
      </c>
      <c r="AI31" s="395">
        <v>0.27272727272727271</v>
      </c>
      <c r="AJ31" s="395">
        <v>0</v>
      </c>
      <c r="AK31" s="395">
        <v>6.2727272727272725</v>
      </c>
    </row>
    <row r="32" spans="2:37">
      <c r="B32" s="1831"/>
      <c r="C32" s="1831"/>
      <c r="D32" s="1831"/>
      <c r="E32" s="1831"/>
      <c r="F32" s="1831"/>
      <c r="G32" s="1831"/>
      <c r="I32" s="147" t="s">
        <v>1609</v>
      </c>
      <c r="J32" s="392">
        <f>(J29-J31)/J29</f>
        <v>-3</v>
      </c>
      <c r="K32" s="392">
        <f t="shared" ref="K32:AA32" si="2">(K29-K31)/K29</f>
        <v>3.4482758620689655E-2</v>
      </c>
      <c r="L32" s="392">
        <f t="shared" si="2"/>
        <v>0.51515151515151514</v>
      </c>
      <c r="M32" s="392">
        <f t="shared" si="2"/>
        <v>0.75757575757575746</v>
      </c>
      <c r="N32" s="392">
        <f t="shared" si="2"/>
        <v>0.39393939393939398</v>
      </c>
      <c r="O32" s="392">
        <v>0</v>
      </c>
      <c r="P32" s="392">
        <f t="shared" si="2"/>
        <v>0.33333333333333331</v>
      </c>
      <c r="Q32" s="392">
        <f t="shared" si="2"/>
        <v>0.68652037617554851</v>
      </c>
      <c r="R32" s="392">
        <v>-1</v>
      </c>
      <c r="S32" s="392">
        <f t="shared" si="2"/>
        <v>0.63636363636363635</v>
      </c>
      <c r="T32" s="392">
        <f t="shared" si="2"/>
        <v>-1.8181818181818167E-2</v>
      </c>
      <c r="U32" s="392">
        <v>-1</v>
      </c>
      <c r="V32" s="392">
        <f t="shared" si="2"/>
        <v>0.83838383838383834</v>
      </c>
      <c r="W32" s="392">
        <f t="shared" si="2"/>
        <v>-0.55844155844155829</v>
      </c>
      <c r="X32" s="392">
        <f t="shared" si="2"/>
        <v>0.27272727272727276</v>
      </c>
      <c r="Y32" s="392">
        <f t="shared" si="2"/>
        <v>-1.1818181818181817</v>
      </c>
      <c r="Z32" s="392">
        <f t="shared" si="2"/>
        <v>0.43181818181818177</v>
      </c>
      <c r="AA32" s="392">
        <f t="shared" si="2"/>
        <v>0.15151515151515152</v>
      </c>
      <c r="AB32" s="392">
        <v>-1</v>
      </c>
      <c r="AC32" s="392">
        <f t="shared" ref="AC32:AK32" si="3">(AC29-AC31)/AC29</f>
        <v>0.75757575757575746</v>
      </c>
      <c r="AD32" s="392">
        <f t="shared" si="3"/>
        <v>0.63636363636363635</v>
      </c>
      <c r="AE32" s="392">
        <f t="shared" si="3"/>
        <v>1.4662756598240427E-2</v>
      </c>
      <c r="AF32" s="392">
        <f t="shared" si="3"/>
        <v>9.0909090909090981E-2</v>
      </c>
      <c r="AG32" s="392">
        <f t="shared" si="3"/>
        <v>0.18181818181818177</v>
      </c>
      <c r="AH32" s="392">
        <f t="shared" si="3"/>
        <v>1</v>
      </c>
      <c r="AI32" s="392">
        <f t="shared" si="3"/>
        <v>0.63636363636363635</v>
      </c>
      <c r="AJ32" s="392">
        <f t="shared" si="3"/>
        <v>1</v>
      </c>
      <c r="AK32" s="392">
        <f t="shared" si="3"/>
        <v>0.19061583577712612</v>
      </c>
    </row>
  </sheetData>
  <mergeCells count="10">
    <mergeCell ref="B21:G22"/>
    <mergeCell ref="B26:G27"/>
    <mergeCell ref="B31:G32"/>
    <mergeCell ref="B28:G30"/>
    <mergeCell ref="B23:G25"/>
    <mergeCell ref="C16:G16"/>
    <mergeCell ref="B18:G20"/>
    <mergeCell ref="B4:E4"/>
    <mergeCell ref="B6:K9"/>
    <mergeCell ref="B12:G13"/>
  </mergeCells>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4A6B-56B4-0949-AF7D-D212E276F9FE}">
  <sheetPr codeName="Sheet22">
    <tabColor rgb="FF9D00FF"/>
  </sheetPr>
  <dimension ref="B3:AM34"/>
  <sheetViews>
    <sheetView topLeftCell="A3" workbookViewId="0"/>
  </sheetViews>
  <sheetFormatPr defaultColWidth="11" defaultRowHeight="15.75"/>
  <cols>
    <col min="10" max="37" width="11.625" bestFit="1" customWidth="1"/>
  </cols>
  <sheetData>
    <row r="3" spans="2:39" ht="33.75">
      <c r="B3" s="1834" t="s">
        <v>184</v>
      </c>
      <c r="C3" s="1834"/>
      <c r="D3" s="1834"/>
    </row>
    <row r="5" spans="2:39" ht="15.95" customHeight="1">
      <c r="B5" s="1701" t="s">
        <v>1610</v>
      </c>
      <c r="C5" s="1701"/>
      <c r="D5" s="1701"/>
      <c r="E5" s="1701"/>
      <c r="F5" s="1701"/>
      <c r="G5" s="1701"/>
    </row>
    <row r="6" spans="2:39">
      <c r="B6" s="1701"/>
      <c r="C6" s="1701"/>
      <c r="D6" s="1701"/>
      <c r="E6" s="1701"/>
      <c r="F6" s="1701"/>
      <c r="G6" s="1701"/>
    </row>
    <row r="7" spans="2:39">
      <c r="B7" s="1701"/>
      <c r="C7" s="1701"/>
      <c r="D7" s="1701"/>
      <c r="E7" s="1701"/>
      <c r="F7" s="1701"/>
      <c r="G7" s="1701"/>
    </row>
    <row r="8" spans="2:39">
      <c r="B8" s="1701"/>
      <c r="C8" s="1701"/>
      <c r="D8" s="1701"/>
      <c r="E8" s="1701"/>
      <c r="F8" s="1701"/>
      <c r="G8" s="1701"/>
    </row>
    <row r="9" spans="2:39">
      <c r="B9" s="1701"/>
      <c r="C9" s="1701"/>
      <c r="D9" s="1701"/>
      <c r="E9" s="1701"/>
      <c r="F9" s="1701"/>
      <c r="G9" s="1701"/>
    </row>
    <row r="10" spans="2:39">
      <c r="B10" s="1701"/>
      <c r="C10" s="1701"/>
      <c r="D10" s="1701"/>
      <c r="E10" s="1701"/>
      <c r="F10" s="1701"/>
      <c r="G10" s="1701"/>
    </row>
    <row r="11" spans="2:39">
      <c r="B11" s="1701"/>
      <c r="C11" s="1701"/>
      <c r="D11" s="1701"/>
      <c r="E11" s="1701"/>
      <c r="F11" s="1701"/>
      <c r="G11" s="1701"/>
    </row>
    <row r="13" spans="2:39" ht="18">
      <c r="B13" s="377" t="s">
        <v>1611</v>
      </c>
      <c r="I13" s="377" t="s">
        <v>1622</v>
      </c>
    </row>
    <row r="14" spans="2:39">
      <c r="B14" s="378" t="s">
        <v>1612</v>
      </c>
      <c r="I14" s="243" t="s">
        <v>1110</v>
      </c>
      <c r="J14" s="298" t="s">
        <v>1</v>
      </c>
      <c r="K14" s="298" t="s">
        <v>2</v>
      </c>
      <c r="L14" s="298" t="s">
        <v>3</v>
      </c>
      <c r="M14" s="298" t="s">
        <v>4</v>
      </c>
      <c r="N14" s="298" t="s">
        <v>5</v>
      </c>
      <c r="O14" s="298" t="s">
        <v>6</v>
      </c>
      <c r="P14" s="298" t="s">
        <v>7</v>
      </c>
      <c r="Q14" s="298" t="s">
        <v>8</v>
      </c>
      <c r="R14" s="298" t="s">
        <v>9</v>
      </c>
      <c r="S14" s="298" t="s">
        <v>10</v>
      </c>
      <c r="T14" s="298" t="s">
        <v>36</v>
      </c>
      <c r="U14" s="396" t="s">
        <v>59</v>
      </c>
    </row>
    <row r="15" spans="2:39">
      <c r="B15" s="378" t="s">
        <v>1613</v>
      </c>
      <c r="I15" s="272" t="s">
        <v>1215</v>
      </c>
      <c r="J15" s="53" t="s">
        <v>290</v>
      </c>
      <c r="K15" s="53" t="s">
        <v>290</v>
      </c>
      <c r="L15" s="53" t="s">
        <v>281</v>
      </c>
      <c r="M15" s="53" t="s">
        <v>281</v>
      </c>
      <c r="N15" s="53" t="s">
        <v>278</v>
      </c>
      <c r="O15" s="53" t="s">
        <v>278</v>
      </c>
      <c r="P15" s="53" t="s">
        <v>277</v>
      </c>
      <c r="Q15" s="53" t="s">
        <v>1293</v>
      </c>
      <c r="R15" s="53" t="s">
        <v>1293</v>
      </c>
      <c r="S15" s="53" t="s">
        <v>1135</v>
      </c>
      <c r="T15" s="53" t="s">
        <v>1151</v>
      </c>
      <c r="U15" s="375" t="s">
        <v>266</v>
      </c>
      <c r="W15" s="61"/>
      <c r="Y15" s="61"/>
      <c r="AA15" s="61"/>
      <c r="AC15" s="61"/>
      <c r="AD15" s="52"/>
      <c r="AE15" s="61"/>
      <c r="AG15" s="61"/>
      <c r="AH15" s="65"/>
      <c r="AI15" s="397"/>
      <c r="AJ15" s="52"/>
      <c r="AK15" s="61"/>
      <c r="AM15" s="397"/>
    </row>
    <row r="16" spans="2:39" ht="15.95" customHeight="1">
      <c r="B16" s="1815" t="s">
        <v>1614</v>
      </c>
      <c r="C16" s="1815"/>
      <c r="D16" s="1815"/>
      <c r="E16" s="1815"/>
      <c r="F16" s="1815"/>
      <c r="G16" s="1815"/>
    </row>
    <row r="17" spans="2:37" ht="18">
      <c r="B17" s="1815"/>
      <c r="C17" s="1815"/>
      <c r="D17" s="1815"/>
      <c r="E17" s="1815"/>
      <c r="F17" s="1815"/>
      <c r="G17" s="1815"/>
      <c r="I17" s="377" t="s">
        <v>1604</v>
      </c>
    </row>
    <row r="18" spans="2:37">
      <c r="B18" s="1815"/>
      <c r="C18" s="1815"/>
      <c r="D18" s="1815"/>
      <c r="E18" s="1815"/>
      <c r="F18" s="1815"/>
      <c r="G18" s="1815"/>
      <c r="I18" s="384" t="s">
        <v>1632</v>
      </c>
      <c r="J18" s="308" t="s">
        <v>12</v>
      </c>
      <c r="K18" s="309" t="s">
        <v>14</v>
      </c>
      <c r="L18" s="310" t="s">
        <v>13</v>
      </c>
      <c r="M18" s="91" t="s">
        <v>182</v>
      </c>
    </row>
    <row r="19" spans="2:37">
      <c r="B19" s="378" t="s">
        <v>1615</v>
      </c>
      <c r="J19">
        <v>57</v>
      </c>
      <c r="K19">
        <v>12</v>
      </c>
      <c r="L19">
        <v>10</v>
      </c>
      <c r="M19">
        <f>SUM(J19:L19) + 2</f>
        <v>81</v>
      </c>
    </row>
    <row r="20" spans="2:37">
      <c r="B20" s="1815" t="s">
        <v>1616</v>
      </c>
      <c r="C20" s="1833"/>
      <c r="D20" s="1833"/>
      <c r="E20" s="1833"/>
      <c r="F20" s="1833"/>
      <c r="G20" s="1833"/>
      <c r="J20" t="s">
        <v>1629</v>
      </c>
    </row>
    <row r="21" spans="2:37">
      <c r="B21" s="1833"/>
      <c r="C21" s="1833"/>
      <c r="D21" s="1833"/>
      <c r="E21" s="1833"/>
      <c r="F21" s="1833"/>
      <c r="G21" s="1833"/>
      <c r="I21" s="299" t="s">
        <v>1606</v>
      </c>
      <c r="J21" s="395">
        <v>52.083333333333336</v>
      </c>
      <c r="K21" s="395">
        <v>11.916666666666666</v>
      </c>
      <c r="L21" s="395">
        <v>10.583333333333334</v>
      </c>
      <c r="M21" s="395">
        <v>78.277777777777771</v>
      </c>
    </row>
    <row r="22" spans="2:37">
      <c r="B22" s="1833"/>
      <c r="C22" s="1833"/>
      <c r="D22" s="1833"/>
      <c r="E22" s="1833"/>
      <c r="F22" s="1833"/>
      <c r="G22" s="1833"/>
      <c r="I22" s="147" t="s">
        <v>1609</v>
      </c>
      <c r="J22" s="143">
        <f>(J19-J21)/J19</f>
        <v>8.6257309941520421E-2</v>
      </c>
      <c r="K22" s="143">
        <f>(K19-K21)/K19</f>
        <v>6.9444444444444935E-3</v>
      </c>
      <c r="L22" s="143">
        <f>(L19-L21)/L19</f>
        <v>-5.833333333333339E-2</v>
      </c>
      <c r="M22" s="143">
        <f>(M19-M21)/M19</f>
        <v>3.3607681755829982E-2</v>
      </c>
    </row>
    <row r="23" spans="2:37">
      <c r="B23" s="1815" t="s">
        <v>1620</v>
      </c>
      <c r="C23" s="1833"/>
      <c r="D23" s="1833"/>
      <c r="E23" s="1833"/>
      <c r="F23" s="1833"/>
      <c r="G23" s="1833"/>
      <c r="J23" t="s">
        <v>1640</v>
      </c>
    </row>
    <row r="24" spans="2:37">
      <c r="B24" s="1833"/>
      <c r="C24" s="1833"/>
      <c r="D24" s="1833"/>
      <c r="E24" s="1833"/>
      <c r="F24" s="1833"/>
      <c r="G24" s="1833"/>
      <c r="I24" s="299" t="s">
        <v>1606</v>
      </c>
      <c r="J24" s="20">
        <v>42</v>
      </c>
      <c r="K24" s="395">
        <v>12.333333333333334</v>
      </c>
      <c r="L24" s="20">
        <v>9</v>
      </c>
      <c r="M24" s="20">
        <v>64</v>
      </c>
    </row>
    <row r="25" spans="2:37">
      <c r="B25" s="378" t="s">
        <v>1617</v>
      </c>
      <c r="I25" s="147" t="s">
        <v>1609</v>
      </c>
      <c r="J25" s="392">
        <f>(J19-J24)/J19</f>
        <v>0.26315789473684209</v>
      </c>
      <c r="K25" s="392">
        <f>(K19-K24)/K19</f>
        <v>-2.7777777777777828E-2</v>
      </c>
      <c r="L25" s="392">
        <f>(L19-L24)/L19</f>
        <v>0.1</v>
      </c>
      <c r="M25" s="392">
        <f>(M19-M24)/M19</f>
        <v>0.20987654320987653</v>
      </c>
    </row>
    <row r="26" spans="2:37">
      <c r="B26" s="1815" t="s">
        <v>1618</v>
      </c>
      <c r="C26" s="1833"/>
      <c r="D26" s="1833"/>
      <c r="E26" s="1833"/>
      <c r="F26" s="1833"/>
      <c r="G26" s="1833"/>
    </row>
    <row r="27" spans="2:37">
      <c r="B27" s="1833"/>
      <c r="C27" s="1833"/>
      <c r="D27" s="1833"/>
      <c r="E27" s="1833"/>
      <c r="F27" s="1833"/>
      <c r="G27" s="1833"/>
      <c r="I27" s="401" t="s">
        <v>1633</v>
      </c>
      <c r="J27" s="244" t="s">
        <v>27</v>
      </c>
      <c r="K27" s="245" t="s">
        <v>1270</v>
      </c>
      <c r="L27" s="246" t="s">
        <v>43</v>
      </c>
      <c r="M27" s="247" t="s">
        <v>120</v>
      </c>
      <c r="N27" s="248" t="s">
        <v>46</v>
      </c>
      <c r="O27" s="249" t="s">
        <v>397</v>
      </c>
      <c r="P27" s="250" t="s">
        <v>155</v>
      </c>
      <c r="Q27" s="251" t="s">
        <v>24</v>
      </c>
      <c r="R27" s="252" t="s">
        <v>484</v>
      </c>
      <c r="S27" s="253" t="s">
        <v>23</v>
      </c>
      <c r="T27" s="254" t="s">
        <v>29</v>
      </c>
      <c r="U27" s="255" t="s">
        <v>93</v>
      </c>
      <c r="V27" s="256" t="s">
        <v>1269</v>
      </c>
      <c r="W27" s="257" t="s">
        <v>26</v>
      </c>
      <c r="X27" s="258" t="s">
        <v>109</v>
      </c>
      <c r="Y27" s="259" t="s">
        <v>114</v>
      </c>
      <c r="Z27" s="260" t="s">
        <v>1272</v>
      </c>
      <c r="AA27" s="261" t="s">
        <v>68</v>
      </c>
      <c r="AB27" s="262" t="s">
        <v>234</v>
      </c>
      <c r="AC27" s="263" t="s">
        <v>124</v>
      </c>
      <c r="AD27" s="264" t="s">
        <v>74</v>
      </c>
      <c r="AE27" s="265" t="s">
        <v>1271</v>
      </c>
      <c r="AF27" s="266" t="s">
        <v>20</v>
      </c>
      <c r="AG27" s="267" t="s">
        <v>44</v>
      </c>
      <c r="AH27" s="268" t="s">
        <v>339</v>
      </c>
      <c r="AI27" s="269" t="s">
        <v>73</v>
      </c>
      <c r="AJ27" s="270" t="s">
        <v>216</v>
      </c>
      <c r="AK27" s="271" t="s">
        <v>21</v>
      </c>
    </row>
    <row r="28" spans="2:37">
      <c r="B28" s="378" t="s">
        <v>1619</v>
      </c>
      <c r="J28">
        <v>0</v>
      </c>
      <c r="K28">
        <v>9</v>
      </c>
      <c r="L28">
        <v>1</v>
      </c>
      <c r="M28">
        <v>2</v>
      </c>
      <c r="N28">
        <v>0</v>
      </c>
      <c r="O28">
        <v>0</v>
      </c>
      <c r="P28">
        <v>3</v>
      </c>
      <c r="Q28">
        <v>6</v>
      </c>
      <c r="R28">
        <v>0</v>
      </c>
      <c r="S28">
        <v>0</v>
      </c>
      <c r="T28">
        <v>2</v>
      </c>
      <c r="U28">
        <v>0</v>
      </c>
      <c r="V28">
        <v>2</v>
      </c>
      <c r="W28">
        <v>4</v>
      </c>
      <c r="X28">
        <v>1</v>
      </c>
      <c r="Y28">
        <v>1</v>
      </c>
      <c r="Z28">
        <v>3</v>
      </c>
      <c r="AA28">
        <v>0</v>
      </c>
      <c r="AB28">
        <v>0</v>
      </c>
      <c r="AC28">
        <v>2</v>
      </c>
      <c r="AD28">
        <v>0</v>
      </c>
      <c r="AE28">
        <v>8</v>
      </c>
      <c r="AF28">
        <v>1</v>
      </c>
      <c r="AG28">
        <v>9</v>
      </c>
      <c r="AH28">
        <v>0</v>
      </c>
      <c r="AI28">
        <v>0</v>
      </c>
      <c r="AJ28">
        <v>1</v>
      </c>
      <c r="AK28">
        <v>9</v>
      </c>
    </row>
    <row r="29" spans="2:37" ht="15.95" customHeight="1">
      <c r="B29" s="1815" t="s">
        <v>1621</v>
      </c>
      <c r="C29" s="1815"/>
      <c r="D29" s="1815"/>
      <c r="E29" s="1815"/>
      <c r="F29" s="1815"/>
      <c r="G29" s="1815"/>
      <c r="H29" s="1815"/>
      <c r="J29" t="s">
        <v>1629</v>
      </c>
    </row>
    <row r="30" spans="2:37">
      <c r="C30" s="390"/>
      <c r="D30" s="390"/>
      <c r="E30" s="390"/>
      <c r="F30" s="390"/>
      <c r="G30" s="390"/>
      <c r="I30" s="299" t="s">
        <v>1606</v>
      </c>
      <c r="J30" s="395">
        <v>2.1666666666666665</v>
      </c>
      <c r="K30" s="395">
        <v>4.5</v>
      </c>
      <c r="L30" s="395">
        <v>0.83333333333333337</v>
      </c>
      <c r="M30" s="395">
        <v>1.0277777777777777</v>
      </c>
      <c r="N30" s="395">
        <v>0.47222222222222221</v>
      </c>
      <c r="O30" s="395">
        <v>0.1111111111111111</v>
      </c>
      <c r="P30" s="395">
        <v>0.91666666666666663</v>
      </c>
      <c r="Q30" s="395">
        <v>5.2777777777777777</v>
      </c>
      <c r="R30" s="395">
        <v>5.5555555555555552E-2</v>
      </c>
      <c r="S30" s="395">
        <v>0.16666666666666666</v>
      </c>
      <c r="T30" s="395">
        <v>1.6111111111111112</v>
      </c>
      <c r="U30" s="395">
        <v>0.16666666666666666</v>
      </c>
      <c r="V30" s="395">
        <v>1.1388888888888888</v>
      </c>
      <c r="W30" s="395">
        <v>3.0277777777777777</v>
      </c>
      <c r="X30" s="395">
        <v>0.69444444444444442</v>
      </c>
      <c r="Y30" s="395">
        <v>0.41666666666666669</v>
      </c>
      <c r="Z30" s="395">
        <v>1.6111111111111112</v>
      </c>
      <c r="AA30" s="395">
        <v>0.44444444444444442</v>
      </c>
      <c r="AB30" s="395">
        <v>0.3611111111111111</v>
      </c>
      <c r="AC30" s="395">
        <v>0.83333333333333337</v>
      </c>
      <c r="AD30" s="395">
        <v>0.27777777777777779</v>
      </c>
      <c r="AE30" s="395">
        <v>7.75</v>
      </c>
      <c r="AF30" s="395">
        <v>1.75</v>
      </c>
      <c r="AG30" s="395">
        <v>5.2222222222222223</v>
      </c>
      <c r="AH30" s="395">
        <v>0.27777777777777779</v>
      </c>
      <c r="AI30" s="395">
        <v>0.22222222222222221</v>
      </c>
      <c r="AJ30" s="395">
        <v>0.75</v>
      </c>
      <c r="AK30" s="395">
        <v>7.4444444444444446</v>
      </c>
    </row>
    <row r="31" spans="2:37">
      <c r="B31" s="378" t="s">
        <v>1623</v>
      </c>
      <c r="I31" s="147" t="s">
        <v>1609</v>
      </c>
      <c r="J31" s="392">
        <v>-1</v>
      </c>
      <c r="K31" s="392">
        <f>(K28-K30)/K28</f>
        <v>0.5</v>
      </c>
      <c r="L31" s="392">
        <f t="shared" ref="L31:AK31" si="0">(L28-L30)/L28</f>
        <v>0.16666666666666663</v>
      </c>
      <c r="M31" s="392">
        <f t="shared" si="0"/>
        <v>0.48611111111111116</v>
      </c>
      <c r="N31" s="392">
        <v>-1</v>
      </c>
      <c r="O31" s="392">
        <v>-1</v>
      </c>
      <c r="P31" s="392">
        <f t="shared" si="0"/>
        <v>0.69444444444444453</v>
      </c>
      <c r="Q31" s="392">
        <f t="shared" si="0"/>
        <v>0.12037037037037039</v>
      </c>
      <c r="R31" s="392">
        <v>-1</v>
      </c>
      <c r="S31" s="392">
        <v>-1</v>
      </c>
      <c r="T31" s="392">
        <f t="shared" si="0"/>
        <v>0.19444444444444442</v>
      </c>
      <c r="U31" s="392">
        <v>-1</v>
      </c>
      <c r="V31" s="392">
        <f t="shared" si="0"/>
        <v>0.43055555555555558</v>
      </c>
      <c r="W31" s="392">
        <f t="shared" si="0"/>
        <v>0.24305555555555558</v>
      </c>
      <c r="X31" s="392">
        <f t="shared" si="0"/>
        <v>0.30555555555555558</v>
      </c>
      <c r="Y31" s="392">
        <f t="shared" si="0"/>
        <v>0.58333333333333326</v>
      </c>
      <c r="Z31" s="392">
        <f t="shared" si="0"/>
        <v>0.46296296296296297</v>
      </c>
      <c r="AA31" s="392">
        <v>-1</v>
      </c>
      <c r="AB31" s="392">
        <v>-1</v>
      </c>
      <c r="AC31" s="392">
        <f t="shared" si="0"/>
        <v>0.58333333333333326</v>
      </c>
      <c r="AD31" s="392">
        <v>-1</v>
      </c>
      <c r="AE31" s="392">
        <f t="shared" si="0"/>
        <v>3.125E-2</v>
      </c>
      <c r="AF31" s="392">
        <f t="shared" si="0"/>
        <v>-0.75</v>
      </c>
      <c r="AG31" s="392">
        <f t="shared" si="0"/>
        <v>0.41975308641975306</v>
      </c>
      <c r="AH31" s="392">
        <v>-1</v>
      </c>
      <c r="AI31" s="392">
        <v>-1</v>
      </c>
      <c r="AJ31" s="392">
        <f t="shared" si="0"/>
        <v>0.25</v>
      </c>
      <c r="AK31" s="392">
        <f t="shared" si="0"/>
        <v>0.1728395061728395</v>
      </c>
    </row>
    <row r="32" spans="2:37">
      <c r="B32" s="378" t="s">
        <v>1631</v>
      </c>
      <c r="J32" t="s">
        <v>1640</v>
      </c>
    </row>
    <row r="33" spans="9:37">
      <c r="I33" s="299" t="s">
        <v>1606</v>
      </c>
      <c r="J33" s="20">
        <v>0.5</v>
      </c>
      <c r="K33" s="20">
        <v>7.25</v>
      </c>
      <c r="L33" s="20">
        <v>0.75</v>
      </c>
      <c r="M33" s="20">
        <v>0.75</v>
      </c>
      <c r="N33" s="20">
        <v>0.75</v>
      </c>
      <c r="O33" s="20">
        <v>0</v>
      </c>
      <c r="P33" s="20">
        <v>1.5</v>
      </c>
      <c r="Q33" s="20">
        <v>7.25</v>
      </c>
      <c r="R33" s="20">
        <v>0</v>
      </c>
      <c r="S33" s="20">
        <v>0.25</v>
      </c>
      <c r="T33" s="20">
        <v>1.25</v>
      </c>
      <c r="U33" s="20">
        <v>0</v>
      </c>
      <c r="V33" s="20">
        <v>2.25</v>
      </c>
      <c r="W33" s="20">
        <v>1.75</v>
      </c>
      <c r="X33" s="20">
        <v>0.75</v>
      </c>
      <c r="Y33" s="20">
        <v>0.25</v>
      </c>
      <c r="Z33" s="20">
        <v>4</v>
      </c>
      <c r="AA33" s="20">
        <v>0.75</v>
      </c>
      <c r="AB33" s="20">
        <v>0</v>
      </c>
      <c r="AC33" s="20">
        <v>0.75</v>
      </c>
      <c r="AD33" s="20">
        <v>0.25</v>
      </c>
      <c r="AE33" s="20">
        <v>7.75</v>
      </c>
      <c r="AF33" s="20">
        <v>1.5</v>
      </c>
      <c r="AG33" s="20">
        <v>4</v>
      </c>
      <c r="AH33" s="20">
        <v>0.25</v>
      </c>
      <c r="AI33" s="20">
        <v>0.75</v>
      </c>
      <c r="AJ33" s="20">
        <v>1</v>
      </c>
      <c r="AK33" s="20">
        <v>7.75</v>
      </c>
    </row>
    <row r="34" spans="9:37">
      <c r="I34" s="147" t="s">
        <v>1609</v>
      </c>
      <c r="J34" s="392">
        <v>-1</v>
      </c>
      <c r="K34" s="392">
        <f t="shared" ref="K34:AK34" si="1">(K28-K33)/K28</f>
        <v>0.19444444444444445</v>
      </c>
      <c r="L34" s="392">
        <f t="shared" si="1"/>
        <v>0.25</v>
      </c>
      <c r="M34" s="392">
        <f t="shared" si="1"/>
        <v>0.625</v>
      </c>
      <c r="N34" s="392">
        <v>-1</v>
      </c>
      <c r="O34" s="392">
        <v>0</v>
      </c>
      <c r="P34" s="392">
        <f t="shared" si="1"/>
        <v>0.5</v>
      </c>
      <c r="Q34" s="392">
        <f t="shared" si="1"/>
        <v>-0.20833333333333334</v>
      </c>
      <c r="R34" s="420">
        <v>0</v>
      </c>
      <c r="S34" s="420">
        <v>-1</v>
      </c>
      <c r="T34" s="392">
        <f t="shared" si="1"/>
        <v>0.375</v>
      </c>
      <c r="U34" s="392">
        <v>0</v>
      </c>
      <c r="V34" s="392">
        <f t="shared" si="1"/>
        <v>-0.125</v>
      </c>
      <c r="W34" s="392">
        <f t="shared" si="1"/>
        <v>0.5625</v>
      </c>
      <c r="X34" s="392">
        <f t="shared" si="1"/>
        <v>0.25</v>
      </c>
      <c r="Y34" s="392">
        <f t="shared" si="1"/>
        <v>0.75</v>
      </c>
      <c r="Z34" s="392">
        <f t="shared" si="1"/>
        <v>-0.33333333333333331</v>
      </c>
      <c r="AA34" s="420">
        <v>-1</v>
      </c>
      <c r="AB34" s="392">
        <v>0</v>
      </c>
      <c r="AC34" s="392">
        <f t="shared" si="1"/>
        <v>0.625</v>
      </c>
      <c r="AD34" s="420">
        <v>-1</v>
      </c>
      <c r="AE34" s="392">
        <f t="shared" si="1"/>
        <v>3.125E-2</v>
      </c>
      <c r="AF34" s="392">
        <f t="shared" si="1"/>
        <v>-0.5</v>
      </c>
      <c r="AG34" s="392">
        <f t="shared" si="1"/>
        <v>0.55555555555555558</v>
      </c>
      <c r="AH34" s="420">
        <v>-1</v>
      </c>
      <c r="AI34" s="420">
        <v>-1</v>
      </c>
      <c r="AJ34" s="392">
        <f t="shared" si="1"/>
        <v>0</v>
      </c>
      <c r="AK34" s="392">
        <f t="shared" si="1"/>
        <v>0.1388888888888889</v>
      </c>
    </row>
  </sheetData>
  <mergeCells count="7">
    <mergeCell ref="B23:G24"/>
    <mergeCell ref="B26:G27"/>
    <mergeCell ref="B29:H29"/>
    <mergeCell ref="B3:D3"/>
    <mergeCell ref="B5:G11"/>
    <mergeCell ref="B16:G18"/>
    <mergeCell ref="B20:G22"/>
  </mergeCells>
  <phoneticPr fontId="3"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7FCB-0E41-B947-BC1E-F516AB57C851}">
  <sheetPr codeName="Sheet23">
    <tabColor rgb="FF92FFD5"/>
  </sheetPr>
  <dimension ref="B4:AK36"/>
  <sheetViews>
    <sheetView topLeftCell="C5" workbookViewId="0">
      <selection activeCell="F24" sqref="F24"/>
    </sheetView>
  </sheetViews>
  <sheetFormatPr defaultColWidth="11" defaultRowHeight="15.75"/>
  <cols>
    <col min="4" max="4" width="14.625" customWidth="1"/>
  </cols>
  <sheetData>
    <row r="4" spans="2:14" ht="33.75">
      <c r="B4" s="1835" t="s">
        <v>1742</v>
      </c>
      <c r="C4" s="1835"/>
      <c r="D4" s="1835"/>
      <c r="H4" s="580" t="s">
        <v>2025</v>
      </c>
      <c r="N4" s="35" t="s">
        <v>2026</v>
      </c>
    </row>
    <row r="7" spans="2:14" ht="15.95" customHeight="1">
      <c r="B7" s="1703" t="s">
        <v>2024</v>
      </c>
      <c r="C7" s="1703"/>
      <c r="D7" s="1703"/>
      <c r="E7" s="1703"/>
      <c r="F7" s="1703"/>
      <c r="G7" s="1703"/>
    </row>
    <row r="8" spans="2:14">
      <c r="B8" s="1703"/>
      <c r="C8" s="1703"/>
      <c r="D8" s="1703"/>
      <c r="E8" s="1703"/>
      <c r="F8" s="1703"/>
      <c r="G8" s="1703"/>
    </row>
    <row r="9" spans="2:14">
      <c r="B9" s="1703"/>
      <c r="C9" s="1703"/>
      <c r="D9" s="1703"/>
      <c r="E9" s="1703"/>
      <c r="F9" s="1703"/>
      <c r="G9" s="1703"/>
    </row>
    <row r="10" spans="2:14">
      <c r="B10" s="1703"/>
      <c r="C10" s="1703"/>
      <c r="D10" s="1703"/>
      <c r="E10" s="1703"/>
      <c r="F10" s="1703"/>
      <c r="G10" s="1703"/>
    </row>
    <row r="11" spans="2:14">
      <c r="B11" s="1703"/>
      <c r="C11" s="1703"/>
      <c r="D11" s="1703"/>
      <c r="E11" s="1703"/>
      <c r="F11" s="1703"/>
      <c r="G11" s="1703"/>
    </row>
    <row r="12" spans="2:14">
      <c r="B12" s="1703"/>
      <c r="C12" s="1703"/>
      <c r="D12" s="1703"/>
      <c r="E12" s="1703"/>
      <c r="F12" s="1703"/>
      <c r="G12" s="1703"/>
    </row>
    <row r="13" spans="2:14" ht="18">
      <c r="B13" s="580" t="s">
        <v>1611</v>
      </c>
      <c r="C13" s="579"/>
      <c r="D13" s="579"/>
      <c r="E13" s="579"/>
      <c r="F13" s="579"/>
      <c r="G13" s="579"/>
    </row>
    <row r="14" spans="2:14">
      <c r="B14" s="1831" t="s">
        <v>2027</v>
      </c>
      <c r="C14" s="1831"/>
      <c r="D14" s="1831"/>
      <c r="E14" s="1831"/>
      <c r="F14" s="1831"/>
      <c r="G14" s="1831"/>
    </row>
    <row r="15" spans="2:14" ht="15.95" customHeight="1">
      <c r="B15" s="1831" t="s">
        <v>2044</v>
      </c>
      <c r="C15" s="1831"/>
      <c r="D15" s="1831"/>
      <c r="E15" s="1831"/>
      <c r="F15" s="1831"/>
    </row>
    <row r="16" spans="2:14">
      <c r="B16" s="1831"/>
      <c r="C16" s="1831"/>
      <c r="D16" s="1831"/>
      <c r="E16" s="1831"/>
      <c r="F16" s="1831"/>
    </row>
    <row r="17" spans="2:37">
      <c r="B17" s="1831"/>
      <c r="C17" s="1831"/>
      <c r="D17" s="1831"/>
      <c r="E17" s="1831"/>
      <c r="F17" s="1831"/>
    </row>
    <row r="18" spans="2:37">
      <c r="B18" s="1831" t="s">
        <v>2029</v>
      </c>
      <c r="C18" s="1831"/>
      <c r="D18" s="1831"/>
      <c r="E18" s="1831"/>
      <c r="F18" s="1831"/>
    </row>
    <row r="19" spans="2:37">
      <c r="B19" s="1831"/>
      <c r="C19" s="1831"/>
      <c r="D19" s="1831"/>
      <c r="E19" s="1831"/>
      <c r="F19" s="1831"/>
    </row>
    <row r="20" spans="2:37">
      <c r="B20" s="1831" t="s">
        <v>2028</v>
      </c>
      <c r="C20" s="1831"/>
      <c r="D20" s="1831"/>
      <c r="E20" s="1831"/>
      <c r="F20" s="1831"/>
    </row>
    <row r="21" spans="2:37" ht="18">
      <c r="B21" s="1831"/>
      <c r="C21" s="1831"/>
      <c r="D21" s="1831"/>
      <c r="E21" s="1831"/>
      <c r="F21" s="1831"/>
      <c r="H21" s="377" t="s">
        <v>1622</v>
      </c>
    </row>
    <row r="22" spans="2:37">
      <c r="B22" s="1831" t="s">
        <v>2030</v>
      </c>
      <c r="C22" s="1831"/>
      <c r="D22" s="1831"/>
      <c r="E22" s="1831"/>
      <c r="F22" s="1831"/>
      <c r="H22" s="442" t="s">
        <v>1110</v>
      </c>
      <c r="I22" s="581" t="s">
        <v>1</v>
      </c>
      <c r="J22" s="581" t="s">
        <v>2</v>
      </c>
      <c r="K22" s="581" t="s">
        <v>3</v>
      </c>
      <c r="L22" s="581" t="s">
        <v>4</v>
      </c>
      <c r="M22" s="581" t="s">
        <v>5</v>
      </c>
      <c r="N22" s="581" t="s">
        <v>6</v>
      </c>
      <c r="O22" s="581" t="s">
        <v>7</v>
      </c>
      <c r="P22" s="581" t="s">
        <v>8</v>
      </c>
      <c r="Q22" s="581" t="s">
        <v>9</v>
      </c>
      <c r="R22" s="581" t="s">
        <v>10</v>
      </c>
      <c r="S22" s="581" t="s">
        <v>36</v>
      </c>
      <c r="T22" s="582" t="s">
        <v>59</v>
      </c>
    </row>
    <row r="23" spans="2:37">
      <c r="B23" s="1831"/>
      <c r="C23" s="1831"/>
      <c r="D23" s="1831"/>
      <c r="E23" s="1831"/>
      <c r="F23" s="1831"/>
      <c r="H23" s="318" t="s">
        <v>1215</v>
      </c>
      <c r="I23" t="s">
        <v>295</v>
      </c>
      <c r="J23" t="s">
        <v>279</v>
      </c>
      <c r="K23" t="s">
        <v>279</v>
      </c>
      <c r="L23" t="s">
        <v>294</v>
      </c>
      <c r="M23" t="s">
        <v>294</v>
      </c>
      <c r="N23" t="s">
        <v>283</v>
      </c>
      <c r="O23" t="s">
        <v>1976</v>
      </c>
      <c r="P23" t="s">
        <v>1976</v>
      </c>
      <c r="Q23" t="s">
        <v>304</v>
      </c>
      <c r="R23" t="s">
        <v>270</v>
      </c>
      <c r="S23" t="s">
        <v>272</v>
      </c>
      <c r="T23" t="s">
        <v>266</v>
      </c>
    </row>
    <row r="25" spans="2:37" ht="18.75">
      <c r="D25" t="s">
        <v>2033</v>
      </c>
      <c r="H25" s="68" t="s">
        <v>1604</v>
      </c>
    </row>
    <row r="26" spans="2:37" ht="18.75">
      <c r="D26" s="68" t="s">
        <v>2042</v>
      </c>
      <c r="H26" s="585" t="s">
        <v>1632</v>
      </c>
      <c r="I26" s="308" t="s">
        <v>12</v>
      </c>
      <c r="J26" s="309" t="s">
        <v>14</v>
      </c>
      <c r="K26" s="310" t="s">
        <v>13</v>
      </c>
      <c r="L26" s="91" t="s">
        <v>182</v>
      </c>
    </row>
    <row r="27" spans="2:37">
      <c r="D27" s="378" t="s">
        <v>2034</v>
      </c>
      <c r="E27" t="s">
        <v>2038</v>
      </c>
      <c r="I27" s="319">
        <v>67</v>
      </c>
      <c r="J27" s="8">
        <v>13</v>
      </c>
      <c r="K27" s="33">
        <v>7</v>
      </c>
      <c r="L27" s="291">
        <v>90</v>
      </c>
    </row>
    <row r="28" spans="2:37">
      <c r="D28" s="378" t="s">
        <v>2037</v>
      </c>
      <c r="E28" t="s">
        <v>2039</v>
      </c>
      <c r="H28" s="147" t="s">
        <v>2032</v>
      </c>
      <c r="I28" s="392">
        <f>(I27-57)/57</f>
        <v>0.17543859649122806</v>
      </c>
      <c r="J28" s="392">
        <f>(J27-12)/12</f>
        <v>8.3333333333333329E-2</v>
      </c>
      <c r="K28" s="392">
        <f>(K27-10)/10</f>
        <v>-0.3</v>
      </c>
      <c r="L28" s="583">
        <f>(L27-81)/81</f>
        <v>0.1111111111111111</v>
      </c>
    </row>
    <row r="29" spans="2:37">
      <c r="D29" s="378" t="s">
        <v>2035</v>
      </c>
      <c r="E29" t="s">
        <v>2041</v>
      </c>
      <c r="H29" s="147" t="s">
        <v>2031</v>
      </c>
      <c r="I29" s="392">
        <f>(I27-52.19)/52.19</f>
        <v>0.28377083732515812</v>
      </c>
      <c r="J29" s="392">
        <f>(J27-11.92)/11.92</f>
        <v>9.0604026845637592E-2</v>
      </c>
      <c r="K29" s="392">
        <f>(K27-10.58)/10.58</f>
        <v>-0.33837429111531192</v>
      </c>
      <c r="L29" s="583">
        <f>(L27-78.64864865)/78.64864865</f>
        <v>0.14432989688755449</v>
      </c>
    </row>
    <row r="30" spans="2:37">
      <c r="D30" s="378" t="s">
        <v>2036</v>
      </c>
      <c r="E30" t="s">
        <v>2040</v>
      </c>
      <c r="H30" s="586" t="s">
        <v>1633</v>
      </c>
      <c r="I30" s="244" t="s">
        <v>27</v>
      </c>
      <c r="J30" s="245" t="s">
        <v>1270</v>
      </c>
      <c r="K30" s="246" t="s">
        <v>43</v>
      </c>
      <c r="L30" s="247" t="s">
        <v>120</v>
      </c>
      <c r="M30" s="248" t="s">
        <v>46</v>
      </c>
      <c r="N30" s="249" t="s">
        <v>397</v>
      </c>
      <c r="O30" s="250" t="s">
        <v>155</v>
      </c>
      <c r="P30" s="251" t="s">
        <v>24</v>
      </c>
      <c r="Q30" s="252" t="s">
        <v>484</v>
      </c>
      <c r="R30" s="253" t="s">
        <v>23</v>
      </c>
      <c r="S30" s="254" t="s">
        <v>29</v>
      </c>
      <c r="T30" s="255" t="s">
        <v>93</v>
      </c>
      <c r="U30" s="256" t="s">
        <v>1269</v>
      </c>
      <c r="V30" s="257" t="s">
        <v>26</v>
      </c>
      <c r="W30" s="258" t="s">
        <v>109</v>
      </c>
      <c r="X30" s="259" t="s">
        <v>114</v>
      </c>
      <c r="Y30" s="260" t="s">
        <v>1272</v>
      </c>
      <c r="Z30" s="261" t="s">
        <v>68</v>
      </c>
      <c r="AA30" s="262" t="s">
        <v>234</v>
      </c>
      <c r="AB30" s="263" t="s">
        <v>124</v>
      </c>
      <c r="AC30" s="264" t="s">
        <v>74</v>
      </c>
      <c r="AD30" s="265" t="s">
        <v>1271</v>
      </c>
      <c r="AE30" s="266" t="s">
        <v>20</v>
      </c>
      <c r="AF30" s="267" t="s">
        <v>44</v>
      </c>
      <c r="AG30" s="268" t="s">
        <v>339</v>
      </c>
      <c r="AH30" s="269" t="s">
        <v>73</v>
      </c>
      <c r="AI30" s="270" t="s">
        <v>216</v>
      </c>
      <c r="AJ30" s="584" t="s">
        <v>21</v>
      </c>
      <c r="AK30" s="91" t="s">
        <v>182</v>
      </c>
    </row>
    <row r="31" spans="2:37">
      <c r="D31" s="378" t="s">
        <v>2043</v>
      </c>
      <c r="I31">
        <v>1</v>
      </c>
      <c r="J31">
        <v>8</v>
      </c>
      <c r="K31">
        <v>3</v>
      </c>
      <c r="L31">
        <v>0</v>
      </c>
      <c r="M31">
        <v>1</v>
      </c>
      <c r="N31">
        <v>0</v>
      </c>
      <c r="O31">
        <v>2</v>
      </c>
      <c r="P31">
        <v>7</v>
      </c>
      <c r="Q31">
        <v>0</v>
      </c>
      <c r="R31">
        <v>0</v>
      </c>
      <c r="S31">
        <v>2</v>
      </c>
      <c r="T31">
        <v>0</v>
      </c>
      <c r="U31">
        <v>3</v>
      </c>
      <c r="V31">
        <v>2</v>
      </c>
      <c r="W31">
        <v>3</v>
      </c>
      <c r="X31">
        <v>0</v>
      </c>
      <c r="Y31">
        <v>4</v>
      </c>
      <c r="Z31">
        <v>1</v>
      </c>
      <c r="AA31">
        <v>0</v>
      </c>
      <c r="AB31">
        <v>1</v>
      </c>
      <c r="AC31">
        <v>0</v>
      </c>
      <c r="AD31">
        <v>9</v>
      </c>
      <c r="AE31">
        <v>3</v>
      </c>
      <c r="AF31">
        <v>3</v>
      </c>
      <c r="AG31">
        <v>0</v>
      </c>
      <c r="AH31">
        <v>1</v>
      </c>
      <c r="AI31">
        <v>2</v>
      </c>
      <c r="AJ31">
        <v>10</v>
      </c>
      <c r="AK31" s="291">
        <v>66</v>
      </c>
    </row>
    <row r="32" spans="2:37">
      <c r="H32" s="147" t="s">
        <v>2032</v>
      </c>
      <c r="I32" s="392">
        <v>1</v>
      </c>
      <c r="J32" s="392">
        <f>(J31-9)/9</f>
        <v>-0.1111111111111111</v>
      </c>
      <c r="K32" s="392">
        <f>(K31-1)/1</f>
        <v>2</v>
      </c>
      <c r="L32" s="392">
        <v>-1</v>
      </c>
      <c r="M32" s="392">
        <v>1</v>
      </c>
      <c r="N32" s="392">
        <v>0</v>
      </c>
      <c r="O32" s="392">
        <f>(O31-3)/3</f>
        <v>-0.33333333333333331</v>
      </c>
      <c r="P32" s="392">
        <f>(P31-6)/6</f>
        <v>0.16666666666666666</v>
      </c>
      <c r="Q32" s="392">
        <v>0</v>
      </c>
      <c r="R32" s="392">
        <v>0</v>
      </c>
      <c r="S32" s="392">
        <v>0</v>
      </c>
      <c r="T32" s="392">
        <v>0</v>
      </c>
      <c r="U32" s="392">
        <f>(U31-2)/2</f>
        <v>0.5</v>
      </c>
      <c r="V32" s="392">
        <f>(V31-4)/4</f>
        <v>-0.5</v>
      </c>
      <c r="W32" s="392">
        <f>(W31-1)/1</f>
        <v>2</v>
      </c>
      <c r="X32" s="392">
        <v>-1</v>
      </c>
      <c r="Y32" s="392">
        <f>(Y31-3)/3</f>
        <v>0.33333333333333331</v>
      </c>
      <c r="Z32" s="392">
        <v>1</v>
      </c>
      <c r="AA32" s="392">
        <v>0</v>
      </c>
      <c r="AB32" s="392">
        <f>(AB31-2)/2</f>
        <v>-0.5</v>
      </c>
      <c r="AC32" s="392">
        <v>0</v>
      </c>
      <c r="AD32" s="392">
        <f>(AD31-8)/8</f>
        <v>0.125</v>
      </c>
      <c r="AE32" s="392">
        <f>(AE31-1)/1</f>
        <v>2</v>
      </c>
      <c r="AF32" s="392">
        <f>(AF31-9)/9</f>
        <v>-0.66666666666666663</v>
      </c>
      <c r="AG32" s="392">
        <v>0</v>
      </c>
      <c r="AH32" s="392">
        <v>1</v>
      </c>
      <c r="AI32" s="392">
        <f>(AI31-1)/1</f>
        <v>1</v>
      </c>
      <c r="AJ32" s="392">
        <f>(AJ31-9)/9</f>
        <v>0.1111111111111111</v>
      </c>
      <c r="AK32" s="583">
        <f>(AK31-64)/64</f>
        <v>3.125E-2</v>
      </c>
    </row>
    <row r="33" spans="8:37">
      <c r="H33" s="147" t="s">
        <v>2031</v>
      </c>
      <c r="I33" s="392">
        <f>(I31-Keywords!D81)/Keywords!D81</f>
        <v>-0.59139784946236551</v>
      </c>
      <c r="J33" s="392">
        <f>(J31-Keywords!E81)/Keywords!E81</f>
        <v>0.63440860215053774</v>
      </c>
      <c r="K33" s="392">
        <f>(K31-Keywords!F81)/Keywords!F81</f>
        <v>1.3265306122448979</v>
      </c>
      <c r="L33" s="392">
        <f>(L31-Keywords!G81)/Keywords!G81</f>
        <v>-1</v>
      </c>
      <c r="M33" s="392">
        <f>(M31-Keywords!I81)/Keywords!I81</f>
        <v>-0.13636363636363641</v>
      </c>
      <c r="N33" s="392">
        <f>(N31-Keywords!J81)/Keywords!J81</f>
        <v>-1</v>
      </c>
      <c r="O33" s="392">
        <f>(O31-Keywords!K81)/Keywords!K81</f>
        <v>0.72727272727272718</v>
      </c>
      <c r="P33" s="392">
        <f>(P31-Keywords!L81)/Keywords!L81</f>
        <v>0.31683168316831684</v>
      </c>
      <c r="Q33" s="392" t="e">
        <f>(Q31-Keywords!#REF!)/Keywords!#REF!</f>
        <v>#REF!</v>
      </c>
      <c r="R33" s="392">
        <f>(R31-Keywords!M81)/Keywords!M81</f>
        <v>-1</v>
      </c>
      <c r="S33" s="392">
        <f>(S31-Keywords!N81)/Keywords!N81</f>
        <v>0.15151515151515146</v>
      </c>
      <c r="T33" s="392">
        <f>(T31-Keywords!O81)/Keywords!O81</f>
        <v>-1</v>
      </c>
      <c r="U33" s="392">
        <f>(U31-Keywords!P81)/Keywords!P81</f>
        <v>0.4615384615384614</v>
      </c>
      <c r="V33" s="392">
        <f>(V31-Keywords!Q81)/Keywords!Q81</f>
        <v>-0.37704918032786888</v>
      </c>
      <c r="W33" s="392">
        <f>(W31-Keywords!R81)/Keywords!R81</f>
        <v>1.6511627906976745</v>
      </c>
      <c r="X33" s="392">
        <f>(X31-Keywords!S81)/Keywords!S81</f>
        <v>-1</v>
      </c>
      <c r="Y33" s="392">
        <f>(Y31-Keywords!T81)/Keywords!T81</f>
        <v>1.2028985507246375</v>
      </c>
      <c r="Z33" s="392">
        <f>(Z31-Keywords!U81)/Keywords!U81</f>
        <v>0.90000000000000013</v>
      </c>
      <c r="AA33" s="392">
        <f>(AA31-Keywords!V81)/Keywords!V81</f>
        <v>-1</v>
      </c>
      <c r="AB33" s="392">
        <f>(AB31-Keywords!W81)/Keywords!W81</f>
        <v>0.31034482758620685</v>
      </c>
      <c r="AC33" s="392">
        <f>(AC31-Keywords!X81)/Keywords!X81</f>
        <v>-1</v>
      </c>
      <c r="AD33" s="392">
        <f>(AD31-Keywords!Y81)/Keywords!Y81</f>
        <v>9.9678456591639888E-2</v>
      </c>
      <c r="AE33" s="392">
        <f>(AE31-Keywords!Z81)/Keywords!Z81</f>
        <v>0.40740740740740727</v>
      </c>
      <c r="AF33" s="392">
        <f>(AF31-Keywords!AA81)/Keywords!AA81</f>
        <v>-0.49779735682819387</v>
      </c>
      <c r="AG33" s="392">
        <f>(AG31-Keywords!AB81)/Keywords!AB81</f>
        <v>-1</v>
      </c>
      <c r="AH33" s="392">
        <f>(AH31-Keywords!AC81)/Keywords!AC81</f>
        <v>2.166666666666667</v>
      </c>
      <c r="AI33" s="392">
        <f>(AI31-Keywords!AD81)/Keywords!AD81</f>
        <v>1.0540540540540539</v>
      </c>
      <c r="AJ33" s="392">
        <f>(AJ31-Keywords!AE81)/Keywords!AE81</f>
        <v>0.31034482758620685</v>
      </c>
      <c r="AK33" s="583">
        <f>(AK31-50)/50</f>
        <v>0.32</v>
      </c>
    </row>
    <row r="34" spans="8:37">
      <c r="I34" s="41"/>
      <c r="J34" s="41"/>
      <c r="K34" s="41"/>
      <c r="L34" s="41"/>
    </row>
    <row r="36" spans="8:37">
      <c r="I36" s="41"/>
      <c r="J36" s="41"/>
      <c r="K36" s="41"/>
      <c r="L36" s="41"/>
    </row>
  </sheetData>
  <mergeCells count="7">
    <mergeCell ref="B20:F21"/>
    <mergeCell ref="B18:F19"/>
    <mergeCell ref="B22:F23"/>
    <mergeCell ref="B4:D4"/>
    <mergeCell ref="B7:G12"/>
    <mergeCell ref="B14:G14"/>
    <mergeCell ref="B15:F17"/>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vt:i4>
      </vt:variant>
    </vt:vector>
  </HeadingPairs>
  <TitlesOfParts>
    <vt:vector size="29" baseType="lpstr">
      <vt:lpstr>Welcome Page</vt:lpstr>
      <vt:lpstr>Logs</vt:lpstr>
      <vt:lpstr>SQL_Data</vt:lpstr>
      <vt:lpstr>Keywords</vt:lpstr>
      <vt:lpstr>Race Locations</vt:lpstr>
      <vt:lpstr>Challenges</vt:lpstr>
      <vt:lpstr>Route Info</vt:lpstr>
      <vt:lpstr>Road Block</vt:lpstr>
      <vt:lpstr>Detour</vt:lpstr>
      <vt:lpstr>Fast Forward</vt:lpstr>
      <vt:lpstr>Speed Bump</vt:lpstr>
      <vt:lpstr>Leg-by-Leg</vt:lpstr>
      <vt:lpstr>Challenge-by-Challenge</vt:lpstr>
      <vt:lpstr>Leg-by-Challenge</vt:lpstr>
      <vt:lpstr>Leg Outcomes</vt:lpstr>
      <vt:lpstr>Finishing Positions</vt:lpstr>
      <vt:lpstr>Winner's Corner</vt:lpstr>
      <vt:lpstr>Final Leg</vt:lpstr>
      <vt:lpstr>Twists</vt:lpstr>
      <vt:lpstr>Equalizers</vt:lpstr>
      <vt:lpstr>Season 38</vt:lpstr>
      <vt:lpstr>Presentation</vt:lpstr>
      <vt:lpstr>COVID Seasons</vt:lpstr>
      <vt:lpstr>Season 35</vt:lpstr>
      <vt:lpstr>Season 37</vt:lpstr>
      <vt:lpstr>'Final Leg'!Extract</vt:lpstr>
      <vt:lpstr>Keywords!Extract</vt:lpstr>
      <vt:lpstr>'Race Locations'!Extract</vt:lpstr>
      <vt:lpstr>'Winner''s Corner'!Extract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Mark Lowry</cp:lastModifiedBy>
  <dcterms:created xsi:type="dcterms:W3CDTF">2022-03-23T22:24:31Z</dcterms:created>
  <dcterms:modified xsi:type="dcterms:W3CDTF">2026-05-25T14:57:18Z</dcterms:modified>
</cp:coreProperties>
</file>